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codeName="ThisWorkbook" autoCompressPictures="0"/>
  <mc:AlternateContent xmlns:mc="http://schemas.openxmlformats.org/markup-compatibility/2006">
    <mc:Choice Requires="x15">
      <x15ac:absPath xmlns:x15ac="http://schemas.microsoft.com/office/spreadsheetml/2010/11/ac" url="C:\Users\cawynn\cloudstor\Shared\SAZ\2017-2018\"/>
    </mc:Choice>
  </mc:AlternateContent>
  <xr:revisionPtr revIDLastSave="0" documentId="13_ncr:1_{0078F274-8FA8-4562-8890-8CB60E38AF21}" xr6:coauthVersionLast="45" xr6:coauthVersionMax="45" xr10:uidLastSave="{00000000-0000-0000-0000-000000000000}"/>
  <bookViews>
    <workbookView xWindow="-110" yWindow="-110" windowWidth="19420" windowHeight="10420" tabRatio="500" firstSheet="15" activeTab="18" xr2:uid="{00000000-000D-0000-FFFF-FFFF00000000}"/>
  </bookViews>
  <sheets>
    <sheet name="prep brines" sheetId="1" r:id="rId1"/>
    <sheet name="notes" sheetId="2" r:id="rId2"/>
    <sheet name="traps and logs" sheetId="3" r:id="rId3"/>
    <sheet name="depths" sheetId="20" r:id="rId4"/>
    <sheet name="photo labels" sheetId="4" r:id="rId5"/>
    <sheet name="sample jar labels" sheetId="8" r:id="rId6"/>
    <sheet name="sal_pH" sheetId="6" r:id="rId7"/>
    <sheet name="mass_graph" sheetId="14" r:id="rId8"/>
    <sheet name="CHN" sheetId="11" r:id="rId9"/>
    <sheet name="CHN raw data" sheetId="19" r:id="rId10"/>
    <sheet name="PIC weights" sheetId="12" r:id="rId11"/>
    <sheet name="PIC raw data" sheetId="16" r:id="rId12"/>
    <sheet name="BSi sample list" sheetId="13" r:id="rId13"/>
    <sheet name="BSi raw results" sheetId="21" r:id="rId14"/>
    <sheet name="BSi_results and calculations" sheetId="15" r:id="rId15"/>
    <sheet name="main" sheetId="5" r:id="rId16"/>
    <sheet name="report" sheetId="17" r:id="rId17"/>
    <sheet name="report_47_flagged" sheetId="24" r:id="rId18"/>
    <sheet name="netcdf_format" sheetId="18" r:id="rId19"/>
    <sheet name="sample processing comments" sheetId="7" r:id="rId20"/>
    <sheet name="mass_filt" sheetId="9" r:id="rId21"/>
    <sheet name="sample archive" sheetId="10" r:id="rId22"/>
    <sheet name="quick plots" sheetId="22" r:id="rId23"/>
    <sheet name="flags" sheetId="23" r:id="rId24"/>
  </sheets>
  <definedNames>
    <definedName name="_xlnm.Print_Area" localSheetId="8">CHN!$A$1:$J$89</definedName>
    <definedName name="_xlnm.Print_Area" localSheetId="10">'PIC weights'!$A$1:$F$27</definedName>
    <definedName name="_xlnm.Print_Area" localSheetId="0">'prep brines'!$A$18:$C$25</definedName>
    <definedName name="_xlnm.Print_Titles" localSheetId="8">CHN!$10:$11</definedName>
    <definedName name="_xlnm.Print_Titles" localSheetId="10">'PIC weights'!$4:$4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J13" i="18" l="1"/>
  <c r="AJ14" i="18"/>
  <c r="I64" i="10" l="1"/>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 r="W105" i="9"/>
  <c r="U105" i="9"/>
  <c r="V105" i="9" s="1"/>
  <c r="U104" i="9"/>
  <c r="W104" i="9" s="1"/>
  <c r="U103" i="9"/>
  <c r="W103" i="9" s="1"/>
  <c r="U102" i="9"/>
  <c r="W102" i="9" s="1"/>
  <c r="U101" i="9"/>
  <c r="W100" i="9"/>
  <c r="U100" i="9"/>
  <c r="U99" i="9"/>
  <c r="W99" i="9" s="1"/>
  <c r="V98" i="9"/>
  <c r="E73" i="5" s="1"/>
  <c r="F66" i="17" s="1"/>
  <c r="U98" i="9"/>
  <c r="W98" i="9" s="1"/>
  <c r="U97" i="9"/>
  <c r="W97" i="9" s="1"/>
  <c r="U96" i="9"/>
  <c r="W96" i="9" s="1"/>
  <c r="U95" i="9"/>
  <c r="W95" i="9" s="1"/>
  <c r="U94" i="9"/>
  <c r="W94" i="9" s="1"/>
  <c r="U93" i="9"/>
  <c r="W93" i="9" s="1"/>
  <c r="U92" i="9"/>
  <c r="W91" i="9"/>
  <c r="U91" i="9"/>
  <c r="U90" i="9"/>
  <c r="W90" i="9" s="1"/>
  <c r="U89" i="9"/>
  <c r="U88" i="9"/>
  <c r="W88" i="9" s="1"/>
  <c r="U87" i="9"/>
  <c r="W86" i="9"/>
  <c r="U86" i="9"/>
  <c r="V86" i="9" s="1"/>
  <c r="W85" i="9"/>
  <c r="U85" i="9"/>
  <c r="V85" i="9" s="1"/>
  <c r="E67" i="5" s="1"/>
  <c r="U84" i="9"/>
  <c r="W84" i="9" s="1"/>
  <c r="U83" i="9"/>
  <c r="W82" i="9"/>
  <c r="U82" i="9"/>
  <c r="V82" i="9" s="1"/>
  <c r="W81" i="9"/>
  <c r="U81" i="9"/>
  <c r="V81" i="9" s="1"/>
  <c r="E63" i="5" s="1"/>
  <c r="U80" i="9"/>
  <c r="W80" i="9" s="1"/>
  <c r="U79" i="9"/>
  <c r="W78" i="9"/>
  <c r="U78" i="9"/>
  <c r="V78" i="9" s="1"/>
  <c r="W77" i="9"/>
  <c r="U77" i="9"/>
  <c r="V77" i="9" s="1"/>
  <c r="E59" i="5" s="1"/>
  <c r="U76" i="9"/>
  <c r="W76" i="9" s="1"/>
  <c r="U75" i="9"/>
  <c r="U74" i="9"/>
  <c r="U73" i="9"/>
  <c r="W72" i="9"/>
  <c r="U72" i="9"/>
  <c r="V72" i="9" s="1"/>
  <c r="B71" i="9"/>
  <c r="U69" i="9"/>
  <c r="V69" i="9" s="1"/>
  <c r="U68" i="9"/>
  <c r="W68" i="9" s="1"/>
  <c r="U67" i="9"/>
  <c r="W67" i="9" s="1"/>
  <c r="W66" i="9"/>
  <c r="U66" i="9"/>
  <c r="V66" i="9" s="1"/>
  <c r="E50" i="5" s="1"/>
  <c r="U65" i="9"/>
  <c r="W64" i="9"/>
  <c r="U64" i="9"/>
  <c r="U63" i="9"/>
  <c r="W63" i="9" s="1"/>
  <c r="U62" i="9"/>
  <c r="W62" i="9" s="1"/>
  <c r="W61" i="9"/>
  <c r="U61" i="9"/>
  <c r="V60" i="9" s="1"/>
  <c r="U60" i="9"/>
  <c r="W60" i="9" s="1"/>
  <c r="U59" i="9"/>
  <c r="W59" i="9" s="1"/>
  <c r="U58" i="9"/>
  <c r="W58" i="9" s="1"/>
  <c r="W57" i="9"/>
  <c r="U57" i="9"/>
  <c r="AH56" i="9"/>
  <c r="AG56" i="9"/>
  <c r="U56" i="9"/>
  <c r="W56" i="9" s="1"/>
  <c r="U55" i="9"/>
  <c r="W55" i="9" s="1"/>
  <c r="AG54" i="9"/>
  <c r="U54" i="9"/>
  <c r="W54" i="9" s="1"/>
  <c r="U53" i="9"/>
  <c r="AG52" i="9"/>
  <c r="U52" i="9"/>
  <c r="U51" i="9"/>
  <c r="U50" i="9"/>
  <c r="V50" i="9" s="1"/>
  <c r="V49" i="9"/>
  <c r="E42" i="5" s="1"/>
  <c r="U49" i="9"/>
  <c r="W49" i="9" s="1"/>
  <c r="V48" i="9"/>
  <c r="U48" i="9"/>
  <c r="W48" i="9" s="1"/>
  <c r="U47" i="9"/>
  <c r="U46" i="9"/>
  <c r="V46" i="9" s="1"/>
  <c r="AG45" i="9"/>
  <c r="U45" i="9"/>
  <c r="AG44" i="9"/>
  <c r="V44" i="9"/>
  <c r="U44" i="9"/>
  <c r="AH44" i="9" s="1"/>
  <c r="AG43" i="9"/>
  <c r="AH43" i="9" s="1"/>
  <c r="V43" i="9"/>
  <c r="U43" i="9"/>
  <c r="W43" i="9" s="1"/>
  <c r="V42" i="9"/>
  <c r="E35" i="5" s="1"/>
  <c r="J35" i="5" s="1"/>
  <c r="I31" i="24" s="1"/>
  <c r="U42" i="9"/>
  <c r="W42" i="9" s="1"/>
  <c r="U41" i="9"/>
  <c r="U40" i="9"/>
  <c r="V40" i="9" s="1"/>
  <c r="E33" i="5" s="1"/>
  <c r="V39" i="9"/>
  <c r="U39" i="9"/>
  <c r="W39" i="9" s="1"/>
  <c r="V38" i="9"/>
  <c r="E31" i="5" s="1"/>
  <c r="U38" i="9"/>
  <c r="W38" i="9" s="1"/>
  <c r="U35" i="9"/>
  <c r="U34" i="9"/>
  <c r="W34" i="9" s="1"/>
  <c r="U33" i="9"/>
  <c r="W33" i="9" s="1"/>
  <c r="U32" i="9"/>
  <c r="W32" i="9" s="1"/>
  <c r="W31" i="9"/>
  <c r="U31" i="9"/>
  <c r="V31" i="9" s="1"/>
  <c r="E25" i="5" s="1"/>
  <c r="U30" i="9"/>
  <c r="W30" i="9" s="1"/>
  <c r="W29" i="9"/>
  <c r="U29" i="9"/>
  <c r="W28" i="9"/>
  <c r="U28" i="9"/>
  <c r="U27" i="9"/>
  <c r="U26" i="9"/>
  <c r="W26" i="9" s="1"/>
  <c r="U25" i="9"/>
  <c r="W25" i="9" s="1"/>
  <c r="U24" i="9"/>
  <c r="W24" i="9" s="1"/>
  <c r="AG23" i="9"/>
  <c r="U23" i="9"/>
  <c r="W22" i="9"/>
  <c r="U22" i="9"/>
  <c r="V22" i="9" s="1"/>
  <c r="AB21" i="9"/>
  <c r="AA21" i="9"/>
  <c r="AB30" i="9" s="1"/>
  <c r="U21" i="9"/>
  <c r="AA20" i="9"/>
  <c r="AB29" i="9" s="1"/>
  <c r="U20" i="9"/>
  <c r="W19" i="9"/>
  <c r="U19" i="9"/>
  <c r="AB18" i="9"/>
  <c r="AA18" i="9"/>
  <c r="AB27" i="9" s="1"/>
  <c r="U18" i="9"/>
  <c r="AG17" i="9"/>
  <c r="V17" i="9"/>
  <c r="U17" i="9"/>
  <c r="AH17" i="9" s="1"/>
  <c r="AA16" i="9"/>
  <c r="V16" i="9"/>
  <c r="U16" i="9"/>
  <c r="W16" i="9" s="1"/>
  <c r="V15" i="9"/>
  <c r="E14" i="5" s="1"/>
  <c r="G13" i="24" s="1"/>
  <c r="U15" i="9"/>
  <c r="W15" i="9" s="1"/>
  <c r="U14" i="9"/>
  <c r="U13" i="9"/>
  <c r="W13" i="9" s="1"/>
  <c r="U12" i="9"/>
  <c r="W12" i="9" s="1"/>
  <c r="U11" i="9"/>
  <c r="W11" i="9" s="1"/>
  <c r="AG10" i="9"/>
  <c r="U10" i="9"/>
  <c r="AG9" i="9"/>
  <c r="V9" i="9"/>
  <c r="E10" i="5" s="1"/>
  <c r="U9" i="9"/>
  <c r="AG8" i="9"/>
  <c r="W8" i="9"/>
  <c r="V8" i="9"/>
  <c r="E9" i="5" s="1"/>
  <c r="U8" i="9"/>
  <c r="V7" i="9"/>
  <c r="U7" i="9"/>
  <c r="W7" i="9" s="1"/>
  <c r="U6" i="9"/>
  <c r="D75" i="7"/>
  <c r="D74" i="7"/>
  <c r="D73" i="7"/>
  <c r="D72" i="7"/>
  <c r="D71" i="7"/>
  <c r="D70" i="7"/>
  <c r="D69" i="7"/>
  <c r="D68" i="7"/>
  <c r="D67" i="7"/>
  <c r="D66" i="7"/>
  <c r="D65" i="7"/>
  <c r="D64" i="7"/>
  <c r="D63" i="7"/>
  <c r="D62" i="7"/>
  <c r="D61" i="7"/>
  <c r="D60" i="7"/>
  <c r="D59" i="7"/>
  <c r="D58" i="7"/>
  <c r="D57" i="7"/>
  <c r="D56" i="7"/>
  <c r="D55" i="7"/>
  <c r="D51" i="7"/>
  <c r="D50" i="7"/>
  <c r="D49" i="7"/>
  <c r="D48" i="7"/>
  <c r="D47" i="7"/>
  <c r="D46" i="7"/>
  <c r="D45" i="7"/>
  <c r="D44" i="7"/>
  <c r="D43" i="7"/>
  <c r="D42" i="7"/>
  <c r="D41" i="7"/>
  <c r="D40" i="7"/>
  <c r="D39" i="7"/>
  <c r="D38" i="7"/>
  <c r="D37" i="7"/>
  <c r="D36" i="7"/>
  <c r="D35" i="7"/>
  <c r="D34" i="7"/>
  <c r="D33" i="7"/>
  <c r="D32" i="7"/>
  <c r="D31" i="7"/>
  <c r="D27" i="7"/>
  <c r="D26" i="7"/>
  <c r="D25" i="7"/>
  <c r="D24" i="7"/>
  <c r="D23" i="7"/>
  <c r="D22" i="7"/>
  <c r="D21" i="7"/>
  <c r="D20" i="7"/>
  <c r="D19" i="7"/>
  <c r="D18" i="7"/>
  <c r="D17" i="7"/>
  <c r="D16" i="7"/>
  <c r="D15" i="7"/>
  <c r="D14" i="7"/>
  <c r="D13" i="7"/>
  <c r="D12" i="7"/>
  <c r="D11" i="7"/>
  <c r="D10" i="7"/>
  <c r="D9" i="7"/>
  <c r="D8" i="7"/>
  <c r="D7" i="7"/>
  <c r="AJ75" i="18"/>
  <c r="AG75" i="18"/>
  <c r="AD75" i="18"/>
  <c r="AA75" i="18"/>
  <c r="X75" i="18"/>
  <c r="U75" i="18"/>
  <c r="R75" i="18"/>
  <c r="O75" i="18"/>
  <c r="H75" i="18"/>
  <c r="G75" i="18"/>
  <c r="C75" i="18"/>
  <c r="B75" i="18"/>
  <c r="A75" i="18"/>
  <c r="AJ74" i="18"/>
  <c r="AG74" i="18"/>
  <c r="AD74" i="18"/>
  <c r="AA74" i="18"/>
  <c r="X74" i="18"/>
  <c r="U74" i="18"/>
  <c r="R74" i="18"/>
  <c r="O74" i="18"/>
  <c r="H74" i="18"/>
  <c r="G74" i="18"/>
  <c r="C74" i="18"/>
  <c r="B74" i="18"/>
  <c r="A74" i="18"/>
  <c r="AJ73" i="18"/>
  <c r="AG73" i="18"/>
  <c r="AD73" i="18"/>
  <c r="AA73" i="18"/>
  <c r="X73" i="18"/>
  <c r="U73" i="18"/>
  <c r="R73" i="18"/>
  <c r="O73" i="18"/>
  <c r="H73" i="18"/>
  <c r="G73" i="18"/>
  <c r="C73" i="18"/>
  <c r="B73" i="18"/>
  <c r="A73" i="18"/>
  <c r="AJ72" i="18"/>
  <c r="AG72" i="18"/>
  <c r="AD72" i="18"/>
  <c r="AA72" i="18"/>
  <c r="X72" i="18"/>
  <c r="U72" i="18"/>
  <c r="R72" i="18"/>
  <c r="O72" i="18"/>
  <c r="H72" i="18"/>
  <c r="G72" i="18"/>
  <c r="C72" i="18"/>
  <c r="B72" i="18"/>
  <c r="A72" i="18"/>
  <c r="AJ71" i="18"/>
  <c r="AG71" i="18"/>
  <c r="AD71" i="18"/>
  <c r="AA71" i="18"/>
  <c r="X71" i="18"/>
  <c r="U71" i="18"/>
  <c r="R71" i="18"/>
  <c r="O71" i="18"/>
  <c r="H71" i="18"/>
  <c r="G71" i="18"/>
  <c r="C71" i="18"/>
  <c r="B71" i="18"/>
  <c r="A71" i="18"/>
  <c r="AJ70" i="18"/>
  <c r="AG70" i="18"/>
  <c r="AD70" i="18"/>
  <c r="AA70" i="18"/>
  <c r="X70" i="18"/>
  <c r="U70" i="18"/>
  <c r="R70" i="18"/>
  <c r="O70" i="18"/>
  <c r="H70" i="18"/>
  <c r="G70" i="18"/>
  <c r="C70" i="18"/>
  <c r="B70" i="18"/>
  <c r="A70" i="18"/>
  <c r="AJ69" i="18"/>
  <c r="AG69" i="18"/>
  <c r="AD69" i="18"/>
  <c r="AA69" i="18"/>
  <c r="X69" i="18"/>
  <c r="U69" i="18"/>
  <c r="R69" i="18"/>
  <c r="O69" i="18"/>
  <c r="H69" i="18"/>
  <c r="G69" i="18"/>
  <c r="C69" i="18"/>
  <c r="B69" i="18"/>
  <c r="A69" i="18"/>
  <c r="AJ68" i="18"/>
  <c r="AG68" i="18"/>
  <c r="AD68" i="18"/>
  <c r="AA68" i="18"/>
  <c r="X68" i="18"/>
  <c r="U68" i="18"/>
  <c r="R68" i="18"/>
  <c r="O68" i="18"/>
  <c r="H68" i="18"/>
  <c r="G68" i="18"/>
  <c r="C68" i="18"/>
  <c r="B68" i="18"/>
  <c r="A68" i="18"/>
  <c r="AJ67" i="18"/>
  <c r="AG67" i="18"/>
  <c r="AD67" i="18"/>
  <c r="AA67" i="18"/>
  <c r="X67" i="18"/>
  <c r="U67" i="18"/>
  <c r="R67" i="18"/>
  <c r="O67" i="18"/>
  <c r="H67" i="18"/>
  <c r="G67" i="18"/>
  <c r="C67" i="18"/>
  <c r="B67" i="18"/>
  <c r="A67" i="18"/>
  <c r="AJ66" i="18"/>
  <c r="AG66" i="18"/>
  <c r="AD66" i="18"/>
  <c r="AA66" i="18"/>
  <c r="X66" i="18"/>
  <c r="U66" i="18"/>
  <c r="R66" i="18"/>
  <c r="O66" i="18"/>
  <c r="H66" i="18"/>
  <c r="G66" i="18"/>
  <c r="C66" i="18"/>
  <c r="B66" i="18"/>
  <c r="A66" i="18"/>
  <c r="AJ65" i="18"/>
  <c r="AG65" i="18"/>
  <c r="AD65" i="18"/>
  <c r="AA65" i="18"/>
  <c r="X65" i="18"/>
  <c r="U65" i="18"/>
  <c r="R65" i="18"/>
  <c r="O65" i="18"/>
  <c r="H65" i="18"/>
  <c r="G65" i="18"/>
  <c r="C65" i="18"/>
  <c r="B65" i="18"/>
  <c r="A65" i="18"/>
  <c r="AJ64" i="18"/>
  <c r="AG64" i="18"/>
  <c r="AD64" i="18"/>
  <c r="AA64" i="18"/>
  <c r="X64" i="18"/>
  <c r="U64" i="18"/>
  <c r="R64" i="18"/>
  <c r="O64" i="18"/>
  <c r="H64" i="18"/>
  <c r="G64" i="18"/>
  <c r="C64" i="18"/>
  <c r="B64" i="18"/>
  <c r="A64" i="18"/>
  <c r="AJ63" i="18"/>
  <c r="AG63" i="18"/>
  <c r="AD63" i="18"/>
  <c r="AA63" i="18"/>
  <c r="X63" i="18"/>
  <c r="U63" i="18"/>
  <c r="R63" i="18"/>
  <c r="O63" i="18"/>
  <c r="H63" i="18"/>
  <c r="G63" i="18"/>
  <c r="C63" i="18"/>
  <c r="B63" i="18"/>
  <c r="A63" i="18"/>
  <c r="AJ62" i="18"/>
  <c r="AG62" i="18"/>
  <c r="AD62" i="18"/>
  <c r="AA62" i="18"/>
  <c r="X62" i="18"/>
  <c r="U62" i="18"/>
  <c r="R62" i="18"/>
  <c r="O62" i="18"/>
  <c r="H62" i="18"/>
  <c r="G62" i="18"/>
  <c r="C62" i="18"/>
  <c r="B62" i="18"/>
  <c r="A62" i="18"/>
  <c r="AJ61" i="18"/>
  <c r="AG61" i="18"/>
  <c r="AD61" i="18"/>
  <c r="AA61" i="18"/>
  <c r="X61" i="18"/>
  <c r="U61" i="18"/>
  <c r="R61" i="18"/>
  <c r="O61" i="18"/>
  <c r="H61" i="18"/>
  <c r="G61" i="18"/>
  <c r="C61" i="18"/>
  <c r="B61" i="18"/>
  <c r="A61" i="18"/>
  <c r="AJ60" i="18"/>
  <c r="AG60" i="18"/>
  <c r="AD60" i="18"/>
  <c r="AA60" i="18"/>
  <c r="X60" i="18"/>
  <c r="U60" i="18"/>
  <c r="R60" i="18"/>
  <c r="O60" i="18"/>
  <c r="H60" i="18"/>
  <c r="G60" i="18"/>
  <c r="C60" i="18"/>
  <c r="B60" i="18"/>
  <c r="A60" i="18"/>
  <c r="AJ59" i="18"/>
  <c r="AG59" i="18"/>
  <c r="AD59" i="18"/>
  <c r="AA59" i="18"/>
  <c r="X59" i="18"/>
  <c r="U59" i="18"/>
  <c r="R59" i="18"/>
  <c r="O59" i="18"/>
  <c r="H59" i="18"/>
  <c r="G59" i="18"/>
  <c r="C59" i="18"/>
  <c r="B59" i="18"/>
  <c r="A59" i="18"/>
  <c r="AJ58" i="18"/>
  <c r="AG58" i="18"/>
  <c r="AD58" i="18"/>
  <c r="AA58" i="18"/>
  <c r="X58" i="18"/>
  <c r="U58" i="18"/>
  <c r="R58" i="18"/>
  <c r="O58" i="18"/>
  <c r="H58" i="18"/>
  <c r="G58" i="18"/>
  <c r="C58" i="18"/>
  <c r="B58" i="18"/>
  <c r="A58" i="18"/>
  <c r="AJ57" i="18"/>
  <c r="AG57" i="18"/>
  <c r="AD57" i="18"/>
  <c r="AA57" i="18"/>
  <c r="X57" i="18"/>
  <c r="U57" i="18"/>
  <c r="R57" i="18"/>
  <c r="O57" i="18"/>
  <c r="H57" i="18"/>
  <c r="G57" i="18"/>
  <c r="C57" i="18"/>
  <c r="B57" i="18"/>
  <c r="A57" i="18"/>
  <c r="AJ56" i="18"/>
  <c r="AG56" i="18"/>
  <c r="AD56" i="18"/>
  <c r="AA56" i="18"/>
  <c r="X56" i="18"/>
  <c r="U56" i="18"/>
  <c r="R56" i="18"/>
  <c r="O56" i="18"/>
  <c r="H56" i="18"/>
  <c r="G56" i="18"/>
  <c r="C56" i="18"/>
  <c r="B56" i="18"/>
  <c r="A56" i="18"/>
  <c r="AJ55" i="18"/>
  <c r="AG55" i="18"/>
  <c r="AD55" i="18"/>
  <c r="AA55" i="18"/>
  <c r="X55" i="18"/>
  <c r="U55" i="18"/>
  <c r="R55" i="18"/>
  <c r="O55" i="18"/>
  <c r="H55" i="18"/>
  <c r="G55" i="18"/>
  <c r="C55" i="18"/>
  <c r="B55" i="18"/>
  <c r="A55" i="18"/>
  <c r="AJ54" i="18"/>
  <c r="AG54" i="18"/>
  <c r="AD54" i="18"/>
  <c r="AA54" i="18"/>
  <c r="X54" i="18"/>
  <c r="U54" i="18"/>
  <c r="R54" i="18"/>
  <c r="O54" i="18"/>
  <c r="H54" i="18"/>
  <c r="G54" i="18"/>
  <c r="C54" i="18"/>
  <c r="B54" i="18"/>
  <c r="A54" i="18"/>
  <c r="AJ53" i="18"/>
  <c r="AG53" i="18"/>
  <c r="AD53" i="18"/>
  <c r="AA53" i="18"/>
  <c r="X53" i="18"/>
  <c r="U53" i="18"/>
  <c r="R53" i="18"/>
  <c r="O53" i="18"/>
  <c r="H53" i="18"/>
  <c r="G53" i="18"/>
  <c r="C53" i="18"/>
  <c r="B53" i="18"/>
  <c r="A53" i="18"/>
  <c r="AJ52" i="18"/>
  <c r="AG52" i="18"/>
  <c r="AD52" i="18"/>
  <c r="AA52" i="18"/>
  <c r="X52" i="18"/>
  <c r="U52" i="18"/>
  <c r="R52" i="18"/>
  <c r="O52" i="18"/>
  <c r="H52" i="18"/>
  <c r="G52" i="18"/>
  <c r="C52" i="18"/>
  <c r="B52" i="18"/>
  <c r="A52" i="18"/>
  <c r="AJ51" i="18"/>
  <c r="AG51" i="18"/>
  <c r="AD51" i="18"/>
  <c r="AA51" i="18"/>
  <c r="X51" i="18"/>
  <c r="U51" i="18"/>
  <c r="R51" i="18"/>
  <c r="O51" i="18"/>
  <c r="H51" i="18"/>
  <c r="G51" i="18"/>
  <c r="C51" i="18"/>
  <c r="B51" i="18"/>
  <c r="A51" i="18"/>
  <c r="AJ50" i="18"/>
  <c r="AG50" i="18"/>
  <c r="AD50" i="18"/>
  <c r="AA50" i="18"/>
  <c r="X50" i="18"/>
  <c r="U50" i="18"/>
  <c r="R50" i="18"/>
  <c r="O50" i="18"/>
  <c r="H50" i="18"/>
  <c r="G50" i="18"/>
  <c r="C50" i="18"/>
  <c r="B50" i="18"/>
  <c r="A50" i="18"/>
  <c r="AJ49" i="18"/>
  <c r="AG49" i="18"/>
  <c r="AD49" i="18"/>
  <c r="AA49" i="18"/>
  <c r="X49" i="18"/>
  <c r="U49" i="18"/>
  <c r="R49" i="18"/>
  <c r="O49" i="18"/>
  <c r="H49" i="18"/>
  <c r="G49" i="18"/>
  <c r="C49" i="18"/>
  <c r="B49" i="18"/>
  <c r="A49" i="18"/>
  <c r="AJ48" i="18"/>
  <c r="AG48" i="18"/>
  <c r="AD48" i="18"/>
  <c r="AA48" i="18"/>
  <c r="X48" i="18"/>
  <c r="U48" i="18"/>
  <c r="R48" i="18"/>
  <c r="O48" i="18"/>
  <c r="H48" i="18"/>
  <c r="G48" i="18"/>
  <c r="C48" i="18"/>
  <c r="B48" i="18"/>
  <c r="A48" i="18"/>
  <c r="AJ47" i="18"/>
  <c r="AG47" i="18"/>
  <c r="AD47" i="18"/>
  <c r="AA47" i="18"/>
  <c r="X47" i="18"/>
  <c r="U47" i="18"/>
  <c r="R47" i="18"/>
  <c r="O47" i="18"/>
  <c r="H47" i="18"/>
  <c r="G47" i="18"/>
  <c r="C47" i="18"/>
  <c r="B47" i="18"/>
  <c r="A47" i="18"/>
  <c r="AJ46" i="18"/>
  <c r="AG46" i="18"/>
  <c r="AD46" i="18"/>
  <c r="AA46" i="18"/>
  <c r="X46" i="18"/>
  <c r="U46" i="18"/>
  <c r="R46" i="18"/>
  <c r="O46" i="18"/>
  <c r="H46" i="18"/>
  <c r="G46" i="18"/>
  <c r="C46" i="18"/>
  <c r="B46" i="18"/>
  <c r="A46" i="18"/>
  <c r="AJ45" i="18"/>
  <c r="AG45" i="18"/>
  <c r="AD45" i="18"/>
  <c r="AA45" i="18"/>
  <c r="X45" i="18"/>
  <c r="U45" i="18"/>
  <c r="R45" i="18"/>
  <c r="O45" i="18"/>
  <c r="H45" i="18"/>
  <c r="G45" i="18"/>
  <c r="C45" i="18"/>
  <c r="B45" i="18"/>
  <c r="A45" i="18"/>
  <c r="AJ44" i="18"/>
  <c r="AG44" i="18"/>
  <c r="AD44" i="18"/>
  <c r="AA44" i="18"/>
  <c r="X44" i="18"/>
  <c r="U44" i="18"/>
  <c r="R44" i="18"/>
  <c r="O44" i="18"/>
  <c r="H44" i="18"/>
  <c r="G44" i="18"/>
  <c r="C44" i="18"/>
  <c r="B44" i="18"/>
  <c r="A44" i="18"/>
  <c r="AJ43" i="18"/>
  <c r="AG43" i="18"/>
  <c r="AD43" i="18"/>
  <c r="AA43" i="18"/>
  <c r="X43" i="18"/>
  <c r="U43" i="18"/>
  <c r="R43" i="18"/>
  <c r="O43" i="18"/>
  <c r="H43" i="18"/>
  <c r="G43" i="18"/>
  <c r="C43" i="18"/>
  <c r="B43" i="18"/>
  <c r="A43" i="18"/>
  <c r="AJ42" i="18"/>
  <c r="AG42" i="18"/>
  <c r="AD42" i="18"/>
  <c r="AA42" i="18"/>
  <c r="X42" i="18"/>
  <c r="U42" i="18"/>
  <c r="R42" i="18"/>
  <c r="O42" i="18"/>
  <c r="H42" i="18"/>
  <c r="G42" i="18"/>
  <c r="C42" i="18"/>
  <c r="B42" i="18"/>
  <c r="A42" i="18"/>
  <c r="AJ41" i="18"/>
  <c r="AG41" i="18"/>
  <c r="AD41" i="18"/>
  <c r="AA41" i="18"/>
  <c r="X41" i="18"/>
  <c r="U41" i="18"/>
  <c r="R41" i="18"/>
  <c r="O41" i="18"/>
  <c r="H41" i="18"/>
  <c r="G41" i="18"/>
  <c r="C41" i="18"/>
  <c r="B41" i="18"/>
  <c r="A41" i="18"/>
  <c r="AJ40" i="18"/>
  <c r="AG40" i="18"/>
  <c r="AD40" i="18"/>
  <c r="AA40" i="18"/>
  <c r="X40" i="18"/>
  <c r="U40" i="18"/>
  <c r="R40" i="18"/>
  <c r="O40" i="18"/>
  <c r="H40" i="18"/>
  <c r="G40" i="18"/>
  <c r="C40" i="18"/>
  <c r="B40" i="18"/>
  <c r="A40" i="18"/>
  <c r="AJ39" i="18"/>
  <c r="AG39" i="18"/>
  <c r="AD39" i="18"/>
  <c r="AA39" i="18"/>
  <c r="X39" i="18"/>
  <c r="U39" i="18"/>
  <c r="R39" i="18"/>
  <c r="O39" i="18"/>
  <c r="H39" i="18"/>
  <c r="G39" i="18"/>
  <c r="C39" i="18"/>
  <c r="B39" i="18"/>
  <c r="A39" i="18"/>
  <c r="AJ38" i="18"/>
  <c r="AG38" i="18"/>
  <c r="AD38" i="18"/>
  <c r="AA38" i="18"/>
  <c r="X38" i="18"/>
  <c r="U38" i="18"/>
  <c r="R38" i="18"/>
  <c r="O38" i="18"/>
  <c r="H38" i="18"/>
  <c r="G38" i="18"/>
  <c r="C38" i="18"/>
  <c r="B38" i="18"/>
  <c r="A38" i="18"/>
  <c r="AJ37" i="18"/>
  <c r="AG37" i="18"/>
  <c r="AD37" i="18"/>
  <c r="AA37" i="18"/>
  <c r="X37" i="18"/>
  <c r="U37" i="18"/>
  <c r="R37" i="18"/>
  <c r="O37" i="18"/>
  <c r="H37" i="18"/>
  <c r="G37" i="18"/>
  <c r="C37" i="18"/>
  <c r="B37" i="18"/>
  <c r="A37" i="18"/>
  <c r="AJ36" i="18"/>
  <c r="AG36" i="18"/>
  <c r="AD36" i="18"/>
  <c r="AA36" i="18"/>
  <c r="X36" i="18"/>
  <c r="U36" i="18"/>
  <c r="R36" i="18"/>
  <c r="O36" i="18"/>
  <c r="H36" i="18"/>
  <c r="G36" i="18"/>
  <c r="C36" i="18"/>
  <c r="B36" i="18"/>
  <c r="A36" i="18"/>
  <c r="AJ35" i="18"/>
  <c r="AG35" i="18"/>
  <c r="AD35" i="18"/>
  <c r="AA35" i="18"/>
  <c r="X35" i="18"/>
  <c r="U35" i="18"/>
  <c r="R35" i="18"/>
  <c r="O35" i="18"/>
  <c r="H35" i="18"/>
  <c r="G35" i="18"/>
  <c r="C35" i="18"/>
  <c r="B35" i="18"/>
  <c r="A35" i="18"/>
  <c r="AJ34" i="18"/>
  <c r="AG34" i="18"/>
  <c r="AD34" i="18"/>
  <c r="AA34" i="18"/>
  <c r="X34" i="18"/>
  <c r="U34" i="18"/>
  <c r="R34" i="18"/>
  <c r="O34" i="18"/>
  <c r="H34" i="18"/>
  <c r="G34" i="18"/>
  <c r="C34" i="18"/>
  <c r="B34" i="18"/>
  <c r="A34" i="18"/>
  <c r="AJ33" i="18"/>
  <c r="AG33" i="18"/>
  <c r="AD33" i="18"/>
  <c r="AA33" i="18"/>
  <c r="X33" i="18"/>
  <c r="U33" i="18"/>
  <c r="R33" i="18"/>
  <c r="O33" i="18"/>
  <c r="H33" i="18"/>
  <c r="G33" i="18"/>
  <c r="C33" i="18"/>
  <c r="B33" i="18"/>
  <c r="A33" i="18"/>
  <c r="AJ32" i="18"/>
  <c r="AG32" i="18"/>
  <c r="AD32" i="18"/>
  <c r="AA32" i="18"/>
  <c r="X32" i="18"/>
  <c r="U32" i="18"/>
  <c r="R32" i="18"/>
  <c r="O32" i="18"/>
  <c r="H32" i="18"/>
  <c r="G32" i="18"/>
  <c r="C32" i="18"/>
  <c r="B32" i="18"/>
  <c r="A32" i="18"/>
  <c r="AJ31" i="18"/>
  <c r="AG31" i="18"/>
  <c r="AD31" i="18"/>
  <c r="AA31" i="18"/>
  <c r="X31" i="18"/>
  <c r="U31" i="18"/>
  <c r="R31" i="18"/>
  <c r="O31" i="18"/>
  <c r="H31" i="18"/>
  <c r="G31" i="18"/>
  <c r="C31" i="18"/>
  <c r="B31" i="18"/>
  <c r="A31" i="18"/>
  <c r="AJ30" i="18"/>
  <c r="AG30" i="18"/>
  <c r="AD30" i="18"/>
  <c r="AA30" i="18"/>
  <c r="X30" i="18"/>
  <c r="U30" i="18"/>
  <c r="R30" i="18"/>
  <c r="O30" i="18"/>
  <c r="H30" i="18"/>
  <c r="G30" i="18"/>
  <c r="C30" i="18"/>
  <c r="B30" i="18"/>
  <c r="A30" i="18"/>
  <c r="AJ29" i="18"/>
  <c r="AG29" i="18"/>
  <c r="AD29" i="18"/>
  <c r="AA29" i="18"/>
  <c r="X29" i="18"/>
  <c r="U29" i="18"/>
  <c r="R29" i="18"/>
  <c r="O29" i="18"/>
  <c r="H29" i="18"/>
  <c r="G29" i="18"/>
  <c r="C29" i="18"/>
  <c r="B29" i="18"/>
  <c r="A29" i="18"/>
  <c r="AJ28" i="18"/>
  <c r="AG28" i="18"/>
  <c r="AD28" i="18"/>
  <c r="AA28" i="18"/>
  <c r="X28" i="18"/>
  <c r="U28" i="18"/>
  <c r="R28" i="18"/>
  <c r="O28" i="18"/>
  <c r="H28" i="18"/>
  <c r="G28" i="18"/>
  <c r="C28" i="18"/>
  <c r="B28" i="18"/>
  <c r="A28" i="18"/>
  <c r="AJ27" i="18"/>
  <c r="AG27" i="18"/>
  <c r="AD27" i="18"/>
  <c r="AA27" i="18"/>
  <c r="X27" i="18"/>
  <c r="U27" i="18"/>
  <c r="R27" i="18"/>
  <c r="O27" i="18"/>
  <c r="H27" i="18"/>
  <c r="G27" i="18"/>
  <c r="C27" i="18"/>
  <c r="B27" i="18"/>
  <c r="A27" i="18"/>
  <c r="AJ26" i="18"/>
  <c r="AG26" i="18"/>
  <c r="AD26" i="18"/>
  <c r="AA26" i="18"/>
  <c r="X26" i="18"/>
  <c r="U26" i="18"/>
  <c r="R26" i="18"/>
  <c r="O26" i="18"/>
  <c r="H26" i="18"/>
  <c r="G26" i="18"/>
  <c r="C26" i="18"/>
  <c r="B26" i="18"/>
  <c r="A26" i="18"/>
  <c r="AJ25" i="18"/>
  <c r="AG25" i="18"/>
  <c r="AD25" i="18"/>
  <c r="AA25" i="18"/>
  <c r="X25" i="18"/>
  <c r="U25" i="18"/>
  <c r="R25" i="18"/>
  <c r="O25" i="18"/>
  <c r="H25" i="18"/>
  <c r="G25" i="18"/>
  <c r="C25" i="18"/>
  <c r="B25" i="18"/>
  <c r="A25" i="18"/>
  <c r="AJ24" i="18"/>
  <c r="AG24" i="18"/>
  <c r="AD24" i="18"/>
  <c r="AA24" i="18"/>
  <c r="X24" i="18"/>
  <c r="U24" i="18"/>
  <c r="R24" i="18"/>
  <c r="O24" i="18"/>
  <c r="H24" i="18"/>
  <c r="G24" i="18"/>
  <c r="C24" i="18"/>
  <c r="B24" i="18"/>
  <c r="A24" i="18"/>
  <c r="AJ23" i="18"/>
  <c r="AG23" i="18"/>
  <c r="AD23" i="18"/>
  <c r="AA23" i="18"/>
  <c r="X23" i="18"/>
  <c r="U23" i="18"/>
  <c r="R23" i="18"/>
  <c r="O23" i="18"/>
  <c r="H23" i="18"/>
  <c r="G23" i="18"/>
  <c r="C23" i="18"/>
  <c r="B23" i="18"/>
  <c r="A23" i="18"/>
  <c r="AJ22" i="18"/>
  <c r="AG22" i="18"/>
  <c r="AD22" i="18"/>
  <c r="AA22" i="18"/>
  <c r="X22" i="18"/>
  <c r="U22" i="18"/>
  <c r="R22" i="18"/>
  <c r="O22" i="18"/>
  <c r="H22" i="18"/>
  <c r="G22" i="18"/>
  <c r="C22" i="18"/>
  <c r="B22" i="18"/>
  <c r="A22" i="18"/>
  <c r="AJ21" i="18"/>
  <c r="AG21" i="18"/>
  <c r="AD21" i="18"/>
  <c r="AA21" i="18"/>
  <c r="X21" i="18"/>
  <c r="U21" i="18"/>
  <c r="R21" i="18"/>
  <c r="O21" i="18"/>
  <c r="H21" i="18"/>
  <c r="G21" i="18"/>
  <c r="C21" i="18"/>
  <c r="B21" i="18"/>
  <c r="A21" i="18"/>
  <c r="AJ20" i="18"/>
  <c r="AG20" i="18"/>
  <c r="AD20" i="18"/>
  <c r="AA20" i="18"/>
  <c r="X20" i="18"/>
  <c r="U20" i="18"/>
  <c r="R20" i="18"/>
  <c r="O20" i="18"/>
  <c r="H20" i="18"/>
  <c r="G20" i="18"/>
  <c r="C20" i="18"/>
  <c r="B20" i="18"/>
  <c r="A20" i="18"/>
  <c r="AJ19" i="18"/>
  <c r="AG19" i="18"/>
  <c r="AD19" i="18"/>
  <c r="AA19" i="18"/>
  <c r="X19" i="18"/>
  <c r="U19" i="18"/>
  <c r="R19" i="18"/>
  <c r="O19" i="18"/>
  <c r="H19" i="18"/>
  <c r="G19" i="18"/>
  <c r="C19" i="18"/>
  <c r="B19" i="18"/>
  <c r="A19" i="18"/>
  <c r="AJ18" i="18"/>
  <c r="AG18" i="18"/>
  <c r="AD18" i="18"/>
  <c r="AA18" i="18"/>
  <c r="X18" i="18"/>
  <c r="U18" i="18"/>
  <c r="R18" i="18"/>
  <c r="O18" i="18"/>
  <c r="H18" i="18"/>
  <c r="G18" i="18"/>
  <c r="C18" i="18"/>
  <c r="B18" i="18"/>
  <c r="A18" i="18"/>
  <c r="AJ17" i="18"/>
  <c r="AG17" i="18"/>
  <c r="AD17" i="18"/>
  <c r="AA17" i="18"/>
  <c r="X17" i="18"/>
  <c r="U17" i="18"/>
  <c r="R17" i="18"/>
  <c r="O17" i="18"/>
  <c r="H17" i="18"/>
  <c r="G17" i="18"/>
  <c r="C17" i="18"/>
  <c r="B17" i="18"/>
  <c r="A17" i="18"/>
  <c r="AJ16" i="18"/>
  <c r="AG16" i="18"/>
  <c r="AD16" i="18"/>
  <c r="AA16" i="18"/>
  <c r="X16" i="18"/>
  <c r="U16" i="18"/>
  <c r="R16" i="18"/>
  <c r="O16" i="18"/>
  <c r="H16" i="18"/>
  <c r="G16" i="18"/>
  <c r="C16" i="18"/>
  <c r="B16" i="18"/>
  <c r="A16" i="18"/>
  <c r="AJ15" i="18"/>
  <c r="AG15" i="18"/>
  <c r="AD15" i="18"/>
  <c r="AA15" i="18"/>
  <c r="X15" i="18"/>
  <c r="U15" i="18"/>
  <c r="R15" i="18"/>
  <c r="O15" i="18"/>
  <c r="H15" i="18"/>
  <c r="G15" i="18"/>
  <c r="C15" i="18"/>
  <c r="B15" i="18"/>
  <c r="A15" i="18"/>
  <c r="AG14" i="18"/>
  <c r="AD14" i="18"/>
  <c r="AA14" i="18"/>
  <c r="X14" i="18"/>
  <c r="U14" i="18"/>
  <c r="R14" i="18"/>
  <c r="O14" i="18"/>
  <c r="H14" i="18"/>
  <c r="G14" i="18"/>
  <c r="C14" i="18"/>
  <c r="B14" i="18"/>
  <c r="A14" i="18"/>
  <c r="AG13" i="18"/>
  <c r="AD13" i="18"/>
  <c r="AA13" i="18"/>
  <c r="X13" i="18"/>
  <c r="U13" i="18"/>
  <c r="R13" i="18"/>
  <c r="O13" i="18"/>
  <c r="H13" i="18"/>
  <c r="G13" i="18"/>
  <c r="C13" i="18"/>
  <c r="B13" i="18"/>
  <c r="A13" i="18"/>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BC7" i="24"/>
  <c r="S14" i="18" s="1"/>
  <c r="T14" i="18" s="1"/>
  <c r="D7" i="24"/>
  <c r="D6" i="24"/>
  <c r="I80" i="17"/>
  <c r="I79" i="17"/>
  <c r="I78" i="17"/>
  <c r="L69" i="17"/>
  <c r="I69" i="17"/>
  <c r="P69" i="17" s="1"/>
  <c r="H69" i="17"/>
  <c r="Z69" i="17" s="1"/>
  <c r="AE69" i="17" s="1"/>
  <c r="AL69" i="17" s="1"/>
  <c r="D68" i="17"/>
  <c r="E75" i="18" s="1"/>
  <c r="D67" i="17"/>
  <c r="E74" i="18" s="1"/>
  <c r="D66" i="17"/>
  <c r="E73" i="18" s="1"/>
  <c r="D65" i="17"/>
  <c r="E72" i="18" s="1"/>
  <c r="D64" i="17"/>
  <c r="E71" i="18" s="1"/>
  <c r="D63" i="17"/>
  <c r="E70" i="18" s="1"/>
  <c r="D62" i="17"/>
  <c r="E69" i="18" s="1"/>
  <c r="D61" i="17"/>
  <c r="E68" i="18" s="1"/>
  <c r="D60" i="17"/>
  <c r="E67" i="18" s="1"/>
  <c r="D59" i="17"/>
  <c r="E66" i="18" s="1"/>
  <c r="D58" i="17"/>
  <c r="E65" i="18" s="1"/>
  <c r="D57" i="17"/>
  <c r="E64" i="18" s="1"/>
  <c r="D56" i="17"/>
  <c r="E63" i="18" s="1"/>
  <c r="I55" i="17"/>
  <c r="D55" i="17"/>
  <c r="E62" i="18" s="1"/>
  <c r="D54" i="17"/>
  <c r="E61" i="18" s="1"/>
  <c r="D53" i="17"/>
  <c r="E60" i="18" s="1"/>
  <c r="D52" i="17"/>
  <c r="E59" i="18" s="1"/>
  <c r="D51" i="17"/>
  <c r="E58" i="18" s="1"/>
  <c r="D50" i="17"/>
  <c r="E57" i="18" s="1"/>
  <c r="D49" i="17"/>
  <c r="E56" i="18" s="1"/>
  <c r="D48" i="17"/>
  <c r="E55" i="18" s="1"/>
  <c r="D47" i="17"/>
  <c r="E54" i="18" s="1"/>
  <c r="D46" i="17"/>
  <c r="E53" i="18" s="1"/>
  <c r="D45" i="17"/>
  <c r="E52" i="18" s="1"/>
  <c r="D44" i="17"/>
  <c r="E51" i="18" s="1"/>
  <c r="D43" i="17"/>
  <c r="E50" i="18" s="1"/>
  <c r="D42" i="17"/>
  <c r="E49" i="18" s="1"/>
  <c r="D41" i="17"/>
  <c r="E48" i="18" s="1"/>
  <c r="D40" i="17"/>
  <c r="E47" i="18" s="1"/>
  <c r="D39" i="17"/>
  <c r="E46" i="18" s="1"/>
  <c r="D38" i="17"/>
  <c r="E45" i="18" s="1"/>
  <c r="D37" i="17"/>
  <c r="E44" i="18" s="1"/>
  <c r="D36" i="17"/>
  <c r="E43" i="18" s="1"/>
  <c r="D35" i="17"/>
  <c r="E42" i="18" s="1"/>
  <c r="D34" i="17"/>
  <c r="E41" i="18" s="1"/>
  <c r="D33" i="17"/>
  <c r="E40" i="18" s="1"/>
  <c r="D32" i="17"/>
  <c r="E39" i="18" s="1"/>
  <c r="D31" i="17"/>
  <c r="E38" i="18" s="1"/>
  <c r="D30" i="17"/>
  <c r="E37" i="18" s="1"/>
  <c r="D29" i="17"/>
  <c r="E36" i="18" s="1"/>
  <c r="D28" i="17"/>
  <c r="E35" i="18" s="1"/>
  <c r="D27" i="17"/>
  <c r="E34" i="18" s="1"/>
  <c r="L26" i="17"/>
  <c r="D26" i="17"/>
  <c r="E33" i="18" s="1"/>
  <c r="D25" i="17"/>
  <c r="E32" i="18" s="1"/>
  <c r="L24" i="17"/>
  <c r="D24" i="17"/>
  <c r="E31" i="18" s="1"/>
  <c r="D23" i="17"/>
  <c r="E30" i="18" s="1"/>
  <c r="D22" i="17"/>
  <c r="E29" i="18" s="1"/>
  <c r="D21" i="17"/>
  <c r="E28" i="18" s="1"/>
  <c r="D20" i="17"/>
  <c r="E27" i="18" s="1"/>
  <c r="K19" i="17"/>
  <c r="D19" i="17"/>
  <c r="E26" i="18" s="1"/>
  <c r="D18" i="17"/>
  <c r="E25" i="18" s="1"/>
  <c r="D17" i="17"/>
  <c r="E24" i="18" s="1"/>
  <c r="L16" i="17"/>
  <c r="D16" i="17"/>
  <c r="E23" i="18" s="1"/>
  <c r="D15" i="17"/>
  <c r="E22" i="18" s="1"/>
  <c r="D14" i="17"/>
  <c r="E21" i="18" s="1"/>
  <c r="D13" i="17"/>
  <c r="E20" i="18" s="1"/>
  <c r="D12" i="17"/>
  <c r="E19" i="18" s="1"/>
  <c r="K11" i="17"/>
  <c r="D11" i="17"/>
  <c r="E18" i="18" s="1"/>
  <c r="D10" i="17"/>
  <c r="E17" i="18" s="1"/>
  <c r="D9" i="17"/>
  <c r="E16" i="18" s="1"/>
  <c r="L8" i="17"/>
  <c r="D8" i="17"/>
  <c r="E15" i="18" s="1"/>
  <c r="D7" i="17"/>
  <c r="E14" i="18" s="1"/>
  <c r="D6" i="17"/>
  <c r="E13" i="18" s="1"/>
  <c r="F99" i="5"/>
  <c r="F86" i="5"/>
  <c r="D86" i="5" s="1"/>
  <c r="D82" i="5"/>
  <c r="D81" i="5"/>
  <c r="D80" i="5"/>
  <c r="D83" i="5" s="1"/>
  <c r="AH76" i="5"/>
  <c r="AG76" i="5"/>
  <c r="J69" i="17" s="1"/>
  <c r="Q69" i="17" s="1"/>
  <c r="AD69" i="17" s="1"/>
  <c r="AK69" i="17" s="1"/>
  <c r="U75" i="5"/>
  <c r="AD68" i="24" s="1"/>
  <c r="J75" i="18" s="1"/>
  <c r="T75" i="5"/>
  <c r="U74" i="5" s="1"/>
  <c r="S75" i="5"/>
  <c r="R75" i="5"/>
  <c r="O75" i="5"/>
  <c r="N75" i="5"/>
  <c r="M75" i="5"/>
  <c r="N68" i="24" s="1"/>
  <c r="E75" i="5"/>
  <c r="T74" i="5"/>
  <c r="S74" i="5"/>
  <c r="R74" i="5"/>
  <c r="O74" i="5"/>
  <c r="N74" i="5"/>
  <c r="M74" i="5"/>
  <c r="U73" i="5"/>
  <c r="T73" i="5"/>
  <c r="U72" i="5" s="1"/>
  <c r="S73" i="5"/>
  <c r="R73" i="5"/>
  <c r="O73" i="5"/>
  <c r="N73" i="5"/>
  <c r="M73" i="5"/>
  <c r="AG72" i="5"/>
  <c r="T72" i="5"/>
  <c r="AC65" i="24" s="1"/>
  <c r="I72" i="18" s="1"/>
  <c r="S72" i="5"/>
  <c r="R72" i="5"/>
  <c r="O72" i="5"/>
  <c r="N72" i="5"/>
  <c r="M72" i="5"/>
  <c r="T71" i="5"/>
  <c r="AC64" i="24" s="1"/>
  <c r="I71" i="18" s="1"/>
  <c r="S71" i="5"/>
  <c r="R71" i="5"/>
  <c r="O71" i="5"/>
  <c r="N71" i="5"/>
  <c r="M71" i="5"/>
  <c r="T70" i="5"/>
  <c r="S70" i="5"/>
  <c r="R70" i="5"/>
  <c r="O70" i="5"/>
  <c r="N70" i="5"/>
  <c r="M70" i="5"/>
  <c r="U69" i="5"/>
  <c r="T69" i="5"/>
  <c r="U68" i="5" s="1"/>
  <c r="S69" i="5"/>
  <c r="R69" i="5"/>
  <c r="O69" i="5"/>
  <c r="N69" i="5"/>
  <c r="M69" i="5"/>
  <c r="T68" i="5"/>
  <c r="S68" i="5"/>
  <c r="R68" i="5"/>
  <c r="BA61" i="24" s="1"/>
  <c r="P68" i="18" s="1"/>
  <c r="Q68" i="18" s="1"/>
  <c r="O68" i="5"/>
  <c r="N68" i="5"/>
  <c r="M68" i="5"/>
  <c r="E68" i="5"/>
  <c r="AL68" i="5" s="1"/>
  <c r="U67" i="5"/>
  <c r="T67" i="5"/>
  <c r="U66" i="5" s="1"/>
  <c r="S67" i="5"/>
  <c r="R67" i="5"/>
  <c r="O67" i="5"/>
  <c r="N67" i="5"/>
  <c r="M67" i="5"/>
  <c r="N60" i="24" s="1"/>
  <c r="T66" i="5"/>
  <c r="S66" i="5"/>
  <c r="R66" i="5"/>
  <c r="O66" i="5"/>
  <c r="N66" i="5"/>
  <c r="M66" i="5"/>
  <c r="U65" i="5"/>
  <c r="T65" i="5"/>
  <c r="U64" i="5" s="1"/>
  <c r="S65" i="5"/>
  <c r="R65" i="5"/>
  <c r="O65" i="5"/>
  <c r="N65" i="5"/>
  <c r="M65" i="5"/>
  <c r="T64" i="5"/>
  <c r="AC57" i="24" s="1"/>
  <c r="I64" i="18" s="1"/>
  <c r="S64" i="5"/>
  <c r="R64" i="5"/>
  <c r="O64" i="5"/>
  <c r="N64" i="5"/>
  <c r="M64" i="5"/>
  <c r="E64" i="5"/>
  <c r="T63" i="5"/>
  <c r="AC56" i="24" s="1"/>
  <c r="I63" i="18" s="1"/>
  <c r="S63" i="5"/>
  <c r="R63" i="5"/>
  <c r="O63" i="5"/>
  <c r="N63" i="5"/>
  <c r="M63" i="5"/>
  <c r="T62" i="5"/>
  <c r="S62" i="5"/>
  <c r="R62" i="5"/>
  <c r="O62" i="5"/>
  <c r="N62" i="5"/>
  <c r="M62" i="5"/>
  <c r="U61" i="5"/>
  <c r="W54" i="17" s="1"/>
  <c r="T61" i="5"/>
  <c r="U60" i="5" s="1"/>
  <c r="S61" i="5"/>
  <c r="R61" i="5"/>
  <c r="O61" i="5"/>
  <c r="N61" i="5"/>
  <c r="M61" i="5"/>
  <c r="T60" i="5"/>
  <c r="S60" i="5"/>
  <c r="R60" i="5"/>
  <c r="BA53" i="24" s="1"/>
  <c r="P60" i="18" s="1"/>
  <c r="Q60" i="18" s="1"/>
  <c r="O60" i="5"/>
  <c r="N60" i="5"/>
  <c r="M60" i="5"/>
  <c r="E60" i="5"/>
  <c r="U59" i="5"/>
  <c r="T59" i="5"/>
  <c r="AC52" i="24" s="1"/>
  <c r="I59" i="18" s="1"/>
  <c r="S59" i="5"/>
  <c r="R59" i="5"/>
  <c r="O59" i="5"/>
  <c r="N59" i="5"/>
  <c r="M59" i="5"/>
  <c r="N52" i="24" s="1"/>
  <c r="T58" i="5"/>
  <c r="U57" i="5" s="1"/>
  <c r="W50" i="17" s="1"/>
  <c r="S58" i="5"/>
  <c r="R58" i="5"/>
  <c r="O58" i="5"/>
  <c r="N58" i="5"/>
  <c r="M58" i="5"/>
  <c r="T57" i="5"/>
  <c r="U56" i="5" s="1"/>
  <c r="S57" i="5"/>
  <c r="R57" i="5"/>
  <c r="O57" i="5"/>
  <c r="N57" i="5"/>
  <c r="M57" i="5"/>
  <c r="T56" i="5"/>
  <c r="AC49" i="24" s="1"/>
  <c r="I56" i="18" s="1"/>
  <c r="S56" i="5"/>
  <c r="R56" i="5"/>
  <c r="BA49" i="24" s="1"/>
  <c r="P56" i="18" s="1"/>
  <c r="Q56" i="18" s="1"/>
  <c r="O56" i="5"/>
  <c r="L49" i="17" s="1"/>
  <c r="N56" i="5"/>
  <c r="M56" i="5"/>
  <c r="U55" i="5"/>
  <c r="T55" i="5"/>
  <c r="AC48" i="24" s="1"/>
  <c r="I55" i="18" s="1"/>
  <c r="S55" i="5"/>
  <c r="R55" i="5"/>
  <c r="O55" i="5"/>
  <c r="N55" i="5"/>
  <c r="M55" i="5"/>
  <c r="N48" i="24" s="1"/>
  <c r="E55" i="5"/>
  <c r="U51" i="5"/>
  <c r="AD47" i="24" s="1"/>
  <c r="J54" i="18" s="1"/>
  <c r="T51" i="5"/>
  <c r="S51" i="5"/>
  <c r="R51" i="5"/>
  <c r="O51" i="5"/>
  <c r="N51" i="5"/>
  <c r="M51" i="5"/>
  <c r="E51" i="5"/>
  <c r="T50" i="5"/>
  <c r="S50" i="5"/>
  <c r="R50" i="5"/>
  <c r="O50" i="5"/>
  <c r="N50" i="5"/>
  <c r="M50" i="5"/>
  <c r="U49" i="5"/>
  <c r="T49" i="5"/>
  <c r="S49" i="5"/>
  <c r="R49" i="5"/>
  <c r="BA45" i="24" s="1"/>
  <c r="P52" i="18" s="1"/>
  <c r="Q52" i="18" s="1"/>
  <c r="O49" i="5"/>
  <c r="N49" i="5"/>
  <c r="M49" i="5"/>
  <c r="N45" i="24" s="1"/>
  <c r="H49" i="5"/>
  <c r="T48" i="5"/>
  <c r="AC44" i="24" s="1"/>
  <c r="I51" i="18" s="1"/>
  <c r="S48" i="5"/>
  <c r="R48" i="5"/>
  <c r="O48" i="5"/>
  <c r="N48" i="5"/>
  <c r="M48" i="5"/>
  <c r="N44" i="24" s="1"/>
  <c r="E48" i="5"/>
  <c r="U47" i="5"/>
  <c r="AD43" i="24" s="1"/>
  <c r="J50" i="18" s="1"/>
  <c r="T47" i="5"/>
  <c r="S47" i="5"/>
  <c r="R47" i="5"/>
  <c r="O47" i="5"/>
  <c r="N47" i="5"/>
  <c r="M47" i="5"/>
  <c r="T46" i="5"/>
  <c r="U45" i="5" s="1"/>
  <c r="H45" i="5" s="1"/>
  <c r="S46" i="5"/>
  <c r="R46" i="5"/>
  <c r="O46" i="5"/>
  <c r="N46" i="5"/>
  <c r="M46" i="5"/>
  <c r="T45" i="5"/>
  <c r="V41" i="17" s="1"/>
  <c r="S45" i="5"/>
  <c r="R45" i="5"/>
  <c r="BA41" i="24" s="1"/>
  <c r="P48" i="18" s="1"/>
  <c r="Q48" i="18" s="1"/>
  <c r="O45" i="5"/>
  <c r="N45" i="5"/>
  <c r="M45" i="5"/>
  <c r="N41" i="24" s="1"/>
  <c r="T44" i="5"/>
  <c r="AC40" i="24" s="1"/>
  <c r="I47" i="18" s="1"/>
  <c r="S44" i="5"/>
  <c r="R44" i="5"/>
  <c r="O44" i="5"/>
  <c r="N44" i="5"/>
  <c r="M44" i="5"/>
  <c r="N40" i="24" s="1"/>
  <c r="U43" i="5"/>
  <c r="AD39" i="24" s="1"/>
  <c r="J46" i="18" s="1"/>
  <c r="T43" i="5"/>
  <c r="S43" i="5"/>
  <c r="R43" i="5"/>
  <c r="O43" i="5"/>
  <c r="N43" i="5"/>
  <c r="M43" i="5"/>
  <c r="H43" i="5"/>
  <c r="E43" i="5"/>
  <c r="T42" i="5"/>
  <c r="S42" i="5"/>
  <c r="R42" i="5"/>
  <c r="O42" i="5"/>
  <c r="N42" i="5"/>
  <c r="M42" i="5"/>
  <c r="U41" i="5"/>
  <c r="T41" i="5"/>
  <c r="S41" i="5"/>
  <c r="R41" i="5"/>
  <c r="BA37" i="24" s="1"/>
  <c r="P44" i="18" s="1"/>
  <c r="Q44" i="18" s="1"/>
  <c r="O41" i="5"/>
  <c r="N41" i="5"/>
  <c r="M41" i="5"/>
  <c r="N37" i="24" s="1"/>
  <c r="H41" i="5"/>
  <c r="E41" i="5"/>
  <c r="T40" i="5"/>
  <c r="S40" i="5"/>
  <c r="R40" i="5"/>
  <c r="O40" i="5"/>
  <c r="P36" i="24" s="1"/>
  <c r="N40" i="5"/>
  <c r="M40" i="5"/>
  <c r="U39" i="5"/>
  <c r="T39" i="5"/>
  <c r="S39" i="5"/>
  <c r="BC35" i="24" s="1"/>
  <c r="S42" i="18" s="1"/>
  <c r="T42" i="18" s="1"/>
  <c r="R39" i="5"/>
  <c r="O39" i="5"/>
  <c r="N39" i="5"/>
  <c r="M39" i="5"/>
  <c r="N35" i="24" s="1"/>
  <c r="E39" i="5"/>
  <c r="T38" i="5"/>
  <c r="U37" i="5" s="1"/>
  <c r="H37" i="5" s="1"/>
  <c r="S38" i="5"/>
  <c r="R38" i="5"/>
  <c r="O38" i="5"/>
  <c r="P34" i="24" s="1"/>
  <c r="N38" i="5"/>
  <c r="M38" i="5"/>
  <c r="T37" i="5"/>
  <c r="S37" i="5"/>
  <c r="BC33" i="24" s="1"/>
  <c r="S40" i="18" s="1"/>
  <c r="T40" i="18" s="1"/>
  <c r="R37" i="5"/>
  <c r="O37" i="5"/>
  <c r="N37" i="5"/>
  <c r="M37" i="5"/>
  <c r="N33" i="24" s="1"/>
  <c r="E37" i="5"/>
  <c r="T36" i="5"/>
  <c r="U35" i="5" s="1"/>
  <c r="H35" i="5" s="1"/>
  <c r="S36" i="5"/>
  <c r="R36" i="5"/>
  <c r="O36" i="5"/>
  <c r="P32" i="24" s="1"/>
  <c r="N36" i="5"/>
  <c r="M36" i="5"/>
  <c r="E36" i="5"/>
  <c r="T35" i="5"/>
  <c r="S35" i="5"/>
  <c r="BC31" i="24" s="1"/>
  <c r="S38" i="18" s="1"/>
  <c r="T38" i="18" s="1"/>
  <c r="R35" i="5"/>
  <c r="O35" i="5"/>
  <c r="N35" i="5"/>
  <c r="M35" i="5"/>
  <c r="N31" i="24" s="1"/>
  <c r="T34" i="5"/>
  <c r="U33" i="5" s="1"/>
  <c r="W29" i="17" s="1"/>
  <c r="S34" i="5"/>
  <c r="R34" i="5"/>
  <c r="O34" i="5"/>
  <c r="P30" i="24" s="1"/>
  <c r="N34" i="5"/>
  <c r="M34" i="5"/>
  <c r="T33" i="5"/>
  <c r="S33" i="5"/>
  <c r="BC29" i="24" s="1"/>
  <c r="S36" i="18" s="1"/>
  <c r="T36" i="18" s="1"/>
  <c r="R33" i="5"/>
  <c r="O33" i="5"/>
  <c r="N33" i="5"/>
  <c r="M33" i="5"/>
  <c r="N29" i="24" s="1"/>
  <c r="T32" i="5"/>
  <c r="S32" i="5"/>
  <c r="R32" i="5"/>
  <c r="AO28" i="17" s="1"/>
  <c r="O32" i="5"/>
  <c r="P28" i="24" s="1"/>
  <c r="N32" i="5"/>
  <c r="M32" i="5"/>
  <c r="K28" i="17" s="1"/>
  <c r="E32" i="5"/>
  <c r="U31" i="5"/>
  <c r="T31" i="5"/>
  <c r="S31" i="5"/>
  <c r="BC27" i="24" s="1"/>
  <c r="S34" i="18" s="1"/>
  <c r="T34" i="18" s="1"/>
  <c r="R31" i="5"/>
  <c r="O31" i="5"/>
  <c r="N31" i="5"/>
  <c r="M31" i="5"/>
  <c r="N27" i="24" s="1"/>
  <c r="H31" i="5"/>
  <c r="U27" i="5"/>
  <c r="AD26" i="24" s="1"/>
  <c r="J33" i="18" s="1"/>
  <c r="T27" i="5"/>
  <c r="H27" i="5" s="1"/>
  <c r="S27" i="5"/>
  <c r="R27" i="5"/>
  <c r="BA26" i="24" s="1"/>
  <c r="P33" i="18" s="1"/>
  <c r="Q33" i="18" s="1"/>
  <c r="O27" i="5"/>
  <c r="P26" i="24" s="1"/>
  <c r="N27" i="5"/>
  <c r="M27" i="5"/>
  <c r="T26" i="5"/>
  <c r="S26" i="5"/>
  <c r="BC25" i="24" s="1"/>
  <c r="S32" i="18" s="1"/>
  <c r="T32" i="18" s="1"/>
  <c r="R26" i="5"/>
  <c r="O26" i="5"/>
  <c r="N26" i="5"/>
  <c r="M26" i="5"/>
  <c r="T25" i="5"/>
  <c r="S25" i="5"/>
  <c r="BC24" i="24" s="1"/>
  <c r="S31" i="18" s="1"/>
  <c r="T31" i="18" s="1"/>
  <c r="R25" i="5"/>
  <c r="O25" i="5"/>
  <c r="P24" i="24" s="1"/>
  <c r="N25" i="5"/>
  <c r="M25" i="5"/>
  <c r="K24" i="17" s="1"/>
  <c r="U24" i="5"/>
  <c r="T24" i="5"/>
  <c r="S24" i="5"/>
  <c r="BC23" i="24" s="1"/>
  <c r="S30" i="18" s="1"/>
  <c r="T30" i="18" s="1"/>
  <c r="R24" i="5"/>
  <c r="BA23" i="24" s="1"/>
  <c r="P30" i="18" s="1"/>
  <c r="Q30" i="18" s="1"/>
  <c r="O24" i="5"/>
  <c r="N24" i="5"/>
  <c r="M24" i="5"/>
  <c r="N23" i="24" s="1"/>
  <c r="U23" i="5"/>
  <c r="AD22" i="24" s="1"/>
  <c r="J29" i="18" s="1"/>
  <c r="T23" i="5"/>
  <c r="S23" i="5"/>
  <c r="BC22" i="24" s="1"/>
  <c r="S29" i="18" s="1"/>
  <c r="T29" i="18" s="1"/>
  <c r="R23" i="5"/>
  <c r="BA22" i="24" s="1"/>
  <c r="P29" i="18" s="1"/>
  <c r="Q29" i="18" s="1"/>
  <c r="O23" i="5"/>
  <c r="P22" i="24" s="1"/>
  <c r="N23" i="5"/>
  <c r="M23" i="5"/>
  <c r="N22" i="24" s="1"/>
  <c r="T22" i="5"/>
  <c r="S22" i="5"/>
  <c r="BC21" i="24" s="1"/>
  <c r="S28" i="18" s="1"/>
  <c r="T28" i="18" s="1"/>
  <c r="R22" i="5"/>
  <c r="BA21" i="24" s="1"/>
  <c r="P28" i="18" s="1"/>
  <c r="Q28" i="18" s="1"/>
  <c r="O22" i="5"/>
  <c r="P21" i="24" s="1"/>
  <c r="N22" i="5"/>
  <c r="M22" i="5"/>
  <c r="T21" i="5"/>
  <c r="S21" i="5"/>
  <c r="BC20" i="24" s="1"/>
  <c r="S27" i="18" s="1"/>
  <c r="T27" i="18" s="1"/>
  <c r="R21" i="5"/>
  <c r="BA20" i="24" s="1"/>
  <c r="P27" i="18" s="1"/>
  <c r="Q27" i="18" s="1"/>
  <c r="O21" i="5"/>
  <c r="P20" i="24" s="1"/>
  <c r="N21" i="5"/>
  <c r="M21" i="5"/>
  <c r="N20" i="24" s="1"/>
  <c r="U20" i="5"/>
  <c r="T20" i="5"/>
  <c r="S20" i="5"/>
  <c r="BC19" i="24" s="1"/>
  <c r="S26" i="18" s="1"/>
  <c r="T26" i="18" s="1"/>
  <c r="R20" i="5"/>
  <c r="BA19" i="24" s="1"/>
  <c r="P26" i="18" s="1"/>
  <c r="Q26" i="18" s="1"/>
  <c r="O20" i="5"/>
  <c r="N20" i="5"/>
  <c r="M20" i="5"/>
  <c r="N19" i="24" s="1"/>
  <c r="E20" i="5"/>
  <c r="U19" i="5"/>
  <c r="AD18" i="24" s="1"/>
  <c r="J25" i="18" s="1"/>
  <c r="T19" i="5"/>
  <c r="S19" i="5"/>
  <c r="BC18" i="24" s="1"/>
  <c r="S25" i="18" s="1"/>
  <c r="T25" i="18" s="1"/>
  <c r="R19" i="5"/>
  <c r="BA18" i="24" s="1"/>
  <c r="P25" i="18" s="1"/>
  <c r="Q25" i="18" s="1"/>
  <c r="O19" i="5"/>
  <c r="P18" i="24" s="1"/>
  <c r="N19" i="5"/>
  <c r="M19" i="5"/>
  <c r="N18" i="24" s="1"/>
  <c r="T18" i="5"/>
  <c r="S18" i="5"/>
  <c r="BC17" i="24" s="1"/>
  <c r="S24" i="18" s="1"/>
  <c r="T24" i="18" s="1"/>
  <c r="R18" i="5"/>
  <c r="BA17" i="24" s="1"/>
  <c r="P24" i="18" s="1"/>
  <c r="Q24" i="18" s="1"/>
  <c r="O18" i="5"/>
  <c r="P17" i="24" s="1"/>
  <c r="N18" i="5"/>
  <c r="M18" i="5"/>
  <c r="T17" i="5"/>
  <c r="S17" i="5"/>
  <c r="BC16" i="24" s="1"/>
  <c r="S23" i="18" s="1"/>
  <c r="T23" i="18" s="1"/>
  <c r="R17" i="5"/>
  <c r="BA16" i="24" s="1"/>
  <c r="P23" i="18" s="1"/>
  <c r="Q23" i="18" s="1"/>
  <c r="O17" i="5"/>
  <c r="P16" i="24" s="1"/>
  <c r="N17" i="5"/>
  <c r="M17" i="5"/>
  <c r="N16" i="24" s="1"/>
  <c r="U16" i="5"/>
  <c r="T16" i="5"/>
  <c r="U15" i="5" s="1"/>
  <c r="AD14" i="24" s="1"/>
  <c r="J21" i="18" s="1"/>
  <c r="S16" i="5"/>
  <c r="BC15" i="24" s="1"/>
  <c r="S22" i="18" s="1"/>
  <c r="T22" i="18" s="1"/>
  <c r="R16" i="5"/>
  <c r="BA15" i="24" s="1"/>
  <c r="P22" i="18" s="1"/>
  <c r="Q22" i="18" s="1"/>
  <c r="O16" i="5"/>
  <c r="N16" i="5"/>
  <c r="M16" i="5"/>
  <c r="N15" i="24" s="1"/>
  <c r="E16" i="5"/>
  <c r="AL64" i="5" s="1"/>
  <c r="AL15" i="5"/>
  <c r="T15" i="5"/>
  <c r="S15" i="5"/>
  <c r="AP14" i="17" s="1"/>
  <c r="R15" i="5"/>
  <c r="BA14" i="24" s="1"/>
  <c r="P21" i="18" s="1"/>
  <c r="Q21" i="18" s="1"/>
  <c r="O15" i="5"/>
  <c r="P14" i="24" s="1"/>
  <c r="N15" i="5"/>
  <c r="M15" i="5"/>
  <c r="N14" i="24" s="1"/>
  <c r="E15" i="5"/>
  <c r="T14" i="5"/>
  <c r="S14" i="5"/>
  <c r="BC13" i="24" s="1"/>
  <c r="S20" i="18" s="1"/>
  <c r="T20" i="18" s="1"/>
  <c r="R14" i="5"/>
  <c r="BA13" i="24" s="1"/>
  <c r="P20" i="18" s="1"/>
  <c r="Q20" i="18" s="1"/>
  <c r="O14" i="5"/>
  <c r="P13" i="24" s="1"/>
  <c r="N14" i="5"/>
  <c r="M14" i="5"/>
  <c r="T13" i="5"/>
  <c r="S13" i="5"/>
  <c r="BC12" i="24" s="1"/>
  <c r="S19" i="18" s="1"/>
  <c r="T19" i="18" s="1"/>
  <c r="R13" i="5"/>
  <c r="BA12" i="24" s="1"/>
  <c r="P19" i="18" s="1"/>
  <c r="Q19" i="18" s="1"/>
  <c r="O13" i="5"/>
  <c r="P12" i="24" s="1"/>
  <c r="N13" i="5"/>
  <c r="M13" i="5"/>
  <c r="N12" i="24" s="1"/>
  <c r="U12" i="5"/>
  <c r="T12" i="5"/>
  <c r="S12" i="5"/>
  <c r="BC11" i="24" s="1"/>
  <c r="S18" i="18" s="1"/>
  <c r="T18" i="18" s="1"/>
  <c r="R12" i="5"/>
  <c r="BA11" i="24" s="1"/>
  <c r="P18" i="18" s="1"/>
  <c r="Q18" i="18" s="1"/>
  <c r="O12" i="5"/>
  <c r="N12" i="5"/>
  <c r="M12" i="5"/>
  <c r="N11" i="24" s="1"/>
  <c r="U11" i="5"/>
  <c r="AD10" i="24" s="1"/>
  <c r="J17" i="18" s="1"/>
  <c r="T11" i="5"/>
  <c r="AC10" i="24" s="1"/>
  <c r="I17" i="18" s="1"/>
  <c r="S11" i="5"/>
  <c r="BC10" i="24" s="1"/>
  <c r="S17" i="18" s="1"/>
  <c r="T17" i="18" s="1"/>
  <c r="R11" i="5"/>
  <c r="BA10" i="24" s="1"/>
  <c r="P17" i="18" s="1"/>
  <c r="Q17" i="18" s="1"/>
  <c r="O11" i="5"/>
  <c r="P10" i="24" s="1"/>
  <c r="N11" i="5"/>
  <c r="M11" i="5"/>
  <c r="N10" i="24" s="1"/>
  <c r="T10" i="5"/>
  <c r="S10" i="5"/>
  <c r="BC9" i="24" s="1"/>
  <c r="S16" i="18" s="1"/>
  <c r="T16" i="18" s="1"/>
  <c r="R10" i="5"/>
  <c r="BA9" i="24" s="1"/>
  <c r="P16" i="18" s="1"/>
  <c r="Q16" i="18" s="1"/>
  <c r="O10" i="5"/>
  <c r="P9" i="24" s="1"/>
  <c r="N10" i="5"/>
  <c r="M10" i="5"/>
  <c r="T9" i="5"/>
  <c r="S9" i="5"/>
  <c r="R9" i="5"/>
  <c r="BA8" i="24" s="1"/>
  <c r="P15" i="18" s="1"/>
  <c r="Q15" i="18" s="1"/>
  <c r="O9" i="5"/>
  <c r="P8" i="24" s="1"/>
  <c r="N9" i="5"/>
  <c r="M9" i="5"/>
  <c r="U8" i="5"/>
  <c r="T8" i="5"/>
  <c r="U7" i="5" s="1"/>
  <c r="S8" i="5"/>
  <c r="AP7" i="17" s="1"/>
  <c r="R8" i="5"/>
  <c r="O8" i="5"/>
  <c r="N8" i="5"/>
  <c r="M8" i="5"/>
  <c r="N7" i="24" s="1"/>
  <c r="E8" i="5"/>
  <c r="AL8" i="5" s="1"/>
  <c r="AG7" i="5"/>
  <c r="T7" i="5"/>
  <c r="S7" i="5"/>
  <c r="R7" i="5"/>
  <c r="BA6" i="24" s="1"/>
  <c r="P13" i="18" s="1"/>
  <c r="Q13" i="18" s="1"/>
  <c r="O7" i="5"/>
  <c r="P6" i="24" s="1"/>
  <c r="N7" i="5"/>
  <c r="M7" i="5"/>
  <c r="E92" i="15"/>
  <c r="E82" i="15"/>
  <c r="E81" i="15"/>
  <c r="E80" i="15"/>
  <c r="F79" i="15"/>
  <c r="G79" i="15" s="1"/>
  <c r="H79" i="15" s="1"/>
  <c r="E79" i="15"/>
  <c r="E78" i="15"/>
  <c r="E77" i="15"/>
  <c r="J76" i="15"/>
  <c r="L76" i="15" s="1"/>
  <c r="E76" i="15"/>
  <c r="F75" i="15"/>
  <c r="G75" i="15" s="1"/>
  <c r="H75" i="15" s="1"/>
  <c r="E75" i="15"/>
  <c r="E74" i="15"/>
  <c r="E73" i="15"/>
  <c r="E72" i="15"/>
  <c r="F71" i="15"/>
  <c r="G71" i="15" s="1"/>
  <c r="H71" i="15" s="1"/>
  <c r="E71" i="15"/>
  <c r="E70" i="15"/>
  <c r="E69" i="15"/>
  <c r="E68" i="15"/>
  <c r="F67" i="15"/>
  <c r="G67" i="15" s="1"/>
  <c r="H67" i="15" s="1"/>
  <c r="E67" i="15"/>
  <c r="E66" i="15"/>
  <c r="E65" i="15"/>
  <c r="J64" i="15"/>
  <c r="L64" i="15" s="1"/>
  <c r="F64" i="15"/>
  <c r="G64" i="15" s="1"/>
  <c r="H64" i="15" s="1"/>
  <c r="I64" i="15" s="1"/>
  <c r="K64" i="15" s="1"/>
  <c r="E64" i="15"/>
  <c r="F63" i="15"/>
  <c r="G63" i="15" s="1"/>
  <c r="H63" i="15" s="1"/>
  <c r="E63" i="15"/>
  <c r="E62" i="15"/>
  <c r="E61" i="15"/>
  <c r="E60" i="15"/>
  <c r="F59" i="15"/>
  <c r="G59" i="15" s="1"/>
  <c r="H59" i="15" s="1"/>
  <c r="E59" i="15"/>
  <c r="E58" i="15"/>
  <c r="E57" i="15"/>
  <c r="E56" i="15"/>
  <c r="E55" i="15"/>
  <c r="E54" i="15"/>
  <c r="E53" i="15"/>
  <c r="F52" i="15"/>
  <c r="G52" i="15" s="1"/>
  <c r="H52" i="15" s="1"/>
  <c r="E52" i="15"/>
  <c r="E51" i="15"/>
  <c r="E50" i="15"/>
  <c r="E49" i="15"/>
  <c r="E48" i="15"/>
  <c r="E47" i="15"/>
  <c r="E46" i="15"/>
  <c r="E45" i="15"/>
  <c r="E44" i="15"/>
  <c r="E43" i="15"/>
  <c r="E42" i="15"/>
  <c r="E41" i="15"/>
  <c r="E40" i="15"/>
  <c r="E39" i="15"/>
  <c r="E38" i="15"/>
  <c r="E37" i="15"/>
  <c r="E36" i="15"/>
  <c r="E35" i="15"/>
  <c r="E34" i="15"/>
  <c r="E33" i="15"/>
  <c r="E32" i="15"/>
  <c r="E31" i="15"/>
  <c r="E30" i="15"/>
  <c r="E29" i="15"/>
  <c r="F28" i="15"/>
  <c r="G28" i="15" s="1"/>
  <c r="H28" i="15" s="1"/>
  <c r="E28" i="15"/>
  <c r="E27" i="15"/>
  <c r="E26" i="15"/>
  <c r="E25" i="15"/>
  <c r="F24" i="15"/>
  <c r="G24" i="15" s="1"/>
  <c r="H24" i="15" s="1"/>
  <c r="E24" i="15"/>
  <c r="E23" i="15"/>
  <c r="E22" i="15"/>
  <c r="E21" i="15"/>
  <c r="E20" i="15"/>
  <c r="E19" i="15"/>
  <c r="F18" i="15"/>
  <c r="G18" i="15" s="1"/>
  <c r="H18" i="15" s="1"/>
  <c r="E18" i="15"/>
  <c r="E17" i="15"/>
  <c r="E16" i="15"/>
  <c r="G15" i="15"/>
  <c r="H15" i="15" s="1"/>
  <c r="F15" i="15"/>
  <c r="E15" i="15"/>
  <c r="F14" i="15"/>
  <c r="G14" i="15" s="1"/>
  <c r="H14" i="15" s="1"/>
  <c r="E14" i="15"/>
  <c r="E13" i="15"/>
  <c r="F12" i="15"/>
  <c r="G12" i="15" s="1"/>
  <c r="H12" i="15" s="1"/>
  <c r="E12" i="15"/>
  <c r="E11" i="15"/>
  <c r="F10" i="15"/>
  <c r="G10" i="15" s="1"/>
  <c r="H10" i="15" s="1"/>
  <c r="E10" i="15"/>
  <c r="E9" i="15"/>
  <c r="E8" i="15"/>
  <c r="E7" i="15"/>
  <c r="E6" i="15"/>
  <c r="E5" i="15"/>
  <c r="L2" i="15"/>
  <c r="F76" i="15" s="1"/>
  <c r="G76" i="15" s="1"/>
  <c r="H76" i="15" s="1"/>
  <c r="I76" i="15" s="1"/>
  <c r="K76" i="15" s="1"/>
  <c r="D87" i="15" s="1"/>
  <c r="E10" i="21"/>
  <c r="E11" i="21" s="1"/>
  <c r="L241" i="16"/>
  <c r="L240" i="16"/>
  <c r="L239" i="16"/>
  <c r="U220" i="16"/>
  <c r="V220" i="16" s="1"/>
  <c r="U219" i="16"/>
  <c r="V219" i="16" s="1"/>
  <c r="U218" i="16"/>
  <c r="V218" i="16" s="1"/>
  <c r="U217" i="16"/>
  <c r="V217" i="16" s="1"/>
  <c r="V216" i="16"/>
  <c r="U216" i="16"/>
  <c r="U215" i="16"/>
  <c r="V215" i="16" s="1"/>
  <c r="U189" i="16"/>
  <c r="V189" i="16" s="1"/>
  <c r="V188" i="16"/>
  <c r="U188" i="16"/>
  <c r="U187" i="16"/>
  <c r="V187" i="16" s="1"/>
  <c r="U186" i="16"/>
  <c r="V186" i="16" s="1"/>
  <c r="U185" i="16"/>
  <c r="V185" i="16" s="1"/>
  <c r="U184" i="16"/>
  <c r="V184" i="16" s="1"/>
  <c r="U151" i="16"/>
  <c r="V151" i="16" s="1"/>
  <c r="U150" i="16"/>
  <c r="V150" i="16" s="1"/>
  <c r="U149" i="16"/>
  <c r="V149" i="16" s="1"/>
  <c r="V148" i="16"/>
  <c r="U148" i="16"/>
  <c r="U147" i="16"/>
  <c r="V147" i="16" s="1"/>
  <c r="U146" i="16"/>
  <c r="V146" i="16" s="1"/>
  <c r="U100" i="16"/>
  <c r="V100" i="16" s="1"/>
  <c r="U99" i="16"/>
  <c r="V99" i="16" s="1"/>
  <c r="U98" i="16"/>
  <c r="V98" i="16" s="1"/>
  <c r="U97" i="16"/>
  <c r="V97" i="16" s="1"/>
  <c r="U96" i="16"/>
  <c r="V96" i="16" s="1"/>
  <c r="U95" i="16"/>
  <c r="V95" i="16" s="1"/>
  <c r="U75" i="16"/>
  <c r="V75" i="16" s="1"/>
  <c r="U74" i="16"/>
  <c r="V74" i="16" s="1"/>
  <c r="U73" i="16"/>
  <c r="V73" i="16" s="1"/>
  <c r="U72" i="16"/>
  <c r="V72" i="16" s="1"/>
  <c r="U71" i="16"/>
  <c r="V71" i="16" s="1"/>
  <c r="AC70" i="16"/>
  <c r="AF75" i="5" s="1"/>
  <c r="U70" i="16"/>
  <c r="V70" i="16" s="1"/>
  <c r="AC69" i="16"/>
  <c r="AF74" i="5" s="1"/>
  <c r="AG74" i="5" s="1"/>
  <c r="AC68" i="16"/>
  <c r="AF73" i="5" s="1"/>
  <c r="AC67" i="16"/>
  <c r="AF72" i="5" s="1"/>
  <c r="AC66" i="16"/>
  <c r="AF71" i="5" s="1"/>
  <c r="AC65" i="16"/>
  <c r="AF70" i="5" s="1"/>
  <c r="AG70" i="5" s="1"/>
  <c r="AC64" i="16"/>
  <c r="AF69" i="5" s="1"/>
  <c r="I62" i="17" s="1"/>
  <c r="AC63" i="16"/>
  <c r="AF68" i="5" s="1"/>
  <c r="AG68" i="5" s="1"/>
  <c r="AC62" i="16"/>
  <c r="AF67" i="5" s="1"/>
  <c r="AC61" i="16"/>
  <c r="AF66" i="5" s="1"/>
  <c r="AC60" i="16"/>
  <c r="AF65" i="5" s="1"/>
  <c r="AC59" i="16"/>
  <c r="AF64" i="5" s="1"/>
  <c r="AC58" i="16"/>
  <c r="AF63" i="5" s="1"/>
  <c r="AC57" i="16"/>
  <c r="AF62" i="5" s="1"/>
  <c r="AG62" i="5" s="1"/>
  <c r="AC56" i="16"/>
  <c r="AF61" i="5" s="1"/>
  <c r="AC55" i="16"/>
  <c r="AF60" i="5" s="1"/>
  <c r="AC54" i="16"/>
  <c r="AF59" i="5" s="1"/>
  <c r="AC53" i="16"/>
  <c r="AF58" i="5" s="1"/>
  <c r="AG58" i="5" s="1"/>
  <c r="AC52" i="16"/>
  <c r="AF57" i="5" s="1"/>
  <c r="I50" i="17" s="1"/>
  <c r="AC51" i="16"/>
  <c r="AF56" i="5" s="1"/>
  <c r="AC50" i="16"/>
  <c r="AF55" i="5" s="1"/>
  <c r="AC49" i="16"/>
  <c r="AF51" i="5" s="1"/>
  <c r="I47" i="17" s="1"/>
  <c r="AC48" i="16"/>
  <c r="AF50" i="5" s="1"/>
  <c r="AC47" i="16"/>
  <c r="AF49" i="5" s="1"/>
  <c r="AC46" i="16"/>
  <c r="AF48" i="5" s="1"/>
  <c r="AC45" i="16"/>
  <c r="AF47" i="5" s="1"/>
  <c r="AC44" i="16"/>
  <c r="AF46" i="5" s="1"/>
  <c r="U44" i="16"/>
  <c r="V44" i="16" s="1"/>
  <c r="AC43" i="16"/>
  <c r="AF45" i="5" s="1"/>
  <c r="U43" i="16"/>
  <c r="V43" i="16" s="1"/>
  <c r="AC42" i="16"/>
  <c r="AF44" i="5" s="1"/>
  <c r="U42" i="16"/>
  <c r="V42" i="16" s="1"/>
  <c r="AC41" i="16"/>
  <c r="AF43" i="5" s="1"/>
  <c r="I39" i="17" s="1"/>
  <c r="U41" i="16"/>
  <c r="V41" i="16" s="1"/>
  <c r="AC40" i="16"/>
  <c r="AF42" i="5" s="1"/>
  <c r="U40" i="16"/>
  <c r="V40" i="16" s="1"/>
  <c r="AC39" i="16"/>
  <c r="AF41" i="5" s="1"/>
  <c r="U39" i="16"/>
  <c r="V39" i="16" s="1"/>
  <c r="AC38" i="16"/>
  <c r="AF40" i="5" s="1"/>
  <c r="AC37" i="16"/>
  <c r="AF39" i="5" s="1"/>
  <c r="AC36" i="16"/>
  <c r="AF38" i="5" s="1"/>
  <c r="AC35" i="16"/>
  <c r="AF37" i="5" s="1"/>
  <c r="AC34" i="16"/>
  <c r="AF36" i="5" s="1"/>
  <c r="AC33" i="16"/>
  <c r="AF35" i="5" s="1"/>
  <c r="AC32" i="16"/>
  <c r="AF34" i="5" s="1"/>
  <c r="AC31" i="16"/>
  <c r="AF33" i="5" s="1"/>
  <c r="AC30" i="16"/>
  <c r="AF32" i="5" s="1"/>
  <c r="AC29" i="16"/>
  <c r="AF31" i="5" s="1"/>
  <c r="AC28" i="16"/>
  <c r="AF27" i="5" s="1"/>
  <c r="AG27" i="5" s="1"/>
  <c r="AC27" i="16"/>
  <c r="AF26" i="5" s="1"/>
  <c r="AC26" i="16"/>
  <c r="AF25" i="5" s="1"/>
  <c r="AC25" i="16"/>
  <c r="AF24" i="5" s="1"/>
  <c r="AC24" i="16"/>
  <c r="AF23" i="5" s="1"/>
  <c r="AG23" i="5" s="1"/>
  <c r="AC23" i="16"/>
  <c r="AF22" i="5" s="1"/>
  <c r="AC22" i="16"/>
  <c r="AF21" i="5" s="1"/>
  <c r="AC21" i="16"/>
  <c r="AF20" i="5" s="1"/>
  <c r="AC20" i="16"/>
  <c r="AF19" i="5" s="1"/>
  <c r="AG19" i="16"/>
  <c r="AC19" i="16"/>
  <c r="AF18" i="5" s="1"/>
  <c r="AC18" i="16"/>
  <c r="AF17" i="5" s="1"/>
  <c r="AG17" i="16"/>
  <c r="AC17" i="16"/>
  <c r="AF16" i="5" s="1"/>
  <c r="AC16" i="16"/>
  <c r="AF15" i="5" s="1"/>
  <c r="AG15" i="5" s="1"/>
  <c r="AG15" i="16"/>
  <c r="AC15" i="16"/>
  <c r="AF14" i="5" s="1"/>
  <c r="AC14" i="16"/>
  <c r="AF13" i="5" s="1"/>
  <c r="AC13" i="16"/>
  <c r="AF12" i="5" s="1"/>
  <c r="U13" i="16"/>
  <c r="V13" i="16" s="1"/>
  <c r="AC12" i="16"/>
  <c r="AF11" i="5" s="1"/>
  <c r="V12" i="16"/>
  <c r="U12" i="16"/>
  <c r="AG11" i="16"/>
  <c r="AC11" i="16"/>
  <c r="AF10" i="5" s="1"/>
  <c r="V11" i="16"/>
  <c r="U11" i="16"/>
  <c r="AC10" i="16"/>
  <c r="AF9" i="5" s="1"/>
  <c r="U10" i="16"/>
  <c r="V10" i="16" s="1"/>
  <c r="AG9" i="16"/>
  <c r="AC9" i="16"/>
  <c r="AF8" i="5" s="1"/>
  <c r="U9" i="16"/>
  <c r="V9" i="16" s="1"/>
  <c r="AC8" i="16"/>
  <c r="AF7" i="5" s="1"/>
  <c r="V8" i="16"/>
  <c r="U8" i="16"/>
  <c r="AG7" i="16"/>
  <c r="E86" i="19"/>
  <c r="D86" i="19"/>
  <c r="N78" i="19"/>
  <c r="M78" i="19"/>
  <c r="N72" i="19"/>
  <c r="M72" i="19"/>
  <c r="N62" i="19"/>
  <c r="M62" i="19"/>
  <c r="N57" i="19"/>
  <c r="M57" i="19"/>
  <c r="N51" i="19"/>
  <c r="M51" i="19"/>
  <c r="N45" i="19"/>
  <c r="M45" i="19"/>
  <c r="N37" i="19"/>
  <c r="M37" i="19"/>
  <c r="N32" i="19"/>
  <c r="M32" i="19"/>
  <c r="N30" i="19"/>
  <c r="M30" i="19"/>
  <c r="N25" i="19"/>
  <c r="M25" i="19"/>
  <c r="N20" i="19"/>
  <c r="M20" i="19"/>
  <c r="N12" i="19"/>
  <c r="M12" i="19"/>
  <c r="N7" i="19"/>
  <c r="M7" i="19"/>
  <c r="F161" i="6"/>
  <c r="D161" i="6"/>
  <c r="G161" i="6" s="1"/>
  <c r="F160" i="6"/>
  <c r="D160" i="6"/>
  <c r="F159" i="6"/>
  <c r="D159" i="6"/>
  <c r="F158" i="6"/>
  <c r="D158" i="6"/>
  <c r="F157" i="6"/>
  <c r="D157" i="6"/>
  <c r="G157" i="6" s="1"/>
  <c r="F156" i="6"/>
  <c r="D156" i="6"/>
  <c r="F155" i="6"/>
  <c r="G155" i="6" s="1"/>
  <c r="D155" i="6"/>
  <c r="H154" i="6"/>
  <c r="F154" i="6"/>
  <c r="D154" i="6"/>
  <c r="G154" i="6" s="1"/>
  <c r="F147" i="6"/>
  <c r="D147" i="6"/>
  <c r="G147" i="6" s="1"/>
  <c r="F146" i="6"/>
  <c r="D146" i="6"/>
  <c r="F145" i="6"/>
  <c r="D145" i="6"/>
  <c r="G145" i="6" s="1"/>
  <c r="F144" i="6"/>
  <c r="D144" i="6"/>
  <c r="F143" i="6"/>
  <c r="D143" i="6"/>
  <c r="F142" i="6"/>
  <c r="D142" i="6"/>
  <c r="D133" i="6"/>
  <c r="H131" i="6"/>
  <c r="I131" i="6" s="1"/>
  <c r="H130" i="6"/>
  <c r="I130" i="6" s="1"/>
  <c r="H129" i="6"/>
  <c r="I129" i="6" s="1"/>
  <c r="H128" i="6"/>
  <c r="I128" i="6" s="1"/>
  <c r="H127" i="6"/>
  <c r="I127" i="6" s="1"/>
  <c r="H126" i="6"/>
  <c r="I126" i="6" s="1"/>
  <c r="H125" i="6"/>
  <c r="I125" i="6" s="1"/>
  <c r="H124" i="6"/>
  <c r="H135" i="6" s="1"/>
  <c r="D119" i="6"/>
  <c r="H117" i="6"/>
  <c r="I117" i="6" s="1"/>
  <c r="F117" i="6"/>
  <c r="H116" i="6"/>
  <c r="I116" i="6" s="1"/>
  <c r="F116" i="6"/>
  <c r="I115" i="6"/>
  <c r="H115" i="6"/>
  <c r="H122" i="6" s="1"/>
  <c r="F115" i="6"/>
  <c r="H114" i="6"/>
  <c r="I114" i="6" s="1"/>
  <c r="F114" i="6"/>
  <c r="H113" i="6"/>
  <c r="I113" i="6" s="1"/>
  <c r="F113" i="6"/>
  <c r="H112" i="6"/>
  <c r="I112" i="6" s="1"/>
  <c r="F112" i="6"/>
  <c r="P105" i="6"/>
  <c r="P106" i="6" s="1"/>
  <c r="O105" i="6"/>
  <c r="O106" i="6" s="1"/>
  <c r="P99" i="6"/>
  <c r="P98" i="6"/>
  <c r="O98" i="6"/>
  <c r="O99" i="6" s="1"/>
  <c r="P84" i="6"/>
  <c r="P85" i="6" s="1"/>
  <c r="O84" i="6"/>
  <c r="O85" i="6" s="1"/>
  <c r="P78" i="6"/>
  <c r="P77" i="6"/>
  <c r="O77" i="6"/>
  <c r="O78" i="6" s="1"/>
  <c r="P63" i="6"/>
  <c r="P64" i="6" s="1"/>
  <c r="P56" i="6"/>
  <c r="P57" i="6" s="1"/>
  <c r="P41" i="6"/>
  <c r="O41" i="6"/>
  <c r="O42" i="6" s="1"/>
  <c r="P35" i="6"/>
  <c r="P34" i="6"/>
  <c r="O34" i="6"/>
  <c r="O19" i="6"/>
  <c r="O12" i="6"/>
  <c r="M27" i="8"/>
  <c r="K27" i="8"/>
  <c r="I27" i="8"/>
  <c r="G27" i="8"/>
  <c r="E27" i="8"/>
  <c r="C27" i="8"/>
  <c r="A27" i="8"/>
  <c r="M26" i="8"/>
  <c r="K26" i="8"/>
  <c r="I26" i="8"/>
  <c r="G26" i="8"/>
  <c r="E26" i="8"/>
  <c r="C26" i="8"/>
  <c r="A26" i="8"/>
  <c r="M25" i="8"/>
  <c r="K25" i="8"/>
  <c r="I25" i="8"/>
  <c r="G25" i="8"/>
  <c r="E25" i="8"/>
  <c r="C25" i="8"/>
  <c r="A25" i="8"/>
  <c r="M24" i="8"/>
  <c r="K24" i="8"/>
  <c r="I24" i="8"/>
  <c r="G24" i="8"/>
  <c r="E24" i="8"/>
  <c r="C24" i="8"/>
  <c r="A24" i="8"/>
  <c r="M23" i="8"/>
  <c r="K23" i="8"/>
  <c r="I23" i="8"/>
  <c r="G23" i="8"/>
  <c r="E23" i="8"/>
  <c r="C23" i="8"/>
  <c r="A23" i="8"/>
  <c r="M22" i="8"/>
  <c r="K22" i="8"/>
  <c r="I22" i="8"/>
  <c r="G22" i="8"/>
  <c r="E22" i="8"/>
  <c r="C22" i="8"/>
  <c r="A22" i="8"/>
  <c r="M21" i="8"/>
  <c r="K21" i="8"/>
  <c r="I21" i="8"/>
  <c r="G21" i="8"/>
  <c r="E21" i="8"/>
  <c r="C21" i="8"/>
  <c r="A21" i="8"/>
  <c r="M20" i="8"/>
  <c r="K20" i="8"/>
  <c r="I20" i="8"/>
  <c r="G20" i="8"/>
  <c r="E20" i="8"/>
  <c r="C20" i="8"/>
  <c r="A20" i="8"/>
  <c r="M19" i="8"/>
  <c r="K19" i="8"/>
  <c r="I19" i="8"/>
  <c r="G19" i="8"/>
  <c r="E19" i="8"/>
  <c r="C19" i="8"/>
  <c r="A19" i="8"/>
  <c r="M18" i="8"/>
  <c r="K18" i="8"/>
  <c r="I18" i="8"/>
  <c r="G18" i="8"/>
  <c r="E18" i="8"/>
  <c r="C18" i="8"/>
  <c r="A18" i="8"/>
  <c r="M17" i="8"/>
  <c r="K17" i="8"/>
  <c r="I17" i="8"/>
  <c r="G17" i="8"/>
  <c r="E17" i="8"/>
  <c r="C17" i="8"/>
  <c r="A17" i="8"/>
  <c r="M16" i="8"/>
  <c r="K16" i="8"/>
  <c r="I16" i="8"/>
  <c r="G16" i="8"/>
  <c r="E16" i="8"/>
  <c r="C16" i="8"/>
  <c r="A16" i="8"/>
  <c r="M15" i="8"/>
  <c r="K15" i="8"/>
  <c r="I15" i="8"/>
  <c r="G15" i="8"/>
  <c r="E15" i="8"/>
  <c r="C15" i="8"/>
  <c r="A15" i="8"/>
  <c r="M14" i="8"/>
  <c r="K14" i="8"/>
  <c r="I14" i="8"/>
  <c r="G14" i="8"/>
  <c r="E14" i="8"/>
  <c r="C14" i="8"/>
  <c r="A14" i="8"/>
  <c r="M13" i="8"/>
  <c r="K13" i="8"/>
  <c r="I13" i="8"/>
  <c r="G13" i="8"/>
  <c r="E13" i="8"/>
  <c r="C13" i="8"/>
  <c r="A13" i="8"/>
  <c r="M12" i="8"/>
  <c r="K12" i="8"/>
  <c r="I12" i="8"/>
  <c r="G12" i="8"/>
  <c r="E12" i="8"/>
  <c r="C12" i="8"/>
  <c r="A12" i="8"/>
  <c r="M11" i="8"/>
  <c r="K11" i="8"/>
  <c r="I11" i="8"/>
  <c r="G11" i="8"/>
  <c r="E11" i="8"/>
  <c r="C11" i="8"/>
  <c r="A11" i="8"/>
  <c r="M10" i="8"/>
  <c r="K10" i="8"/>
  <c r="I10" i="8"/>
  <c r="G10" i="8"/>
  <c r="E10" i="8"/>
  <c r="C10" i="8"/>
  <c r="A10" i="8"/>
  <c r="M9" i="8"/>
  <c r="K9" i="8"/>
  <c r="I9" i="8"/>
  <c r="G9" i="8"/>
  <c r="E9" i="8"/>
  <c r="C9" i="8"/>
  <c r="A9" i="8"/>
  <c r="M8" i="8"/>
  <c r="K8" i="8"/>
  <c r="I8" i="8"/>
  <c r="G8" i="8"/>
  <c r="E8" i="8"/>
  <c r="C8" i="8"/>
  <c r="A8" i="8"/>
  <c r="M7" i="8"/>
  <c r="K7" i="8"/>
  <c r="I7" i="8"/>
  <c r="G7" i="8"/>
  <c r="E7" i="8"/>
  <c r="C7" i="8"/>
  <c r="A7" i="8"/>
  <c r="M6" i="8"/>
  <c r="K6" i="8"/>
  <c r="I6" i="8"/>
  <c r="G6" i="8"/>
  <c r="E6" i="8"/>
  <c r="C6" i="8"/>
  <c r="A6" i="8"/>
  <c r="M5" i="8"/>
  <c r="K5" i="8"/>
  <c r="I5" i="8"/>
  <c r="G5" i="8"/>
  <c r="E5" i="8"/>
  <c r="C5" i="8"/>
  <c r="A5" i="8"/>
  <c r="M4" i="8"/>
  <c r="K4" i="8"/>
  <c r="I4" i="8"/>
  <c r="G4" i="8"/>
  <c r="E4" i="8"/>
  <c r="C4" i="8"/>
  <c r="A4" i="8"/>
  <c r="M3" i="8"/>
  <c r="K3" i="8"/>
  <c r="I3" i="8"/>
  <c r="G3" i="8"/>
  <c r="E3" i="8"/>
  <c r="C3" i="8"/>
  <c r="A3" i="8"/>
  <c r="M2" i="8"/>
  <c r="K2" i="8"/>
  <c r="I2" i="8"/>
  <c r="G2" i="8"/>
  <c r="E2" i="8"/>
  <c r="C2" i="8"/>
  <c r="A2" i="8"/>
  <c r="M1" i="8"/>
  <c r="K1" i="8"/>
  <c r="I1" i="8"/>
  <c r="G1" i="8"/>
  <c r="E1" i="8"/>
  <c r="C1" i="8"/>
  <c r="A1" i="8"/>
  <c r="B16" i="1"/>
  <c r="C15" i="1"/>
  <c r="B15" i="1"/>
  <c r="C14" i="1"/>
  <c r="E11" i="1"/>
  <c r="F11" i="1" s="1"/>
  <c r="D11" i="1"/>
  <c r="D10" i="1"/>
  <c r="C10" i="1"/>
  <c r="E10" i="1" s="1"/>
  <c r="F10" i="1" s="1"/>
  <c r="D9" i="1"/>
  <c r="C9" i="1"/>
  <c r="E9" i="1" s="1"/>
  <c r="F9" i="1" s="1"/>
  <c r="D8" i="1"/>
  <c r="C8" i="1"/>
  <c r="E8" i="1" s="1"/>
  <c r="F8" i="1" s="1"/>
  <c r="T111" i="6" l="1"/>
  <c r="T110" i="6"/>
  <c r="P42" i="6"/>
  <c r="G144" i="6"/>
  <c r="H144" i="6"/>
  <c r="I71" i="15"/>
  <c r="K71" i="15" s="1"/>
  <c r="AB67" i="5" s="1"/>
  <c r="J71" i="15"/>
  <c r="L71" i="15" s="1"/>
  <c r="AC67" i="5" s="1"/>
  <c r="AL58" i="5"/>
  <c r="G158" i="6"/>
  <c r="H158" i="6"/>
  <c r="I158" i="6" s="1"/>
  <c r="V152" i="16"/>
  <c r="I24" i="15"/>
  <c r="K24" i="15" s="1"/>
  <c r="AB22" i="5" s="1"/>
  <c r="T21" i="24" s="1"/>
  <c r="J24" i="15"/>
  <c r="L24" i="15" s="1"/>
  <c r="AC22" i="5" s="1"/>
  <c r="I59" i="15"/>
  <c r="K59" i="15" s="1"/>
  <c r="AB56" i="5" s="1"/>
  <c r="J59" i="15"/>
  <c r="L59" i="15" s="1"/>
  <c r="AC56" i="5" s="1"/>
  <c r="S111" i="6"/>
  <c r="S112" i="6"/>
  <c r="I79" i="15"/>
  <c r="K79" i="15" s="1"/>
  <c r="J79" i="15"/>
  <c r="L79" i="15" s="1"/>
  <c r="I67" i="15"/>
  <c r="K67" i="15" s="1"/>
  <c r="AB63" i="5" s="1"/>
  <c r="N56" i="17" s="1"/>
  <c r="J67" i="15"/>
  <c r="L67" i="15" s="1"/>
  <c r="AC63" i="5" s="1"/>
  <c r="V56" i="24" s="1"/>
  <c r="I75" i="15"/>
  <c r="K75" i="15" s="1"/>
  <c r="AB71" i="5" s="1"/>
  <c r="J75" i="15"/>
  <c r="L75" i="15" s="1"/>
  <c r="AC71" i="5" s="1"/>
  <c r="G159" i="6"/>
  <c r="I28" i="15"/>
  <c r="K28" i="15" s="1"/>
  <c r="J28" i="15"/>
  <c r="L28" i="15" s="1"/>
  <c r="I63" i="15"/>
  <c r="K63" i="15" s="1"/>
  <c r="AB60" i="5" s="1"/>
  <c r="N53" i="17" s="1"/>
  <c r="J63" i="15"/>
  <c r="L63" i="15" s="1"/>
  <c r="AC60" i="5" s="1"/>
  <c r="V53" i="24" s="1"/>
  <c r="AB16" i="9"/>
  <c r="AB25" i="9"/>
  <c r="AB33" i="9" s="1"/>
  <c r="AC33" i="9" s="1"/>
  <c r="T112" i="6"/>
  <c r="H142" i="6"/>
  <c r="H147" i="6"/>
  <c r="I147" i="6" s="1"/>
  <c r="D163" i="6"/>
  <c r="H156" i="6"/>
  <c r="H161" i="6"/>
  <c r="I161" i="6" s="1"/>
  <c r="V221" i="16"/>
  <c r="F16" i="15"/>
  <c r="G16" i="15" s="1"/>
  <c r="H16" i="15" s="1"/>
  <c r="I16" i="15" s="1"/>
  <c r="K16" i="15" s="1"/>
  <c r="D85" i="15" s="1"/>
  <c r="F23" i="15"/>
  <c r="G23" i="15" s="1"/>
  <c r="H23" i="15" s="1"/>
  <c r="F27" i="15"/>
  <c r="G27" i="15" s="1"/>
  <c r="H27" i="15" s="1"/>
  <c r="F31" i="15"/>
  <c r="G31" i="15" s="1"/>
  <c r="H31" i="15" s="1"/>
  <c r="F58" i="15"/>
  <c r="G58" i="15" s="1"/>
  <c r="H58" i="15" s="1"/>
  <c r="F62" i="15"/>
  <c r="G62" i="15" s="1"/>
  <c r="H62" i="15" s="1"/>
  <c r="F66" i="15"/>
  <c r="G66" i="15" s="1"/>
  <c r="H66" i="15" s="1"/>
  <c r="F70" i="15"/>
  <c r="G70" i="15" s="1"/>
  <c r="H70" i="15" s="1"/>
  <c r="F74" i="15"/>
  <c r="G74" i="15" s="1"/>
  <c r="H74" i="15" s="1"/>
  <c r="F78" i="15"/>
  <c r="G78" i="15" s="1"/>
  <c r="H78" i="15" s="1"/>
  <c r="V8" i="5"/>
  <c r="H51" i="5"/>
  <c r="J51" i="5" s="1"/>
  <c r="U63" i="5"/>
  <c r="V63" i="5" s="1"/>
  <c r="U71" i="5"/>
  <c r="H75" i="5"/>
  <c r="J75" i="5" s="1"/>
  <c r="AP24" i="17"/>
  <c r="W26" i="17"/>
  <c r="L28" i="17"/>
  <c r="L30" i="17"/>
  <c r="L32" i="17"/>
  <c r="L34" i="17"/>
  <c r="L36" i="17"/>
  <c r="W39" i="17"/>
  <c r="AO53" i="17"/>
  <c r="V65" i="17"/>
  <c r="V25" i="9"/>
  <c r="E22" i="5" s="1"/>
  <c r="W40" i="9"/>
  <c r="AH52" i="9"/>
  <c r="V54" i="9"/>
  <c r="E46" i="5" s="1"/>
  <c r="W69" i="9"/>
  <c r="V76" i="9"/>
  <c r="E58" i="5" s="1"/>
  <c r="E58" i="7" s="1"/>
  <c r="V80" i="9"/>
  <c r="E62" i="5" s="1"/>
  <c r="G55" i="24" s="1"/>
  <c r="V84" i="9"/>
  <c r="E66" i="5" s="1"/>
  <c r="V101" i="9"/>
  <c r="E74" i="5" s="1"/>
  <c r="P113" i="6"/>
  <c r="I132" i="6"/>
  <c r="I134" i="6" s="1"/>
  <c r="D149" i="6"/>
  <c r="AI7" i="16"/>
  <c r="V76" i="16"/>
  <c r="F9" i="15"/>
  <c r="G9" i="15" s="1"/>
  <c r="H9" i="15" s="1"/>
  <c r="F11" i="15"/>
  <c r="G11" i="15" s="1"/>
  <c r="H11" i="15" s="1"/>
  <c r="J11" i="15" s="1"/>
  <c r="L11" i="15" s="1"/>
  <c r="AC12" i="5" s="1"/>
  <c r="F13" i="15"/>
  <c r="G13" i="15" s="1"/>
  <c r="H13" i="15" s="1"/>
  <c r="F22" i="15"/>
  <c r="G22" i="15" s="1"/>
  <c r="H22" i="15" s="1"/>
  <c r="F26" i="15"/>
  <c r="G26" i="15" s="1"/>
  <c r="H26" i="15" s="1"/>
  <c r="F30" i="15"/>
  <c r="G30" i="15" s="1"/>
  <c r="H30" i="15" s="1"/>
  <c r="F56" i="15"/>
  <c r="G56" i="15" s="1"/>
  <c r="H56" i="15" s="1"/>
  <c r="F61" i="15"/>
  <c r="G61" i="15" s="1"/>
  <c r="H61" i="15" s="1"/>
  <c r="F65" i="15"/>
  <c r="G65" i="15" s="1"/>
  <c r="H65" i="15" s="1"/>
  <c r="F69" i="15"/>
  <c r="G69" i="15" s="1"/>
  <c r="H69" i="15" s="1"/>
  <c r="F73" i="15"/>
  <c r="G73" i="15" s="1"/>
  <c r="H73" i="15" s="1"/>
  <c r="F77" i="15"/>
  <c r="G77" i="15" s="1"/>
  <c r="H77" i="15" s="1"/>
  <c r="AH7" i="5"/>
  <c r="R6" i="24" s="1"/>
  <c r="H39" i="5"/>
  <c r="I75" i="5"/>
  <c r="D84" i="5"/>
  <c r="K7" i="17"/>
  <c r="L12" i="17"/>
  <c r="K15" i="17"/>
  <c r="L20" i="17"/>
  <c r="K23" i="17"/>
  <c r="V49" i="17"/>
  <c r="V56" i="17"/>
  <c r="V89" i="9"/>
  <c r="E70" i="5" s="1"/>
  <c r="E70" i="7" s="1"/>
  <c r="W101" i="9"/>
  <c r="I124" i="6"/>
  <c r="H143" i="6"/>
  <c r="H145" i="6"/>
  <c r="I145" i="6" s="1"/>
  <c r="H146" i="6"/>
  <c r="H157" i="6"/>
  <c r="H159" i="6"/>
  <c r="I159" i="6" s="1"/>
  <c r="H160" i="6"/>
  <c r="I160" i="6" s="1"/>
  <c r="F7" i="15"/>
  <c r="G7" i="15" s="1"/>
  <c r="H7" i="15" s="1"/>
  <c r="F20" i="15"/>
  <c r="G20" i="15" s="1"/>
  <c r="H20" i="15" s="1"/>
  <c r="F25" i="15"/>
  <c r="G25" i="15" s="1"/>
  <c r="H25" i="15" s="1"/>
  <c r="F29" i="15"/>
  <c r="G29" i="15" s="1"/>
  <c r="H29" i="15" s="1"/>
  <c r="F54" i="15"/>
  <c r="G54" i="15" s="1"/>
  <c r="H54" i="15" s="1"/>
  <c r="F60" i="15"/>
  <c r="G60" i="15" s="1"/>
  <c r="H60" i="15" s="1"/>
  <c r="F68" i="15"/>
  <c r="G68" i="15" s="1"/>
  <c r="H68" i="15" s="1"/>
  <c r="F72" i="15"/>
  <c r="G72" i="15" s="1"/>
  <c r="H72" i="15" s="1"/>
  <c r="AL63" i="5"/>
  <c r="H23" i="5"/>
  <c r="J43" i="5"/>
  <c r="V75" i="5"/>
  <c r="AE68" i="24" s="1"/>
  <c r="K75" i="18" s="1"/>
  <c r="AP27" i="17"/>
  <c r="AP29" i="17"/>
  <c r="AP31" i="17"/>
  <c r="AP33" i="17"/>
  <c r="AP35" i="17"/>
  <c r="V44" i="17"/>
  <c r="W47" i="17"/>
  <c r="V52" i="17"/>
  <c r="AH8" i="9"/>
  <c r="AH9" i="9"/>
  <c r="V12" i="9"/>
  <c r="E12" i="5" s="1"/>
  <c r="AL12" i="5" s="1"/>
  <c r="AB20" i="9"/>
  <c r="V33" i="9"/>
  <c r="E26" i="5" s="1"/>
  <c r="W46" i="9"/>
  <c r="W50" i="9"/>
  <c r="AH54" i="9"/>
  <c r="W89" i="9"/>
  <c r="J26" i="17"/>
  <c r="L26" i="24"/>
  <c r="AH27" i="5"/>
  <c r="V222" i="16"/>
  <c r="X221" i="16"/>
  <c r="O113" i="6"/>
  <c r="K44" i="24"/>
  <c r="AG48" i="5"/>
  <c r="I44" i="17"/>
  <c r="V77" i="16"/>
  <c r="X76" i="16"/>
  <c r="V101" i="16"/>
  <c r="V190" i="16"/>
  <c r="J9" i="15"/>
  <c r="L9" i="15" s="1"/>
  <c r="I9" i="15"/>
  <c r="K9" i="15" s="1"/>
  <c r="J13" i="15"/>
  <c r="L13" i="15" s="1"/>
  <c r="AC14" i="5" s="1"/>
  <c r="I13" i="15"/>
  <c r="K13" i="15" s="1"/>
  <c r="AB14" i="5" s="1"/>
  <c r="I56" i="15"/>
  <c r="K56" i="15" s="1"/>
  <c r="AB51" i="5" s="1"/>
  <c r="J56" i="15"/>
  <c r="L56" i="15" s="1"/>
  <c r="AC51" i="5" s="1"/>
  <c r="AM7" i="5"/>
  <c r="AF35" i="24"/>
  <c r="L42" i="18" s="1"/>
  <c r="Y35" i="17"/>
  <c r="I39" i="5"/>
  <c r="K9" i="24"/>
  <c r="I9" i="17"/>
  <c r="AG10" i="5"/>
  <c r="K30" i="24"/>
  <c r="I30" i="17"/>
  <c r="AG34" i="5"/>
  <c r="AH34" i="5" s="1"/>
  <c r="L51" i="24"/>
  <c r="J51" i="17"/>
  <c r="L67" i="24"/>
  <c r="J67" i="17"/>
  <c r="V60" i="24"/>
  <c r="O60" i="17"/>
  <c r="V64" i="24"/>
  <c r="O64" i="17"/>
  <c r="K8" i="24"/>
  <c r="I8" i="17"/>
  <c r="AG9" i="5"/>
  <c r="AH9" i="5" s="1"/>
  <c r="O112" i="6"/>
  <c r="I157" i="6"/>
  <c r="K32" i="24"/>
  <c r="I32" i="17"/>
  <c r="AG36" i="5"/>
  <c r="AH36" i="5" s="1"/>
  <c r="K36" i="24"/>
  <c r="I36" i="17"/>
  <c r="AG40" i="5"/>
  <c r="K68" i="24"/>
  <c r="I68" i="17"/>
  <c r="AG75" i="5"/>
  <c r="I7" i="15"/>
  <c r="K7" i="15" s="1"/>
  <c r="AB9" i="5" s="1"/>
  <c r="J7" i="15"/>
  <c r="L7" i="15" s="1"/>
  <c r="AC9" i="5" s="1"/>
  <c r="I20" i="15"/>
  <c r="K20" i="15" s="1"/>
  <c r="AB19" i="5" s="1"/>
  <c r="J20" i="15"/>
  <c r="L20" i="15" s="1"/>
  <c r="AC19" i="5" s="1"/>
  <c r="I54" i="15"/>
  <c r="K54" i="15" s="1"/>
  <c r="AB49" i="5" s="1"/>
  <c r="J54" i="15"/>
  <c r="L54" i="15" s="1"/>
  <c r="AC49" i="5" s="1"/>
  <c r="AF22" i="24"/>
  <c r="L29" i="18" s="1"/>
  <c r="Y22" i="17"/>
  <c r="J22" i="17"/>
  <c r="L22" i="24"/>
  <c r="AH23" i="5"/>
  <c r="K34" i="24"/>
  <c r="I34" i="17"/>
  <c r="AG38" i="5"/>
  <c r="AH38" i="5" s="1"/>
  <c r="L55" i="24"/>
  <c r="J55" i="17"/>
  <c r="V153" i="16"/>
  <c r="X152" i="16"/>
  <c r="O56" i="17"/>
  <c r="I118" i="6"/>
  <c r="I120" i="6" s="1"/>
  <c r="I154" i="6"/>
  <c r="V14" i="16"/>
  <c r="K21" i="24"/>
  <c r="AI22" i="5"/>
  <c r="I21" i="17"/>
  <c r="AG22" i="5"/>
  <c r="K25" i="24"/>
  <c r="I25" i="17"/>
  <c r="AG26" i="5"/>
  <c r="AH26" i="5" s="1"/>
  <c r="V45" i="16"/>
  <c r="K40" i="24"/>
  <c r="I40" i="17"/>
  <c r="AG44" i="5"/>
  <c r="I10" i="15"/>
  <c r="K10" i="15" s="1"/>
  <c r="AB11" i="5" s="1"/>
  <c r="J10" i="15"/>
  <c r="L10" i="15" s="1"/>
  <c r="AC11" i="5" s="1"/>
  <c r="I12" i="15"/>
  <c r="K12" i="15" s="1"/>
  <c r="AB13" i="5" s="1"/>
  <c r="J12" i="15"/>
  <c r="L12" i="15" s="1"/>
  <c r="AC13" i="5" s="1"/>
  <c r="I14" i="15"/>
  <c r="K14" i="15" s="1"/>
  <c r="AB15" i="5" s="1"/>
  <c r="J14" i="15"/>
  <c r="L14" i="15" s="1"/>
  <c r="AC15" i="5" s="1"/>
  <c r="AI15" i="5" s="1"/>
  <c r="I18" i="15"/>
  <c r="K18" i="15" s="1"/>
  <c r="AB17" i="5" s="1"/>
  <c r="J18" i="15"/>
  <c r="L18" i="15" s="1"/>
  <c r="AC17" i="5" s="1"/>
  <c r="I52" i="15"/>
  <c r="K52" i="15" s="1"/>
  <c r="J52" i="15"/>
  <c r="L52" i="15" s="1"/>
  <c r="T49" i="24"/>
  <c r="N49" i="17"/>
  <c r="T53" i="24"/>
  <c r="T56" i="24"/>
  <c r="T60" i="24"/>
  <c r="N60" i="17"/>
  <c r="T64" i="24"/>
  <c r="N64" i="17"/>
  <c r="K7" i="24"/>
  <c r="I7" i="17"/>
  <c r="AG8" i="5"/>
  <c r="K41" i="24"/>
  <c r="I41" i="17"/>
  <c r="AG45" i="5"/>
  <c r="K48" i="24"/>
  <c r="I48" i="17"/>
  <c r="AG55" i="5"/>
  <c r="K52" i="24"/>
  <c r="AG59" i="5"/>
  <c r="K56" i="24"/>
  <c r="I56" i="17"/>
  <c r="AG63" i="5"/>
  <c r="K60" i="24"/>
  <c r="I60" i="17"/>
  <c r="AG67" i="5"/>
  <c r="K64" i="24"/>
  <c r="AG71" i="5"/>
  <c r="E90" i="15"/>
  <c r="I15" i="15"/>
  <c r="K15" i="15" s="1"/>
  <c r="AP6" i="17"/>
  <c r="BC6" i="24"/>
  <c r="S13" i="18" s="1"/>
  <c r="T13" i="18" s="1"/>
  <c r="AD6" i="24"/>
  <c r="J13" i="18" s="1"/>
  <c r="W6" i="17"/>
  <c r="AF26" i="24"/>
  <c r="L33" i="18" s="1"/>
  <c r="Y26" i="17"/>
  <c r="K28" i="24"/>
  <c r="I28" i="17"/>
  <c r="AG32" i="5"/>
  <c r="AH32" i="5" s="1"/>
  <c r="AF33" i="24"/>
  <c r="L40" i="18" s="1"/>
  <c r="Y33" i="17"/>
  <c r="I37" i="5"/>
  <c r="K38" i="24"/>
  <c r="I38" i="17"/>
  <c r="AG42" i="5"/>
  <c r="AF41" i="24"/>
  <c r="L48" i="18" s="1"/>
  <c r="Y41" i="17"/>
  <c r="K42" i="24"/>
  <c r="AG46" i="5"/>
  <c r="AF45" i="24"/>
  <c r="L52" i="18" s="1"/>
  <c r="Y45" i="17"/>
  <c r="K46" i="24"/>
  <c r="I46" i="17"/>
  <c r="AG50" i="5"/>
  <c r="P56" i="24"/>
  <c r="L56" i="17"/>
  <c r="N57" i="24"/>
  <c r="K57" i="17"/>
  <c r="AD58" i="24"/>
  <c r="J65" i="18" s="1"/>
  <c r="W58" i="17"/>
  <c r="H65" i="5"/>
  <c r="V65" i="5"/>
  <c r="BC59" i="24"/>
  <c r="S66" i="18" s="1"/>
  <c r="T66" i="18" s="1"/>
  <c r="AP59" i="17"/>
  <c r="AD59" i="24"/>
  <c r="J66" i="18" s="1"/>
  <c r="W59" i="17"/>
  <c r="H66" i="5"/>
  <c r="J66" i="5" s="1"/>
  <c r="L61" i="24"/>
  <c r="J61" i="17"/>
  <c r="F63" i="17"/>
  <c r="L65" i="24"/>
  <c r="J65" i="17"/>
  <c r="I42" i="17"/>
  <c r="P112" i="6"/>
  <c r="P114" i="6" s="1"/>
  <c r="S113" i="6"/>
  <c r="G142" i="6"/>
  <c r="I142" i="6" s="1"/>
  <c r="G146" i="6"/>
  <c r="I146" i="6" s="1"/>
  <c r="H155" i="6"/>
  <c r="I155" i="6" s="1"/>
  <c r="G156" i="6"/>
  <c r="G160" i="6"/>
  <c r="K6" i="24"/>
  <c r="K12" i="24"/>
  <c r="I12" i="17"/>
  <c r="AG13" i="5"/>
  <c r="AH13" i="5" s="1"/>
  <c r="K14" i="24"/>
  <c r="K20" i="24"/>
  <c r="I20" i="17"/>
  <c r="AG21" i="5"/>
  <c r="K24" i="24"/>
  <c r="I24" i="17"/>
  <c r="AG25" i="5"/>
  <c r="AH25" i="5" s="1"/>
  <c r="K45" i="24"/>
  <c r="I45" i="17"/>
  <c r="AG49" i="5"/>
  <c r="K49" i="24"/>
  <c r="I49" i="17"/>
  <c r="K53" i="24"/>
  <c r="I53" i="17"/>
  <c r="K57" i="24"/>
  <c r="I57" i="17"/>
  <c r="I61" i="17"/>
  <c r="K61" i="24"/>
  <c r="K65" i="24"/>
  <c r="I65" i="17"/>
  <c r="F51" i="15"/>
  <c r="G51" i="15" s="1"/>
  <c r="H51" i="15" s="1"/>
  <c r="F50" i="15"/>
  <c r="G50" i="15" s="1"/>
  <c r="H50" i="15" s="1"/>
  <c r="F49" i="15"/>
  <c r="G49" i="15" s="1"/>
  <c r="H49" i="15" s="1"/>
  <c r="F48" i="15"/>
  <c r="G48" i="15" s="1"/>
  <c r="H48" i="15" s="1"/>
  <c r="F82" i="15"/>
  <c r="G82" i="15" s="1"/>
  <c r="H82" i="15" s="1"/>
  <c r="F81" i="15"/>
  <c r="G81" i="15" s="1"/>
  <c r="H81" i="15" s="1"/>
  <c r="F80" i="15"/>
  <c r="G80" i="15" s="1"/>
  <c r="H80" i="15" s="1"/>
  <c r="F47" i="15"/>
  <c r="G47" i="15" s="1"/>
  <c r="H47" i="15" s="1"/>
  <c r="F46" i="15"/>
  <c r="G46" i="15" s="1"/>
  <c r="H46" i="15" s="1"/>
  <c r="F45" i="15"/>
  <c r="G45" i="15" s="1"/>
  <c r="H45" i="15" s="1"/>
  <c r="F44" i="15"/>
  <c r="G44" i="15" s="1"/>
  <c r="H44" i="15" s="1"/>
  <c r="F43" i="15"/>
  <c r="G43" i="15" s="1"/>
  <c r="H43" i="15" s="1"/>
  <c r="F42" i="15"/>
  <c r="G42" i="15" s="1"/>
  <c r="H42" i="15" s="1"/>
  <c r="F41" i="15"/>
  <c r="G41" i="15" s="1"/>
  <c r="H41" i="15" s="1"/>
  <c r="F40" i="15"/>
  <c r="G40" i="15" s="1"/>
  <c r="H40" i="15" s="1"/>
  <c r="F39" i="15"/>
  <c r="G39" i="15" s="1"/>
  <c r="H39" i="15" s="1"/>
  <c r="F38" i="15"/>
  <c r="G38" i="15" s="1"/>
  <c r="H38" i="15" s="1"/>
  <c r="F37" i="15"/>
  <c r="G37" i="15" s="1"/>
  <c r="H37" i="15" s="1"/>
  <c r="F36" i="15"/>
  <c r="G36" i="15" s="1"/>
  <c r="H36" i="15" s="1"/>
  <c r="F35" i="15"/>
  <c r="G35" i="15" s="1"/>
  <c r="H35" i="15" s="1"/>
  <c r="F34" i="15"/>
  <c r="G34" i="15" s="1"/>
  <c r="H34" i="15" s="1"/>
  <c r="F33" i="15"/>
  <c r="G33" i="15" s="1"/>
  <c r="H33" i="15" s="1"/>
  <c r="F32" i="15"/>
  <c r="G32" i="15" s="1"/>
  <c r="H32" i="15" s="1"/>
  <c r="F8" i="15"/>
  <c r="G8" i="15" s="1"/>
  <c r="H8" i="15" s="1"/>
  <c r="J15" i="15"/>
  <c r="L15" i="15" s="1"/>
  <c r="F17" i="15"/>
  <c r="G17" i="15" s="1"/>
  <c r="H17" i="15" s="1"/>
  <c r="F21" i="15"/>
  <c r="G21" i="15" s="1"/>
  <c r="H21" i="15" s="1"/>
  <c r="F53" i="15"/>
  <c r="G53" i="15" s="1"/>
  <c r="H53" i="15" s="1"/>
  <c r="F57" i="15"/>
  <c r="G57" i="15" s="1"/>
  <c r="H57" i="15" s="1"/>
  <c r="V6" i="17"/>
  <c r="AC6" i="24"/>
  <c r="I13" i="18" s="1"/>
  <c r="V7" i="5"/>
  <c r="P7" i="24"/>
  <c r="L7" i="17"/>
  <c r="AD7" i="24"/>
  <c r="J14" i="18" s="1"/>
  <c r="H8" i="5"/>
  <c r="W7" i="17"/>
  <c r="E9" i="7"/>
  <c r="F8" i="17"/>
  <c r="G8" i="24"/>
  <c r="AL9" i="5"/>
  <c r="N9" i="24"/>
  <c r="K9" i="17"/>
  <c r="AH10" i="5"/>
  <c r="H11" i="5"/>
  <c r="P11" i="24"/>
  <c r="L11" i="17"/>
  <c r="AD11" i="24"/>
  <c r="J18" i="18" s="1"/>
  <c r="H12" i="5"/>
  <c r="W11" i="17"/>
  <c r="V12" i="5"/>
  <c r="N13" i="24"/>
  <c r="K13" i="17"/>
  <c r="V14" i="17"/>
  <c r="AC14" i="24"/>
  <c r="I21" i="18" s="1"/>
  <c r="V15" i="5"/>
  <c r="U14" i="5"/>
  <c r="V14" i="5" s="1"/>
  <c r="N17" i="24"/>
  <c r="K17" i="17"/>
  <c r="P19" i="24"/>
  <c r="L19" i="17"/>
  <c r="AD19" i="24"/>
  <c r="J26" i="18" s="1"/>
  <c r="H20" i="5"/>
  <c r="W19" i="17"/>
  <c r="V20" i="5"/>
  <c r="AC29" i="24"/>
  <c r="I36" i="18" s="1"/>
  <c r="V29" i="17"/>
  <c r="U32" i="5"/>
  <c r="V33" i="5"/>
  <c r="AF31" i="24"/>
  <c r="L38" i="18" s="1"/>
  <c r="Y31" i="17"/>
  <c r="I35" i="5"/>
  <c r="BA32" i="24"/>
  <c r="P39" i="18" s="1"/>
  <c r="Q39" i="18" s="1"/>
  <c r="AO32" i="17"/>
  <c r="J39" i="5"/>
  <c r="BA36" i="24"/>
  <c r="P43" i="18" s="1"/>
  <c r="Q43" i="18" s="1"/>
  <c r="AO36" i="17"/>
  <c r="V39" i="17"/>
  <c r="AC39" i="24"/>
  <c r="I46" i="18" s="1"/>
  <c r="U42" i="5"/>
  <c r="V43" i="5"/>
  <c r="AC47" i="24"/>
  <c r="I54" i="18" s="1"/>
  <c r="V47" i="17"/>
  <c r="U50" i="5"/>
  <c r="V51" i="5"/>
  <c r="AG56" i="5"/>
  <c r="AD49" i="24"/>
  <c r="J56" i="18" s="1"/>
  <c r="W49" i="17"/>
  <c r="H56" i="5"/>
  <c r="G51" i="24"/>
  <c r="P60" i="24"/>
  <c r="L60" i="17"/>
  <c r="AD60" i="24"/>
  <c r="J67" i="18" s="1"/>
  <c r="W60" i="17"/>
  <c r="H67" i="5"/>
  <c r="V67" i="5"/>
  <c r="N61" i="24"/>
  <c r="K61" i="17"/>
  <c r="AH68" i="5"/>
  <c r="BC61" i="24"/>
  <c r="S68" i="18" s="1"/>
  <c r="T68" i="18" s="1"/>
  <c r="AP61" i="17"/>
  <c r="P62" i="24"/>
  <c r="L62" i="17"/>
  <c r="AD62" i="24"/>
  <c r="J69" i="18" s="1"/>
  <c r="H69" i="5"/>
  <c r="W62" i="17"/>
  <c r="V69" i="5"/>
  <c r="N63" i="24"/>
  <c r="K63" i="17"/>
  <c r="AH70" i="5"/>
  <c r="BC63" i="24"/>
  <c r="S70" i="18" s="1"/>
  <c r="T70" i="18" s="1"/>
  <c r="AP63" i="17"/>
  <c r="P64" i="24"/>
  <c r="L64" i="17"/>
  <c r="AD64" i="24"/>
  <c r="J71" i="18" s="1"/>
  <c r="W64" i="17"/>
  <c r="H71" i="5"/>
  <c r="V71" i="5"/>
  <c r="N65" i="24"/>
  <c r="K65" i="17"/>
  <c r="AH72" i="5"/>
  <c r="BC65" i="24"/>
  <c r="S72" i="18" s="1"/>
  <c r="T72" i="18" s="1"/>
  <c r="AP65" i="17"/>
  <c r="AD65" i="24"/>
  <c r="J72" i="18" s="1"/>
  <c r="W65" i="17"/>
  <c r="H72" i="5"/>
  <c r="E74" i="7"/>
  <c r="F67" i="17"/>
  <c r="G67" i="24"/>
  <c r="H68" i="24"/>
  <c r="M75" i="18" s="1"/>
  <c r="N75" i="18" s="1"/>
  <c r="G68" i="17"/>
  <c r="P68" i="24"/>
  <c r="L68" i="17"/>
  <c r="I6" i="17"/>
  <c r="AO8" i="17"/>
  <c r="AP9" i="17"/>
  <c r="I14" i="17"/>
  <c r="AO16" i="17"/>
  <c r="AP17" i="17"/>
  <c r="I22" i="17"/>
  <c r="I64" i="17"/>
  <c r="BA28" i="24"/>
  <c r="P35" i="18" s="1"/>
  <c r="Q35" i="18" s="1"/>
  <c r="K16" i="24"/>
  <c r="I16" i="17"/>
  <c r="AG17" i="5"/>
  <c r="K19" i="24"/>
  <c r="I19" i="17"/>
  <c r="AG20" i="5"/>
  <c r="K23" i="24"/>
  <c r="I23" i="17"/>
  <c r="AG24" i="5"/>
  <c r="K27" i="24"/>
  <c r="I27" i="17"/>
  <c r="AG31" i="5"/>
  <c r="K31" i="24"/>
  <c r="W31" i="24" s="1"/>
  <c r="I31" i="17"/>
  <c r="AG35" i="5"/>
  <c r="K35" i="24"/>
  <c r="I35" i="17"/>
  <c r="AG39" i="5"/>
  <c r="K37" i="24"/>
  <c r="I37" i="17"/>
  <c r="AG41" i="5"/>
  <c r="V21" i="24"/>
  <c r="O21" i="17"/>
  <c r="N6" i="24"/>
  <c r="K6" i="17"/>
  <c r="L14" i="24"/>
  <c r="J14" i="17"/>
  <c r="AH15" i="5"/>
  <c r="K17" i="24"/>
  <c r="I17" i="17"/>
  <c r="AG18" i="5"/>
  <c r="V18" i="17"/>
  <c r="AC18" i="24"/>
  <c r="I25" i="18" s="1"/>
  <c r="V19" i="5"/>
  <c r="U18" i="5"/>
  <c r="N21" i="24"/>
  <c r="K21" i="17"/>
  <c r="AH22" i="5"/>
  <c r="AJ22" i="5" s="1"/>
  <c r="AC43" i="24"/>
  <c r="I50" i="18" s="1"/>
  <c r="V43" i="17"/>
  <c r="U46" i="5"/>
  <c r="V47" i="5"/>
  <c r="H63" i="5"/>
  <c r="P110" i="6"/>
  <c r="P111" i="6"/>
  <c r="T113" i="6"/>
  <c r="T114" i="6" s="1"/>
  <c r="G143" i="6"/>
  <c r="K11" i="24"/>
  <c r="I11" i="17"/>
  <c r="AG12" i="5"/>
  <c r="K15" i="24"/>
  <c r="I15" i="17"/>
  <c r="AG16" i="5"/>
  <c r="K29" i="24"/>
  <c r="I29" i="17"/>
  <c r="AG33" i="5"/>
  <c r="K33" i="24"/>
  <c r="I33" i="17"/>
  <c r="AG37" i="5"/>
  <c r="K39" i="24"/>
  <c r="AG43" i="5"/>
  <c r="K43" i="24"/>
  <c r="AG47" i="5"/>
  <c r="I43" i="17"/>
  <c r="K50" i="24"/>
  <c r="AG57" i="5"/>
  <c r="K54" i="24"/>
  <c r="I54" i="17"/>
  <c r="AG61" i="5"/>
  <c r="K58" i="24"/>
  <c r="I58" i="17"/>
  <c r="AG65" i="5"/>
  <c r="K62" i="24"/>
  <c r="AG69" i="5"/>
  <c r="K66" i="24"/>
  <c r="I66" i="17"/>
  <c r="AG73" i="5"/>
  <c r="BA7" i="24"/>
  <c r="P14" i="18" s="1"/>
  <c r="Q14" i="18" s="1"/>
  <c r="AO7" i="17"/>
  <c r="AE7" i="24"/>
  <c r="K14" i="18" s="1"/>
  <c r="X7" i="17"/>
  <c r="V9" i="17"/>
  <c r="AC9" i="24"/>
  <c r="I16" i="18" s="1"/>
  <c r="U9" i="5"/>
  <c r="P15" i="24"/>
  <c r="L15" i="17"/>
  <c r="AD15" i="24"/>
  <c r="J22" i="18" s="1"/>
  <c r="H16" i="5"/>
  <c r="W15" i="17"/>
  <c r="V16" i="5"/>
  <c r="H19" i="5"/>
  <c r="E26" i="7"/>
  <c r="F25" i="17"/>
  <c r="G25" i="24"/>
  <c r="AL26" i="5"/>
  <c r="V26" i="17"/>
  <c r="AC26" i="24"/>
  <c r="I33" i="18" s="1"/>
  <c r="V27" i="5"/>
  <c r="U26" i="5"/>
  <c r="V26" i="5" s="1"/>
  <c r="V27" i="17"/>
  <c r="AC27" i="24"/>
  <c r="I34" i="18" s="1"/>
  <c r="V31" i="5"/>
  <c r="BA30" i="24"/>
  <c r="P37" i="18" s="1"/>
  <c r="Q37" i="18" s="1"/>
  <c r="AO30" i="17"/>
  <c r="V33" i="17"/>
  <c r="AC33" i="24"/>
  <c r="I40" i="18" s="1"/>
  <c r="U36" i="5"/>
  <c r="V37" i="5"/>
  <c r="V37" i="17"/>
  <c r="AC37" i="24"/>
  <c r="I44" i="18" s="1"/>
  <c r="U40" i="5"/>
  <c r="V41" i="5"/>
  <c r="I39" i="24"/>
  <c r="H39" i="17"/>
  <c r="P39" i="17" s="1"/>
  <c r="BA40" i="24"/>
  <c r="P47" i="18" s="1"/>
  <c r="Q47" i="18" s="1"/>
  <c r="AO40" i="17"/>
  <c r="AC41" i="24"/>
  <c r="I48" i="18" s="1"/>
  <c r="U44" i="5"/>
  <c r="V45" i="5"/>
  <c r="H47" i="5"/>
  <c r="BA44" i="24"/>
  <c r="P51" i="18" s="1"/>
  <c r="Q51" i="18" s="1"/>
  <c r="AO44" i="17"/>
  <c r="AC45" i="24"/>
  <c r="I52" i="18" s="1"/>
  <c r="U48" i="5"/>
  <c r="V45" i="17"/>
  <c r="V49" i="5"/>
  <c r="P48" i="24"/>
  <c r="L48" i="17"/>
  <c r="AD48" i="24"/>
  <c r="J55" i="18" s="1"/>
  <c r="W48" i="17"/>
  <c r="H55" i="5"/>
  <c r="V55" i="5"/>
  <c r="N49" i="24"/>
  <c r="K49" i="17"/>
  <c r="AH56" i="5"/>
  <c r="BC49" i="24"/>
  <c r="S56" i="18" s="1"/>
  <c r="T56" i="18" s="1"/>
  <c r="AP49" i="17"/>
  <c r="P50" i="24"/>
  <c r="L50" i="17"/>
  <c r="AD50" i="24"/>
  <c r="J57" i="18" s="1"/>
  <c r="H57" i="5"/>
  <c r="V57" i="5"/>
  <c r="N51" i="24"/>
  <c r="K51" i="17"/>
  <c r="AH58" i="5"/>
  <c r="BC51" i="24"/>
  <c r="S58" i="18" s="1"/>
  <c r="T58" i="18" s="1"/>
  <c r="AP51" i="17"/>
  <c r="E60" i="7"/>
  <c r="G53" i="24"/>
  <c r="F53" i="17"/>
  <c r="AG60" i="5"/>
  <c r="AH60" i="5" s="1"/>
  <c r="AJ60" i="5" s="1"/>
  <c r="AD53" i="24"/>
  <c r="J60" i="18" s="1"/>
  <c r="W53" i="17"/>
  <c r="H60" i="5"/>
  <c r="J60" i="5" s="1"/>
  <c r="E62" i="7"/>
  <c r="P66" i="24"/>
  <c r="L66" i="17"/>
  <c r="AD66" i="24"/>
  <c r="J73" i="18" s="1"/>
  <c r="W66" i="17"/>
  <c r="H73" i="5"/>
  <c r="V73" i="5"/>
  <c r="N67" i="24"/>
  <c r="K67" i="17"/>
  <c r="AH74" i="5"/>
  <c r="BC67" i="24"/>
  <c r="S74" i="18" s="1"/>
  <c r="T74" i="18" s="1"/>
  <c r="AP67" i="17"/>
  <c r="AL74" i="5"/>
  <c r="V49" i="24"/>
  <c r="O49" i="17"/>
  <c r="E91" i="15"/>
  <c r="L6" i="24"/>
  <c r="J6" i="17"/>
  <c r="V10" i="17"/>
  <c r="V11" i="5"/>
  <c r="U10" i="5"/>
  <c r="E14" i="7"/>
  <c r="F13" i="17"/>
  <c r="AL14" i="5"/>
  <c r="K13" i="24"/>
  <c r="I13" i="17"/>
  <c r="AG14" i="5"/>
  <c r="AH14" i="5" s="1"/>
  <c r="AO24" i="17"/>
  <c r="BA24" i="24"/>
  <c r="P31" i="18" s="1"/>
  <c r="Q31" i="18" s="1"/>
  <c r="AF27" i="24"/>
  <c r="L34" i="18" s="1"/>
  <c r="Y27" i="17"/>
  <c r="W31" i="5"/>
  <c r="I31" i="5"/>
  <c r="V35" i="17"/>
  <c r="AC35" i="24"/>
  <c r="I42" i="18" s="1"/>
  <c r="U38" i="5"/>
  <c r="V39" i="5"/>
  <c r="AF37" i="24"/>
  <c r="L44" i="18" s="1"/>
  <c r="Y37" i="17"/>
  <c r="I41" i="5"/>
  <c r="BA38" i="24"/>
  <c r="P45" i="18" s="1"/>
  <c r="Q45" i="18" s="1"/>
  <c r="AO38" i="17"/>
  <c r="BA42" i="24"/>
  <c r="P49" i="18" s="1"/>
  <c r="Q49" i="18" s="1"/>
  <c r="AO42" i="17"/>
  <c r="BA46" i="24"/>
  <c r="P53" i="18" s="1"/>
  <c r="Q53" i="18" s="1"/>
  <c r="AO46" i="17"/>
  <c r="BC57" i="24"/>
  <c r="S64" i="18" s="1"/>
  <c r="T64" i="18" s="1"/>
  <c r="AP57" i="17"/>
  <c r="P58" i="24"/>
  <c r="L58" i="17"/>
  <c r="N59" i="24"/>
  <c r="K59" i="17"/>
  <c r="E68" i="7"/>
  <c r="G61" i="24"/>
  <c r="F61" i="17"/>
  <c r="I68" i="5"/>
  <c r="AD61" i="24"/>
  <c r="J68" i="18" s="1"/>
  <c r="W61" i="17"/>
  <c r="H68" i="5"/>
  <c r="L63" i="24"/>
  <c r="J63" i="17"/>
  <c r="AD67" i="24"/>
  <c r="J74" i="18" s="1"/>
  <c r="W67" i="17"/>
  <c r="H74" i="5"/>
  <c r="O35" i="6"/>
  <c r="O110" i="6" s="1"/>
  <c r="S110" i="6"/>
  <c r="K10" i="24"/>
  <c r="K18" i="24"/>
  <c r="K22" i="24"/>
  <c r="K26" i="24"/>
  <c r="I26" i="17"/>
  <c r="K47" i="24"/>
  <c r="AG51" i="5"/>
  <c r="K51" i="24"/>
  <c r="I51" i="17"/>
  <c r="K55" i="24"/>
  <c r="K59" i="24"/>
  <c r="I59" i="17"/>
  <c r="K63" i="24"/>
  <c r="I63" i="17"/>
  <c r="K67" i="24"/>
  <c r="I67" i="17"/>
  <c r="F5" i="15"/>
  <c r="G5" i="15" s="1"/>
  <c r="H5" i="15" s="1"/>
  <c r="F6" i="15"/>
  <c r="G6" i="15" s="1"/>
  <c r="H6" i="15" s="1"/>
  <c r="F19" i="15"/>
  <c r="G19" i="15" s="1"/>
  <c r="H19" i="15" s="1"/>
  <c r="F55" i="15"/>
  <c r="G55" i="15" s="1"/>
  <c r="H55" i="15" s="1"/>
  <c r="H7" i="5"/>
  <c r="N8" i="24"/>
  <c r="K8" i="17"/>
  <c r="BC8" i="24"/>
  <c r="S15" i="18" s="1"/>
  <c r="T15" i="18" s="1"/>
  <c r="AP8" i="17"/>
  <c r="E10" i="7"/>
  <c r="F9" i="17"/>
  <c r="G9" i="24"/>
  <c r="AG11" i="5"/>
  <c r="H15" i="5"/>
  <c r="J15" i="5" s="1"/>
  <c r="AG19" i="5"/>
  <c r="E22" i="7"/>
  <c r="F21" i="17"/>
  <c r="G21" i="24"/>
  <c r="AL22" i="5"/>
  <c r="V22" i="17"/>
  <c r="AC22" i="24"/>
  <c r="I29" i="18" s="1"/>
  <c r="V23" i="5"/>
  <c r="U22" i="5"/>
  <c r="P23" i="24"/>
  <c r="L23" i="17"/>
  <c r="AD23" i="24"/>
  <c r="J30" i="18" s="1"/>
  <c r="H24" i="5"/>
  <c r="W23" i="17"/>
  <c r="V24" i="5"/>
  <c r="N25" i="24"/>
  <c r="H33" i="5"/>
  <c r="V31" i="17"/>
  <c r="AC31" i="24"/>
  <c r="I38" i="18" s="1"/>
  <c r="U34" i="5"/>
  <c r="V35" i="5"/>
  <c r="J37" i="5"/>
  <c r="BA34" i="24"/>
  <c r="P41" i="18" s="1"/>
  <c r="Q41" i="18" s="1"/>
  <c r="AO34" i="17"/>
  <c r="J41" i="5"/>
  <c r="AF39" i="24"/>
  <c r="L46" i="18" s="1"/>
  <c r="Y39" i="17"/>
  <c r="I43" i="5"/>
  <c r="Y47" i="17"/>
  <c r="I51" i="5"/>
  <c r="P52" i="24"/>
  <c r="L52" i="17"/>
  <c r="AD52" i="24"/>
  <c r="J59" i="18" s="1"/>
  <c r="W52" i="17"/>
  <c r="H59" i="5"/>
  <c r="V59" i="5"/>
  <c r="N53" i="24"/>
  <c r="K53" i="17"/>
  <c r="BC53" i="24"/>
  <c r="S60" i="18" s="1"/>
  <c r="T60" i="18" s="1"/>
  <c r="AP53" i="17"/>
  <c r="AL60" i="5"/>
  <c r="P54" i="24"/>
  <c r="L54" i="17"/>
  <c r="AD54" i="24"/>
  <c r="J61" i="18" s="1"/>
  <c r="H61" i="5"/>
  <c r="V61" i="5"/>
  <c r="N55" i="24"/>
  <c r="K55" i="17"/>
  <c r="AH62" i="5"/>
  <c r="BC55" i="24"/>
  <c r="S62" i="18" s="1"/>
  <c r="T62" i="18" s="1"/>
  <c r="AP55" i="17"/>
  <c r="E64" i="7"/>
  <c r="G57" i="24"/>
  <c r="F57" i="17"/>
  <c r="AG64" i="5"/>
  <c r="AH64" i="5" s="1"/>
  <c r="AD57" i="24"/>
  <c r="J64" i="18" s="1"/>
  <c r="W57" i="17"/>
  <c r="H64" i="5"/>
  <c r="J64" i="5" s="1"/>
  <c r="E66" i="7"/>
  <c r="F59" i="17"/>
  <c r="G59" i="24"/>
  <c r="I66" i="5"/>
  <c r="AG66" i="5"/>
  <c r="I10" i="17"/>
  <c r="AO12" i="17"/>
  <c r="AP13" i="17"/>
  <c r="I18" i="17"/>
  <c r="AO20" i="17"/>
  <c r="AP21" i="17"/>
  <c r="K25" i="17"/>
  <c r="AP25" i="17"/>
  <c r="H31" i="17"/>
  <c r="I52" i="17"/>
  <c r="V13" i="17"/>
  <c r="AC13" i="24"/>
  <c r="I20" i="18" s="1"/>
  <c r="V17" i="17"/>
  <c r="AC17" i="24"/>
  <c r="I24" i="18" s="1"/>
  <c r="V21" i="17"/>
  <c r="AC21" i="24"/>
  <c r="I28" i="18" s="1"/>
  <c r="E25" i="7"/>
  <c r="F24" i="17"/>
  <c r="G24" i="24"/>
  <c r="AC25" i="24"/>
  <c r="I32" i="18" s="1"/>
  <c r="V25" i="17"/>
  <c r="P27" i="24"/>
  <c r="L27" i="17"/>
  <c r="AD27" i="24"/>
  <c r="J34" i="18" s="1"/>
  <c r="W27" i="17"/>
  <c r="E32" i="7"/>
  <c r="F28" i="17"/>
  <c r="G28" i="24"/>
  <c r="BC28" i="24"/>
  <c r="S35" i="18" s="1"/>
  <c r="T35" i="18" s="1"/>
  <c r="AP28" i="17"/>
  <c r="P29" i="24"/>
  <c r="L29" i="17"/>
  <c r="N30" i="24"/>
  <c r="K30" i="17"/>
  <c r="BC30" i="24"/>
  <c r="S37" i="18" s="1"/>
  <c r="T37" i="18" s="1"/>
  <c r="AP30" i="17"/>
  <c r="P31" i="24"/>
  <c r="L31" i="17"/>
  <c r="S31" i="17" s="1"/>
  <c r="AB31" i="17" s="1"/>
  <c r="AI31" i="17" s="1"/>
  <c r="AD31" i="24"/>
  <c r="J38" i="18" s="1"/>
  <c r="W31" i="17"/>
  <c r="E36" i="7"/>
  <c r="F32" i="17"/>
  <c r="G32" i="24"/>
  <c r="N32" i="24"/>
  <c r="K32" i="17"/>
  <c r="BC32" i="24"/>
  <c r="S39" i="18" s="1"/>
  <c r="T39" i="18" s="1"/>
  <c r="AP32" i="17"/>
  <c r="AL36" i="5"/>
  <c r="P33" i="24"/>
  <c r="L33" i="17"/>
  <c r="AD33" i="24"/>
  <c r="J40" i="18" s="1"/>
  <c r="W33" i="17"/>
  <c r="N34" i="24"/>
  <c r="K34" i="17"/>
  <c r="BC34" i="24"/>
  <c r="S41" i="18" s="1"/>
  <c r="T41" i="18" s="1"/>
  <c r="AP34" i="17"/>
  <c r="P35" i="24"/>
  <c r="L35" i="17"/>
  <c r="AD35" i="24"/>
  <c r="J42" i="18" s="1"/>
  <c r="W35" i="17"/>
  <c r="N36" i="24"/>
  <c r="K36" i="17"/>
  <c r="BC36" i="24"/>
  <c r="S43" i="18" s="1"/>
  <c r="T43" i="18" s="1"/>
  <c r="AP36" i="17"/>
  <c r="P37" i="24"/>
  <c r="L37" i="17"/>
  <c r="AD37" i="24"/>
  <c r="J44" i="18" s="1"/>
  <c r="W37" i="17"/>
  <c r="E42" i="7"/>
  <c r="G38" i="24"/>
  <c r="N38" i="24"/>
  <c r="K38" i="17"/>
  <c r="BC38" i="24"/>
  <c r="S45" i="18" s="1"/>
  <c r="T45" i="18" s="1"/>
  <c r="AP38" i="17"/>
  <c r="AL42" i="5"/>
  <c r="L39" i="17"/>
  <c r="P39" i="24"/>
  <c r="BC40" i="24"/>
  <c r="S47" i="18" s="1"/>
  <c r="T47" i="18" s="1"/>
  <c r="AP40" i="17"/>
  <c r="L41" i="17"/>
  <c r="P41" i="24"/>
  <c r="AD41" i="24"/>
  <c r="J48" i="18" s="1"/>
  <c r="W41" i="17"/>
  <c r="E46" i="7"/>
  <c r="G42" i="24"/>
  <c r="N42" i="24"/>
  <c r="K42" i="17"/>
  <c r="BC42" i="24"/>
  <c r="S49" i="18" s="1"/>
  <c r="T49" i="18" s="1"/>
  <c r="AP42" i="17"/>
  <c r="P43" i="24"/>
  <c r="L43" i="17"/>
  <c r="E48" i="7"/>
  <c r="G44" i="24"/>
  <c r="F44" i="17"/>
  <c r="BC44" i="24"/>
  <c r="S51" i="18" s="1"/>
  <c r="T51" i="18" s="1"/>
  <c r="AP44" i="17"/>
  <c r="L45" i="17"/>
  <c r="P45" i="24"/>
  <c r="AD45" i="24"/>
  <c r="J52" i="18" s="1"/>
  <c r="W45" i="17"/>
  <c r="E50" i="7"/>
  <c r="G46" i="24"/>
  <c r="N46" i="24"/>
  <c r="K46" i="17"/>
  <c r="AP46" i="17"/>
  <c r="BC46" i="24"/>
  <c r="S53" i="18" s="1"/>
  <c r="T53" i="18" s="1"/>
  <c r="AL50" i="5"/>
  <c r="P47" i="24"/>
  <c r="L47" i="17"/>
  <c r="BA48" i="24"/>
  <c r="P55" i="18" s="1"/>
  <c r="Q55" i="18" s="1"/>
  <c r="AO48" i="17"/>
  <c r="BA50" i="24"/>
  <c r="P57" i="18" s="1"/>
  <c r="Q57" i="18" s="1"/>
  <c r="AO50" i="17"/>
  <c r="V51" i="17"/>
  <c r="AC51" i="24"/>
  <c r="I58" i="18" s="1"/>
  <c r="BA52" i="24"/>
  <c r="P59" i="18" s="1"/>
  <c r="Q59" i="18" s="1"/>
  <c r="AO52" i="17"/>
  <c r="AC53" i="24"/>
  <c r="I60" i="18" s="1"/>
  <c r="V53" i="17"/>
  <c r="BA54" i="24"/>
  <c r="P61" i="18" s="1"/>
  <c r="Q61" i="18" s="1"/>
  <c r="AO54" i="17"/>
  <c r="AC55" i="24"/>
  <c r="I62" i="18" s="1"/>
  <c r="V55" i="17"/>
  <c r="BA56" i="24"/>
  <c r="P63" i="18" s="1"/>
  <c r="Q63" i="18" s="1"/>
  <c r="AO56" i="17"/>
  <c r="BA58" i="24"/>
  <c r="P65" i="18" s="1"/>
  <c r="Q65" i="18" s="1"/>
  <c r="AO58" i="17"/>
  <c r="V59" i="17"/>
  <c r="AC59" i="24"/>
  <c r="I66" i="18" s="1"/>
  <c r="BA60" i="24"/>
  <c r="P67" i="18" s="1"/>
  <c r="Q67" i="18" s="1"/>
  <c r="AO60" i="17"/>
  <c r="AC61" i="24"/>
  <c r="I68" i="18" s="1"/>
  <c r="V61" i="17"/>
  <c r="BA62" i="24"/>
  <c r="P69" i="18" s="1"/>
  <c r="Q69" i="18" s="1"/>
  <c r="AO62" i="17"/>
  <c r="AC63" i="24"/>
  <c r="I70" i="18" s="1"/>
  <c r="V63" i="17"/>
  <c r="BA64" i="24"/>
  <c r="P71" i="18" s="1"/>
  <c r="Q71" i="18" s="1"/>
  <c r="AO64" i="17"/>
  <c r="BA66" i="24"/>
  <c r="P73" i="18" s="1"/>
  <c r="Q73" i="18" s="1"/>
  <c r="AO66" i="17"/>
  <c r="V67" i="17"/>
  <c r="AC67" i="24"/>
  <c r="I74" i="18" s="1"/>
  <c r="BA68" i="24"/>
  <c r="P75" i="18" s="1"/>
  <c r="Q75" i="18" s="1"/>
  <c r="AO68" i="17"/>
  <c r="K10" i="17"/>
  <c r="AO11" i="17"/>
  <c r="AP12" i="17"/>
  <c r="K14" i="17"/>
  <c r="AO15" i="17"/>
  <c r="AP16" i="17"/>
  <c r="K18" i="17"/>
  <c r="AO19" i="17"/>
  <c r="AP20" i="17"/>
  <c r="K22" i="17"/>
  <c r="AO23" i="17"/>
  <c r="K27" i="17"/>
  <c r="K29" i="17"/>
  <c r="K31" i="17"/>
  <c r="R31" i="17" s="1"/>
  <c r="AA31" i="17" s="1"/>
  <c r="AH31" i="17" s="1"/>
  <c r="K33" i="17"/>
  <c r="K35" i="17"/>
  <c r="K37" i="17"/>
  <c r="F38" i="17"/>
  <c r="K41" i="17"/>
  <c r="AO41" i="17"/>
  <c r="K44" i="17"/>
  <c r="F46" i="17"/>
  <c r="AO49" i="17"/>
  <c r="K52" i="17"/>
  <c r="K60" i="17"/>
  <c r="BC14" i="24"/>
  <c r="S21" i="18" s="1"/>
  <c r="T21" i="18" s="1"/>
  <c r="N24" i="24"/>
  <c r="E8" i="7"/>
  <c r="G7" i="24"/>
  <c r="F7" i="17"/>
  <c r="V8" i="17"/>
  <c r="AC8" i="24"/>
  <c r="I15" i="18" s="1"/>
  <c r="E12" i="7"/>
  <c r="V12" i="17"/>
  <c r="AC12" i="24"/>
  <c r="I19" i="18" s="1"/>
  <c r="E16" i="7"/>
  <c r="G15" i="24"/>
  <c r="F15" i="17"/>
  <c r="V16" i="17"/>
  <c r="AC16" i="24"/>
  <c r="I23" i="18" s="1"/>
  <c r="E20" i="7"/>
  <c r="G19" i="24"/>
  <c r="F19" i="17"/>
  <c r="V20" i="17"/>
  <c r="AC20" i="24"/>
  <c r="I27" i="18" s="1"/>
  <c r="V24" i="17"/>
  <c r="AC24" i="24"/>
  <c r="I31" i="18" s="1"/>
  <c r="P25" i="24"/>
  <c r="L25" i="17"/>
  <c r="J31" i="5"/>
  <c r="BA27" i="24"/>
  <c r="P34" i="18" s="1"/>
  <c r="Q34" i="18" s="1"/>
  <c r="AO27" i="17"/>
  <c r="V28" i="17"/>
  <c r="AC28" i="24"/>
  <c r="I35" i="18" s="1"/>
  <c r="BA29" i="24"/>
  <c r="P36" i="18" s="1"/>
  <c r="Q36" i="18" s="1"/>
  <c r="AO29" i="17"/>
  <c r="AC30" i="24"/>
  <c r="I37" i="18" s="1"/>
  <c r="V30" i="17"/>
  <c r="BA31" i="24"/>
  <c r="P38" i="18" s="1"/>
  <c r="Q38" i="18" s="1"/>
  <c r="AO31" i="17"/>
  <c r="AC32" i="24"/>
  <c r="I39" i="18" s="1"/>
  <c r="V32" i="17"/>
  <c r="BA33" i="24"/>
  <c r="P40" i="18" s="1"/>
  <c r="Q40" i="18" s="1"/>
  <c r="AO33" i="17"/>
  <c r="AC34" i="24"/>
  <c r="I41" i="18" s="1"/>
  <c r="V34" i="17"/>
  <c r="BA35" i="24"/>
  <c r="P42" i="18" s="1"/>
  <c r="Q42" i="18" s="1"/>
  <c r="AO35" i="17"/>
  <c r="AC36" i="24"/>
  <c r="I43" i="18" s="1"/>
  <c r="V36" i="17"/>
  <c r="AC38" i="24"/>
  <c r="I45" i="18" s="1"/>
  <c r="V38" i="17"/>
  <c r="BA39" i="24"/>
  <c r="P46" i="18" s="1"/>
  <c r="Q46" i="18" s="1"/>
  <c r="AO39" i="17"/>
  <c r="AH44" i="5"/>
  <c r="AC42" i="24"/>
  <c r="I49" i="18" s="1"/>
  <c r="V42" i="17"/>
  <c r="AH46" i="5"/>
  <c r="BA43" i="24"/>
  <c r="P50" i="18" s="1"/>
  <c r="Q50" i="18" s="1"/>
  <c r="AO43" i="17"/>
  <c r="AH48" i="5"/>
  <c r="AC46" i="24"/>
  <c r="I53" i="18" s="1"/>
  <c r="V46" i="17"/>
  <c r="AH50" i="5"/>
  <c r="BA47" i="24"/>
  <c r="P54" i="18" s="1"/>
  <c r="Q54" i="18" s="1"/>
  <c r="AO47" i="17"/>
  <c r="E55" i="7"/>
  <c r="G48" i="24"/>
  <c r="F48" i="17"/>
  <c r="BC48" i="24"/>
  <c r="S55" i="18" s="1"/>
  <c r="T55" i="18" s="1"/>
  <c r="AP48" i="17"/>
  <c r="N50" i="24"/>
  <c r="K50" i="17"/>
  <c r="BC50" i="24"/>
  <c r="S57" i="18" s="1"/>
  <c r="T57" i="18" s="1"/>
  <c r="AP50" i="17"/>
  <c r="P51" i="24"/>
  <c r="L51" i="17"/>
  <c r="U58" i="5"/>
  <c r="E59" i="7"/>
  <c r="G52" i="24"/>
  <c r="F52" i="17"/>
  <c r="BC52" i="24"/>
  <c r="S59" i="18" s="1"/>
  <c r="T59" i="18" s="1"/>
  <c r="AP52" i="17"/>
  <c r="P53" i="24"/>
  <c r="L53" i="17"/>
  <c r="N54" i="24"/>
  <c r="K54" i="17"/>
  <c r="BC54" i="24"/>
  <c r="S61" i="18" s="1"/>
  <c r="T61" i="18" s="1"/>
  <c r="AP54" i="17"/>
  <c r="P55" i="24"/>
  <c r="L55" i="17"/>
  <c r="U62" i="5"/>
  <c r="E63" i="7"/>
  <c r="G56" i="24"/>
  <c r="F56" i="17"/>
  <c r="N56" i="24"/>
  <c r="K56" i="17"/>
  <c r="BC56" i="24"/>
  <c r="S63" i="18" s="1"/>
  <c r="T63" i="18" s="1"/>
  <c r="AP56" i="17"/>
  <c r="P57" i="24"/>
  <c r="L57" i="17"/>
  <c r="N58" i="24"/>
  <c r="K58" i="17"/>
  <c r="BC58" i="24"/>
  <c r="S65" i="18" s="1"/>
  <c r="T65" i="18" s="1"/>
  <c r="AP58" i="17"/>
  <c r="P59" i="24"/>
  <c r="L59" i="17"/>
  <c r="E67" i="7"/>
  <c r="G60" i="24"/>
  <c r="F60" i="17"/>
  <c r="BC60" i="24"/>
  <c r="S67" i="18" s="1"/>
  <c r="T67" i="18" s="1"/>
  <c r="AP60" i="17"/>
  <c r="P61" i="24"/>
  <c r="L61" i="17"/>
  <c r="N62" i="24"/>
  <c r="K62" i="17"/>
  <c r="BC62" i="24"/>
  <c r="S69" i="18" s="1"/>
  <c r="T69" i="18" s="1"/>
  <c r="AP62" i="17"/>
  <c r="P63" i="24"/>
  <c r="L63" i="17"/>
  <c r="U70" i="5"/>
  <c r="N64" i="24"/>
  <c r="K64" i="17"/>
  <c r="BC64" i="24"/>
  <c r="S71" i="18" s="1"/>
  <c r="T71" i="18" s="1"/>
  <c r="AP64" i="17"/>
  <c r="P65" i="24"/>
  <c r="L65" i="17"/>
  <c r="E73" i="7"/>
  <c r="G66" i="24"/>
  <c r="N66" i="24"/>
  <c r="K66" i="17"/>
  <c r="BC66" i="24"/>
  <c r="S73" i="18" s="1"/>
  <c r="T73" i="18" s="1"/>
  <c r="AP66" i="17"/>
  <c r="AL73" i="5"/>
  <c r="P67" i="24"/>
  <c r="L67" i="17"/>
  <c r="E75" i="7"/>
  <c r="G68" i="24"/>
  <c r="F68" i="17"/>
  <c r="BC68" i="24"/>
  <c r="S75" i="18" s="1"/>
  <c r="T75" i="18" s="1"/>
  <c r="AP68" i="17"/>
  <c r="AH75" i="5"/>
  <c r="L6" i="17"/>
  <c r="AO6" i="17"/>
  <c r="L10" i="17"/>
  <c r="W10" i="17"/>
  <c r="AO10" i="17"/>
  <c r="AP11" i="17"/>
  <c r="L14" i="17"/>
  <c r="W14" i="17"/>
  <c r="AO14" i="17"/>
  <c r="AP15" i="17"/>
  <c r="L18" i="17"/>
  <c r="W18" i="17"/>
  <c r="AO18" i="17"/>
  <c r="AP19" i="17"/>
  <c r="L22" i="17"/>
  <c r="W22" i="17"/>
  <c r="AO22" i="17"/>
  <c r="AP23" i="17"/>
  <c r="AO26" i="17"/>
  <c r="V40" i="17"/>
  <c r="W43" i="17"/>
  <c r="V48" i="17"/>
  <c r="V57" i="17"/>
  <c r="AO61" i="17"/>
  <c r="V64" i="17"/>
  <c r="AD29" i="24"/>
  <c r="J36" i="18" s="1"/>
  <c r="P49" i="24"/>
  <c r="AC7" i="24"/>
  <c r="I14" i="18" s="1"/>
  <c r="V7" i="17"/>
  <c r="AC11" i="24"/>
  <c r="I18" i="18" s="1"/>
  <c r="V11" i="17"/>
  <c r="U13" i="5"/>
  <c r="E15" i="7"/>
  <c r="F14" i="17"/>
  <c r="G14" i="24"/>
  <c r="AC15" i="24"/>
  <c r="I22" i="18" s="1"/>
  <c r="V15" i="17"/>
  <c r="U17" i="5"/>
  <c r="V18" i="5"/>
  <c r="AC19" i="24"/>
  <c r="I26" i="18" s="1"/>
  <c r="V19" i="17"/>
  <c r="U21" i="5"/>
  <c r="AH21" i="5"/>
  <c r="V22" i="5"/>
  <c r="V23" i="17"/>
  <c r="AC23" i="24"/>
  <c r="I30" i="18" s="1"/>
  <c r="U25" i="5"/>
  <c r="BA25" i="24"/>
  <c r="P32" i="18" s="1"/>
  <c r="Q32" i="18" s="1"/>
  <c r="AO25" i="17"/>
  <c r="N26" i="24"/>
  <c r="K26" i="17"/>
  <c r="BC26" i="24"/>
  <c r="S33" i="18" s="1"/>
  <c r="T33" i="18" s="1"/>
  <c r="AP26" i="17"/>
  <c r="E31" i="7"/>
  <c r="F27" i="17"/>
  <c r="G27" i="24"/>
  <c r="AL31" i="5"/>
  <c r="E33" i="7"/>
  <c r="F29" i="17"/>
  <c r="G29" i="24"/>
  <c r="E35" i="7"/>
  <c r="G31" i="24"/>
  <c r="F31" i="17"/>
  <c r="Y31" i="24"/>
  <c r="AH31" i="24" s="1"/>
  <c r="AO31" i="24" s="1"/>
  <c r="AL35" i="5"/>
  <c r="E37" i="7"/>
  <c r="G33" i="24"/>
  <c r="F33" i="17"/>
  <c r="E39" i="7"/>
  <c r="G35" i="24"/>
  <c r="F35" i="17"/>
  <c r="AL39" i="5"/>
  <c r="E41" i="7"/>
  <c r="G37" i="24"/>
  <c r="F37" i="17"/>
  <c r="BC37" i="24"/>
  <c r="S44" i="18" s="1"/>
  <c r="T44" i="18" s="1"/>
  <c r="AP37" i="17"/>
  <c r="L38" i="17"/>
  <c r="P38" i="24"/>
  <c r="E43" i="7"/>
  <c r="G39" i="24"/>
  <c r="F39" i="17"/>
  <c r="K39" i="17"/>
  <c r="N39" i="24"/>
  <c r="BC39" i="24"/>
  <c r="S46" i="18" s="1"/>
  <c r="T46" i="18" s="1"/>
  <c r="AP39" i="17"/>
  <c r="AL43" i="5"/>
  <c r="L40" i="17"/>
  <c r="P40" i="24"/>
  <c r="BC41" i="24"/>
  <c r="S48" i="18" s="1"/>
  <c r="T48" i="18" s="1"/>
  <c r="AP41" i="17"/>
  <c r="L42" i="17"/>
  <c r="P42" i="24"/>
  <c r="K43" i="17"/>
  <c r="N43" i="24"/>
  <c r="BC43" i="24"/>
  <c r="S50" i="18" s="1"/>
  <c r="T50" i="18" s="1"/>
  <c r="AP43" i="17"/>
  <c r="P44" i="24"/>
  <c r="L44" i="17"/>
  <c r="BC45" i="24"/>
  <c r="S52" i="18" s="1"/>
  <c r="T52" i="18" s="1"/>
  <c r="AP45" i="17"/>
  <c r="L46" i="17"/>
  <c r="P46" i="24"/>
  <c r="E51" i="7"/>
  <c r="G47" i="24"/>
  <c r="F47" i="17"/>
  <c r="N47" i="24"/>
  <c r="K47" i="17"/>
  <c r="BC47" i="24"/>
  <c r="S54" i="18" s="1"/>
  <c r="T54" i="18" s="1"/>
  <c r="AP47" i="17"/>
  <c r="AL51" i="5"/>
  <c r="V56" i="5"/>
  <c r="AC50" i="24"/>
  <c r="I57" i="18" s="1"/>
  <c r="V50" i="17"/>
  <c r="BA51" i="24"/>
  <c r="P58" i="18" s="1"/>
  <c r="Q58" i="18" s="1"/>
  <c r="AO51" i="17"/>
  <c r="V58" i="5"/>
  <c r="V60" i="5"/>
  <c r="AC54" i="24"/>
  <c r="I61" i="18" s="1"/>
  <c r="V54" i="17"/>
  <c r="BA55" i="24"/>
  <c r="P62" i="18" s="1"/>
  <c r="Q62" i="18" s="1"/>
  <c r="AO55" i="17"/>
  <c r="V62" i="5"/>
  <c r="BA57" i="24"/>
  <c r="P64" i="18" s="1"/>
  <c r="Q64" i="18" s="1"/>
  <c r="AO57" i="17"/>
  <c r="V64" i="5"/>
  <c r="AC58" i="24"/>
  <c r="I65" i="18" s="1"/>
  <c r="V58" i="17"/>
  <c r="BA59" i="24"/>
  <c r="P66" i="18" s="1"/>
  <c r="Q66" i="18" s="1"/>
  <c r="AO59" i="17"/>
  <c r="V66" i="5"/>
  <c r="AC60" i="24"/>
  <c r="I67" i="18" s="1"/>
  <c r="V60" i="17"/>
  <c r="V68" i="5"/>
  <c r="AC62" i="24"/>
  <c r="I69" i="18" s="1"/>
  <c r="V62" i="17"/>
  <c r="BA63" i="24"/>
  <c r="P70" i="18" s="1"/>
  <c r="Q70" i="18" s="1"/>
  <c r="AO63" i="17"/>
  <c r="V70" i="5"/>
  <c r="BA65" i="24"/>
  <c r="P72" i="18" s="1"/>
  <c r="Q72" i="18" s="1"/>
  <c r="AO65" i="17"/>
  <c r="V72" i="5"/>
  <c r="AC66" i="24"/>
  <c r="I73" i="18" s="1"/>
  <c r="V66" i="17"/>
  <c r="BA67" i="24"/>
  <c r="P74" i="18" s="1"/>
  <c r="Q74" i="18" s="1"/>
  <c r="AO67" i="17"/>
  <c r="V74" i="5"/>
  <c r="AF68" i="24"/>
  <c r="L75" i="18" s="1"/>
  <c r="Y68" i="17"/>
  <c r="AC68" i="24"/>
  <c r="I75" i="18" s="1"/>
  <c r="V68" i="17"/>
  <c r="L9" i="17"/>
  <c r="AO9" i="17"/>
  <c r="AP10" i="17"/>
  <c r="K12" i="17"/>
  <c r="L13" i="17"/>
  <c r="AO13" i="17"/>
  <c r="K16" i="17"/>
  <c r="L17" i="17"/>
  <c r="AO17" i="17"/>
  <c r="AP18" i="17"/>
  <c r="K20" i="17"/>
  <c r="L21" i="17"/>
  <c r="AO21" i="17"/>
  <c r="AP22" i="17"/>
  <c r="AO37" i="17"/>
  <c r="K40" i="17"/>
  <c r="F42" i="17"/>
  <c r="K45" i="17"/>
  <c r="AO45" i="17"/>
  <c r="K48" i="17"/>
  <c r="K68" i="17"/>
  <c r="R69" i="17"/>
  <c r="AA69" i="17" s="1"/>
  <c r="AH69" i="17" s="1"/>
  <c r="AJ69" i="17" s="1"/>
  <c r="S69" i="17"/>
  <c r="AB69" i="17" s="1"/>
  <c r="AI69" i="17" s="1"/>
  <c r="N28" i="24"/>
  <c r="V19" i="9"/>
  <c r="E18" i="5" s="1"/>
  <c r="W20" i="9"/>
  <c r="W23" i="9"/>
  <c r="V23" i="9"/>
  <c r="E21" i="5" s="1"/>
  <c r="AH23" i="9"/>
  <c r="W65" i="9"/>
  <c r="V63" i="9"/>
  <c r="E49" i="5" s="1"/>
  <c r="AL25" i="5" s="1"/>
  <c r="W73" i="9"/>
  <c r="V73" i="9"/>
  <c r="E56" i="5" s="1"/>
  <c r="W68" i="17"/>
  <c r="W10" i="9"/>
  <c r="V10" i="9"/>
  <c r="E11" i="5" s="1"/>
  <c r="AH10" i="9"/>
  <c r="W14" i="9"/>
  <c r="V14" i="9"/>
  <c r="E13" i="5" s="1"/>
  <c r="W53" i="9"/>
  <c r="V52" i="9"/>
  <c r="E45" i="5" s="1"/>
  <c r="W27" i="9"/>
  <c r="V27" i="9"/>
  <c r="E23" i="5" s="1"/>
  <c r="W45" i="9"/>
  <c r="V45" i="9"/>
  <c r="E38" i="5" s="1"/>
  <c r="AH45" i="9"/>
  <c r="W47" i="9"/>
  <c r="V47" i="9"/>
  <c r="E40" i="5" s="1"/>
  <c r="W51" i="9"/>
  <c r="V51" i="9"/>
  <c r="E44" i="5" s="1"/>
  <c r="W6" i="9"/>
  <c r="V6" i="9"/>
  <c r="E7" i="5" s="1"/>
  <c r="W35" i="9"/>
  <c r="V35" i="9"/>
  <c r="E27" i="5" s="1"/>
  <c r="W41" i="9"/>
  <c r="V41" i="9"/>
  <c r="E34" i="5" s="1"/>
  <c r="W75" i="9"/>
  <c r="V75" i="9"/>
  <c r="E57" i="5" s="1"/>
  <c r="AL57" i="5" s="1"/>
  <c r="W79" i="9"/>
  <c r="V79" i="9"/>
  <c r="E61" i="5" s="1"/>
  <c r="AL37" i="5" s="1"/>
  <c r="W83" i="9"/>
  <c r="V83" i="9"/>
  <c r="E65" i="5" s="1"/>
  <c r="W87" i="9"/>
  <c r="V87" i="9"/>
  <c r="E69" i="5" s="1"/>
  <c r="W92" i="9"/>
  <c r="V92" i="9"/>
  <c r="E71" i="5" s="1"/>
  <c r="W18" i="9"/>
  <c r="V18" i="9"/>
  <c r="E17" i="5" s="1"/>
  <c r="W21" i="9"/>
  <c r="V21" i="9"/>
  <c r="E19" i="5" s="1"/>
  <c r="V29" i="9"/>
  <c r="E24" i="5" s="1"/>
  <c r="V57" i="9"/>
  <c r="E47" i="5" s="1"/>
  <c r="V95" i="9"/>
  <c r="E72" i="5" s="1"/>
  <c r="AL48" i="5" s="1"/>
  <c r="W9" i="9"/>
  <c r="W17" i="9"/>
  <c r="W44" i="9"/>
  <c r="W52" i="9"/>
  <c r="H68" i="17" l="1"/>
  <c r="I68" i="24"/>
  <c r="Y68" i="24" s="1"/>
  <c r="AH68" i="24" s="1"/>
  <c r="AO68" i="24" s="1"/>
  <c r="I47" i="24"/>
  <c r="H47" i="17"/>
  <c r="P47" i="17" s="1"/>
  <c r="Y34" i="18"/>
  <c r="Z34" i="18" s="1"/>
  <c r="W47" i="24"/>
  <c r="N21" i="17"/>
  <c r="I68" i="15"/>
  <c r="K68" i="15" s="1"/>
  <c r="AB64" i="5" s="1"/>
  <c r="J68" i="15"/>
  <c r="L68" i="15" s="1"/>
  <c r="AC64" i="5" s="1"/>
  <c r="I25" i="15"/>
  <c r="K25" i="15" s="1"/>
  <c r="AB23" i="5" s="1"/>
  <c r="J25" i="15"/>
  <c r="L25" i="15" s="1"/>
  <c r="AC23" i="5" s="1"/>
  <c r="I65" i="15"/>
  <c r="K65" i="15" s="1"/>
  <c r="AB61" i="5" s="1"/>
  <c r="J65" i="15"/>
  <c r="L65" i="15" s="1"/>
  <c r="AC61" i="5" s="1"/>
  <c r="I26" i="15"/>
  <c r="K26" i="15" s="1"/>
  <c r="AB24" i="5" s="1"/>
  <c r="J26" i="15"/>
  <c r="L26" i="15" s="1"/>
  <c r="AC24" i="5" s="1"/>
  <c r="I74" i="15"/>
  <c r="K74" i="15" s="1"/>
  <c r="AB70" i="5" s="1"/>
  <c r="J74" i="15"/>
  <c r="L74" i="15" s="1"/>
  <c r="AC70" i="5" s="1"/>
  <c r="I58" i="15"/>
  <c r="K58" i="15" s="1"/>
  <c r="J58" i="15"/>
  <c r="L58" i="15" s="1"/>
  <c r="AE68" i="18"/>
  <c r="AF68" i="18" s="1"/>
  <c r="AI9" i="5"/>
  <c r="I72" i="15"/>
  <c r="K72" i="15" s="1"/>
  <c r="AB68" i="5" s="1"/>
  <c r="J72" i="15"/>
  <c r="L72" i="15" s="1"/>
  <c r="AC68" i="5" s="1"/>
  <c r="I69" i="15"/>
  <c r="K69" i="15" s="1"/>
  <c r="AB65" i="5" s="1"/>
  <c r="J69" i="15"/>
  <c r="L69" i="15" s="1"/>
  <c r="AC65" i="5" s="1"/>
  <c r="I62" i="15"/>
  <c r="K62" i="15" s="1"/>
  <c r="AB59" i="5" s="1"/>
  <c r="J62" i="15"/>
  <c r="L62" i="15" s="1"/>
  <c r="AC59" i="5" s="1"/>
  <c r="AM69" i="17"/>
  <c r="X68" i="17"/>
  <c r="S47" i="17"/>
  <c r="AB47" i="17" s="1"/>
  <c r="AI47" i="17" s="1"/>
  <c r="AL46" i="5"/>
  <c r="AL62" i="5"/>
  <c r="G63" i="24"/>
  <c r="E92" i="5"/>
  <c r="R68" i="17"/>
  <c r="AA68" i="17" s="1"/>
  <c r="AH68" i="17" s="1"/>
  <c r="R47" i="17"/>
  <c r="AA47" i="17" s="1"/>
  <c r="AH47" i="17" s="1"/>
  <c r="F11" i="17"/>
  <c r="Y42" i="18"/>
  <c r="Z42" i="18" s="1"/>
  <c r="AF47" i="24"/>
  <c r="L54" i="18" s="1"/>
  <c r="F55" i="17"/>
  <c r="AD56" i="24"/>
  <c r="J63" i="18" s="1"/>
  <c r="V68" i="18"/>
  <c r="W68" i="18" s="1"/>
  <c r="F51" i="17"/>
  <c r="I156" i="6"/>
  <c r="S114" i="6"/>
  <c r="J16" i="15"/>
  <c r="L16" i="15" s="1"/>
  <c r="M6" i="17"/>
  <c r="I11" i="15"/>
  <c r="K11" i="15" s="1"/>
  <c r="AB12" i="5" s="1"/>
  <c r="N11" i="17" s="1"/>
  <c r="I60" i="15"/>
  <c r="K60" i="15" s="1"/>
  <c r="AB57" i="5" s="1"/>
  <c r="J60" i="15"/>
  <c r="L60" i="15" s="1"/>
  <c r="AC57" i="5" s="1"/>
  <c r="I77" i="15"/>
  <c r="K77" i="15" s="1"/>
  <c r="AB72" i="5" s="1"/>
  <c r="J77" i="15"/>
  <c r="L77" i="15" s="1"/>
  <c r="AC72" i="5" s="1"/>
  <c r="I61" i="15"/>
  <c r="K61" i="15" s="1"/>
  <c r="AB58" i="5" s="1"/>
  <c r="J61" i="15"/>
  <c r="L61" i="15" s="1"/>
  <c r="AC58" i="5" s="1"/>
  <c r="I22" i="15"/>
  <c r="K22" i="15" s="1"/>
  <c r="J22" i="15"/>
  <c r="L22" i="15" s="1"/>
  <c r="AL70" i="5"/>
  <c r="I70" i="15"/>
  <c r="K70" i="15" s="1"/>
  <c r="AB66" i="5" s="1"/>
  <c r="J70" i="15"/>
  <c r="L70" i="15" s="1"/>
  <c r="AC66" i="5" s="1"/>
  <c r="I31" i="15"/>
  <c r="K31" i="15" s="1"/>
  <c r="J31" i="15"/>
  <c r="L31" i="15" s="1"/>
  <c r="I29" i="15"/>
  <c r="K29" i="15" s="1"/>
  <c r="AB26" i="5" s="1"/>
  <c r="J29" i="15"/>
  <c r="L29" i="15" s="1"/>
  <c r="AC26" i="5" s="1"/>
  <c r="I30" i="15"/>
  <c r="K30" i="15" s="1"/>
  <c r="AB27" i="5" s="1"/>
  <c r="J30" i="15"/>
  <c r="L30" i="15" s="1"/>
  <c r="AC27" i="5" s="1"/>
  <c r="I78" i="15"/>
  <c r="K78" i="15" s="1"/>
  <c r="AB73" i="5" s="1"/>
  <c r="J78" i="15"/>
  <c r="L78" i="15" s="1"/>
  <c r="AC73" i="5" s="1"/>
  <c r="I23" i="15"/>
  <c r="K23" i="15" s="1"/>
  <c r="AB21" i="5" s="1"/>
  <c r="J23" i="15"/>
  <c r="L23" i="15" s="1"/>
  <c r="AC21" i="5" s="1"/>
  <c r="O53" i="17"/>
  <c r="W56" i="17"/>
  <c r="E91" i="5"/>
  <c r="R39" i="17"/>
  <c r="AA39" i="17" s="1"/>
  <c r="AH39" i="17" s="1"/>
  <c r="G11" i="24"/>
  <c r="I143" i="6"/>
  <c r="I148" i="6" s="1"/>
  <c r="I149" i="6" s="1"/>
  <c r="H152" i="6" s="1"/>
  <c r="Y75" i="18"/>
  <c r="Z75" i="18" s="1"/>
  <c r="P68" i="17"/>
  <c r="I73" i="15"/>
  <c r="K73" i="15" s="1"/>
  <c r="AB69" i="5" s="1"/>
  <c r="J73" i="15"/>
  <c r="L73" i="15" s="1"/>
  <c r="AC69" i="5" s="1"/>
  <c r="I66" i="15"/>
  <c r="K66" i="15" s="1"/>
  <c r="AB62" i="5" s="1"/>
  <c r="J66" i="15"/>
  <c r="L66" i="15" s="1"/>
  <c r="AC62" i="5" s="1"/>
  <c r="I27" i="15"/>
  <c r="K27" i="15" s="1"/>
  <c r="AB25" i="5" s="1"/>
  <c r="J27" i="15"/>
  <c r="L27" i="15" s="1"/>
  <c r="AC25" i="5" s="1"/>
  <c r="V75" i="18"/>
  <c r="W75" i="18" s="1"/>
  <c r="I144" i="6"/>
  <c r="I57" i="24"/>
  <c r="Y57" i="24" s="1"/>
  <c r="AH57" i="24" s="1"/>
  <c r="AO57" i="24" s="1"/>
  <c r="H57" i="17"/>
  <c r="AE25" i="24"/>
  <c r="K32" i="18" s="1"/>
  <c r="X25" i="17"/>
  <c r="R12" i="24"/>
  <c r="AM13" i="5"/>
  <c r="M12" i="17"/>
  <c r="AJ13" i="5"/>
  <c r="AI13" i="5"/>
  <c r="R28" i="24"/>
  <c r="M28" i="17"/>
  <c r="AM32" i="5"/>
  <c r="R57" i="24"/>
  <c r="M57" i="17"/>
  <c r="T57" i="17" s="1"/>
  <c r="AC57" i="17" s="1"/>
  <c r="AJ57" i="17" s="1"/>
  <c r="AM64" i="5"/>
  <c r="AI64" i="5"/>
  <c r="AJ64" i="5"/>
  <c r="AM14" i="5"/>
  <c r="R13" i="24"/>
  <c r="M13" i="17"/>
  <c r="AI14" i="5"/>
  <c r="AJ14" i="5"/>
  <c r="E17" i="7"/>
  <c r="F16" i="17"/>
  <c r="G16" i="24"/>
  <c r="AL65" i="5"/>
  <c r="AL17" i="5"/>
  <c r="J17" i="5"/>
  <c r="E40" i="7"/>
  <c r="F36" i="17"/>
  <c r="G36" i="24"/>
  <c r="AL16" i="5"/>
  <c r="AL40" i="5"/>
  <c r="R24" i="24"/>
  <c r="AM25" i="5"/>
  <c r="M24" i="17"/>
  <c r="AD16" i="24"/>
  <c r="J23" i="18" s="1"/>
  <c r="H17" i="5"/>
  <c r="W16" i="17"/>
  <c r="V17" i="5"/>
  <c r="R40" i="24"/>
  <c r="M40" i="17"/>
  <c r="AM44" i="5"/>
  <c r="R32" i="24"/>
  <c r="M32" i="17"/>
  <c r="AM36" i="5"/>
  <c r="I59" i="24"/>
  <c r="H59" i="17"/>
  <c r="AF54" i="24"/>
  <c r="L61" i="18" s="1"/>
  <c r="Y54" i="17"/>
  <c r="I37" i="24"/>
  <c r="H37" i="17"/>
  <c r="S37" i="17" s="1"/>
  <c r="AB37" i="17" s="1"/>
  <c r="AI37" i="17" s="1"/>
  <c r="AE23" i="24"/>
  <c r="K30" i="18" s="1"/>
  <c r="X23" i="17"/>
  <c r="R49" i="24"/>
  <c r="M49" i="17"/>
  <c r="AM56" i="5"/>
  <c r="X15" i="17"/>
  <c r="AE15" i="24"/>
  <c r="K22" i="18" s="1"/>
  <c r="J19" i="17"/>
  <c r="L19" i="24"/>
  <c r="AH20" i="5"/>
  <c r="AF64" i="24"/>
  <c r="L71" i="18" s="1"/>
  <c r="Y64" i="17"/>
  <c r="AF62" i="24"/>
  <c r="L69" i="18" s="1"/>
  <c r="Y62" i="17"/>
  <c r="AE19" i="24"/>
  <c r="K26" i="18" s="1"/>
  <c r="X19" i="17"/>
  <c r="I21" i="15"/>
  <c r="K21" i="15" s="1"/>
  <c r="J21" i="15"/>
  <c r="L21" i="15" s="1"/>
  <c r="J44" i="15"/>
  <c r="L44" i="15" s="1"/>
  <c r="AC42" i="5" s="1"/>
  <c r="I44" i="15"/>
  <c r="K44" i="15" s="1"/>
  <c r="AB42" i="5" s="1"/>
  <c r="H33" i="24"/>
  <c r="G33" i="17"/>
  <c r="V45" i="24"/>
  <c r="O45" i="17"/>
  <c r="H35" i="24"/>
  <c r="G35" i="17"/>
  <c r="O114" i="6"/>
  <c r="E13" i="7"/>
  <c r="F12" i="17"/>
  <c r="G12" i="24"/>
  <c r="AL61" i="5"/>
  <c r="AL13" i="5"/>
  <c r="AE21" i="24"/>
  <c r="K28" i="18" s="1"/>
  <c r="X21" i="17"/>
  <c r="L71" i="17"/>
  <c r="L72" i="17" s="1"/>
  <c r="L70" i="17"/>
  <c r="AD63" i="24"/>
  <c r="J70" i="18" s="1"/>
  <c r="H70" i="5"/>
  <c r="W63" i="17"/>
  <c r="S57" i="17"/>
  <c r="AB57" i="17" s="1"/>
  <c r="AI57" i="17" s="1"/>
  <c r="R42" i="24"/>
  <c r="AM46" i="5"/>
  <c r="M42" i="17"/>
  <c r="R30" i="24"/>
  <c r="M30" i="17"/>
  <c r="AM34" i="5"/>
  <c r="AL32" i="5"/>
  <c r="AL52" i="5" s="1"/>
  <c r="AD30" i="24"/>
  <c r="J37" i="18" s="1"/>
  <c r="H34" i="5"/>
  <c r="V34" i="5"/>
  <c r="W30" i="17"/>
  <c r="I19" i="15"/>
  <c r="K19" i="15" s="1"/>
  <c r="AB18" i="5" s="1"/>
  <c r="J19" i="15"/>
  <c r="L19" i="15" s="1"/>
  <c r="AC18" i="5" s="1"/>
  <c r="L47" i="24"/>
  <c r="J47" i="17"/>
  <c r="Q47" i="17" s="1"/>
  <c r="AD47" i="17" s="1"/>
  <c r="AK47" i="17" s="1"/>
  <c r="AN47" i="17" s="1"/>
  <c r="AH51" i="5"/>
  <c r="Y59" i="24"/>
  <c r="AH59" i="24" s="1"/>
  <c r="AO59" i="24" s="1"/>
  <c r="H37" i="24"/>
  <c r="G37" i="17"/>
  <c r="AE35" i="24"/>
  <c r="K42" i="18" s="1"/>
  <c r="X35" i="17"/>
  <c r="H27" i="24"/>
  <c r="G27" i="17"/>
  <c r="AD9" i="24"/>
  <c r="J16" i="18" s="1"/>
  <c r="W9" i="17"/>
  <c r="H10" i="5"/>
  <c r="AE50" i="24"/>
  <c r="K57" i="18" s="1"/>
  <c r="X50" i="17"/>
  <c r="AE27" i="24"/>
  <c r="K34" i="18" s="1"/>
  <c r="X27" i="17"/>
  <c r="AE26" i="24"/>
  <c r="K33" i="18" s="1"/>
  <c r="X26" i="17"/>
  <c r="V10" i="5"/>
  <c r="W39" i="24"/>
  <c r="J29" i="17"/>
  <c r="L29" i="24"/>
  <c r="AH33" i="5"/>
  <c r="AD17" i="24"/>
  <c r="J24" i="18" s="1"/>
  <c r="W17" i="17"/>
  <c r="H18" i="5"/>
  <c r="J17" i="17"/>
  <c r="L17" i="24"/>
  <c r="R14" i="24"/>
  <c r="M14" i="17"/>
  <c r="AM15" i="5"/>
  <c r="W37" i="24"/>
  <c r="J31" i="17"/>
  <c r="Q31" i="17" s="1"/>
  <c r="AD31" i="17" s="1"/>
  <c r="AK31" i="17" s="1"/>
  <c r="AN31" i="17" s="1"/>
  <c r="L31" i="24"/>
  <c r="AH35" i="5"/>
  <c r="I70" i="17"/>
  <c r="I73" i="17" s="1"/>
  <c r="I71" i="17"/>
  <c r="I72" i="17" s="1"/>
  <c r="AE60" i="24"/>
  <c r="K67" i="18" s="1"/>
  <c r="X60" i="17"/>
  <c r="AF49" i="24"/>
  <c r="L56" i="18" s="1"/>
  <c r="Y49" i="17"/>
  <c r="X47" i="17"/>
  <c r="AE47" i="24"/>
  <c r="K54" i="18" s="1"/>
  <c r="H31" i="24"/>
  <c r="Y38" i="18" s="1"/>
  <c r="Z38" i="18" s="1"/>
  <c r="G31" i="17"/>
  <c r="AE29" i="24"/>
  <c r="K36" i="18" s="1"/>
  <c r="X29" i="17"/>
  <c r="AD13" i="24"/>
  <c r="J20" i="18" s="1"/>
  <c r="W13" i="17"/>
  <c r="H14" i="5"/>
  <c r="R9" i="24"/>
  <c r="AM10" i="5"/>
  <c r="M9" i="17"/>
  <c r="I17" i="15"/>
  <c r="K17" i="15" s="1"/>
  <c r="AB16" i="5" s="1"/>
  <c r="J17" i="15"/>
  <c r="L17" i="15" s="1"/>
  <c r="AC16" i="5" s="1"/>
  <c r="J33" i="15"/>
  <c r="L33" i="15" s="1"/>
  <c r="AC32" i="5" s="1"/>
  <c r="I33" i="15"/>
  <c r="K33" i="15" s="1"/>
  <c r="AB32" i="5" s="1"/>
  <c r="J37" i="15"/>
  <c r="L37" i="15" s="1"/>
  <c r="AC36" i="5" s="1"/>
  <c r="I37" i="15"/>
  <c r="K37" i="15" s="1"/>
  <c r="AB36" i="5" s="1"/>
  <c r="J41" i="15"/>
  <c r="L41" i="15" s="1"/>
  <c r="AC39" i="5" s="1"/>
  <c r="I41" i="15"/>
  <c r="K41" i="15" s="1"/>
  <c r="AB39" i="5" s="1"/>
  <c r="J45" i="15"/>
  <c r="L45" i="15" s="1"/>
  <c r="AC43" i="5" s="1"/>
  <c r="I45" i="15"/>
  <c r="K45" i="15" s="1"/>
  <c r="AB43" i="5" s="1"/>
  <c r="J81" i="15"/>
  <c r="L81" i="15" s="1"/>
  <c r="AC75" i="5" s="1"/>
  <c r="I81" i="15"/>
  <c r="K81" i="15" s="1"/>
  <c r="AB75" i="5" s="1"/>
  <c r="J50" i="15"/>
  <c r="L50" i="15" s="1"/>
  <c r="AC47" i="5" s="1"/>
  <c r="I50" i="15"/>
  <c r="K50" i="15" s="1"/>
  <c r="AB47" i="5" s="1"/>
  <c r="P57" i="17"/>
  <c r="L45" i="24"/>
  <c r="J45" i="17"/>
  <c r="AH49" i="5"/>
  <c r="L24" i="24"/>
  <c r="J24" i="17"/>
  <c r="J20" i="17"/>
  <c r="L20" i="24"/>
  <c r="AJ15" i="5"/>
  <c r="O111" i="6"/>
  <c r="AF59" i="24"/>
  <c r="L66" i="18" s="1"/>
  <c r="Y59" i="17"/>
  <c r="V16" i="24"/>
  <c r="O16" i="17"/>
  <c r="V12" i="24"/>
  <c r="O12" i="17"/>
  <c r="J25" i="17"/>
  <c r="L25" i="24"/>
  <c r="T45" i="24"/>
  <c r="N45" i="17"/>
  <c r="N8" i="17"/>
  <c r="T8" i="24"/>
  <c r="J32" i="17"/>
  <c r="L32" i="24"/>
  <c r="T13" i="24"/>
  <c r="N13" i="17"/>
  <c r="L44" i="24"/>
  <c r="J44" i="17"/>
  <c r="E69" i="7"/>
  <c r="G62" i="24"/>
  <c r="F62" i="17"/>
  <c r="J69" i="5"/>
  <c r="I69" i="5"/>
  <c r="E34" i="7"/>
  <c r="G30" i="24"/>
  <c r="F30" i="17"/>
  <c r="I34" i="5"/>
  <c r="AL34" i="5"/>
  <c r="J34" i="5"/>
  <c r="AL10" i="5"/>
  <c r="E11" i="7"/>
  <c r="F10" i="17"/>
  <c r="G10" i="24"/>
  <c r="AL59" i="5"/>
  <c r="J11" i="5"/>
  <c r="I11" i="5"/>
  <c r="AL11" i="5"/>
  <c r="E21" i="7"/>
  <c r="F20" i="17"/>
  <c r="G20" i="24"/>
  <c r="AL69" i="5"/>
  <c r="AL21" i="5"/>
  <c r="AE13" i="24"/>
  <c r="K20" i="18" s="1"/>
  <c r="X13" i="17"/>
  <c r="Z59" i="24"/>
  <c r="AI59" i="24" s="1"/>
  <c r="AQ59" i="24" s="1"/>
  <c r="AF57" i="24"/>
  <c r="L64" i="18" s="1"/>
  <c r="Y57" i="17"/>
  <c r="R55" i="24"/>
  <c r="M55" i="17"/>
  <c r="AM62" i="5"/>
  <c r="H47" i="24"/>
  <c r="M54" i="18" s="1"/>
  <c r="N54" i="18" s="1"/>
  <c r="G47" i="17"/>
  <c r="AE31" i="24"/>
  <c r="K38" i="18" s="1"/>
  <c r="X31" i="17"/>
  <c r="L18" i="24"/>
  <c r="J18" i="17"/>
  <c r="AH19" i="5"/>
  <c r="L10" i="24"/>
  <c r="J10" i="17"/>
  <c r="AH11" i="5"/>
  <c r="R8" i="24"/>
  <c r="AM9" i="5"/>
  <c r="M8" i="17"/>
  <c r="AI62" i="5"/>
  <c r="J13" i="17"/>
  <c r="L13" i="24"/>
  <c r="W25" i="17"/>
  <c r="H26" i="5"/>
  <c r="AD25" i="24"/>
  <c r="J32" i="18" s="1"/>
  <c r="AD8" i="24"/>
  <c r="J15" i="18" s="1"/>
  <c r="H9" i="5"/>
  <c r="W8" i="17"/>
  <c r="V9" i="5"/>
  <c r="L66" i="24"/>
  <c r="J66" i="17"/>
  <c r="AH73" i="5"/>
  <c r="L43" i="24"/>
  <c r="J43" i="17"/>
  <c r="AH47" i="5"/>
  <c r="J33" i="17"/>
  <c r="L33" i="24"/>
  <c r="AE40" i="18" s="1"/>
  <c r="AF40" i="18" s="1"/>
  <c r="AH37" i="5"/>
  <c r="P37" i="17"/>
  <c r="J16" i="17"/>
  <c r="L16" i="24"/>
  <c r="L49" i="24"/>
  <c r="J49" i="17"/>
  <c r="AD38" i="24"/>
  <c r="J45" i="18" s="1"/>
  <c r="W38" i="17"/>
  <c r="H42" i="5"/>
  <c r="V42" i="5"/>
  <c r="AE11" i="24"/>
  <c r="K18" i="18" s="1"/>
  <c r="X11" i="17"/>
  <c r="AF10" i="24"/>
  <c r="L17" i="18" s="1"/>
  <c r="Y10" i="17"/>
  <c r="J32" i="15"/>
  <c r="L32" i="15" s="1"/>
  <c r="AC31" i="5" s="1"/>
  <c r="I32" i="15"/>
  <c r="K32" i="15" s="1"/>
  <c r="J40" i="15"/>
  <c r="L40" i="15" s="1"/>
  <c r="I40" i="15"/>
  <c r="K40" i="15" s="1"/>
  <c r="D86" i="15" s="1"/>
  <c r="J49" i="15"/>
  <c r="L49" i="15" s="1"/>
  <c r="AC46" i="5" s="1"/>
  <c r="I49" i="15"/>
  <c r="K49" i="15" s="1"/>
  <c r="AB46" i="5" s="1"/>
  <c r="AJ25" i="5"/>
  <c r="J38" i="17"/>
  <c r="L38" i="24"/>
  <c r="J64" i="17"/>
  <c r="AH71" i="5"/>
  <c r="L64" i="24"/>
  <c r="N10" i="17"/>
  <c r="T10" i="24"/>
  <c r="V8" i="24"/>
  <c r="O8" i="17"/>
  <c r="J36" i="17"/>
  <c r="L36" i="24"/>
  <c r="V102" i="16"/>
  <c r="X101" i="16"/>
  <c r="R26" i="24"/>
  <c r="M26" i="17"/>
  <c r="AM27" i="5"/>
  <c r="E23" i="7"/>
  <c r="G22" i="24"/>
  <c r="F22" i="17"/>
  <c r="AL71" i="5"/>
  <c r="J23" i="5"/>
  <c r="I23" i="5"/>
  <c r="AL23" i="5"/>
  <c r="AE63" i="24"/>
  <c r="K70" i="18" s="1"/>
  <c r="X63" i="17"/>
  <c r="AE59" i="24"/>
  <c r="K66" i="18" s="1"/>
  <c r="X59" i="17"/>
  <c r="AD24" i="24"/>
  <c r="J31" i="18" s="1"/>
  <c r="H25" i="5"/>
  <c r="V25" i="5"/>
  <c r="W24" i="17"/>
  <c r="E19" i="7"/>
  <c r="F18" i="17"/>
  <c r="G18" i="24"/>
  <c r="AL67" i="5"/>
  <c r="J19" i="5"/>
  <c r="I19" i="5"/>
  <c r="AL19" i="5"/>
  <c r="E71" i="7"/>
  <c r="G64" i="24"/>
  <c r="F64" i="17"/>
  <c r="J71" i="5"/>
  <c r="I71" i="5"/>
  <c r="E65" i="7"/>
  <c r="G58" i="24"/>
  <c r="F58" i="17"/>
  <c r="J65" i="5"/>
  <c r="I65" i="5"/>
  <c r="E57" i="7"/>
  <c r="G50" i="24"/>
  <c r="F50" i="17"/>
  <c r="J57" i="5"/>
  <c r="I57" i="5"/>
  <c r="E27" i="7"/>
  <c r="G26" i="24"/>
  <c r="F26" i="17"/>
  <c r="J27" i="5"/>
  <c r="I27" i="5"/>
  <c r="AL75" i="5"/>
  <c r="AL27" i="5"/>
  <c r="E44" i="7"/>
  <c r="G40" i="24"/>
  <c r="F40" i="17"/>
  <c r="AL20" i="5"/>
  <c r="AL44" i="5"/>
  <c r="AE65" i="24"/>
  <c r="K72" i="18" s="1"/>
  <c r="X65" i="17"/>
  <c r="AE61" i="24"/>
  <c r="K68" i="18" s="1"/>
  <c r="X61" i="17"/>
  <c r="AE57" i="24"/>
  <c r="K64" i="18" s="1"/>
  <c r="X57" i="17"/>
  <c r="AE53" i="24"/>
  <c r="K60" i="18" s="1"/>
  <c r="X53" i="17"/>
  <c r="AL33" i="5"/>
  <c r="R20" i="24"/>
  <c r="AM21" i="5"/>
  <c r="M20" i="17"/>
  <c r="AE17" i="24"/>
  <c r="K24" i="18" s="1"/>
  <c r="X17" i="17"/>
  <c r="AD12" i="24"/>
  <c r="J19" i="18" s="1"/>
  <c r="H13" i="5"/>
  <c r="V13" i="5"/>
  <c r="W12" i="17"/>
  <c r="R68" i="24"/>
  <c r="AB75" i="18" s="1"/>
  <c r="AC75" i="18" s="1"/>
  <c r="M68" i="17"/>
  <c r="T68" i="17" s="1"/>
  <c r="AC68" i="17" s="1"/>
  <c r="AJ68" i="17" s="1"/>
  <c r="AM75" i="5"/>
  <c r="AD55" i="24"/>
  <c r="J62" i="18" s="1"/>
  <c r="W55" i="17"/>
  <c r="H62" i="5"/>
  <c r="AD51" i="24"/>
  <c r="J58" i="18" s="1"/>
  <c r="W51" i="17"/>
  <c r="H58" i="5"/>
  <c r="R44" i="24"/>
  <c r="M44" i="17"/>
  <c r="AM48" i="5"/>
  <c r="AH40" i="5"/>
  <c r="Z47" i="24"/>
  <c r="AI47" i="24" s="1"/>
  <c r="AQ47" i="24" s="1"/>
  <c r="Z39" i="24"/>
  <c r="AI39" i="24" s="1"/>
  <c r="AQ39" i="24" s="1"/>
  <c r="Z37" i="24"/>
  <c r="AI37" i="24" s="1"/>
  <c r="AQ37" i="24" s="1"/>
  <c r="Z31" i="24"/>
  <c r="AI31" i="24" s="1"/>
  <c r="AQ31" i="24" s="1"/>
  <c r="L59" i="24"/>
  <c r="J59" i="17"/>
  <c r="Q59" i="17" s="1"/>
  <c r="AD59" i="17" s="1"/>
  <c r="AK59" i="17" s="1"/>
  <c r="AE52" i="24"/>
  <c r="K59" i="18" s="1"/>
  <c r="X52" i="17"/>
  <c r="R25" i="24"/>
  <c r="AM26" i="5"/>
  <c r="M25" i="17"/>
  <c r="AF23" i="24"/>
  <c r="L30" i="18" s="1"/>
  <c r="Y23" i="17"/>
  <c r="AD21" i="24"/>
  <c r="J28" i="18" s="1"/>
  <c r="W21" i="17"/>
  <c r="H22" i="5"/>
  <c r="AF14" i="24"/>
  <c r="L21" i="18" s="1"/>
  <c r="I15" i="5"/>
  <c r="Y14" i="17"/>
  <c r="I6" i="15"/>
  <c r="K6" i="15" s="1"/>
  <c r="AB8" i="5" s="1"/>
  <c r="J6" i="15"/>
  <c r="L6" i="15" s="1"/>
  <c r="AC8" i="5" s="1"/>
  <c r="P59" i="17"/>
  <c r="AF67" i="24"/>
  <c r="L74" i="18" s="1"/>
  <c r="Y67" i="17"/>
  <c r="H61" i="24"/>
  <c r="M68" i="18" s="1"/>
  <c r="N68" i="18" s="1"/>
  <c r="G61" i="17"/>
  <c r="AD34" i="24"/>
  <c r="J41" i="18" s="1"/>
  <c r="H38" i="5"/>
  <c r="W34" i="17"/>
  <c r="V38" i="5"/>
  <c r="AE10" i="24"/>
  <c r="K17" i="18" s="1"/>
  <c r="X10" i="17"/>
  <c r="AE66" i="24"/>
  <c r="K73" i="18" s="1"/>
  <c r="X66" i="17"/>
  <c r="L53" i="24"/>
  <c r="J53" i="17"/>
  <c r="R51" i="24"/>
  <c r="M51" i="17"/>
  <c r="AM58" i="5"/>
  <c r="AF50" i="24"/>
  <c r="L57" i="18" s="1"/>
  <c r="Y50" i="17"/>
  <c r="AD44" i="24"/>
  <c r="J51" i="18" s="1"/>
  <c r="W44" i="17"/>
  <c r="H48" i="5"/>
  <c r="V48" i="5"/>
  <c r="AF43" i="24"/>
  <c r="L50" i="18" s="1"/>
  <c r="Y43" i="17"/>
  <c r="AE37" i="24"/>
  <c r="K44" i="18" s="1"/>
  <c r="X37" i="17"/>
  <c r="AE33" i="24"/>
  <c r="K40" i="18" s="1"/>
  <c r="X33" i="17"/>
  <c r="AI21" i="5"/>
  <c r="AF15" i="24"/>
  <c r="L22" i="18" s="1"/>
  <c r="Y15" i="17"/>
  <c r="J16" i="5"/>
  <c r="I16" i="5"/>
  <c r="J15" i="17"/>
  <c r="L15" i="24"/>
  <c r="AH16" i="5"/>
  <c r="AE56" i="24"/>
  <c r="K63" i="18" s="1"/>
  <c r="X56" i="17"/>
  <c r="X43" i="17"/>
  <c r="AE43" i="24"/>
  <c r="K50" i="18" s="1"/>
  <c r="R21" i="24"/>
  <c r="AM22" i="5"/>
  <c r="M21" i="17"/>
  <c r="AE18" i="24"/>
  <c r="K25" i="18" s="1"/>
  <c r="X18" i="17"/>
  <c r="Q14" i="17"/>
  <c r="AD14" i="17" s="1"/>
  <c r="AK14" i="17" s="1"/>
  <c r="P31" i="17"/>
  <c r="J27" i="17"/>
  <c r="L27" i="24"/>
  <c r="AE34" i="18" s="1"/>
  <c r="AF34" i="18" s="1"/>
  <c r="AH31" i="5"/>
  <c r="S68" i="17"/>
  <c r="AB68" i="17" s="1"/>
  <c r="AI68" i="17" s="1"/>
  <c r="I74" i="5"/>
  <c r="AE62" i="24"/>
  <c r="K69" i="18" s="1"/>
  <c r="X62" i="17"/>
  <c r="R61" i="24"/>
  <c r="M61" i="17"/>
  <c r="AM68" i="5"/>
  <c r="AF60" i="24"/>
  <c r="L67" i="18" s="1"/>
  <c r="Y60" i="17"/>
  <c r="J67" i="5"/>
  <c r="I67" i="5"/>
  <c r="AD46" i="24"/>
  <c r="J53" i="18" s="1"/>
  <c r="W46" i="17"/>
  <c r="H50" i="5"/>
  <c r="V50" i="5"/>
  <c r="I35" i="24"/>
  <c r="Z35" i="24" s="1"/>
  <c r="AI35" i="24" s="1"/>
  <c r="AQ35" i="24" s="1"/>
  <c r="H35" i="17"/>
  <c r="P35" i="17" s="1"/>
  <c r="AD28" i="24"/>
  <c r="J35" i="18" s="1"/>
  <c r="H32" i="5"/>
  <c r="W28" i="17"/>
  <c r="V32" i="5"/>
  <c r="AI25" i="5"/>
  <c r="AF19" i="24"/>
  <c r="L26" i="18" s="1"/>
  <c r="Y19" i="17"/>
  <c r="J20" i="5"/>
  <c r="I20" i="5"/>
  <c r="AH18" i="5"/>
  <c r="AE14" i="24"/>
  <c r="K21" i="18" s="1"/>
  <c r="X14" i="17"/>
  <c r="AF11" i="24"/>
  <c r="L18" i="18" s="1"/>
  <c r="Y11" i="17"/>
  <c r="J12" i="5"/>
  <c r="I12" i="5"/>
  <c r="I57" i="15"/>
  <c r="K57" i="15" s="1"/>
  <c r="J57" i="15"/>
  <c r="L57" i="15" s="1"/>
  <c r="AC55" i="5" s="1"/>
  <c r="J34" i="15"/>
  <c r="L34" i="15" s="1"/>
  <c r="AC33" i="5" s="1"/>
  <c r="I34" i="15"/>
  <c r="K34" i="15" s="1"/>
  <c r="AB33" i="5" s="1"/>
  <c r="J38" i="15"/>
  <c r="L38" i="15" s="1"/>
  <c r="AC37" i="5" s="1"/>
  <c r="I38" i="15"/>
  <c r="K38" i="15" s="1"/>
  <c r="AB37" i="5" s="1"/>
  <c r="J42" i="15"/>
  <c r="L42" i="15" s="1"/>
  <c r="AC40" i="5" s="1"/>
  <c r="I42" i="15"/>
  <c r="K42" i="15" s="1"/>
  <c r="AB40" i="5" s="1"/>
  <c r="J46" i="15"/>
  <c r="L46" i="15" s="1"/>
  <c r="AC44" i="5" s="1"/>
  <c r="I46" i="15"/>
  <c r="K46" i="15" s="1"/>
  <c r="AB44" i="5" s="1"/>
  <c r="J82" i="15"/>
  <c r="L82" i="15" s="1"/>
  <c r="I82" i="15"/>
  <c r="K82" i="15" s="1"/>
  <c r="D88" i="15" s="1"/>
  <c r="F85" i="15" s="1"/>
  <c r="G85" i="15" s="1"/>
  <c r="J51" i="15"/>
  <c r="L51" i="15" s="1"/>
  <c r="I51" i="15"/>
  <c r="K51" i="15" s="1"/>
  <c r="AE58" i="24"/>
  <c r="K65" i="18" s="1"/>
  <c r="X58" i="17"/>
  <c r="J42" i="17"/>
  <c r="L42" i="24"/>
  <c r="L48" i="24"/>
  <c r="J48" i="17"/>
  <c r="AH55" i="5"/>
  <c r="N16" i="17"/>
  <c r="T16" i="24"/>
  <c r="N12" i="17"/>
  <c r="T12" i="24"/>
  <c r="J21" i="17"/>
  <c r="L21" i="24"/>
  <c r="X14" i="16"/>
  <c r="V15" i="16"/>
  <c r="X5" i="16"/>
  <c r="X6" i="16" s="1"/>
  <c r="W5" i="16"/>
  <c r="W6" i="16" s="1"/>
  <c r="J34" i="17"/>
  <c r="L34" i="24"/>
  <c r="R22" i="24"/>
  <c r="M22" i="17"/>
  <c r="AM23" i="5"/>
  <c r="V18" i="24"/>
  <c r="O18" i="17"/>
  <c r="L68" i="24"/>
  <c r="AE75" i="18" s="1"/>
  <c r="AF75" i="18" s="1"/>
  <c r="J68" i="17"/>
  <c r="Q68" i="17" s="1"/>
  <c r="AD68" i="17" s="1"/>
  <c r="AK68" i="17" s="1"/>
  <c r="W68" i="24"/>
  <c r="AJ9" i="5"/>
  <c r="J30" i="17"/>
  <c r="L30" i="24"/>
  <c r="J9" i="17"/>
  <c r="L9" i="24"/>
  <c r="V13" i="24"/>
  <c r="O13" i="17"/>
  <c r="E47" i="7"/>
  <c r="G43" i="24"/>
  <c r="F43" i="17"/>
  <c r="AL47" i="5"/>
  <c r="J47" i="5"/>
  <c r="I47" i="5"/>
  <c r="E61" i="7"/>
  <c r="G54" i="24"/>
  <c r="F54" i="17"/>
  <c r="J61" i="5"/>
  <c r="I61" i="5"/>
  <c r="E7" i="7"/>
  <c r="F6" i="17"/>
  <c r="G6" i="24"/>
  <c r="E90" i="5"/>
  <c r="J7" i="5"/>
  <c r="AL55" i="5"/>
  <c r="I7" i="5"/>
  <c r="AL7" i="5"/>
  <c r="AE49" i="24"/>
  <c r="K56" i="18" s="1"/>
  <c r="X49" i="17"/>
  <c r="R37" i="17"/>
  <c r="AA37" i="17" s="1"/>
  <c r="AH37" i="17" s="1"/>
  <c r="I64" i="5"/>
  <c r="H39" i="24"/>
  <c r="M46" i="18" s="1"/>
  <c r="N46" i="18" s="1"/>
  <c r="G39" i="17"/>
  <c r="AF29" i="24"/>
  <c r="L36" i="18" s="1"/>
  <c r="Y29" i="17"/>
  <c r="I33" i="5"/>
  <c r="I55" i="15"/>
  <c r="K55" i="15" s="1"/>
  <c r="AB50" i="5" s="1"/>
  <c r="J55" i="15"/>
  <c r="L55" i="15" s="1"/>
  <c r="AC50" i="5" s="1"/>
  <c r="R59" i="17"/>
  <c r="AA59" i="17" s="1"/>
  <c r="AH59" i="17" s="1"/>
  <c r="I53" i="24"/>
  <c r="W53" i="24" s="1"/>
  <c r="H53" i="17"/>
  <c r="P53" i="17" s="1"/>
  <c r="AF48" i="24"/>
  <c r="L55" i="18" s="1"/>
  <c r="Y48" i="17"/>
  <c r="W55" i="5"/>
  <c r="W56" i="5" s="1"/>
  <c r="W57" i="5" s="1"/>
  <c r="J55" i="5"/>
  <c r="I55" i="5"/>
  <c r="AE45" i="24"/>
  <c r="K52" i="18" s="1"/>
  <c r="X45" i="17"/>
  <c r="AD40" i="24"/>
  <c r="J47" i="18" s="1"/>
  <c r="W40" i="17"/>
  <c r="H44" i="5"/>
  <c r="I44" i="5" s="1"/>
  <c r="V44" i="5"/>
  <c r="J33" i="5"/>
  <c r="J62" i="17"/>
  <c r="L62" i="24"/>
  <c r="AH69" i="5"/>
  <c r="L39" i="24"/>
  <c r="AE46" i="18" s="1"/>
  <c r="AF46" i="18" s="1"/>
  <c r="J39" i="17"/>
  <c r="Q39" i="17" s="1"/>
  <c r="AD39" i="17" s="1"/>
  <c r="AK39" i="17" s="1"/>
  <c r="AH43" i="5"/>
  <c r="K71" i="17"/>
  <c r="K72" i="17" s="1"/>
  <c r="K70" i="17"/>
  <c r="J35" i="17"/>
  <c r="Q35" i="17" s="1"/>
  <c r="AD35" i="17" s="1"/>
  <c r="AK35" i="17" s="1"/>
  <c r="L35" i="24"/>
  <c r="AE42" i="18" s="1"/>
  <c r="AF42" i="18" s="1"/>
  <c r="AH39" i="5"/>
  <c r="R65" i="24"/>
  <c r="M65" i="17"/>
  <c r="AM72" i="5"/>
  <c r="J36" i="15"/>
  <c r="L36" i="15" s="1"/>
  <c r="AC35" i="5" s="1"/>
  <c r="I36" i="15"/>
  <c r="K36" i="15" s="1"/>
  <c r="AB35" i="5" s="1"/>
  <c r="J80" i="15"/>
  <c r="L80" i="15" s="1"/>
  <c r="AC74" i="5" s="1"/>
  <c r="I80" i="15"/>
  <c r="K80" i="15" s="1"/>
  <c r="AJ56" i="5"/>
  <c r="J12" i="17"/>
  <c r="L12" i="24"/>
  <c r="L28" i="24"/>
  <c r="J28" i="17"/>
  <c r="N14" i="17"/>
  <c r="T14" i="24"/>
  <c r="T47" i="24"/>
  <c r="N47" i="17"/>
  <c r="Z47" i="17" s="1"/>
  <c r="AE47" i="17" s="1"/>
  <c r="AL47" i="17" s="1"/>
  <c r="V11" i="24"/>
  <c r="O11" i="17"/>
  <c r="E24" i="7"/>
  <c r="F23" i="17"/>
  <c r="G23" i="24"/>
  <c r="AL24" i="5"/>
  <c r="J24" i="5"/>
  <c r="I24" i="5"/>
  <c r="AL72" i="5"/>
  <c r="E49" i="7"/>
  <c r="G45" i="24"/>
  <c r="F45" i="17"/>
  <c r="AL49" i="5"/>
  <c r="J49" i="5"/>
  <c r="I49" i="5"/>
  <c r="AE67" i="24"/>
  <c r="K74" i="18" s="1"/>
  <c r="X67" i="17"/>
  <c r="AE55" i="24"/>
  <c r="K62" i="18" s="1"/>
  <c r="X55" i="17"/>
  <c r="Y47" i="24"/>
  <c r="AH47" i="24" s="1"/>
  <c r="AO47" i="24" s="1"/>
  <c r="E72" i="7"/>
  <c r="G65" i="24"/>
  <c r="F65" i="17"/>
  <c r="J72" i="5"/>
  <c r="I72" i="5"/>
  <c r="E38" i="7"/>
  <c r="F34" i="17"/>
  <c r="G34" i="24"/>
  <c r="I38" i="5"/>
  <c r="AL38" i="5"/>
  <c r="E45" i="7"/>
  <c r="G41" i="24"/>
  <c r="F41" i="17"/>
  <c r="AL45" i="5"/>
  <c r="J45" i="5"/>
  <c r="I45" i="5"/>
  <c r="E56" i="7"/>
  <c r="G49" i="24"/>
  <c r="F49" i="17"/>
  <c r="J56" i="5"/>
  <c r="I56" i="5"/>
  <c r="AL56" i="5"/>
  <c r="E18" i="7"/>
  <c r="F17" i="17"/>
  <c r="G17" i="24"/>
  <c r="J18" i="5"/>
  <c r="I18" i="5"/>
  <c r="AL18" i="5"/>
  <c r="AL66" i="5"/>
  <c r="AE51" i="24"/>
  <c r="K58" i="18" s="1"/>
  <c r="X51" i="17"/>
  <c r="Y39" i="24"/>
  <c r="AH39" i="24" s="1"/>
  <c r="AO39" i="24" s="1"/>
  <c r="AL41" i="5"/>
  <c r="AD20" i="24"/>
  <c r="J27" i="18" s="1"/>
  <c r="H21" i="5"/>
  <c r="W20" i="17"/>
  <c r="V21" i="5"/>
  <c r="AH17" i="5"/>
  <c r="S59" i="17"/>
  <c r="AB59" i="17" s="1"/>
  <c r="AI59" i="17" s="1"/>
  <c r="R46" i="24"/>
  <c r="M46" i="17"/>
  <c r="AM50" i="5"/>
  <c r="AH42" i="5"/>
  <c r="R34" i="24"/>
  <c r="M34" i="17"/>
  <c r="AM38" i="5"/>
  <c r="I27" i="24"/>
  <c r="W27" i="24" s="1"/>
  <c r="H27" i="17"/>
  <c r="R27" i="17" s="1"/>
  <c r="AA27" i="17" s="1"/>
  <c r="AH27" i="17" s="1"/>
  <c r="I14" i="24"/>
  <c r="H14" i="17"/>
  <c r="S14" i="17" s="1"/>
  <c r="AB14" i="17" s="1"/>
  <c r="AI14" i="17" s="1"/>
  <c r="S39" i="17"/>
  <c r="AB39" i="17" s="1"/>
  <c r="AI39" i="17" s="1"/>
  <c r="H59" i="24"/>
  <c r="M66" i="18" s="1"/>
  <c r="N66" i="18" s="1"/>
  <c r="G59" i="17"/>
  <c r="L57" i="24"/>
  <c r="J57" i="17"/>
  <c r="Q57" i="17" s="1"/>
  <c r="AD57" i="17" s="1"/>
  <c r="AK57" i="17" s="1"/>
  <c r="AN57" i="17" s="1"/>
  <c r="AE54" i="24"/>
  <c r="K61" i="18" s="1"/>
  <c r="X54" i="17"/>
  <c r="R53" i="24"/>
  <c r="M53" i="17"/>
  <c r="AM60" i="5"/>
  <c r="AF52" i="24"/>
  <c r="L59" i="18" s="1"/>
  <c r="Y52" i="17"/>
  <c r="J59" i="5"/>
  <c r="I59" i="5"/>
  <c r="I33" i="24"/>
  <c r="H33" i="17"/>
  <c r="P33" i="17" s="1"/>
  <c r="AE22" i="24"/>
  <c r="K29" i="18" s="1"/>
  <c r="X22" i="17"/>
  <c r="Y6" i="17"/>
  <c r="W7" i="5"/>
  <c r="AF6" i="24"/>
  <c r="L13" i="18" s="1"/>
  <c r="E93" i="15"/>
  <c r="H90" i="15" s="1"/>
  <c r="J5" i="15"/>
  <c r="L5" i="15" s="1"/>
  <c r="AC7" i="5" s="1"/>
  <c r="I5" i="15"/>
  <c r="K5" i="15" s="1"/>
  <c r="AB7" i="5" s="1"/>
  <c r="W59" i="24"/>
  <c r="AI27" i="5"/>
  <c r="AF61" i="24"/>
  <c r="L68" i="18" s="1"/>
  <c r="Y61" i="17"/>
  <c r="J68" i="5"/>
  <c r="AH66" i="5"/>
  <c r="R67" i="24"/>
  <c r="M67" i="17"/>
  <c r="AM74" i="5"/>
  <c r="AF66" i="24"/>
  <c r="L73" i="18" s="1"/>
  <c r="Y66" i="17"/>
  <c r="J73" i="5"/>
  <c r="I73" i="5"/>
  <c r="Y53" i="17"/>
  <c r="AF53" i="24"/>
  <c r="L60" i="18" s="1"/>
  <c r="I60" i="5"/>
  <c r="AE48" i="24"/>
  <c r="K55" i="18" s="1"/>
  <c r="X48" i="17"/>
  <c r="AE41" i="24"/>
  <c r="K48" i="18" s="1"/>
  <c r="X41" i="17"/>
  <c r="AD36" i="24"/>
  <c r="J43" i="18" s="1"/>
  <c r="H40" i="5"/>
  <c r="W36" i="17"/>
  <c r="V40" i="5"/>
  <c r="AD32" i="24"/>
  <c r="J39" i="18" s="1"/>
  <c r="H36" i="5"/>
  <c r="V36" i="5"/>
  <c r="W32" i="17"/>
  <c r="AF18" i="24"/>
  <c r="L25" i="18" s="1"/>
  <c r="Y18" i="17"/>
  <c r="L58" i="24"/>
  <c r="J58" i="17"/>
  <c r="AH65" i="5"/>
  <c r="J54" i="17"/>
  <c r="AH61" i="5"/>
  <c r="L54" i="24"/>
  <c r="L50" i="24"/>
  <c r="J50" i="17"/>
  <c r="AH57" i="5"/>
  <c r="J11" i="17"/>
  <c r="L11" i="24"/>
  <c r="AH12" i="5"/>
  <c r="AF56" i="24"/>
  <c r="L63" i="18" s="1"/>
  <c r="Y56" i="17"/>
  <c r="J63" i="5"/>
  <c r="I63" i="5"/>
  <c r="AD42" i="24"/>
  <c r="J49" i="18" s="1"/>
  <c r="H46" i="5"/>
  <c r="V46" i="5"/>
  <c r="W42" i="17"/>
  <c r="X14" i="24"/>
  <c r="AK14" i="24" s="1"/>
  <c r="AU14" i="24" s="1"/>
  <c r="J37" i="17"/>
  <c r="Q37" i="17" s="1"/>
  <c r="AD37" i="17" s="1"/>
  <c r="AK37" i="17" s="1"/>
  <c r="L37" i="24"/>
  <c r="AE44" i="18" s="1"/>
  <c r="AF44" i="18" s="1"/>
  <c r="AH41" i="5"/>
  <c r="P27" i="17"/>
  <c r="J23" i="17"/>
  <c r="L23" i="24"/>
  <c r="AH24" i="5"/>
  <c r="Z68" i="24"/>
  <c r="AI68" i="24" s="1"/>
  <c r="AQ68" i="24" s="1"/>
  <c r="J74" i="5"/>
  <c r="AF65" i="24"/>
  <c r="L72" i="18" s="1"/>
  <c r="Y65" i="17"/>
  <c r="AE64" i="24"/>
  <c r="K71" i="18" s="1"/>
  <c r="X64" i="17"/>
  <c r="R63" i="24"/>
  <c r="M63" i="17"/>
  <c r="AM70" i="5"/>
  <c r="AE39" i="24"/>
  <c r="K46" i="18" s="1"/>
  <c r="X39" i="17"/>
  <c r="Y7" i="17"/>
  <c r="X8" i="5"/>
  <c r="AF7" i="24"/>
  <c r="L14" i="18" s="1"/>
  <c r="W8" i="5"/>
  <c r="J8" i="5"/>
  <c r="I8" i="5"/>
  <c r="AE6" i="24"/>
  <c r="K13" i="18" s="1"/>
  <c r="X6" i="17"/>
  <c r="I53" i="15"/>
  <c r="K53" i="15" s="1"/>
  <c r="J53" i="15"/>
  <c r="L53" i="15" s="1"/>
  <c r="I8" i="15"/>
  <c r="K8" i="15" s="1"/>
  <c r="J8" i="15"/>
  <c r="L8" i="15" s="1"/>
  <c r="AC10" i="5" s="1"/>
  <c r="J35" i="15"/>
  <c r="L35" i="15" s="1"/>
  <c r="AC34" i="5" s="1"/>
  <c r="I35" i="15"/>
  <c r="K35" i="15" s="1"/>
  <c r="AB34" i="5" s="1"/>
  <c r="J39" i="15"/>
  <c r="L39" i="15" s="1"/>
  <c r="AC38" i="5" s="1"/>
  <c r="I39" i="15"/>
  <c r="K39" i="15" s="1"/>
  <c r="AB38" i="5" s="1"/>
  <c r="J43" i="15"/>
  <c r="L43" i="15" s="1"/>
  <c r="AC41" i="5" s="1"/>
  <c r="I43" i="15"/>
  <c r="K43" i="15" s="1"/>
  <c r="AB41" i="5" s="1"/>
  <c r="J47" i="15"/>
  <c r="L47" i="15" s="1"/>
  <c r="I47" i="15"/>
  <c r="K47" i="15" s="1"/>
  <c r="J48" i="15"/>
  <c r="L48" i="15" s="1"/>
  <c r="I48" i="15"/>
  <c r="K48" i="15" s="1"/>
  <c r="AI60" i="5"/>
  <c r="AI56" i="5"/>
  <c r="AI49" i="5"/>
  <c r="AF58" i="24"/>
  <c r="L65" i="18" s="1"/>
  <c r="Y58" i="17"/>
  <c r="R57" i="17"/>
  <c r="AA57" i="17" s="1"/>
  <c r="AH57" i="17" s="1"/>
  <c r="L46" i="24"/>
  <c r="J46" i="17"/>
  <c r="L60" i="24"/>
  <c r="J60" i="17"/>
  <c r="AH67" i="5"/>
  <c r="L56" i="24"/>
  <c r="J56" i="17"/>
  <c r="AH63" i="5"/>
  <c r="L52" i="24"/>
  <c r="J52" i="17"/>
  <c r="AH59" i="5"/>
  <c r="L41" i="24"/>
  <c r="J41" i="17"/>
  <c r="AH45" i="5"/>
  <c r="J7" i="17"/>
  <c r="L7" i="24"/>
  <c r="AH8" i="5"/>
  <c r="V14" i="24"/>
  <c r="O14" i="17"/>
  <c r="V10" i="24"/>
  <c r="O10" i="17"/>
  <c r="L40" i="24"/>
  <c r="J40" i="17"/>
  <c r="V46" i="16"/>
  <c r="X45" i="16"/>
  <c r="I162" i="6"/>
  <c r="I163" i="6" s="1"/>
  <c r="H166" i="6" s="1"/>
  <c r="N18" i="17"/>
  <c r="T18" i="24"/>
  <c r="J8" i="17"/>
  <c r="L8" i="24"/>
  <c r="V47" i="24"/>
  <c r="AB47" i="24" s="1"/>
  <c r="O47" i="17"/>
  <c r="U47" i="17" s="1"/>
  <c r="X190" i="16"/>
  <c r="V191" i="16"/>
  <c r="AE66" i="18" l="1"/>
  <c r="AF66" i="18" s="1"/>
  <c r="Z57" i="24"/>
  <c r="AI57" i="24" s="1"/>
  <c r="AQ57" i="24" s="1"/>
  <c r="M34" i="18"/>
  <c r="N34" i="18" s="1"/>
  <c r="V34" i="18"/>
  <c r="W34" i="18" s="1"/>
  <c r="M44" i="18"/>
  <c r="N44" i="18" s="1"/>
  <c r="V44" i="18"/>
  <c r="W44" i="18" s="1"/>
  <c r="AE54" i="18"/>
  <c r="AF54" i="18" s="1"/>
  <c r="S33" i="17"/>
  <c r="AB33" i="17" s="1"/>
  <c r="AI33" i="17" s="1"/>
  <c r="V55" i="24"/>
  <c r="O55" i="17"/>
  <c r="T66" i="24"/>
  <c r="N66" i="17"/>
  <c r="T25" i="24"/>
  <c r="N25" i="17"/>
  <c r="V59" i="24"/>
  <c r="AB59" i="24" s="1"/>
  <c r="O59" i="17"/>
  <c r="U59" i="17" s="1"/>
  <c r="T65" i="24"/>
  <c r="N65" i="17"/>
  <c r="Y54" i="18"/>
  <c r="Z54" i="18" s="1"/>
  <c r="Y68" i="18"/>
  <c r="Z68" i="18" s="1"/>
  <c r="N52" i="17"/>
  <c r="T52" i="24"/>
  <c r="N61" i="17"/>
  <c r="T61" i="24"/>
  <c r="AH68" i="18" s="1"/>
  <c r="AI68" i="18" s="1"/>
  <c r="O23" i="17"/>
  <c r="V23" i="24"/>
  <c r="V22" i="24"/>
  <c r="AI23" i="5"/>
  <c r="AJ23" i="5"/>
  <c r="O22" i="17"/>
  <c r="AE24" i="18"/>
  <c r="AF24" i="18" s="1"/>
  <c r="N24" i="17"/>
  <c r="T24" i="24"/>
  <c r="O66" i="17"/>
  <c r="V66" i="24"/>
  <c r="V65" i="24"/>
  <c r="O65" i="17"/>
  <c r="AJ68" i="5"/>
  <c r="V61" i="24"/>
  <c r="O61" i="17"/>
  <c r="N54" i="17"/>
  <c r="T54" i="24"/>
  <c r="T57" i="24"/>
  <c r="N57" i="17"/>
  <c r="Z57" i="17" s="1"/>
  <c r="AE57" i="17" s="1"/>
  <c r="AL57" i="17" s="1"/>
  <c r="Z53" i="17"/>
  <c r="AE53" i="17" s="1"/>
  <c r="AL53" i="17" s="1"/>
  <c r="T11" i="24"/>
  <c r="AI72" i="5"/>
  <c r="AC45" i="5"/>
  <c r="O41" i="17" s="1"/>
  <c r="AN37" i="17"/>
  <c r="T53" i="17"/>
  <c r="AC53" i="17" s="1"/>
  <c r="AJ53" i="17" s="1"/>
  <c r="U53" i="17"/>
  <c r="R53" i="17"/>
  <c r="AA53" i="17" s="1"/>
  <c r="AH53" i="17" s="1"/>
  <c r="AB68" i="18"/>
  <c r="AC68" i="18" s="1"/>
  <c r="AE38" i="18"/>
  <c r="AF38" i="18" s="1"/>
  <c r="S53" i="17"/>
  <c r="AB53" i="17" s="1"/>
  <c r="AI53" i="17" s="1"/>
  <c r="M42" i="18"/>
  <c r="N42" i="18" s="1"/>
  <c r="V42" i="18"/>
  <c r="W42" i="18" s="1"/>
  <c r="M40" i="18"/>
  <c r="N40" i="18" s="1"/>
  <c r="V40" i="18"/>
  <c r="W40" i="18" s="1"/>
  <c r="AC20" i="5"/>
  <c r="T55" i="24"/>
  <c r="N55" i="17"/>
  <c r="V20" i="24"/>
  <c r="AJ21" i="5"/>
  <c r="O20" i="17"/>
  <c r="O26" i="17"/>
  <c r="AJ27" i="5"/>
  <c r="V26" i="24"/>
  <c r="N59" i="17"/>
  <c r="Z59" i="17" s="1"/>
  <c r="AE59" i="17" s="1"/>
  <c r="AL59" i="17" s="1"/>
  <c r="T59" i="24"/>
  <c r="V51" i="24"/>
  <c r="O51" i="17"/>
  <c r="AJ58" i="5"/>
  <c r="AI58" i="5"/>
  <c r="O50" i="17"/>
  <c r="V50" i="24"/>
  <c r="Y40" i="18"/>
  <c r="Z40" i="18" s="1"/>
  <c r="Y44" i="18"/>
  <c r="Z44" i="18" s="1"/>
  <c r="V46" i="18"/>
  <c r="W46" i="18" s="1"/>
  <c r="V66" i="18"/>
  <c r="W66" i="18" s="1"/>
  <c r="O58" i="17"/>
  <c r="V58" i="24"/>
  <c r="N23" i="17"/>
  <c r="T23" i="24"/>
  <c r="T22" i="24"/>
  <c r="AH29" i="18" s="1"/>
  <c r="AI29" i="18" s="1"/>
  <c r="N22" i="17"/>
  <c r="AJ62" i="5"/>
  <c r="M38" i="18"/>
  <c r="N38" i="18" s="1"/>
  <c r="V38" i="18"/>
  <c r="W38" i="18" s="1"/>
  <c r="N62" i="17"/>
  <c r="T62" i="24"/>
  <c r="AJ26" i="5"/>
  <c r="V25" i="24"/>
  <c r="O25" i="17"/>
  <c r="V52" i="24"/>
  <c r="O52" i="17"/>
  <c r="T63" i="24"/>
  <c r="N63" i="17"/>
  <c r="AH25" i="18"/>
  <c r="AI25" i="18" s="1"/>
  <c r="AI68" i="5"/>
  <c r="AE18" i="18"/>
  <c r="AF18" i="18" s="1"/>
  <c r="AH54" i="18"/>
  <c r="AI54" i="18" s="1"/>
  <c r="AJ72" i="5"/>
  <c r="U14" i="17"/>
  <c r="AB74" i="18"/>
  <c r="AC74" i="18" s="1"/>
  <c r="Z27" i="24"/>
  <c r="AI27" i="24" s="1"/>
  <c r="AQ27" i="24" s="1"/>
  <c r="AI26" i="5"/>
  <c r="W57" i="24"/>
  <c r="W35" i="24"/>
  <c r="E85" i="15"/>
  <c r="R14" i="17"/>
  <c r="AA14" i="17" s="1"/>
  <c r="AH14" i="17" s="1"/>
  <c r="L73" i="17"/>
  <c r="V24" i="24"/>
  <c r="O24" i="17"/>
  <c r="V62" i="24"/>
  <c r="O62" i="17"/>
  <c r="V54" i="18"/>
  <c r="W54" i="18" s="1"/>
  <c r="N20" i="17"/>
  <c r="T20" i="24"/>
  <c r="T26" i="24"/>
  <c r="N26" i="17"/>
  <c r="N51" i="17"/>
  <c r="T51" i="24"/>
  <c r="T50" i="24"/>
  <c r="N50" i="17"/>
  <c r="Y46" i="18"/>
  <c r="Z46" i="18" s="1"/>
  <c r="T58" i="24"/>
  <c r="N58" i="17"/>
  <c r="V63" i="24"/>
  <c r="AJ70" i="5"/>
  <c r="O63" i="17"/>
  <c r="AI70" i="5"/>
  <c r="O54" i="17"/>
  <c r="V54" i="24"/>
  <c r="O57" i="17"/>
  <c r="U57" i="17" s="1"/>
  <c r="V57" i="24"/>
  <c r="AB57" i="24" s="1"/>
  <c r="Y66" i="18"/>
  <c r="Z66" i="18" s="1"/>
  <c r="H40" i="24"/>
  <c r="AE47" i="18" s="1"/>
  <c r="AF47" i="18" s="1"/>
  <c r="G40" i="17"/>
  <c r="R52" i="24"/>
  <c r="M52" i="17"/>
  <c r="AM59" i="5"/>
  <c r="AI59" i="5"/>
  <c r="AJ59" i="5"/>
  <c r="V41" i="24"/>
  <c r="AB10" i="5"/>
  <c r="M8" i="15"/>
  <c r="AE42" i="24"/>
  <c r="K49" i="18" s="1"/>
  <c r="X42" i="17"/>
  <c r="R11" i="24"/>
  <c r="AB18" i="18" s="1"/>
  <c r="AC18" i="18" s="1"/>
  <c r="M11" i="17"/>
  <c r="AM12" i="5"/>
  <c r="AF36" i="24"/>
  <c r="L43" i="18" s="1"/>
  <c r="Y36" i="17"/>
  <c r="R59" i="24"/>
  <c r="AB66" i="18" s="1"/>
  <c r="AC66" i="18" s="1"/>
  <c r="AM66" i="5"/>
  <c r="M59" i="17"/>
  <c r="T59" i="17" s="1"/>
  <c r="AC59" i="17" s="1"/>
  <c r="AJ59" i="17" s="1"/>
  <c r="AM59" i="17" s="1"/>
  <c r="AI66" i="5"/>
  <c r="AJ66" i="5"/>
  <c r="Y14" i="24"/>
  <c r="AH14" i="24" s="1"/>
  <c r="AO14" i="24" s="1"/>
  <c r="Z14" i="24"/>
  <c r="AI14" i="24" s="1"/>
  <c r="AQ14" i="24" s="1"/>
  <c r="I49" i="24"/>
  <c r="H49" i="17"/>
  <c r="H65" i="24"/>
  <c r="G65" i="17"/>
  <c r="V31" i="24"/>
  <c r="AB31" i="24" s="1"/>
  <c r="O31" i="17"/>
  <c r="U31" i="17" s="1"/>
  <c r="AI35" i="5"/>
  <c r="AJ35" i="5"/>
  <c r="X35" i="24"/>
  <c r="AK35" i="24" s="1"/>
  <c r="AU35" i="24" s="1"/>
  <c r="I48" i="24"/>
  <c r="H48" i="17"/>
  <c r="T46" i="24"/>
  <c r="N46" i="17"/>
  <c r="AG53" i="24"/>
  <c r="AL53" i="24" s="1"/>
  <c r="AW53" i="24" s="1"/>
  <c r="T29" i="24"/>
  <c r="N29" i="17"/>
  <c r="AE46" i="24"/>
  <c r="K53" i="18" s="1"/>
  <c r="X46" i="17"/>
  <c r="R27" i="24"/>
  <c r="AB34" i="18" s="1"/>
  <c r="AC34" i="18" s="1"/>
  <c r="M27" i="17"/>
  <c r="T27" i="17" s="1"/>
  <c r="AC27" i="17" s="1"/>
  <c r="AJ27" i="17" s="1"/>
  <c r="AM31" i="5"/>
  <c r="AF34" i="24"/>
  <c r="L41" i="18" s="1"/>
  <c r="Y34" i="17"/>
  <c r="N7" i="17"/>
  <c r="T7" i="24"/>
  <c r="AF51" i="24"/>
  <c r="L58" i="18" s="1"/>
  <c r="Y51" i="17"/>
  <c r="W58" i="5"/>
  <c r="W59" i="5" s="1"/>
  <c r="W60" i="5" s="1"/>
  <c r="W61" i="5" s="1"/>
  <c r="W62" i="5" s="1"/>
  <c r="W63" i="5" s="1"/>
  <c r="W64" i="5" s="1"/>
  <c r="W65" i="5" s="1"/>
  <c r="W66" i="5" s="1"/>
  <c r="W67" i="5" s="1"/>
  <c r="W68" i="5" s="1"/>
  <c r="W69" i="5" s="1"/>
  <c r="W70" i="5" s="1"/>
  <c r="W71" i="5" s="1"/>
  <c r="W72" i="5" s="1"/>
  <c r="W73" i="5" s="1"/>
  <c r="W74" i="5" s="1"/>
  <c r="W75" i="5" s="1"/>
  <c r="J58" i="5"/>
  <c r="I58" i="5"/>
  <c r="AF12" i="24"/>
  <c r="L19" i="18" s="1"/>
  <c r="Y12" i="17"/>
  <c r="I26" i="24"/>
  <c r="H26" i="17"/>
  <c r="Y8" i="17"/>
  <c r="W9" i="5"/>
  <c r="W10" i="5" s="1"/>
  <c r="W11" i="5" s="1"/>
  <c r="W12" i="5" s="1"/>
  <c r="W13" i="5" s="1"/>
  <c r="W14" i="5" s="1"/>
  <c r="W15" i="5" s="1"/>
  <c r="W16" i="5" s="1"/>
  <c r="W17" i="5" s="1"/>
  <c r="W18" i="5" s="1"/>
  <c r="W19" i="5" s="1"/>
  <c r="W20" i="5" s="1"/>
  <c r="W21" i="5" s="1"/>
  <c r="W22" i="5" s="1"/>
  <c r="W23" i="5" s="1"/>
  <c r="W24" i="5" s="1"/>
  <c r="W25" i="5" s="1"/>
  <c r="W26" i="5" s="1"/>
  <c r="W27" i="5" s="1"/>
  <c r="J9" i="5"/>
  <c r="AF8" i="24"/>
  <c r="L15" i="18" s="1"/>
  <c r="I9" i="5"/>
  <c r="T35" i="24"/>
  <c r="AH42" i="18" s="1"/>
  <c r="AI42" i="18" s="1"/>
  <c r="N35" i="17"/>
  <c r="Z35" i="17" s="1"/>
  <c r="AE35" i="17" s="1"/>
  <c r="AL35" i="17" s="1"/>
  <c r="T30" i="24"/>
  <c r="N30" i="17"/>
  <c r="X9" i="5"/>
  <c r="X10" i="5" s="1"/>
  <c r="X11" i="5" s="1"/>
  <c r="X12" i="5" s="1"/>
  <c r="X13" i="5" s="1"/>
  <c r="X14" i="5" s="1"/>
  <c r="X15" i="5" s="1"/>
  <c r="X16" i="5" s="1"/>
  <c r="X17" i="5" s="1"/>
  <c r="X18" i="5" s="1"/>
  <c r="X19" i="5" s="1"/>
  <c r="X20" i="5" s="1"/>
  <c r="X21" i="5" s="1"/>
  <c r="X22" i="5" s="1"/>
  <c r="X23" i="5" s="1"/>
  <c r="X24" i="5" s="1"/>
  <c r="X25" i="5" s="1"/>
  <c r="X26" i="5" s="1"/>
  <c r="X27" i="5" s="1"/>
  <c r="AF42" i="24"/>
  <c r="L49" i="18" s="1"/>
  <c r="Y42" i="17"/>
  <c r="J46" i="5"/>
  <c r="I46" i="5"/>
  <c r="I61" i="24"/>
  <c r="H61" i="17"/>
  <c r="H52" i="24"/>
  <c r="G52" i="17"/>
  <c r="H17" i="24"/>
  <c r="G17" i="17"/>
  <c r="I41" i="24"/>
  <c r="H41" i="17"/>
  <c r="I65" i="24"/>
  <c r="H65" i="17"/>
  <c r="T65" i="17" s="1"/>
  <c r="AC65" i="17" s="1"/>
  <c r="AJ65" i="17" s="1"/>
  <c r="AB74" i="5"/>
  <c r="M79" i="15"/>
  <c r="R39" i="24"/>
  <c r="AB46" i="18" s="1"/>
  <c r="AC46" i="18" s="1"/>
  <c r="M39" i="17"/>
  <c r="T39" i="17" s="1"/>
  <c r="AC39" i="17" s="1"/>
  <c r="AJ39" i="17" s="1"/>
  <c r="AM39" i="17" s="1"/>
  <c r="AM43" i="5"/>
  <c r="R62" i="24"/>
  <c r="M62" i="17"/>
  <c r="AM69" i="5"/>
  <c r="AJ69" i="5"/>
  <c r="AI69" i="5"/>
  <c r="AE40" i="24"/>
  <c r="K47" i="18" s="1"/>
  <c r="X40" i="17"/>
  <c r="H57" i="24"/>
  <c r="AB64" i="18" s="1"/>
  <c r="AC64" i="18" s="1"/>
  <c r="G57" i="17"/>
  <c r="AL76" i="5"/>
  <c r="I43" i="24"/>
  <c r="X43" i="24" s="1"/>
  <c r="AK43" i="24" s="1"/>
  <c r="AU43" i="24" s="1"/>
  <c r="H43" i="17"/>
  <c r="X48" i="24"/>
  <c r="AK48" i="24" s="1"/>
  <c r="AU48" i="24" s="1"/>
  <c r="W14" i="24"/>
  <c r="L85" i="15"/>
  <c r="L86" i="15"/>
  <c r="M85" i="15" s="1"/>
  <c r="O69" i="17" s="1"/>
  <c r="U69" i="17" s="1"/>
  <c r="V36" i="24"/>
  <c r="O36" i="17"/>
  <c r="AJ40" i="5"/>
  <c r="AI40" i="5"/>
  <c r="V29" i="24"/>
  <c r="O29" i="17"/>
  <c r="AI33" i="5"/>
  <c r="AJ33" i="5"/>
  <c r="I19" i="24"/>
  <c r="X19" i="24" s="1"/>
  <c r="AK19" i="24" s="1"/>
  <c r="AU19" i="24" s="1"/>
  <c r="H19" i="17"/>
  <c r="Q19" i="17" s="1"/>
  <c r="AD19" i="17" s="1"/>
  <c r="AK19" i="17" s="1"/>
  <c r="AF46" i="24"/>
  <c r="L53" i="18" s="1"/>
  <c r="Y46" i="17"/>
  <c r="J50" i="5"/>
  <c r="I50" i="5"/>
  <c r="AA61" i="24"/>
  <c r="AJ61" i="24" s="1"/>
  <c r="AS61" i="24" s="1"/>
  <c r="P14" i="17"/>
  <c r="X27" i="24"/>
  <c r="AK27" i="24" s="1"/>
  <c r="AU27" i="24" s="1"/>
  <c r="H15" i="24"/>
  <c r="AE22" i="18" s="1"/>
  <c r="AF22" i="18" s="1"/>
  <c r="G15" i="17"/>
  <c r="S27" i="17"/>
  <c r="AB27" i="17" s="1"/>
  <c r="AI27" i="17" s="1"/>
  <c r="AF55" i="24"/>
  <c r="L62" i="18" s="1"/>
  <c r="Y55" i="17"/>
  <c r="J62" i="5"/>
  <c r="I62" i="5"/>
  <c r="AA68" i="24"/>
  <c r="AJ68" i="24" s="1"/>
  <c r="AS68" i="24" s="1"/>
  <c r="I50" i="24"/>
  <c r="X50" i="24" s="1"/>
  <c r="AK50" i="24" s="1"/>
  <c r="AU50" i="24" s="1"/>
  <c r="H50" i="17"/>
  <c r="Q50" i="17" s="1"/>
  <c r="AD50" i="17" s="1"/>
  <c r="AK50" i="17" s="1"/>
  <c r="H58" i="24"/>
  <c r="G58" i="17"/>
  <c r="I18" i="24"/>
  <c r="H18" i="17"/>
  <c r="G22" i="17"/>
  <c r="H22" i="24"/>
  <c r="AB29" i="18" s="1"/>
  <c r="AC29" i="18" s="1"/>
  <c r="AA26" i="24"/>
  <c r="AJ26" i="24" s="1"/>
  <c r="AS26" i="24" s="1"/>
  <c r="T42" i="24"/>
  <c r="N42" i="17"/>
  <c r="AB31" i="5"/>
  <c r="M31" i="15"/>
  <c r="AE38" i="24"/>
  <c r="K45" i="18" s="1"/>
  <c r="X38" i="17"/>
  <c r="Q49" i="17"/>
  <c r="AD49" i="17" s="1"/>
  <c r="AK49" i="17" s="1"/>
  <c r="X33" i="24"/>
  <c r="AK33" i="24" s="1"/>
  <c r="AU33" i="24" s="1"/>
  <c r="X66" i="24"/>
  <c r="AK66" i="24" s="1"/>
  <c r="AU66" i="24" s="1"/>
  <c r="R10" i="24"/>
  <c r="M10" i="17"/>
  <c r="AM11" i="5"/>
  <c r="AJ11" i="5"/>
  <c r="AI11" i="5"/>
  <c r="I62" i="24"/>
  <c r="H62" i="17"/>
  <c r="V68" i="24"/>
  <c r="AB68" i="24" s="1"/>
  <c r="O68" i="17"/>
  <c r="U68" i="17" s="1"/>
  <c r="AJ75" i="5"/>
  <c r="AI75" i="5"/>
  <c r="V35" i="24"/>
  <c r="AB35" i="24" s="1"/>
  <c r="O35" i="17"/>
  <c r="U35" i="17" s="1"/>
  <c r="AJ39" i="5"/>
  <c r="AI39" i="5"/>
  <c r="V28" i="24"/>
  <c r="O28" i="17"/>
  <c r="AI32" i="5"/>
  <c r="AJ32" i="5"/>
  <c r="X31" i="24"/>
  <c r="AK31" i="24" s="1"/>
  <c r="AU31" i="24" s="1"/>
  <c r="AE9" i="24"/>
  <c r="K16" i="18" s="1"/>
  <c r="X9" i="17"/>
  <c r="AF30" i="24"/>
  <c r="L37" i="18" s="1"/>
  <c r="Y30" i="17"/>
  <c r="V19" i="24"/>
  <c r="O19" i="17"/>
  <c r="U19" i="17" s="1"/>
  <c r="AJ20" i="5"/>
  <c r="AI20" i="5"/>
  <c r="AF16" i="24"/>
  <c r="L23" i="18" s="1"/>
  <c r="Y16" i="17"/>
  <c r="J40" i="5"/>
  <c r="AJ12" i="5"/>
  <c r="AA53" i="24"/>
  <c r="AJ53" i="24" s="1"/>
  <c r="AS53" i="24" s="1"/>
  <c r="I54" i="24"/>
  <c r="H54" i="17"/>
  <c r="H19" i="24"/>
  <c r="G19" i="17"/>
  <c r="AN14" i="17"/>
  <c r="R60" i="24"/>
  <c r="M60" i="17"/>
  <c r="AM67" i="5"/>
  <c r="AJ67" i="5"/>
  <c r="AI67" i="5"/>
  <c r="I67" i="24"/>
  <c r="AA67" i="24" s="1"/>
  <c r="AJ67" i="24" s="1"/>
  <c r="AS67" i="24" s="1"/>
  <c r="H67" i="17"/>
  <c r="T67" i="17" s="1"/>
  <c r="AC67" i="17" s="1"/>
  <c r="AJ67" i="17" s="1"/>
  <c r="R37" i="24"/>
  <c r="AB44" i="18" s="1"/>
  <c r="AC44" i="18" s="1"/>
  <c r="M37" i="17"/>
  <c r="T37" i="17" s="1"/>
  <c r="AC37" i="17" s="1"/>
  <c r="AJ37" i="17" s="1"/>
  <c r="AM37" i="17" s="1"/>
  <c r="AM41" i="5"/>
  <c r="R50" i="24"/>
  <c r="AM57" i="5"/>
  <c r="M50" i="17"/>
  <c r="T50" i="17" s="1"/>
  <c r="AC50" i="17" s="1"/>
  <c r="AJ50" i="17" s="1"/>
  <c r="AJ57" i="5"/>
  <c r="AI57" i="5"/>
  <c r="R54" i="24"/>
  <c r="M54" i="17"/>
  <c r="T54" i="17" s="1"/>
  <c r="AC54" i="17" s="1"/>
  <c r="AJ54" i="17" s="1"/>
  <c r="AM61" i="5"/>
  <c r="AJ61" i="5"/>
  <c r="AI61" i="5"/>
  <c r="AE36" i="24"/>
  <c r="K43" i="18" s="1"/>
  <c r="X36" i="17"/>
  <c r="H66" i="24"/>
  <c r="G66" i="17"/>
  <c r="N6" i="17"/>
  <c r="T6" i="24"/>
  <c r="AH13" i="18" s="1"/>
  <c r="AI13" i="18" s="1"/>
  <c r="H90" i="5"/>
  <c r="J90" i="5" s="1"/>
  <c r="Y33" i="24"/>
  <c r="AH33" i="24" s="1"/>
  <c r="AO33" i="24" s="1"/>
  <c r="I52" i="24"/>
  <c r="X52" i="24" s="1"/>
  <c r="AK52" i="24" s="1"/>
  <c r="AU52" i="24" s="1"/>
  <c r="H52" i="17"/>
  <c r="X57" i="24"/>
  <c r="AK57" i="24" s="1"/>
  <c r="AU57" i="24" s="1"/>
  <c r="Y27" i="24"/>
  <c r="AH27" i="24" s="1"/>
  <c r="AO27" i="24" s="1"/>
  <c r="R38" i="24"/>
  <c r="M38" i="17"/>
  <c r="AM42" i="5"/>
  <c r="AF20" i="24"/>
  <c r="L27" i="18" s="1"/>
  <c r="Y20" i="17"/>
  <c r="I17" i="24"/>
  <c r="H17" i="17"/>
  <c r="J38" i="5"/>
  <c r="H23" i="24"/>
  <c r="G23" i="17"/>
  <c r="AG47" i="24"/>
  <c r="AL47" i="24" s="1"/>
  <c r="AW47" i="24" s="1"/>
  <c r="AG14" i="24"/>
  <c r="AL14" i="24" s="1"/>
  <c r="AW14" i="24" s="1"/>
  <c r="V67" i="24"/>
  <c r="O67" i="17"/>
  <c r="AI74" i="5"/>
  <c r="AJ74" i="5"/>
  <c r="AN39" i="17"/>
  <c r="X62" i="24"/>
  <c r="AK62" i="24" s="1"/>
  <c r="AU62" i="24" s="1"/>
  <c r="AF40" i="24"/>
  <c r="L47" i="18" s="1"/>
  <c r="Y40" i="17"/>
  <c r="H92" i="5"/>
  <c r="H29" i="24"/>
  <c r="AE36" i="18" s="1"/>
  <c r="AF36" i="18" s="1"/>
  <c r="G29" i="17"/>
  <c r="I6" i="24"/>
  <c r="H6" i="17"/>
  <c r="AN68" i="17"/>
  <c r="AB48" i="5"/>
  <c r="M51" i="15"/>
  <c r="T40" i="24"/>
  <c r="AH47" i="18" s="1"/>
  <c r="AI47" i="18" s="1"/>
  <c r="N40" i="17"/>
  <c r="T33" i="24"/>
  <c r="AH40" i="18" s="1"/>
  <c r="AI40" i="18" s="1"/>
  <c r="N33" i="17"/>
  <c r="Z33" i="17" s="1"/>
  <c r="AE33" i="17" s="1"/>
  <c r="AL33" i="17" s="1"/>
  <c r="V48" i="24"/>
  <c r="AB48" i="24" s="1"/>
  <c r="O48" i="17"/>
  <c r="U48" i="17" s="1"/>
  <c r="AI55" i="5"/>
  <c r="AJ55" i="5"/>
  <c r="AE28" i="24"/>
  <c r="K35" i="18" s="1"/>
  <c r="X28" i="17"/>
  <c r="H60" i="24"/>
  <c r="G60" i="17"/>
  <c r="Q27" i="17"/>
  <c r="AD27" i="17" s="1"/>
  <c r="AK27" i="17" s="1"/>
  <c r="I15" i="24"/>
  <c r="H15" i="17"/>
  <c r="AE44" i="24"/>
  <c r="K51" i="18" s="1"/>
  <c r="X44" i="17"/>
  <c r="Q53" i="17"/>
  <c r="AD53" i="17" s="1"/>
  <c r="AK53" i="17" s="1"/>
  <c r="AN53" i="17" s="1"/>
  <c r="AE34" i="24"/>
  <c r="K41" i="18" s="1"/>
  <c r="X34" i="17"/>
  <c r="AN59" i="17"/>
  <c r="R33" i="17"/>
  <c r="AA33" i="17" s="1"/>
  <c r="AH33" i="17" s="1"/>
  <c r="J44" i="5"/>
  <c r="I58" i="24"/>
  <c r="X58" i="24" s="1"/>
  <c r="AK58" i="24" s="1"/>
  <c r="AU58" i="24" s="1"/>
  <c r="H58" i="17"/>
  <c r="H64" i="24"/>
  <c r="AE71" i="18" s="1"/>
  <c r="AF71" i="18" s="1"/>
  <c r="G64" i="17"/>
  <c r="I22" i="24"/>
  <c r="AA22" i="24" s="1"/>
  <c r="AJ22" i="24" s="1"/>
  <c r="AS22" i="24" s="1"/>
  <c r="H22" i="17"/>
  <c r="O42" i="17"/>
  <c r="V42" i="24"/>
  <c r="AI46" i="5"/>
  <c r="AJ46" i="5"/>
  <c r="V27" i="24"/>
  <c r="AB27" i="24" s="1"/>
  <c r="O27" i="17"/>
  <c r="U27" i="17" s="1"/>
  <c r="AI31" i="5"/>
  <c r="AJ31" i="5"/>
  <c r="AF38" i="24"/>
  <c r="L45" i="18" s="1"/>
  <c r="Y38" i="17"/>
  <c r="J42" i="5"/>
  <c r="I42" i="5"/>
  <c r="Q33" i="17"/>
  <c r="AD33" i="17" s="1"/>
  <c r="AK33" i="17" s="1"/>
  <c r="AN33" i="17" s="1"/>
  <c r="AE8" i="24"/>
  <c r="K15" i="18" s="1"/>
  <c r="X8" i="17"/>
  <c r="I21" i="5"/>
  <c r="I30" i="24"/>
  <c r="H30" i="17"/>
  <c r="Q30" i="17" s="1"/>
  <c r="AD30" i="17" s="1"/>
  <c r="AK30" i="17" s="1"/>
  <c r="R45" i="24"/>
  <c r="M45" i="17"/>
  <c r="AM49" i="5"/>
  <c r="AJ49" i="5"/>
  <c r="T43" i="24"/>
  <c r="N43" i="17"/>
  <c r="T39" i="24"/>
  <c r="AH46" i="18" s="1"/>
  <c r="AI46" i="18" s="1"/>
  <c r="N39" i="17"/>
  <c r="Z39" i="17" s="1"/>
  <c r="AE39" i="17" s="1"/>
  <c r="AL39" i="17" s="1"/>
  <c r="T32" i="24"/>
  <c r="N32" i="17"/>
  <c r="V15" i="24"/>
  <c r="AB15" i="24" s="1"/>
  <c r="O15" i="17"/>
  <c r="U15" i="17" s="1"/>
  <c r="AI16" i="5"/>
  <c r="AJ16" i="5"/>
  <c r="AF13" i="24"/>
  <c r="L20" i="18" s="1"/>
  <c r="Y13" i="17"/>
  <c r="J14" i="5"/>
  <c r="I14" i="5"/>
  <c r="T14" i="17"/>
  <c r="AC14" i="17" s="1"/>
  <c r="AJ14" i="17" s="1"/>
  <c r="AM14" i="17" s="1"/>
  <c r="AF17" i="24"/>
  <c r="L24" i="18" s="1"/>
  <c r="Y17" i="17"/>
  <c r="AI12" i="5"/>
  <c r="R47" i="24"/>
  <c r="AB54" i="18" s="1"/>
  <c r="AC54" i="18" s="1"/>
  <c r="M47" i="17"/>
  <c r="T47" i="17" s="1"/>
  <c r="AC47" i="17" s="1"/>
  <c r="AJ47" i="17" s="1"/>
  <c r="AM47" i="17" s="1"/>
  <c r="AM51" i="5"/>
  <c r="AI51" i="5"/>
  <c r="AJ51" i="5"/>
  <c r="V17" i="24"/>
  <c r="AB17" i="24" s="1"/>
  <c r="O17" i="17"/>
  <c r="AI18" i="5"/>
  <c r="AJ18" i="5"/>
  <c r="S35" i="17"/>
  <c r="AB35" i="17" s="1"/>
  <c r="AI35" i="17" s="1"/>
  <c r="AN35" i="17" s="1"/>
  <c r="R35" i="17"/>
  <c r="AA35" i="17" s="1"/>
  <c r="AH35" i="17" s="1"/>
  <c r="AF63" i="24"/>
  <c r="L70" i="18" s="1"/>
  <c r="Y63" i="17"/>
  <c r="J70" i="5"/>
  <c r="I70" i="5"/>
  <c r="M21" i="15"/>
  <c r="AB20" i="5"/>
  <c r="Y37" i="24"/>
  <c r="AH37" i="24" s="1"/>
  <c r="AO37" i="24" s="1"/>
  <c r="R41" i="24"/>
  <c r="AB48" i="18" s="1"/>
  <c r="AC48" i="18" s="1"/>
  <c r="M41" i="17"/>
  <c r="AM45" i="5"/>
  <c r="V34" i="24"/>
  <c r="O34" i="17"/>
  <c r="AI38" i="5"/>
  <c r="AJ38" i="5"/>
  <c r="I56" i="24"/>
  <c r="H56" i="17"/>
  <c r="R58" i="24"/>
  <c r="M58" i="17"/>
  <c r="AM65" i="5"/>
  <c r="AJ65" i="5"/>
  <c r="AI65" i="5"/>
  <c r="AF32" i="24"/>
  <c r="L39" i="18" s="1"/>
  <c r="Y32" i="17"/>
  <c r="J36" i="5"/>
  <c r="I36" i="5"/>
  <c r="H53" i="24"/>
  <c r="G53" i="17"/>
  <c r="AE20" i="24"/>
  <c r="K27" i="18" s="1"/>
  <c r="X20" i="17"/>
  <c r="H41" i="24"/>
  <c r="G41" i="17"/>
  <c r="H34" i="24"/>
  <c r="AE41" i="18" s="1"/>
  <c r="AF41" i="18" s="1"/>
  <c r="G34" i="17"/>
  <c r="I45" i="24"/>
  <c r="H45" i="17"/>
  <c r="U45" i="17" s="1"/>
  <c r="AA65" i="24"/>
  <c r="AJ65" i="24" s="1"/>
  <c r="AS65" i="24" s="1"/>
  <c r="I29" i="24"/>
  <c r="X29" i="24" s="1"/>
  <c r="AK29" i="24" s="1"/>
  <c r="AU29" i="24" s="1"/>
  <c r="H29" i="17"/>
  <c r="AB53" i="24"/>
  <c r="J70" i="17"/>
  <c r="H6" i="24"/>
  <c r="G6" i="17"/>
  <c r="H43" i="24"/>
  <c r="G43" i="17"/>
  <c r="Q48" i="17"/>
  <c r="AD48" i="17" s="1"/>
  <c r="AK48" i="17" s="1"/>
  <c r="T36" i="24"/>
  <c r="N36" i="17"/>
  <c r="H11" i="17"/>
  <c r="Z11" i="17" s="1"/>
  <c r="AE11" i="17" s="1"/>
  <c r="AL11" i="17" s="1"/>
  <c r="I11" i="24"/>
  <c r="AB11" i="24" s="1"/>
  <c r="AF28" i="24"/>
  <c r="L35" i="18" s="1"/>
  <c r="Y28" i="17"/>
  <c r="W32" i="5"/>
  <c r="W33" i="5" s="1"/>
  <c r="W34" i="5" s="1"/>
  <c r="W35" i="5" s="1"/>
  <c r="W36" i="5" s="1"/>
  <c r="W37" i="5" s="1"/>
  <c r="W38" i="5" s="1"/>
  <c r="W39" i="5" s="1"/>
  <c r="W40" i="5" s="1"/>
  <c r="W41" i="5" s="1"/>
  <c r="W42" i="5" s="1"/>
  <c r="W43" i="5" s="1"/>
  <c r="W44" i="5" s="1"/>
  <c r="W45" i="5" s="1"/>
  <c r="W46" i="5" s="1"/>
  <c r="W47" i="5" s="1"/>
  <c r="W48" i="5" s="1"/>
  <c r="W49" i="5" s="1"/>
  <c r="W50" i="5" s="1"/>
  <c r="W51" i="5" s="1"/>
  <c r="J32" i="5"/>
  <c r="H91" i="5"/>
  <c r="I32" i="5"/>
  <c r="T61" i="17"/>
  <c r="AC61" i="17" s="1"/>
  <c r="AJ61" i="17" s="1"/>
  <c r="H14" i="24"/>
  <c r="G14" i="17"/>
  <c r="R36" i="24"/>
  <c r="M36" i="17"/>
  <c r="AM40" i="5"/>
  <c r="AM68" i="17"/>
  <c r="H50" i="24"/>
  <c r="AE57" i="18" s="1"/>
  <c r="AF57" i="18" s="1"/>
  <c r="G50" i="17"/>
  <c r="H18" i="24"/>
  <c r="G18" i="17"/>
  <c r="AF24" i="24"/>
  <c r="L31" i="18" s="1"/>
  <c r="Y24" i="17"/>
  <c r="J25" i="5"/>
  <c r="I25" i="5"/>
  <c r="M64" i="17"/>
  <c r="R64" i="24"/>
  <c r="AB71" i="18" s="1"/>
  <c r="AC71" i="18" s="1"/>
  <c r="AM71" i="5"/>
  <c r="AJ71" i="5"/>
  <c r="AI71" i="5"/>
  <c r="R33" i="24"/>
  <c r="AB40" i="18" s="1"/>
  <c r="AC40" i="18" s="1"/>
  <c r="M33" i="17"/>
  <c r="T33" i="17" s="1"/>
  <c r="AC33" i="17" s="1"/>
  <c r="AJ33" i="17" s="1"/>
  <c r="AM33" i="17" s="1"/>
  <c r="AM37" i="5"/>
  <c r="AF25" i="24"/>
  <c r="L32" i="18" s="1"/>
  <c r="Y25" i="17"/>
  <c r="J26" i="5"/>
  <c r="I26" i="5"/>
  <c r="R18" i="24"/>
  <c r="AB25" i="18" s="1"/>
  <c r="AC25" i="18" s="1"/>
  <c r="M18" i="17"/>
  <c r="AM19" i="5"/>
  <c r="AJ19" i="5"/>
  <c r="AI19" i="5"/>
  <c r="H10" i="17"/>
  <c r="Q10" i="17" s="1"/>
  <c r="AD10" i="17" s="1"/>
  <c r="AK10" i="17" s="1"/>
  <c r="I10" i="24"/>
  <c r="AG10" i="24" s="1"/>
  <c r="AL10" i="24" s="1"/>
  <c r="AW10" i="24" s="1"/>
  <c r="G30" i="17"/>
  <c r="H30" i="24"/>
  <c r="AB37" i="18" s="1"/>
  <c r="AC37" i="18" s="1"/>
  <c r="H62" i="24"/>
  <c r="AE69" i="18" s="1"/>
  <c r="AF69" i="18" s="1"/>
  <c r="G62" i="17"/>
  <c r="X45" i="24"/>
  <c r="AK45" i="24" s="1"/>
  <c r="AU45" i="24" s="1"/>
  <c r="T68" i="24"/>
  <c r="AH75" i="18" s="1"/>
  <c r="AI75" i="18" s="1"/>
  <c r="N68" i="17"/>
  <c r="Z68" i="17" s="1"/>
  <c r="AE68" i="17" s="1"/>
  <c r="AL68" i="17" s="1"/>
  <c r="T28" i="24"/>
  <c r="N28" i="17"/>
  <c r="R31" i="24"/>
  <c r="AB38" i="18" s="1"/>
  <c r="AC38" i="18" s="1"/>
  <c r="M31" i="17"/>
  <c r="T31" i="17" s="1"/>
  <c r="AC31" i="17" s="1"/>
  <c r="AJ31" i="17" s="1"/>
  <c r="AM31" i="17" s="1"/>
  <c r="AM35" i="5"/>
  <c r="X47" i="24"/>
  <c r="AK47" i="24" s="1"/>
  <c r="AU47" i="24" s="1"/>
  <c r="AE30" i="24"/>
  <c r="K37" i="18" s="1"/>
  <c r="X30" i="17"/>
  <c r="O38" i="17"/>
  <c r="V38" i="24"/>
  <c r="AJ42" i="5"/>
  <c r="AI42" i="5"/>
  <c r="I40" i="5"/>
  <c r="I16" i="24"/>
  <c r="X16" i="24" s="1"/>
  <c r="AK16" i="24" s="1"/>
  <c r="AU16" i="24" s="1"/>
  <c r="H16" i="17"/>
  <c r="U16" i="17" s="1"/>
  <c r="AA57" i="24"/>
  <c r="AJ57" i="24" s="1"/>
  <c r="AS57" i="24" s="1"/>
  <c r="R7" i="24"/>
  <c r="M7" i="17"/>
  <c r="AM8" i="5"/>
  <c r="X56" i="24"/>
  <c r="AK56" i="24" s="1"/>
  <c r="AU56" i="24" s="1"/>
  <c r="T37" i="24"/>
  <c r="AH44" i="18" s="1"/>
  <c r="AI44" i="18" s="1"/>
  <c r="N37" i="17"/>
  <c r="Z37" i="17" s="1"/>
  <c r="AE37" i="17" s="1"/>
  <c r="AL37" i="17" s="1"/>
  <c r="H7" i="24"/>
  <c r="G7" i="17"/>
  <c r="V37" i="24"/>
  <c r="AB37" i="24" s="1"/>
  <c r="O37" i="17"/>
  <c r="U37" i="17" s="1"/>
  <c r="AJ41" i="5"/>
  <c r="AI41" i="5"/>
  <c r="V30" i="24"/>
  <c r="O30" i="17"/>
  <c r="U30" i="17" s="1"/>
  <c r="AI34" i="5"/>
  <c r="AJ34" i="5"/>
  <c r="I7" i="24"/>
  <c r="X7" i="24" s="1"/>
  <c r="AK7" i="24" s="1"/>
  <c r="AU7" i="24" s="1"/>
  <c r="H7" i="17"/>
  <c r="Q7" i="17" s="1"/>
  <c r="AD7" i="17" s="1"/>
  <c r="AK7" i="17" s="1"/>
  <c r="R23" i="24"/>
  <c r="M23" i="17"/>
  <c r="AM24" i="5"/>
  <c r="AJ24" i="5"/>
  <c r="AI24" i="5"/>
  <c r="AG18" i="24"/>
  <c r="AL18" i="24" s="1"/>
  <c r="AW18" i="24" s="1"/>
  <c r="AB14" i="24"/>
  <c r="R56" i="24"/>
  <c r="M56" i="17"/>
  <c r="AM63" i="5"/>
  <c r="AJ63" i="5"/>
  <c r="AI63" i="5"/>
  <c r="AB45" i="5"/>
  <c r="M47" i="15"/>
  <c r="T34" i="24"/>
  <c r="N34" i="17"/>
  <c r="V9" i="24"/>
  <c r="O9" i="17"/>
  <c r="AJ10" i="5"/>
  <c r="AI10" i="5"/>
  <c r="X37" i="24"/>
  <c r="AK37" i="24" s="1"/>
  <c r="AU37" i="24" s="1"/>
  <c r="H56" i="24"/>
  <c r="G56" i="17"/>
  <c r="Q54" i="17"/>
  <c r="AD54" i="17" s="1"/>
  <c r="AK54" i="17" s="1"/>
  <c r="AE32" i="24"/>
  <c r="K39" i="18" s="1"/>
  <c r="X32" i="17"/>
  <c r="I66" i="24"/>
  <c r="H66" i="17"/>
  <c r="V6" i="24"/>
  <c r="AB6" i="24" s="1"/>
  <c r="O6" i="17"/>
  <c r="AI7" i="5"/>
  <c r="AJ7" i="5"/>
  <c r="AM53" i="17"/>
  <c r="R16" i="24"/>
  <c r="AM17" i="5"/>
  <c r="M16" i="17"/>
  <c r="AJ17" i="5"/>
  <c r="AI17" i="5"/>
  <c r="H49" i="24"/>
  <c r="AE56" i="18" s="1"/>
  <c r="AF56" i="18" s="1"/>
  <c r="G49" i="17"/>
  <c r="H45" i="24"/>
  <c r="G45" i="17"/>
  <c r="I23" i="24"/>
  <c r="X23" i="24" s="1"/>
  <c r="AK23" i="24" s="1"/>
  <c r="AU23" i="24" s="1"/>
  <c r="H23" i="17"/>
  <c r="Z14" i="17"/>
  <c r="AE14" i="17" s="1"/>
  <c r="AL14" i="17" s="1"/>
  <c r="T31" i="24"/>
  <c r="AH38" i="18" s="1"/>
  <c r="AI38" i="18" s="1"/>
  <c r="N31" i="17"/>
  <c r="Z31" i="17" s="1"/>
  <c r="AE31" i="17" s="1"/>
  <c r="AL31" i="17" s="1"/>
  <c r="R35" i="24"/>
  <c r="AB42" i="18" s="1"/>
  <c r="AC42" i="18" s="1"/>
  <c r="M35" i="17"/>
  <c r="T35" i="17" s="1"/>
  <c r="AC35" i="17" s="1"/>
  <c r="AJ35" i="17" s="1"/>
  <c r="AM35" i="17" s="1"/>
  <c r="AM39" i="5"/>
  <c r="K73" i="17"/>
  <c r="X39" i="24"/>
  <c r="AK39" i="24" s="1"/>
  <c r="AU39" i="24" s="1"/>
  <c r="Q62" i="17"/>
  <c r="AD62" i="17" s="1"/>
  <c r="AK62" i="17" s="1"/>
  <c r="H48" i="24"/>
  <c r="AE55" i="18" s="1"/>
  <c r="AF55" i="18" s="1"/>
  <c r="G48" i="17"/>
  <c r="J71" i="17"/>
  <c r="J72" i="17" s="1"/>
  <c r="V46" i="24"/>
  <c r="O46" i="17"/>
  <c r="AI50" i="5"/>
  <c r="AJ50" i="5"/>
  <c r="AL28" i="5"/>
  <c r="H54" i="24"/>
  <c r="G54" i="17"/>
  <c r="X68" i="24"/>
  <c r="AK68" i="24" s="1"/>
  <c r="AU68" i="24" s="1"/>
  <c r="R48" i="24"/>
  <c r="AB55" i="18" s="1"/>
  <c r="AC55" i="18" s="1"/>
  <c r="M48" i="17"/>
  <c r="AM55" i="5"/>
  <c r="AC48" i="5"/>
  <c r="V40" i="24"/>
  <c r="O40" i="17"/>
  <c r="AJ44" i="5"/>
  <c r="AI44" i="5"/>
  <c r="V33" i="24"/>
  <c r="AB33" i="24" s="1"/>
  <c r="O33" i="17"/>
  <c r="U33" i="17" s="1"/>
  <c r="AJ37" i="5"/>
  <c r="AI37" i="5"/>
  <c r="AB55" i="5"/>
  <c r="M57" i="15"/>
  <c r="H11" i="24"/>
  <c r="G11" i="17"/>
  <c r="R17" i="24"/>
  <c r="AB24" i="18" s="1"/>
  <c r="AC24" i="18" s="1"/>
  <c r="AM18" i="5"/>
  <c r="M17" i="17"/>
  <c r="Y35" i="24"/>
  <c r="AH35" i="24" s="1"/>
  <c r="AO35" i="24" s="1"/>
  <c r="I60" i="24"/>
  <c r="H60" i="17"/>
  <c r="Q60" i="17" s="1"/>
  <c r="AD60" i="17" s="1"/>
  <c r="AK60" i="17" s="1"/>
  <c r="H67" i="24"/>
  <c r="G67" i="17"/>
  <c r="R15" i="24"/>
  <c r="AB22" i="18" s="1"/>
  <c r="AC22" i="18" s="1"/>
  <c r="M15" i="17"/>
  <c r="T15" i="17" s="1"/>
  <c r="AC15" i="17" s="1"/>
  <c r="AJ15" i="17" s="1"/>
  <c r="AM16" i="5"/>
  <c r="W33" i="24"/>
  <c r="AF44" i="24"/>
  <c r="L51" i="18" s="1"/>
  <c r="Y44" i="17"/>
  <c r="J48" i="5"/>
  <c r="I48" i="5"/>
  <c r="X53" i="24"/>
  <c r="AK53" i="24" s="1"/>
  <c r="AU53" i="24" s="1"/>
  <c r="V7" i="24"/>
  <c r="O7" i="17"/>
  <c r="AJ8" i="5"/>
  <c r="AI8" i="5"/>
  <c r="AF21" i="24"/>
  <c r="L28" i="18" s="1"/>
  <c r="Y21" i="17"/>
  <c r="I22" i="5"/>
  <c r="J22" i="5"/>
  <c r="X59" i="24"/>
  <c r="AK59" i="24" s="1"/>
  <c r="AU59" i="24" s="1"/>
  <c r="Z33" i="24"/>
  <c r="AI33" i="24" s="1"/>
  <c r="AQ33" i="24" s="1"/>
  <c r="Z53" i="24"/>
  <c r="AI53" i="24" s="1"/>
  <c r="AQ53" i="24" s="1"/>
  <c r="AE12" i="24"/>
  <c r="K19" i="18" s="1"/>
  <c r="X12" i="17"/>
  <c r="H26" i="24"/>
  <c r="AB33" i="18" s="1"/>
  <c r="AC33" i="18" s="1"/>
  <c r="G26" i="17"/>
  <c r="I64" i="24"/>
  <c r="H64" i="17"/>
  <c r="Q64" i="17" s="1"/>
  <c r="AD64" i="17" s="1"/>
  <c r="AK64" i="17" s="1"/>
  <c r="AE24" i="24"/>
  <c r="K31" i="18" s="1"/>
  <c r="X24" i="17"/>
  <c r="X64" i="24"/>
  <c r="AK64" i="24" s="1"/>
  <c r="AU64" i="24" s="1"/>
  <c r="R43" i="24"/>
  <c r="M43" i="17"/>
  <c r="T43" i="17" s="1"/>
  <c r="AC43" i="17" s="1"/>
  <c r="AJ43" i="17" s="1"/>
  <c r="AM47" i="5"/>
  <c r="R66" i="24"/>
  <c r="AB73" i="18" s="1"/>
  <c r="AC73" i="18" s="1"/>
  <c r="AM73" i="5"/>
  <c r="M66" i="17"/>
  <c r="AJ73" i="5"/>
  <c r="AI73" i="5"/>
  <c r="X10" i="24"/>
  <c r="AK10" i="24" s="1"/>
  <c r="AU10" i="24" s="1"/>
  <c r="J21" i="5"/>
  <c r="H10" i="24"/>
  <c r="G10" i="17"/>
  <c r="Q45" i="17"/>
  <c r="AD45" i="17" s="1"/>
  <c r="AK45" i="17" s="1"/>
  <c r="V43" i="24"/>
  <c r="AB43" i="24" s="1"/>
  <c r="O43" i="17"/>
  <c r="U43" i="17" s="1"/>
  <c r="AJ47" i="5"/>
  <c r="AI47" i="5"/>
  <c r="V39" i="24"/>
  <c r="AB39" i="24" s="1"/>
  <c r="O39" i="17"/>
  <c r="U39" i="17" s="1"/>
  <c r="AJ43" i="5"/>
  <c r="AI43" i="5"/>
  <c r="V32" i="24"/>
  <c r="O32" i="17"/>
  <c r="AI36" i="5"/>
  <c r="AJ36" i="5"/>
  <c r="N15" i="17"/>
  <c r="Z15" i="17" s="1"/>
  <c r="AE15" i="17" s="1"/>
  <c r="AL15" i="17" s="1"/>
  <c r="T15" i="24"/>
  <c r="AH22" i="18" s="1"/>
  <c r="AI22" i="18" s="1"/>
  <c r="AA14" i="24"/>
  <c r="AJ14" i="24" s="1"/>
  <c r="AS14" i="24" s="1"/>
  <c r="R29" i="24"/>
  <c r="AB36" i="18" s="1"/>
  <c r="AC36" i="18" s="1"/>
  <c r="M29" i="17"/>
  <c r="AM33" i="5"/>
  <c r="AF9" i="24"/>
  <c r="L16" i="18" s="1"/>
  <c r="Y9" i="17"/>
  <c r="J10" i="5"/>
  <c r="I10" i="5"/>
  <c r="T17" i="24"/>
  <c r="AH24" i="18" s="1"/>
  <c r="AI24" i="18" s="1"/>
  <c r="N17" i="17"/>
  <c r="Y53" i="24"/>
  <c r="AH53" i="24" s="1"/>
  <c r="AO53" i="24" s="1"/>
  <c r="J13" i="5"/>
  <c r="I13" i="5"/>
  <c r="T38" i="24"/>
  <c r="N38" i="17"/>
  <c r="R19" i="24"/>
  <c r="AB26" i="18" s="1"/>
  <c r="AC26" i="18" s="1"/>
  <c r="M19" i="17"/>
  <c r="T19" i="17" s="1"/>
  <c r="AC19" i="17" s="1"/>
  <c r="AJ19" i="17" s="1"/>
  <c r="AM20" i="5"/>
  <c r="T49" i="17"/>
  <c r="AC49" i="17" s="1"/>
  <c r="AJ49" i="17" s="1"/>
  <c r="AE16" i="24"/>
  <c r="K23" i="18" s="1"/>
  <c r="X16" i="17"/>
  <c r="I17" i="5"/>
  <c r="AM57" i="17"/>
  <c r="M17" i="18" l="1"/>
  <c r="N17" i="18" s="1"/>
  <c r="Y17" i="18"/>
  <c r="Z17" i="18" s="1"/>
  <c r="V17" i="18"/>
  <c r="W17" i="18" s="1"/>
  <c r="M30" i="18"/>
  <c r="N30" i="18" s="1"/>
  <c r="V30" i="18"/>
  <c r="W30" i="18" s="1"/>
  <c r="Y30" i="18"/>
  <c r="Z30" i="18" s="1"/>
  <c r="Z45" i="17"/>
  <c r="AE45" i="17" s="1"/>
  <c r="AL45" i="17" s="1"/>
  <c r="AB41" i="18"/>
  <c r="AC41" i="18" s="1"/>
  <c r="AH69" i="18"/>
  <c r="AI69" i="18" s="1"/>
  <c r="AH18" i="18"/>
  <c r="AI18" i="18" s="1"/>
  <c r="AH61" i="18"/>
  <c r="AI61" i="18" s="1"/>
  <c r="AE17" i="18"/>
  <c r="AF17" i="18" s="1"/>
  <c r="AH17" i="18"/>
  <c r="AI17" i="18" s="1"/>
  <c r="M52" i="18"/>
  <c r="N52" i="18" s="1"/>
  <c r="V52" i="18"/>
  <c r="W52" i="18" s="1"/>
  <c r="Y52" i="18"/>
  <c r="Z52" i="18" s="1"/>
  <c r="M65" i="18"/>
  <c r="N65" i="18" s="1"/>
  <c r="V65" i="18"/>
  <c r="W65" i="18" s="1"/>
  <c r="Y65" i="18"/>
  <c r="Z65" i="18" s="1"/>
  <c r="AH37" i="18"/>
  <c r="AI37" i="18" s="1"/>
  <c r="AB16" i="24"/>
  <c r="AB50" i="18"/>
  <c r="AC50" i="18" s="1"/>
  <c r="M33" i="18"/>
  <c r="N33" i="18" s="1"/>
  <c r="Y33" i="18"/>
  <c r="Z33" i="18" s="1"/>
  <c r="V33" i="18"/>
  <c r="W33" i="18" s="1"/>
  <c r="AE33" i="18"/>
  <c r="AF33" i="18" s="1"/>
  <c r="U7" i="17"/>
  <c r="M74" i="18"/>
  <c r="N74" i="18" s="1"/>
  <c r="Y74" i="18"/>
  <c r="Z74" i="18" s="1"/>
  <c r="AE74" i="18"/>
  <c r="AF74" i="18" s="1"/>
  <c r="V74" i="18"/>
  <c r="W74" i="18" s="1"/>
  <c r="M18" i="18"/>
  <c r="N18" i="18" s="1"/>
  <c r="V18" i="18"/>
  <c r="W18" i="18" s="1"/>
  <c r="Y18" i="18"/>
  <c r="Z18" i="18" s="1"/>
  <c r="T16" i="17"/>
  <c r="AC16" i="17" s="1"/>
  <c r="AJ16" i="17" s="1"/>
  <c r="AB63" i="18"/>
  <c r="AC63" i="18" s="1"/>
  <c r="AB14" i="18"/>
  <c r="AC14" i="18" s="1"/>
  <c r="M48" i="18"/>
  <c r="N48" i="18" s="1"/>
  <c r="V48" i="18"/>
  <c r="W48" i="18" s="1"/>
  <c r="Y48" i="18"/>
  <c r="Z48" i="18" s="1"/>
  <c r="M60" i="18"/>
  <c r="N60" i="18" s="1"/>
  <c r="AH60" i="18"/>
  <c r="AI60" i="18" s="1"/>
  <c r="V60" i="18"/>
  <c r="W60" i="18" s="1"/>
  <c r="Y60" i="18"/>
  <c r="Z60" i="18" s="1"/>
  <c r="U10" i="17"/>
  <c r="Z43" i="17"/>
  <c r="AE43" i="17" s="1"/>
  <c r="AL43" i="17" s="1"/>
  <c r="T45" i="17"/>
  <c r="AC45" i="17" s="1"/>
  <c r="AJ45" i="17" s="1"/>
  <c r="AB67" i="18"/>
  <c r="AC67" i="18" s="1"/>
  <c r="M26" i="18"/>
  <c r="N26" i="18" s="1"/>
  <c r="V26" i="18"/>
  <c r="W26" i="18" s="1"/>
  <c r="Y26" i="18"/>
  <c r="Z26" i="18" s="1"/>
  <c r="AB19" i="24"/>
  <c r="T62" i="17"/>
  <c r="AC62" i="17" s="1"/>
  <c r="AJ62" i="17" s="1"/>
  <c r="M24" i="18"/>
  <c r="N24" i="18" s="1"/>
  <c r="Y24" i="18"/>
  <c r="Z24" i="18" s="1"/>
  <c r="V24" i="18"/>
  <c r="W24" i="18" s="1"/>
  <c r="AB10" i="24"/>
  <c r="AH36" i="18"/>
  <c r="AI36" i="18" s="1"/>
  <c r="M72" i="18"/>
  <c r="N72" i="18" s="1"/>
  <c r="V72" i="18"/>
  <c r="W72" i="18" s="1"/>
  <c r="AE72" i="18"/>
  <c r="AF72" i="18" s="1"/>
  <c r="Y72" i="18"/>
  <c r="Z72" i="18" s="1"/>
  <c r="AI45" i="5"/>
  <c r="AB59" i="18"/>
  <c r="AC59" i="18" s="1"/>
  <c r="AH57" i="18"/>
  <c r="AI57" i="18" s="1"/>
  <c r="AH33" i="18"/>
  <c r="AI33" i="18" s="1"/>
  <c r="AE65" i="18"/>
  <c r="AF65" i="18" s="1"/>
  <c r="AH30" i="18"/>
  <c r="AI30" i="18" s="1"/>
  <c r="AH73" i="18"/>
  <c r="AI73" i="18" s="1"/>
  <c r="AB56" i="18"/>
  <c r="AC56" i="18" s="1"/>
  <c r="M37" i="18"/>
  <c r="N37" i="18" s="1"/>
  <c r="Y37" i="18"/>
  <c r="Z37" i="18" s="1"/>
  <c r="V37" i="18"/>
  <c r="W37" i="18" s="1"/>
  <c r="M57" i="18"/>
  <c r="N57" i="18" s="1"/>
  <c r="Y57" i="18"/>
  <c r="Z57" i="18" s="1"/>
  <c r="V57" i="18"/>
  <c r="W57" i="18" s="1"/>
  <c r="M50" i="18"/>
  <c r="N50" i="18" s="1"/>
  <c r="Y50" i="18"/>
  <c r="Z50" i="18" s="1"/>
  <c r="V50" i="18"/>
  <c r="W50" i="18" s="1"/>
  <c r="T30" i="17"/>
  <c r="AC30" i="17" s="1"/>
  <c r="AJ30" i="17" s="1"/>
  <c r="Q16" i="17"/>
  <c r="AD16" i="17" s="1"/>
  <c r="AK16" i="17" s="1"/>
  <c r="AB7" i="24"/>
  <c r="M61" i="18"/>
  <c r="N61" i="18" s="1"/>
  <c r="V61" i="18"/>
  <c r="W61" i="18" s="1"/>
  <c r="Y61" i="18"/>
  <c r="Z61" i="18" s="1"/>
  <c r="M55" i="18"/>
  <c r="N55" i="18" s="1"/>
  <c r="V55" i="18"/>
  <c r="W55" i="18" s="1"/>
  <c r="Y55" i="18"/>
  <c r="Z55" i="18" s="1"/>
  <c r="M56" i="18"/>
  <c r="N56" i="18" s="1"/>
  <c r="AH56" i="18"/>
  <c r="AI56" i="18" s="1"/>
  <c r="Y56" i="18"/>
  <c r="Z56" i="18" s="1"/>
  <c r="V56" i="18"/>
  <c r="W56" i="18" s="1"/>
  <c r="AH41" i="18"/>
  <c r="AI41" i="18" s="1"/>
  <c r="AB30" i="18"/>
  <c r="AC30" i="18" s="1"/>
  <c r="M25" i="18"/>
  <c r="N25" i="18" s="1"/>
  <c r="V25" i="18"/>
  <c r="W25" i="18" s="1"/>
  <c r="Y25" i="18"/>
  <c r="Z25" i="18" s="1"/>
  <c r="M21" i="18"/>
  <c r="N21" i="18" s="1"/>
  <c r="V21" i="18"/>
  <c r="W21" i="18" s="1"/>
  <c r="Y21" i="18"/>
  <c r="Z21" i="18" s="1"/>
  <c r="AE21" i="18"/>
  <c r="AF21" i="18" s="1"/>
  <c r="M13" i="18"/>
  <c r="N13" i="18" s="1"/>
  <c r="Y13" i="18"/>
  <c r="Z13" i="18" s="1"/>
  <c r="AE13" i="18"/>
  <c r="AF13" i="18" s="1"/>
  <c r="AB13" i="18"/>
  <c r="AC13" i="18" s="1"/>
  <c r="V13" i="18"/>
  <c r="W13" i="18" s="1"/>
  <c r="AH50" i="18"/>
  <c r="AI50" i="18" s="1"/>
  <c r="AB52" i="18"/>
  <c r="AC52" i="18" s="1"/>
  <c r="M67" i="18"/>
  <c r="N67" i="18" s="1"/>
  <c r="V67" i="18"/>
  <c r="W67" i="18" s="1"/>
  <c r="AH67" i="18"/>
  <c r="AI67" i="18" s="1"/>
  <c r="Y67" i="18"/>
  <c r="Z67" i="18" s="1"/>
  <c r="M73" i="18"/>
  <c r="N73" i="18" s="1"/>
  <c r="V73" i="18"/>
  <c r="W73" i="18" s="1"/>
  <c r="Y73" i="18"/>
  <c r="Z73" i="18" s="1"/>
  <c r="AB61" i="18"/>
  <c r="AC61" i="18" s="1"/>
  <c r="AB69" i="18"/>
  <c r="AC69" i="18" s="1"/>
  <c r="AJ45" i="5"/>
  <c r="AH65" i="18"/>
  <c r="AI65" i="18" s="1"/>
  <c r="AB21" i="18"/>
  <c r="AC21" i="18" s="1"/>
  <c r="AE64" i="18"/>
  <c r="AF64" i="18" s="1"/>
  <c r="AE48" i="18"/>
  <c r="AF48" i="18" s="1"/>
  <c r="AE25" i="18"/>
  <c r="AF25" i="18" s="1"/>
  <c r="AE50" i="18"/>
  <c r="AF50" i="18" s="1"/>
  <c r="AE60" i="18"/>
  <c r="AF60" i="18" s="1"/>
  <c r="AE61" i="18"/>
  <c r="AF61" i="18" s="1"/>
  <c r="AH59" i="18"/>
  <c r="AI59" i="18" s="1"/>
  <c r="AE73" i="18"/>
  <c r="AF73" i="18" s="1"/>
  <c r="AE30" i="18"/>
  <c r="AF30" i="18" s="1"/>
  <c r="AB72" i="18"/>
  <c r="AC72" i="18" s="1"/>
  <c r="M63" i="18"/>
  <c r="N63" i="18" s="1"/>
  <c r="AH63" i="18"/>
  <c r="AI63" i="18" s="1"/>
  <c r="Y63" i="18"/>
  <c r="Z63" i="18" s="1"/>
  <c r="V63" i="18"/>
  <c r="W63" i="18" s="1"/>
  <c r="M14" i="18"/>
  <c r="N14" i="18" s="1"/>
  <c r="V14" i="18"/>
  <c r="W14" i="18" s="1"/>
  <c r="Y14" i="18"/>
  <c r="Z14" i="18" s="1"/>
  <c r="M69" i="18"/>
  <c r="N69" i="18" s="1"/>
  <c r="Y69" i="18"/>
  <c r="Z69" i="18" s="1"/>
  <c r="V69" i="18"/>
  <c r="W69" i="18" s="1"/>
  <c r="M41" i="18"/>
  <c r="N41" i="18" s="1"/>
  <c r="Y41" i="18"/>
  <c r="Z41" i="18" s="1"/>
  <c r="V41" i="18"/>
  <c r="W41" i="18" s="1"/>
  <c r="AB65" i="18"/>
  <c r="AC65" i="18" s="1"/>
  <c r="M71" i="18"/>
  <c r="N71" i="18" s="1"/>
  <c r="AH71" i="18"/>
  <c r="AI71" i="18" s="1"/>
  <c r="Y71" i="18"/>
  <c r="Z71" i="18" s="1"/>
  <c r="V71" i="18"/>
  <c r="W71" i="18" s="1"/>
  <c r="M36" i="18"/>
  <c r="N36" i="18" s="1"/>
  <c r="V36" i="18"/>
  <c r="W36" i="18" s="1"/>
  <c r="Y36" i="18"/>
  <c r="Z36" i="18" s="1"/>
  <c r="AB57" i="18"/>
  <c r="AC57" i="18" s="1"/>
  <c r="AB17" i="18"/>
  <c r="AC17" i="18" s="1"/>
  <c r="M29" i="18"/>
  <c r="N29" i="18" s="1"/>
  <c r="Y29" i="18"/>
  <c r="Z29" i="18" s="1"/>
  <c r="V29" i="18"/>
  <c r="W29" i="18" s="1"/>
  <c r="AE29" i="18"/>
  <c r="AF29" i="18" s="1"/>
  <c r="M22" i="18"/>
  <c r="N22" i="18" s="1"/>
  <c r="V22" i="18"/>
  <c r="W22" i="18" s="1"/>
  <c r="Y22" i="18"/>
  <c r="Z22" i="18" s="1"/>
  <c r="M64" i="18"/>
  <c r="N64" i="18" s="1"/>
  <c r="V64" i="18"/>
  <c r="W64" i="18" s="1"/>
  <c r="Y64" i="18"/>
  <c r="Z64" i="18" s="1"/>
  <c r="M59" i="18"/>
  <c r="N59" i="18" s="1"/>
  <c r="V59" i="18"/>
  <c r="W59" i="18" s="1"/>
  <c r="Y59" i="18"/>
  <c r="Z59" i="18" s="1"/>
  <c r="Z30" i="17"/>
  <c r="AE30" i="17" s="1"/>
  <c r="AL30" i="17" s="1"/>
  <c r="AH14" i="18"/>
  <c r="AI14" i="18" s="1"/>
  <c r="T11" i="17"/>
  <c r="AC11" i="17" s="1"/>
  <c r="AJ11" i="17" s="1"/>
  <c r="M47" i="18"/>
  <c r="N47" i="18" s="1"/>
  <c r="V47" i="18"/>
  <c r="W47" i="18" s="1"/>
  <c r="Y47" i="18"/>
  <c r="Z47" i="18" s="1"/>
  <c r="AE26" i="18"/>
  <c r="AF26" i="18" s="1"/>
  <c r="AE52" i="18"/>
  <c r="AF52" i="18" s="1"/>
  <c r="AB60" i="18"/>
  <c r="AC60" i="18" s="1"/>
  <c r="AE14" i="18"/>
  <c r="AF14" i="18" s="1"/>
  <c r="AE63" i="18"/>
  <c r="AF63" i="18" s="1"/>
  <c r="AH66" i="18"/>
  <c r="AI66" i="18" s="1"/>
  <c r="AG59" i="24"/>
  <c r="AL59" i="24" s="1"/>
  <c r="AW59" i="24" s="1"/>
  <c r="AH52" i="18"/>
  <c r="AI52" i="18" s="1"/>
  <c r="AE37" i="18"/>
  <c r="AF37" i="18" s="1"/>
  <c r="AH21" i="18"/>
  <c r="AI21" i="18" s="1"/>
  <c r="AE59" i="18"/>
  <c r="AF59" i="18" s="1"/>
  <c r="AH64" i="18"/>
  <c r="AI64" i="18" s="1"/>
  <c r="AG57" i="24"/>
  <c r="AL57" i="24" s="1"/>
  <c r="AW57" i="24" s="1"/>
  <c r="AB47" i="18"/>
  <c r="AC47" i="18" s="1"/>
  <c r="AH72" i="18"/>
  <c r="AI72" i="18" s="1"/>
  <c r="AE67" i="18"/>
  <c r="AF67" i="18" s="1"/>
  <c r="AY14" i="24"/>
  <c r="AA43" i="24"/>
  <c r="AJ43" i="24" s="1"/>
  <c r="AS43" i="24" s="1"/>
  <c r="AG31" i="24"/>
  <c r="AL31" i="24" s="1"/>
  <c r="AW31" i="24" s="1"/>
  <c r="AZ37" i="24"/>
  <c r="I28" i="24"/>
  <c r="H28" i="17"/>
  <c r="Y45" i="24"/>
  <c r="AH45" i="24" s="1"/>
  <c r="AO45" i="24" s="1"/>
  <c r="W45" i="24"/>
  <c r="Z45" i="24"/>
  <c r="AI45" i="24" s="1"/>
  <c r="AQ45" i="24" s="1"/>
  <c r="S56" i="17"/>
  <c r="AB56" i="17" s="1"/>
  <c r="AI56" i="17" s="1"/>
  <c r="U56" i="17"/>
  <c r="P56" i="17"/>
  <c r="R56" i="17"/>
  <c r="AA56" i="17" s="1"/>
  <c r="AH56" i="17" s="1"/>
  <c r="Z56" i="17"/>
  <c r="AE56" i="17" s="1"/>
  <c r="AL56" i="17" s="1"/>
  <c r="AA41" i="24"/>
  <c r="AJ41" i="24" s="1"/>
  <c r="AS41" i="24" s="1"/>
  <c r="Z30" i="24"/>
  <c r="AI30" i="24" s="1"/>
  <c r="AQ30" i="24" s="1"/>
  <c r="W30" i="24"/>
  <c r="Y30" i="24"/>
  <c r="AH30" i="24" s="1"/>
  <c r="AO30" i="24" s="1"/>
  <c r="AG33" i="24"/>
  <c r="AL33" i="24" s="1"/>
  <c r="AW33" i="24" s="1"/>
  <c r="R17" i="17"/>
  <c r="AA17" i="17" s="1"/>
  <c r="AH17" i="17" s="1"/>
  <c r="S17" i="17"/>
  <c r="AB17" i="17" s="1"/>
  <c r="AI17" i="17" s="1"/>
  <c r="P17" i="17"/>
  <c r="AA60" i="24"/>
  <c r="AJ60" i="24" s="1"/>
  <c r="AS60" i="24" s="1"/>
  <c r="H55" i="24"/>
  <c r="G55" i="17"/>
  <c r="R41" i="17"/>
  <c r="AA41" i="17" s="1"/>
  <c r="AH41" i="17" s="1"/>
  <c r="S41" i="17"/>
  <c r="AB41" i="17" s="1"/>
  <c r="AI41" i="17" s="1"/>
  <c r="P41" i="17"/>
  <c r="U41" i="17"/>
  <c r="H16" i="24"/>
  <c r="AB23" i="18" s="1"/>
  <c r="AC23" i="18" s="1"/>
  <c r="G16" i="17"/>
  <c r="I20" i="24"/>
  <c r="H20" i="17"/>
  <c r="H21" i="24"/>
  <c r="G21" i="17"/>
  <c r="V44" i="24"/>
  <c r="O44" i="17"/>
  <c r="AJ48" i="5"/>
  <c r="AI48" i="5"/>
  <c r="AZ39" i="24"/>
  <c r="T23" i="17"/>
  <c r="AC23" i="17" s="1"/>
  <c r="AJ23" i="17" s="1"/>
  <c r="AA7" i="24"/>
  <c r="AJ7" i="24" s="1"/>
  <c r="AS7" i="24" s="1"/>
  <c r="AZ45" i="24"/>
  <c r="H24" i="24"/>
  <c r="G24" i="17"/>
  <c r="I13" i="24"/>
  <c r="H13" i="17"/>
  <c r="T44" i="24"/>
  <c r="N44" i="17"/>
  <c r="R52" i="17"/>
  <c r="AA52" i="17" s="1"/>
  <c r="AH52" i="17" s="1"/>
  <c r="P52" i="17"/>
  <c r="U52" i="17"/>
  <c r="Z52" i="17"/>
  <c r="AE52" i="17" s="1"/>
  <c r="AL52" i="17" s="1"/>
  <c r="S52" i="17"/>
  <c r="AB52" i="17" s="1"/>
  <c r="AI52" i="17" s="1"/>
  <c r="Z54" i="17"/>
  <c r="AE54" i="17" s="1"/>
  <c r="AL54" i="17" s="1"/>
  <c r="U54" i="17"/>
  <c r="S54" i="17"/>
  <c r="AB54" i="17" s="1"/>
  <c r="AI54" i="17" s="1"/>
  <c r="AN54" i="17" s="1"/>
  <c r="P54" i="17"/>
  <c r="R54" i="17"/>
  <c r="AA54" i="17" s="1"/>
  <c r="AH54" i="17" s="1"/>
  <c r="S18" i="17"/>
  <c r="AB18" i="17" s="1"/>
  <c r="AI18" i="17" s="1"/>
  <c r="R18" i="17"/>
  <c r="AA18" i="17" s="1"/>
  <c r="AH18" i="17" s="1"/>
  <c r="P18" i="17"/>
  <c r="AA39" i="24"/>
  <c r="AJ39" i="24" s="1"/>
  <c r="AS39" i="24" s="1"/>
  <c r="I42" i="24"/>
  <c r="AB42" i="24" s="1"/>
  <c r="H42" i="17"/>
  <c r="U42" i="17" s="1"/>
  <c r="AA27" i="24"/>
  <c r="AJ27" i="24" s="1"/>
  <c r="AS27" i="24" s="1"/>
  <c r="U18" i="17"/>
  <c r="AB49" i="24"/>
  <c r="AG49" i="24"/>
  <c r="AL49" i="24" s="1"/>
  <c r="AW49" i="24" s="1"/>
  <c r="Y49" i="24"/>
  <c r="AH49" i="24" s="1"/>
  <c r="AO49" i="24" s="1"/>
  <c r="W49" i="24"/>
  <c r="Z49" i="24"/>
  <c r="AI49" i="24" s="1"/>
  <c r="AQ49" i="24" s="1"/>
  <c r="AA59" i="24"/>
  <c r="AJ59" i="24" s="1"/>
  <c r="AS59" i="24" s="1"/>
  <c r="I9" i="24"/>
  <c r="AB9" i="24" s="1"/>
  <c r="H9" i="17"/>
  <c r="T17" i="17"/>
  <c r="AC17" i="17" s="1"/>
  <c r="AJ17" i="17" s="1"/>
  <c r="AM17" i="17" s="1"/>
  <c r="AZ68" i="24"/>
  <c r="T41" i="24"/>
  <c r="AH48" i="18" s="1"/>
  <c r="AI48" i="18" s="1"/>
  <c r="N41" i="17"/>
  <c r="Z41" i="17" s="1"/>
  <c r="AE41" i="17" s="1"/>
  <c r="AL41" i="17" s="1"/>
  <c r="AG11" i="24"/>
  <c r="AL11" i="24" s="1"/>
  <c r="AW11" i="24" s="1"/>
  <c r="S16" i="17"/>
  <c r="AB16" i="17" s="1"/>
  <c r="AI16" i="17" s="1"/>
  <c r="AN16" i="17" s="1"/>
  <c r="R16" i="17"/>
  <c r="AA16" i="17" s="1"/>
  <c r="AH16" i="17" s="1"/>
  <c r="P16" i="17"/>
  <c r="AG28" i="24"/>
  <c r="AL28" i="24" s="1"/>
  <c r="AW28" i="24" s="1"/>
  <c r="Y10" i="24"/>
  <c r="AH10" i="24" s="1"/>
  <c r="AO10" i="24" s="1"/>
  <c r="Z10" i="24"/>
  <c r="AI10" i="24" s="1"/>
  <c r="AQ10" i="24" s="1"/>
  <c r="W10" i="24"/>
  <c r="J73" i="17"/>
  <c r="W56" i="24"/>
  <c r="Z56" i="24"/>
  <c r="AI56" i="24" s="1"/>
  <c r="AQ56" i="24" s="1"/>
  <c r="AB56" i="24"/>
  <c r="AG56" i="24"/>
  <c r="AL56" i="24" s="1"/>
  <c r="AW56" i="24" s="1"/>
  <c r="Y56" i="24"/>
  <c r="AH56" i="24" s="1"/>
  <c r="AO56" i="24" s="1"/>
  <c r="AA47" i="24"/>
  <c r="AJ47" i="24" s="1"/>
  <c r="AS47" i="24" s="1"/>
  <c r="AA45" i="24"/>
  <c r="AJ45" i="24" s="1"/>
  <c r="AS45" i="24" s="1"/>
  <c r="P58" i="17"/>
  <c r="Z58" i="17"/>
  <c r="AE58" i="17" s="1"/>
  <c r="AL58" i="17" s="1"/>
  <c r="S58" i="17"/>
  <c r="AB58" i="17" s="1"/>
  <c r="AI58" i="17" s="1"/>
  <c r="U58" i="17"/>
  <c r="R58" i="17"/>
  <c r="AA58" i="17" s="1"/>
  <c r="AH58" i="17" s="1"/>
  <c r="J92" i="5"/>
  <c r="I92" i="5"/>
  <c r="Z17" i="24"/>
  <c r="AI17" i="24" s="1"/>
  <c r="AQ17" i="24" s="1"/>
  <c r="W17" i="24"/>
  <c r="Y17" i="24"/>
  <c r="AH17" i="24" s="1"/>
  <c r="AO17" i="24" s="1"/>
  <c r="Y52" i="24"/>
  <c r="AH52" i="24" s="1"/>
  <c r="AO52" i="24" s="1"/>
  <c r="Z52" i="24"/>
  <c r="AI52" i="24" s="1"/>
  <c r="AQ52" i="24" s="1"/>
  <c r="AZ52" i="24" s="1"/>
  <c r="W52" i="24"/>
  <c r="AB52" i="24"/>
  <c r="AG52" i="24"/>
  <c r="AL52" i="24" s="1"/>
  <c r="AW52" i="24" s="1"/>
  <c r="Y18" i="24"/>
  <c r="AH18" i="24" s="1"/>
  <c r="AO18" i="24" s="1"/>
  <c r="Z18" i="24"/>
  <c r="AI18" i="24" s="1"/>
  <c r="AQ18" i="24" s="1"/>
  <c r="W18" i="24"/>
  <c r="H46" i="24"/>
  <c r="G46" i="17"/>
  <c r="Y41" i="24"/>
  <c r="AH41" i="24" s="1"/>
  <c r="AO41" i="24" s="1"/>
  <c r="Z41" i="24"/>
  <c r="AI41" i="24" s="1"/>
  <c r="AQ41" i="24" s="1"/>
  <c r="W41" i="24"/>
  <c r="X11" i="24"/>
  <c r="AK11" i="24" s="1"/>
  <c r="AU11" i="24" s="1"/>
  <c r="Z26" i="24"/>
  <c r="AI26" i="24" s="1"/>
  <c r="AQ26" i="24" s="1"/>
  <c r="W26" i="24"/>
  <c r="X26" i="24"/>
  <c r="AK26" i="24" s="1"/>
  <c r="AU26" i="24" s="1"/>
  <c r="Y26" i="24"/>
  <c r="AH26" i="24" s="1"/>
  <c r="AO26" i="24" s="1"/>
  <c r="AG26" i="24"/>
  <c r="AL26" i="24" s="1"/>
  <c r="AW26" i="24" s="1"/>
  <c r="AB26" i="24"/>
  <c r="H51" i="24"/>
  <c r="G51" i="17"/>
  <c r="X30" i="24"/>
  <c r="AK30" i="24" s="1"/>
  <c r="AU30" i="24" s="1"/>
  <c r="P48" i="17"/>
  <c r="R48" i="17"/>
  <c r="AA48" i="17" s="1"/>
  <c r="AH48" i="17" s="1"/>
  <c r="S48" i="17"/>
  <c r="AB48" i="17" s="1"/>
  <c r="AI48" i="17" s="1"/>
  <c r="AN48" i="17" s="1"/>
  <c r="AA11" i="24"/>
  <c r="AJ11" i="24" s="1"/>
  <c r="AS11" i="24" s="1"/>
  <c r="T9" i="24"/>
  <c r="N9" i="17"/>
  <c r="Z9" i="17" s="1"/>
  <c r="AE9" i="17" s="1"/>
  <c r="AL9" i="17" s="1"/>
  <c r="AB41" i="24"/>
  <c r="AG17" i="24"/>
  <c r="AL17" i="24" s="1"/>
  <c r="AW17" i="24" s="1"/>
  <c r="T29" i="17"/>
  <c r="AC29" i="17" s="1"/>
  <c r="AJ29" i="17" s="1"/>
  <c r="AG64" i="24"/>
  <c r="AL64" i="24" s="1"/>
  <c r="AW64" i="24" s="1"/>
  <c r="AB64" i="24"/>
  <c r="Z64" i="24"/>
  <c r="AI64" i="24" s="1"/>
  <c r="AQ64" i="24" s="1"/>
  <c r="Y64" i="24"/>
  <c r="AH64" i="24" s="1"/>
  <c r="AO64" i="24" s="1"/>
  <c r="W64" i="24"/>
  <c r="H44" i="24"/>
  <c r="G44" i="17"/>
  <c r="AA15" i="24"/>
  <c r="AJ15" i="24" s="1"/>
  <c r="AS15" i="24" s="1"/>
  <c r="Y60" i="24"/>
  <c r="AH60" i="24" s="1"/>
  <c r="AO60" i="24" s="1"/>
  <c r="AG60" i="24"/>
  <c r="AL60" i="24" s="1"/>
  <c r="AW60" i="24" s="1"/>
  <c r="W60" i="24"/>
  <c r="Z60" i="24"/>
  <c r="AI60" i="24" s="1"/>
  <c r="AQ60" i="24" s="1"/>
  <c r="AB60" i="24"/>
  <c r="T48" i="17"/>
  <c r="AC48" i="17" s="1"/>
  <c r="AJ48" i="17" s="1"/>
  <c r="I90" i="5"/>
  <c r="AA16" i="24"/>
  <c r="AJ16" i="24" s="1"/>
  <c r="AS16" i="24" s="1"/>
  <c r="U6" i="17"/>
  <c r="T56" i="17"/>
  <c r="AC56" i="17" s="1"/>
  <c r="AJ56" i="17" s="1"/>
  <c r="R7" i="17"/>
  <c r="AA7" i="17" s="1"/>
  <c r="AH7" i="17" s="1"/>
  <c r="P7" i="17"/>
  <c r="S7" i="17"/>
  <c r="AB7" i="17" s="1"/>
  <c r="AI7" i="17" s="1"/>
  <c r="AN7" i="17" s="1"/>
  <c r="X41" i="24"/>
  <c r="AK41" i="24" s="1"/>
  <c r="AU41" i="24" s="1"/>
  <c r="AG37" i="24"/>
  <c r="AL37" i="24" s="1"/>
  <c r="AW37" i="24" s="1"/>
  <c r="Y16" i="24"/>
  <c r="AH16" i="24" s="1"/>
  <c r="AO16" i="24" s="1"/>
  <c r="Z16" i="24"/>
  <c r="AI16" i="24" s="1"/>
  <c r="AQ16" i="24" s="1"/>
  <c r="W16" i="24"/>
  <c r="R10" i="17"/>
  <c r="AA10" i="17" s="1"/>
  <c r="AH10" i="17" s="1"/>
  <c r="S10" i="17"/>
  <c r="AB10" i="17" s="1"/>
  <c r="AI10" i="17" s="1"/>
  <c r="P10" i="17"/>
  <c r="T18" i="17"/>
  <c r="AC18" i="17" s="1"/>
  <c r="AJ18" i="17" s="1"/>
  <c r="AM18" i="17" s="1"/>
  <c r="H25" i="24"/>
  <c r="G25" i="17"/>
  <c r="AA33" i="24"/>
  <c r="AJ33" i="24" s="1"/>
  <c r="AS33" i="24" s="1"/>
  <c r="AA64" i="24"/>
  <c r="AJ64" i="24" s="1"/>
  <c r="AS64" i="24" s="1"/>
  <c r="H28" i="24"/>
  <c r="G28" i="17"/>
  <c r="H32" i="24"/>
  <c r="AH39" i="18" s="1"/>
  <c r="AI39" i="18" s="1"/>
  <c r="G32" i="17"/>
  <c r="T58" i="17"/>
  <c r="AC58" i="17" s="1"/>
  <c r="AJ58" i="17" s="1"/>
  <c r="AM58" i="17" s="1"/>
  <c r="AZ14" i="24"/>
  <c r="Z18" i="17"/>
  <c r="AE18" i="17" s="1"/>
  <c r="AL18" i="17" s="1"/>
  <c r="H63" i="24"/>
  <c r="AH70" i="18" s="1"/>
  <c r="AI70" i="18" s="1"/>
  <c r="G63" i="17"/>
  <c r="G80" i="17" s="1"/>
  <c r="X18" i="24"/>
  <c r="AK18" i="24" s="1"/>
  <c r="AU18" i="24" s="1"/>
  <c r="I38" i="24"/>
  <c r="H38" i="17"/>
  <c r="U38" i="17" s="1"/>
  <c r="Z22" i="24"/>
  <c r="AI22" i="24" s="1"/>
  <c r="AQ22" i="24" s="1"/>
  <c r="Y22" i="24"/>
  <c r="AH22" i="24" s="1"/>
  <c r="AO22" i="24" s="1"/>
  <c r="AB22" i="24"/>
  <c r="AG22" i="24"/>
  <c r="AL22" i="24" s="1"/>
  <c r="AW22" i="24" s="1"/>
  <c r="W22" i="24"/>
  <c r="X22" i="24"/>
  <c r="AK22" i="24" s="1"/>
  <c r="AU22" i="24" s="1"/>
  <c r="AG58" i="24"/>
  <c r="AL58" i="24" s="1"/>
  <c r="AW58" i="24" s="1"/>
  <c r="AB58" i="24"/>
  <c r="Y58" i="24"/>
  <c r="AH58" i="24" s="1"/>
  <c r="AO58" i="24" s="1"/>
  <c r="W58" i="24"/>
  <c r="Z58" i="24"/>
  <c r="AI58" i="24" s="1"/>
  <c r="AQ58" i="24" s="1"/>
  <c r="R15" i="17"/>
  <c r="AA15" i="17" s="1"/>
  <c r="AH15" i="17" s="1"/>
  <c r="P15" i="17"/>
  <c r="S15" i="17"/>
  <c r="AB15" i="17" s="1"/>
  <c r="AI15" i="17" s="1"/>
  <c r="AM15" i="17" s="1"/>
  <c r="AN27" i="17"/>
  <c r="Z16" i="17"/>
  <c r="AE16" i="17" s="1"/>
  <c r="AL16" i="17" s="1"/>
  <c r="Z6" i="24"/>
  <c r="AI6" i="24" s="1"/>
  <c r="AQ6" i="24" s="1"/>
  <c r="Y6" i="24"/>
  <c r="AH6" i="24" s="1"/>
  <c r="AO6" i="24" s="1"/>
  <c r="W6" i="24"/>
  <c r="AA6" i="24"/>
  <c r="AJ6" i="24" s="1"/>
  <c r="AS6" i="24" s="1"/>
  <c r="X6" i="24"/>
  <c r="AK6" i="24" s="1"/>
  <c r="AU6" i="24" s="1"/>
  <c r="U67" i="17"/>
  <c r="T38" i="17"/>
  <c r="AC38" i="17" s="1"/>
  <c r="AJ38" i="17" s="1"/>
  <c r="AZ57" i="24"/>
  <c r="Z6" i="17"/>
  <c r="AE6" i="17" s="1"/>
  <c r="AA50" i="24"/>
  <c r="AJ50" i="24" s="1"/>
  <c r="AS50" i="24" s="1"/>
  <c r="AA37" i="24"/>
  <c r="AJ37" i="24" s="1"/>
  <c r="AS37" i="24" s="1"/>
  <c r="Q17" i="17"/>
  <c r="AD17" i="17" s="1"/>
  <c r="AK17" i="17" s="1"/>
  <c r="AN17" i="17" s="1"/>
  <c r="P62" i="17"/>
  <c r="Z62" i="17"/>
  <c r="AE62" i="17" s="1"/>
  <c r="AL62" i="17" s="1"/>
  <c r="U62" i="17"/>
  <c r="S62" i="17"/>
  <c r="AB62" i="17" s="1"/>
  <c r="AI62" i="17" s="1"/>
  <c r="AM62" i="17" s="1"/>
  <c r="R62" i="17"/>
  <c r="AA62" i="17" s="1"/>
  <c r="AH62" i="17" s="1"/>
  <c r="Q18" i="17"/>
  <c r="AD18" i="17" s="1"/>
  <c r="AK18" i="17" s="1"/>
  <c r="AN18" i="17" s="1"/>
  <c r="T10" i="17"/>
  <c r="AC10" i="17" s="1"/>
  <c r="AJ10" i="17" s="1"/>
  <c r="AM10" i="17" s="1"/>
  <c r="T27" i="24"/>
  <c r="AH34" i="18" s="1"/>
  <c r="AI34" i="18" s="1"/>
  <c r="N27" i="17"/>
  <c r="Z27" i="17" s="1"/>
  <c r="AE27" i="17" s="1"/>
  <c r="AL27" i="17" s="1"/>
  <c r="Z10" i="17"/>
  <c r="AE10" i="17" s="1"/>
  <c r="AL10" i="17" s="1"/>
  <c r="AY68" i="24"/>
  <c r="H46" i="17"/>
  <c r="I46" i="24"/>
  <c r="R19" i="17"/>
  <c r="AA19" i="17" s="1"/>
  <c r="AH19" i="17" s="1"/>
  <c r="S19" i="17"/>
  <c r="AB19" i="17" s="1"/>
  <c r="AI19" i="17" s="1"/>
  <c r="AN19" i="17" s="1"/>
  <c r="P19" i="17"/>
  <c r="U29" i="17"/>
  <c r="S43" i="17"/>
  <c r="AB43" i="17" s="1"/>
  <c r="AI43" i="17" s="1"/>
  <c r="R43" i="17"/>
  <c r="AA43" i="17" s="1"/>
  <c r="AH43" i="17" s="1"/>
  <c r="P43" i="17"/>
  <c r="U65" i="17"/>
  <c r="Q65" i="17"/>
  <c r="AD65" i="17" s="1"/>
  <c r="AK65" i="17" s="1"/>
  <c r="Z65" i="17"/>
  <c r="AE65" i="17" s="1"/>
  <c r="AL65" i="17" s="1"/>
  <c r="R65" i="17"/>
  <c r="AA65" i="17" s="1"/>
  <c r="AH65" i="17" s="1"/>
  <c r="P65" i="17"/>
  <c r="S65" i="17"/>
  <c r="AB65" i="17" s="1"/>
  <c r="AI65" i="17" s="1"/>
  <c r="AM65" i="17" s="1"/>
  <c r="Q61" i="17"/>
  <c r="AD61" i="17" s="1"/>
  <c r="AK61" i="17" s="1"/>
  <c r="Z61" i="17"/>
  <c r="AE61" i="17" s="1"/>
  <c r="AL61" i="17" s="1"/>
  <c r="R61" i="17"/>
  <c r="AA61" i="17" s="1"/>
  <c r="AH61" i="17" s="1"/>
  <c r="S61" i="17"/>
  <c r="AB61" i="17" s="1"/>
  <c r="AI61" i="17" s="1"/>
  <c r="AM61" i="17" s="1"/>
  <c r="U61" i="17"/>
  <c r="P61" i="17"/>
  <c r="Q58" i="17"/>
  <c r="AD58" i="17" s="1"/>
  <c r="AK58" i="17" s="1"/>
  <c r="AN58" i="17" s="1"/>
  <c r="AG30" i="24"/>
  <c r="AL30" i="24" s="1"/>
  <c r="AW30" i="24" s="1"/>
  <c r="AG35" i="24"/>
  <c r="AL35" i="24" s="1"/>
  <c r="AW35" i="24" s="1"/>
  <c r="H8" i="24"/>
  <c r="G8" i="17"/>
  <c r="I51" i="24"/>
  <c r="H51" i="17"/>
  <c r="AG7" i="24"/>
  <c r="AL7" i="24" s="1"/>
  <c r="AW7" i="24" s="1"/>
  <c r="Y48" i="24"/>
  <c r="AH48" i="24" s="1"/>
  <c r="AO48" i="24" s="1"/>
  <c r="Z48" i="24"/>
  <c r="AI48" i="24" s="1"/>
  <c r="AQ48" i="24" s="1"/>
  <c r="W48" i="24"/>
  <c r="X60" i="24"/>
  <c r="AK60" i="24" s="1"/>
  <c r="AU60" i="24" s="1"/>
  <c r="AA19" i="24"/>
  <c r="AJ19" i="24" s="1"/>
  <c r="AS19" i="24" s="1"/>
  <c r="I12" i="24"/>
  <c r="H12" i="17"/>
  <c r="H9" i="24"/>
  <c r="G9" i="17"/>
  <c r="AG15" i="24"/>
  <c r="AL15" i="24" s="1"/>
  <c r="AW15" i="24" s="1"/>
  <c r="AZ53" i="24"/>
  <c r="R23" i="17"/>
  <c r="AA23" i="17" s="1"/>
  <c r="AH23" i="17" s="1"/>
  <c r="U23" i="17"/>
  <c r="Z23" i="17"/>
  <c r="AE23" i="17" s="1"/>
  <c r="AL23" i="17" s="1"/>
  <c r="P23" i="17"/>
  <c r="S23" i="17"/>
  <c r="AB23" i="17" s="1"/>
  <c r="AI23" i="17" s="1"/>
  <c r="P66" i="17"/>
  <c r="Z66" i="17"/>
  <c r="AE66" i="17" s="1"/>
  <c r="AL66" i="17" s="1"/>
  <c r="R66" i="17"/>
  <c r="AA66" i="17" s="1"/>
  <c r="AH66" i="17" s="1"/>
  <c r="U66" i="17"/>
  <c r="S66" i="17"/>
  <c r="AB66" i="17" s="1"/>
  <c r="AI66" i="17" s="1"/>
  <c r="U9" i="17"/>
  <c r="Z28" i="17"/>
  <c r="AE28" i="17" s="1"/>
  <c r="AL28" i="17" s="1"/>
  <c r="Y11" i="24"/>
  <c r="AH11" i="24" s="1"/>
  <c r="AO11" i="24" s="1"/>
  <c r="Z11" i="24"/>
  <c r="AI11" i="24" s="1"/>
  <c r="AQ11" i="24" s="1"/>
  <c r="W11" i="24"/>
  <c r="R29" i="17"/>
  <c r="AA29" i="17" s="1"/>
  <c r="AH29" i="17" s="1"/>
  <c r="P29" i="17"/>
  <c r="S29" i="17"/>
  <c r="AB29" i="17" s="1"/>
  <c r="AI29" i="17" s="1"/>
  <c r="Q23" i="17"/>
  <c r="AD23" i="17" s="1"/>
  <c r="AK23" i="17" s="1"/>
  <c r="AN23" i="17" s="1"/>
  <c r="Z32" i="17"/>
  <c r="AE32" i="17" s="1"/>
  <c r="AL32" i="17" s="1"/>
  <c r="AN10" i="17"/>
  <c r="X67" i="24"/>
  <c r="AK67" i="24" s="1"/>
  <c r="AU67" i="24" s="1"/>
  <c r="Z67" i="24"/>
  <c r="AI67" i="24" s="1"/>
  <c r="AQ67" i="24" s="1"/>
  <c r="Y67" i="24"/>
  <c r="AH67" i="24" s="1"/>
  <c r="AO67" i="24" s="1"/>
  <c r="W67" i="24"/>
  <c r="AY53" i="24"/>
  <c r="U28" i="17"/>
  <c r="AZ33" i="24"/>
  <c r="AG42" i="24"/>
  <c r="AL42" i="24" s="1"/>
  <c r="AW42" i="24" s="1"/>
  <c r="P50" i="17"/>
  <c r="Z50" i="17"/>
  <c r="AE50" i="17" s="1"/>
  <c r="AL50" i="17" s="1"/>
  <c r="U50" i="17"/>
  <c r="S50" i="17"/>
  <c r="AB50" i="17" s="1"/>
  <c r="AI50" i="17" s="1"/>
  <c r="AN50" i="17" s="1"/>
  <c r="R50" i="17"/>
  <c r="AA50" i="17" s="1"/>
  <c r="AH50" i="17" s="1"/>
  <c r="AZ27" i="24"/>
  <c r="I8" i="24"/>
  <c r="H8" i="17"/>
  <c r="S26" i="17"/>
  <c r="AB26" i="17" s="1"/>
  <c r="AI26" i="17" s="1"/>
  <c r="U26" i="17"/>
  <c r="Q26" i="17"/>
  <c r="AD26" i="17" s="1"/>
  <c r="AK26" i="17" s="1"/>
  <c r="P26" i="17"/>
  <c r="Z26" i="17"/>
  <c r="AE26" i="17" s="1"/>
  <c r="AL26" i="17" s="1"/>
  <c r="R26" i="17"/>
  <c r="AA26" i="17" s="1"/>
  <c r="AH26" i="17" s="1"/>
  <c r="AG29" i="24"/>
  <c r="AL29" i="24" s="1"/>
  <c r="AW29" i="24" s="1"/>
  <c r="AG46" i="24"/>
  <c r="AL46" i="24" s="1"/>
  <c r="AW46" i="24" s="1"/>
  <c r="AA52" i="24"/>
  <c r="AJ52" i="24" s="1"/>
  <c r="AS52" i="24" s="1"/>
  <c r="Z38" i="17"/>
  <c r="AE38" i="17" s="1"/>
  <c r="AL38" i="17" s="1"/>
  <c r="Z17" i="17"/>
  <c r="AE17" i="17" s="1"/>
  <c r="AL17" i="17" s="1"/>
  <c r="AZ10" i="24"/>
  <c r="AA66" i="24"/>
  <c r="AJ66" i="24" s="1"/>
  <c r="AS66" i="24" s="1"/>
  <c r="Z64" i="17"/>
  <c r="AE64" i="17" s="1"/>
  <c r="AL64" i="17" s="1"/>
  <c r="U64" i="17"/>
  <c r="P64" i="17"/>
  <c r="R64" i="17"/>
  <c r="AA64" i="17" s="1"/>
  <c r="AH64" i="17" s="1"/>
  <c r="S64" i="17"/>
  <c r="AB64" i="17" s="1"/>
  <c r="AI64" i="17" s="1"/>
  <c r="AN64" i="17" s="1"/>
  <c r="S60" i="17"/>
  <c r="AB60" i="17" s="1"/>
  <c r="AI60" i="17" s="1"/>
  <c r="AN60" i="17" s="1"/>
  <c r="R60" i="17"/>
  <c r="AA60" i="17" s="1"/>
  <c r="AH60" i="17" s="1"/>
  <c r="Z60" i="17"/>
  <c r="AE60" i="17" s="1"/>
  <c r="AL60" i="17" s="1"/>
  <c r="P60" i="17"/>
  <c r="U60" i="17"/>
  <c r="AA35" i="24"/>
  <c r="AJ35" i="24" s="1"/>
  <c r="AS35" i="24" s="1"/>
  <c r="Y23" i="24"/>
  <c r="AH23" i="24" s="1"/>
  <c r="AO23" i="24" s="1"/>
  <c r="W23" i="24"/>
  <c r="AG23" i="24"/>
  <c r="AL23" i="24" s="1"/>
  <c r="AW23" i="24" s="1"/>
  <c r="Z23" i="24"/>
  <c r="AI23" i="24" s="1"/>
  <c r="AQ23" i="24" s="1"/>
  <c r="AB23" i="24"/>
  <c r="AG66" i="24"/>
  <c r="AL66" i="24" s="1"/>
  <c r="AW66" i="24" s="1"/>
  <c r="Y66" i="24"/>
  <c r="AH66" i="24" s="1"/>
  <c r="AO66" i="24" s="1"/>
  <c r="AB66" i="24"/>
  <c r="W66" i="24"/>
  <c r="Z66" i="24"/>
  <c r="AI66" i="24" s="1"/>
  <c r="AQ66" i="24" s="1"/>
  <c r="AA23" i="24"/>
  <c r="AJ23" i="24" s="1"/>
  <c r="AS23" i="24" s="1"/>
  <c r="I24" i="24"/>
  <c r="H24" i="17"/>
  <c r="AA36" i="24"/>
  <c r="AJ36" i="24" s="1"/>
  <c r="AS36" i="24" s="1"/>
  <c r="R11" i="17"/>
  <c r="AA11" i="17" s="1"/>
  <c r="AH11" i="17" s="1"/>
  <c r="P11" i="17"/>
  <c r="S11" i="17"/>
  <c r="AB11" i="17" s="1"/>
  <c r="AI11" i="17" s="1"/>
  <c r="AM11" i="17" s="1"/>
  <c r="Y29" i="24"/>
  <c r="AH29" i="24" s="1"/>
  <c r="AO29" i="24" s="1"/>
  <c r="Z29" i="24"/>
  <c r="AI29" i="24" s="1"/>
  <c r="AQ29" i="24" s="1"/>
  <c r="W29" i="24"/>
  <c r="Q56" i="17"/>
  <c r="AD56" i="17" s="1"/>
  <c r="AK56" i="17" s="1"/>
  <c r="AN56" i="17" s="1"/>
  <c r="AB45" i="24"/>
  <c r="AG43" i="24"/>
  <c r="AL43" i="24" s="1"/>
  <c r="AW43" i="24" s="1"/>
  <c r="H20" i="24"/>
  <c r="G20" i="17"/>
  <c r="H38" i="24"/>
  <c r="G38" i="17"/>
  <c r="Q22" i="17"/>
  <c r="AD22" i="17" s="1"/>
  <c r="AK22" i="17" s="1"/>
  <c r="R22" i="17"/>
  <c r="AA22" i="17" s="1"/>
  <c r="AH22" i="17" s="1"/>
  <c r="U22" i="17"/>
  <c r="Z22" i="17"/>
  <c r="AE22" i="17" s="1"/>
  <c r="AL22" i="17" s="1"/>
  <c r="P22" i="17"/>
  <c r="S22" i="17"/>
  <c r="AB22" i="17" s="1"/>
  <c r="AI22" i="17" s="1"/>
  <c r="S6" i="17"/>
  <c r="R6" i="17"/>
  <c r="P6" i="17"/>
  <c r="T6" i="17"/>
  <c r="Q6" i="17"/>
  <c r="AG6" i="24"/>
  <c r="AL6" i="24" s="1"/>
  <c r="AW6" i="24" s="1"/>
  <c r="AA54" i="24"/>
  <c r="AJ54" i="24" s="1"/>
  <c r="AS54" i="24" s="1"/>
  <c r="AB54" i="24"/>
  <c r="W54" i="24"/>
  <c r="AG54" i="24"/>
  <c r="AL54" i="24" s="1"/>
  <c r="AW54" i="24" s="1"/>
  <c r="Z54" i="24"/>
  <c r="AI54" i="24" s="1"/>
  <c r="AQ54" i="24" s="1"/>
  <c r="Y54" i="24"/>
  <c r="AH54" i="24" s="1"/>
  <c r="AO54" i="24" s="1"/>
  <c r="I36" i="24"/>
  <c r="H36" i="17"/>
  <c r="T36" i="17" s="1"/>
  <c r="AC36" i="17" s="1"/>
  <c r="AJ36" i="17" s="1"/>
  <c r="Q29" i="17"/>
  <c r="AD29" i="17" s="1"/>
  <c r="AK29" i="17" s="1"/>
  <c r="AN29" i="17" s="1"/>
  <c r="AB28" i="24"/>
  <c r="AB50" i="24"/>
  <c r="AG50" i="24"/>
  <c r="AL50" i="24" s="1"/>
  <c r="AW50" i="24" s="1"/>
  <c r="Y50" i="24"/>
  <c r="AH50" i="24" s="1"/>
  <c r="AO50" i="24" s="1"/>
  <c r="Z50" i="24"/>
  <c r="AI50" i="24" s="1"/>
  <c r="AQ50" i="24" s="1"/>
  <c r="W50" i="24"/>
  <c r="I55" i="24"/>
  <c r="H55" i="17"/>
  <c r="AA62" i="24"/>
  <c r="AJ62" i="24" s="1"/>
  <c r="AS62" i="24" s="1"/>
  <c r="H12" i="24"/>
  <c r="G12" i="17"/>
  <c r="G78" i="17" s="1"/>
  <c r="AA29" i="24"/>
  <c r="AJ29" i="24" s="1"/>
  <c r="AS29" i="24" s="1"/>
  <c r="T66" i="17"/>
  <c r="AC66" i="17" s="1"/>
  <c r="AJ66" i="17" s="1"/>
  <c r="AM43" i="17"/>
  <c r="AZ64" i="24"/>
  <c r="AZ59" i="24"/>
  <c r="I21" i="24"/>
  <c r="H21" i="17"/>
  <c r="I44" i="24"/>
  <c r="H44" i="17"/>
  <c r="AA17" i="24"/>
  <c r="AJ17" i="24" s="1"/>
  <c r="AS17" i="24" s="1"/>
  <c r="T48" i="24"/>
  <c r="AH55" i="18" s="1"/>
  <c r="AI55" i="18" s="1"/>
  <c r="N48" i="17"/>
  <c r="Z48" i="17" s="1"/>
  <c r="AE48" i="17" s="1"/>
  <c r="AL48" i="17" s="1"/>
  <c r="AA48" i="24"/>
  <c r="AJ48" i="24" s="1"/>
  <c r="AS48" i="24" s="1"/>
  <c r="U11" i="17"/>
  <c r="AA56" i="24"/>
  <c r="AJ56" i="24" s="1"/>
  <c r="AS56" i="24" s="1"/>
  <c r="Y7" i="24"/>
  <c r="AH7" i="24" s="1"/>
  <c r="AO7" i="24" s="1"/>
  <c r="W7" i="24"/>
  <c r="Z7" i="24"/>
  <c r="AI7" i="24" s="1"/>
  <c r="AQ7" i="24" s="1"/>
  <c r="AB30" i="24"/>
  <c r="T7" i="17"/>
  <c r="AC7" i="17" s="1"/>
  <c r="AJ7" i="17" s="1"/>
  <c r="M71" i="17"/>
  <c r="M72" i="17" s="1"/>
  <c r="M70" i="17"/>
  <c r="M73" i="17" s="1"/>
  <c r="AY57" i="24"/>
  <c r="H36" i="24"/>
  <c r="G36" i="17"/>
  <c r="AA49" i="24"/>
  <c r="AJ49" i="24" s="1"/>
  <c r="AS49" i="24" s="1"/>
  <c r="AA30" i="24"/>
  <c r="AJ30" i="24" s="1"/>
  <c r="AS30" i="24" s="1"/>
  <c r="AZ47" i="24"/>
  <c r="X17" i="24"/>
  <c r="AK17" i="24" s="1"/>
  <c r="AU17" i="24" s="1"/>
  <c r="AA31" i="24"/>
  <c r="AJ31" i="24" s="1"/>
  <c r="AS31" i="24" s="1"/>
  <c r="AG68" i="24"/>
  <c r="AL68" i="24" s="1"/>
  <c r="AW68" i="24" s="1"/>
  <c r="AA18" i="24"/>
  <c r="AJ18" i="24" s="1"/>
  <c r="AS18" i="24" s="1"/>
  <c r="I25" i="24"/>
  <c r="H25" i="17"/>
  <c r="Q66" i="17"/>
  <c r="AD66" i="17" s="1"/>
  <c r="AK66" i="17" s="1"/>
  <c r="T64" i="17"/>
  <c r="AC64" i="17" s="1"/>
  <c r="AJ64" i="17" s="1"/>
  <c r="J91" i="5"/>
  <c r="I91" i="5"/>
  <c r="AG36" i="24"/>
  <c r="AL36" i="24" s="1"/>
  <c r="AW36" i="24" s="1"/>
  <c r="S45" i="17"/>
  <c r="AB45" i="17" s="1"/>
  <c r="AI45" i="17" s="1"/>
  <c r="AM45" i="17" s="1"/>
  <c r="P45" i="17"/>
  <c r="R45" i="17"/>
  <c r="AA45" i="17" s="1"/>
  <c r="AH45" i="17" s="1"/>
  <c r="I32" i="24"/>
  <c r="AG32" i="24" s="1"/>
  <c r="AL32" i="24" s="1"/>
  <c r="AW32" i="24" s="1"/>
  <c r="H32" i="17"/>
  <c r="U32" i="17" s="1"/>
  <c r="AA58" i="24"/>
  <c r="AJ58" i="24" s="1"/>
  <c r="AS58" i="24" s="1"/>
  <c r="T41" i="17"/>
  <c r="AC41" i="17" s="1"/>
  <c r="AJ41" i="17" s="1"/>
  <c r="AM41" i="17" s="1"/>
  <c r="N19" i="17"/>
  <c r="Z19" i="17" s="1"/>
  <c r="AE19" i="17" s="1"/>
  <c r="AL19" i="17" s="1"/>
  <c r="T19" i="24"/>
  <c r="AH26" i="18" s="1"/>
  <c r="AI26" i="18" s="1"/>
  <c r="I63" i="24"/>
  <c r="H63" i="17"/>
  <c r="U17" i="17"/>
  <c r="H13" i="24"/>
  <c r="G13" i="17"/>
  <c r="G71" i="17" s="1"/>
  <c r="G72" i="17" s="1"/>
  <c r="AG39" i="24"/>
  <c r="AL39" i="24" s="1"/>
  <c r="AW39" i="24" s="1"/>
  <c r="AG45" i="24"/>
  <c r="AL45" i="24" s="1"/>
  <c r="AW45" i="24" s="1"/>
  <c r="S30" i="17"/>
  <c r="AB30" i="17" s="1"/>
  <c r="AI30" i="17" s="1"/>
  <c r="AM30" i="17" s="1"/>
  <c r="R30" i="17"/>
  <c r="AA30" i="17" s="1"/>
  <c r="AH30" i="17" s="1"/>
  <c r="P30" i="17"/>
  <c r="X49" i="24"/>
  <c r="AK49" i="24" s="1"/>
  <c r="AU49" i="24" s="1"/>
  <c r="I40" i="24"/>
  <c r="AB40" i="24" s="1"/>
  <c r="H40" i="17"/>
  <c r="Z40" i="17" s="1"/>
  <c r="AE40" i="17" s="1"/>
  <c r="AL40" i="17" s="1"/>
  <c r="Y15" i="24"/>
  <c r="AH15" i="24" s="1"/>
  <c r="AO15" i="24" s="1"/>
  <c r="Z15" i="24"/>
  <c r="AI15" i="24" s="1"/>
  <c r="AQ15" i="24" s="1"/>
  <c r="W15" i="24"/>
  <c r="AB67" i="24"/>
  <c r="I34" i="24"/>
  <c r="AG34" i="24" s="1"/>
  <c r="AL34" i="24" s="1"/>
  <c r="AW34" i="24" s="1"/>
  <c r="H34" i="17"/>
  <c r="Z34" i="17" s="1"/>
  <c r="AE34" i="17" s="1"/>
  <c r="AL34" i="17" s="1"/>
  <c r="AA38" i="24"/>
  <c r="AJ38" i="24" s="1"/>
  <c r="AS38" i="24" s="1"/>
  <c r="AZ58" i="24"/>
  <c r="Q11" i="17"/>
  <c r="AD11" i="17" s="1"/>
  <c r="AK11" i="17" s="1"/>
  <c r="AN11" i="17" s="1"/>
  <c r="Q67" i="17"/>
  <c r="AD67" i="17" s="1"/>
  <c r="AK67" i="17" s="1"/>
  <c r="S67" i="17"/>
  <c r="AB67" i="17" s="1"/>
  <c r="AI67" i="17" s="1"/>
  <c r="AM67" i="17" s="1"/>
  <c r="P67" i="17"/>
  <c r="R67" i="17"/>
  <c r="AA67" i="17" s="1"/>
  <c r="AH67" i="17" s="1"/>
  <c r="T60" i="17"/>
  <c r="AC60" i="17" s="1"/>
  <c r="AJ60" i="17" s="1"/>
  <c r="Q41" i="17"/>
  <c r="AD41" i="17" s="1"/>
  <c r="AK41" i="17" s="1"/>
  <c r="AN41" i="17" s="1"/>
  <c r="AZ31" i="24"/>
  <c r="W62" i="24"/>
  <c r="AG62" i="24"/>
  <c r="AL62" i="24" s="1"/>
  <c r="AW62" i="24" s="1"/>
  <c r="Z62" i="24"/>
  <c r="AI62" i="24" s="1"/>
  <c r="AQ62" i="24" s="1"/>
  <c r="AZ62" i="24" s="1"/>
  <c r="Y62" i="24"/>
  <c r="AH62" i="24" s="1"/>
  <c r="AO62" i="24" s="1"/>
  <c r="AB62" i="24"/>
  <c r="AA10" i="24"/>
  <c r="AJ10" i="24" s="1"/>
  <c r="AS10" i="24" s="1"/>
  <c r="Z42" i="17"/>
  <c r="AE42" i="17" s="1"/>
  <c r="AL42" i="17" s="1"/>
  <c r="Q15" i="17"/>
  <c r="AD15" i="17" s="1"/>
  <c r="AK15" i="17" s="1"/>
  <c r="AN15" i="17" s="1"/>
  <c r="Y19" i="24"/>
  <c r="AH19" i="24" s="1"/>
  <c r="AO19" i="24" s="1"/>
  <c r="W19" i="24"/>
  <c r="Z19" i="24"/>
  <c r="AI19" i="24" s="1"/>
  <c r="AQ19" i="24" s="1"/>
  <c r="AB29" i="24"/>
  <c r="AB36" i="24"/>
  <c r="AG16" i="24"/>
  <c r="AL16" i="24" s="1"/>
  <c r="AW16" i="24" s="1"/>
  <c r="AB18" i="24"/>
  <c r="W43" i="24"/>
  <c r="Y43" i="24"/>
  <c r="AH43" i="24" s="1"/>
  <c r="AO43" i="24" s="1"/>
  <c r="Z43" i="24"/>
  <c r="AI43" i="24" s="1"/>
  <c r="AQ43" i="24" s="1"/>
  <c r="AZ43" i="24" s="1"/>
  <c r="T67" i="24"/>
  <c r="AH74" i="18" s="1"/>
  <c r="AI74" i="18" s="1"/>
  <c r="N67" i="17"/>
  <c r="Z67" i="17" s="1"/>
  <c r="AE67" i="17" s="1"/>
  <c r="AL67" i="17" s="1"/>
  <c r="X65" i="24"/>
  <c r="AK65" i="24" s="1"/>
  <c r="AU65" i="24" s="1"/>
  <c r="AG65" i="24"/>
  <c r="AL65" i="24" s="1"/>
  <c r="AW65" i="24" s="1"/>
  <c r="AB65" i="24"/>
  <c r="Y65" i="24"/>
  <c r="AH65" i="24" s="1"/>
  <c r="AO65" i="24" s="1"/>
  <c r="Z65" i="24"/>
  <c r="AI65" i="24" s="1"/>
  <c r="AQ65" i="24" s="1"/>
  <c r="W65" i="24"/>
  <c r="Z61" i="24"/>
  <c r="AI61" i="24" s="1"/>
  <c r="AQ61" i="24" s="1"/>
  <c r="Y61" i="24"/>
  <c r="AH61" i="24" s="1"/>
  <c r="AO61" i="24" s="1"/>
  <c r="X61" i="24"/>
  <c r="AK61" i="24" s="1"/>
  <c r="AU61" i="24" s="1"/>
  <c r="W61" i="24"/>
  <c r="AB61" i="24"/>
  <c r="AG61" i="24"/>
  <c r="AL61" i="24" s="1"/>
  <c r="AW61" i="24" s="1"/>
  <c r="X54" i="24"/>
  <c r="AK54" i="24" s="1"/>
  <c r="AU54" i="24" s="1"/>
  <c r="H42" i="24"/>
  <c r="G42" i="17"/>
  <c r="Q52" i="17"/>
  <c r="AD52" i="17" s="1"/>
  <c r="AK52" i="17" s="1"/>
  <c r="AN52" i="17" s="1"/>
  <c r="Q43" i="17"/>
  <c r="AD43" i="17" s="1"/>
  <c r="AK43" i="17" s="1"/>
  <c r="AN43" i="17" s="1"/>
  <c r="T26" i="17"/>
  <c r="AC26" i="17" s="1"/>
  <c r="AJ26" i="17" s="1"/>
  <c r="AM26" i="17" s="1"/>
  <c r="Z7" i="17"/>
  <c r="AE7" i="17" s="1"/>
  <c r="AL7" i="17" s="1"/>
  <c r="X15" i="24"/>
  <c r="AK15" i="24" s="1"/>
  <c r="AU15" i="24" s="1"/>
  <c r="AM27" i="17"/>
  <c r="Z29" i="17"/>
  <c r="AE29" i="17" s="1"/>
  <c r="AL29" i="17" s="1"/>
  <c r="T22" i="17"/>
  <c r="AC22" i="17" s="1"/>
  <c r="AJ22" i="17" s="1"/>
  <c r="Z46" i="17"/>
  <c r="AE46" i="17" s="1"/>
  <c r="AL46" i="17" s="1"/>
  <c r="AZ35" i="24"/>
  <c r="S49" i="17"/>
  <c r="AB49" i="17" s="1"/>
  <c r="AI49" i="17" s="1"/>
  <c r="AN49" i="17" s="1"/>
  <c r="U49" i="17"/>
  <c r="R49" i="17"/>
  <c r="AA49" i="17" s="1"/>
  <c r="AH49" i="17" s="1"/>
  <c r="P49" i="17"/>
  <c r="Z49" i="17"/>
  <c r="AE49" i="17" s="1"/>
  <c r="AL49" i="17" s="1"/>
  <c r="T52" i="17"/>
  <c r="AC52" i="17" s="1"/>
  <c r="AJ52" i="17" s="1"/>
  <c r="AM52" i="17" s="1"/>
  <c r="M27" i="18" l="1"/>
  <c r="N27" i="18" s="1"/>
  <c r="Y27" i="18"/>
  <c r="Z27" i="18" s="1"/>
  <c r="V27" i="18"/>
  <c r="W27" i="18" s="1"/>
  <c r="AB27" i="18"/>
  <c r="AC27" i="18" s="1"/>
  <c r="AE27" i="18"/>
  <c r="AF27" i="18" s="1"/>
  <c r="M49" i="18"/>
  <c r="N49" i="18" s="1"/>
  <c r="Y49" i="18"/>
  <c r="Z49" i="18" s="1"/>
  <c r="V49" i="18"/>
  <c r="W49" i="18" s="1"/>
  <c r="AB49" i="18"/>
  <c r="AC49" i="18" s="1"/>
  <c r="AE49" i="18"/>
  <c r="AF49" i="18" s="1"/>
  <c r="AM60" i="17"/>
  <c r="AN67" i="17"/>
  <c r="AM64" i="17"/>
  <c r="M43" i="18"/>
  <c r="N43" i="18" s="1"/>
  <c r="Y43" i="18"/>
  <c r="Z43" i="18" s="1"/>
  <c r="V43" i="18"/>
  <c r="W43" i="18" s="1"/>
  <c r="AE43" i="18"/>
  <c r="AF43" i="18" s="1"/>
  <c r="M45" i="18"/>
  <c r="N45" i="18" s="1"/>
  <c r="V45" i="18"/>
  <c r="W45" i="18" s="1"/>
  <c r="Y45" i="18"/>
  <c r="Z45" i="18" s="1"/>
  <c r="AE45" i="18"/>
  <c r="AF45" i="18" s="1"/>
  <c r="M16" i="18"/>
  <c r="N16" i="18" s="1"/>
  <c r="Y16" i="18"/>
  <c r="Z16" i="18" s="1"/>
  <c r="V16" i="18"/>
  <c r="W16" i="18" s="1"/>
  <c r="AB16" i="18"/>
  <c r="AC16" i="18" s="1"/>
  <c r="AE16" i="18"/>
  <c r="AF16" i="18" s="1"/>
  <c r="M15" i="18"/>
  <c r="N15" i="18" s="1"/>
  <c r="Y15" i="18"/>
  <c r="Z15" i="18" s="1"/>
  <c r="V15" i="18"/>
  <c r="W15" i="18" s="1"/>
  <c r="AB15" i="18"/>
  <c r="AC15" i="18" s="1"/>
  <c r="AE15" i="18"/>
  <c r="AF15" i="18" s="1"/>
  <c r="AH15" i="18"/>
  <c r="AI15" i="18" s="1"/>
  <c r="AH16" i="18"/>
  <c r="AI16" i="18" s="1"/>
  <c r="M58" i="18"/>
  <c r="N58" i="18" s="1"/>
  <c r="Y58" i="18"/>
  <c r="Z58" i="18" s="1"/>
  <c r="V58" i="18"/>
  <c r="W58" i="18" s="1"/>
  <c r="AE58" i="18"/>
  <c r="AF58" i="18" s="1"/>
  <c r="AB58" i="18"/>
  <c r="AC58" i="18" s="1"/>
  <c r="M53" i="18"/>
  <c r="N53" i="18" s="1"/>
  <c r="V53" i="18"/>
  <c r="W53" i="18" s="1"/>
  <c r="Y53" i="18"/>
  <c r="Z53" i="18" s="1"/>
  <c r="AB53" i="18"/>
  <c r="AC53" i="18" s="1"/>
  <c r="AE53" i="18"/>
  <c r="AF53" i="18" s="1"/>
  <c r="AH51" i="18"/>
  <c r="AI51" i="18" s="1"/>
  <c r="AB43" i="18"/>
  <c r="AC43" i="18" s="1"/>
  <c r="AH45" i="18"/>
  <c r="AI45" i="18" s="1"/>
  <c r="AH53" i="18"/>
  <c r="AI53" i="18" s="1"/>
  <c r="AN61" i="17"/>
  <c r="M35" i="18"/>
  <c r="N35" i="18" s="1"/>
  <c r="Y35" i="18"/>
  <c r="Z35" i="18" s="1"/>
  <c r="V35" i="18"/>
  <c r="W35" i="18" s="1"/>
  <c r="AB35" i="18"/>
  <c r="AC35" i="18" s="1"/>
  <c r="AE35" i="18"/>
  <c r="AF35" i="18" s="1"/>
  <c r="M32" i="18"/>
  <c r="N32" i="18" s="1"/>
  <c r="Y32" i="18"/>
  <c r="Z32" i="18" s="1"/>
  <c r="V32" i="18"/>
  <c r="W32" i="18" s="1"/>
  <c r="AB32" i="18"/>
  <c r="AC32" i="18" s="1"/>
  <c r="AE32" i="18"/>
  <c r="AF32" i="18" s="1"/>
  <c r="AM54" i="17"/>
  <c r="M31" i="18"/>
  <c r="N31" i="18" s="1"/>
  <c r="Y31" i="18"/>
  <c r="Z31" i="18" s="1"/>
  <c r="V31" i="18"/>
  <c r="W31" i="18" s="1"/>
  <c r="AB31" i="18"/>
  <c r="AC31" i="18" s="1"/>
  <c r="AE31" i="18"/>
  <c r="AF31" i="18" s="1"/>
  <c r="M28" i="18"/>
  <c r="N28" i="18" s="1"/>
  <c r="Y28" i="18"/>
  <c r="Z28" i="18" s="1"/>
  <c r="AH28" i="18"/>
  <c r="AI28" i="18" s="1"/>
  <c r="V28" i="18"/>
  <c r="W28" i="18" s="1"/>
  <c r="AE28" i="18"/>
  <c r="AF28" i="18" s="1"/>
  <c r="AB28" i="18"/>
  <c r="AC28" i="18" s="1"/>
  <c r="M62" i="18"/>
  <c r="N62" i="18" s="1"/>
  <c r="V62" i="18"/>
  <c r="W62" i="18" s="1"/>
  <c r="AE62" i="18"/>
  <c r="AF62" i="18" s="1"/>
  <c r="Y62" i="18"/>
  <c r="Z62" i="18" s="1"/>
  <c r="AB62" i="18"/>
  <c r="AC62" i="18" s="1"/>
  <c r="AH27" i="18"/>
  <c r="AI27" i="18" s="1"/>
  <c r="AH35" i="18"/>
  <c r="AI35" i="18" s="1"/>
  <c r="AB45" i="18"/>
  <c r="AC45" i="18" s="1"/>
  <c r="AH31" i="18"/>
  <c r="AI31" i="18" s="1"/>
  <c r="AH62" i="18"/>
  <c r="AI62" i="18" s="1"/>
  <c r="M19" i="18"/>
  <c r="N19" i="18" s="1"/>
  <c r="V19" i="18"/>
  <c r="W19" i="18" s="1"/>
  <c r="Y19" i="18"/>
  <c r="Z19" i="18" s="1"/>
  <c r="AB19" i="18"/>
  <c r="AC19" i="18" s="1"/>
  <c r="AH19" i="18"/>
  <c r="AI19" i="18" s="1"/>
  <c r="AE19" i="18"/>
  <c r="AF19" i="18" s="1"/>
  <c r="AG40" i="24"/>
  <c r="AL40" i="24" s="1"/>
  <c r="AW40" i="24" s="1"/>
  <c r="M70" i="18"/>
  <c r="N70" i="18" s="1"/>
  <c r="AE70" i="18"/>
  <c r="AF70" i="18" s="1"/>
  <c r="Y70" i="18"/>
  <c r="Z70" i="18" s="1"/>
  <c r="V70" i="18"/>
  <c r="W70" i="18" s="1"/>
  <c r="AB70" i="18"/>
  <c r="AC70" i="18" s="1"/>
  <c r="U40" i="17"/>
  <c r="M51" i="18"/>
  <c r="N51" i="18" s="1"/>
  <c r="V51" i="18"/>
  <c r="W51" i="18" s="1"/>
  <c r="Y51" i="18"/>
  <c r="Z51" i="18" s="1"/>
  <c r="AB51" i="18"/>
  <c r="AC51" i="18" s="1"/>
  <c r="AE51" i="18"/>
  <c r="AF51" i="18" s="1"/>
  <c r="M23" i="18"/>
  <c r="N23" i="18" s="1"/>
  <c r="V23" i="18"/>
  <c r="W23" i="18" s="1"/>
  <c r="Y23" i="18"/>
  <c r="Z23" i="18" s="1"/>
  <c r="AE23" i="18"/>
  <c r="AF23" i="18" s="1"/>
  <c r="AH23" i="18"/>
  <c r="AI23" i="18" s="1"/>
  <c r="AH32" i="18"/>
  <c r="AI32" i="18" s="1"/>
  <c r="AH58" i="18"/>
  <c r="AI58" i="18" s="1"/>
  <c r="AH49" i="18"/>
  <c r="AI49" i="18" s="1"/>
  <c r="AH43" i="18"/>
  <c r="AI43" i="18" s="1"/>
  <c r="AM22" i="17"/>
  <c r="M20" i="18"/>
  <c r="N20" i="18" s="1"/>
  <c r="Y20" i="18"/>
  <c r="Z20" i="18" s="1"/>
  <c r="V20" i="18"/>
  <c r="W20" i="18" s="1"/>
  <c r="AE20" i="18"/>
  <c r="AF20" i="18" s="1"/>
  <c r="AB20" i="18"/>
  <c r="AC20" i="18" s="1"/>
  <c r="AH20" i="18"/>
  <c r="AI20" i="18" s="1"/>
  <c r="AN62" i="17"/>
  <c r="AM19" i="17"/>
  <c r="M39" i="18"/>
  <c r="N39" i="18" s="1"/>
  <c r="Y39" i="18"/>
  <c r="Z39" i="18" s="1"/>
  <c r="V39" i="18"/>
  <c r="W39" i="18" s="1"/>
  <c r="AE39" i="18"/>
  <c r="AF39" i="18" s="1"/>
  <c r="AB39" i="18"/>
  <c r="AC39" i="18" s="1"/>
  <c r="AB34" i="24"/>
  <c r="AN30" i="17"/>
  <c r="AZ54" i="24"/>
  <c r="P21" i="17"/>
  <c r="S21" i="17"/>
  <c r="AB21" i="17" s="1"/>
  <c r="AI21" i="17" s="1"/>
  <c r="R21" i="17"/>
  <c r="AA21" i="17" s="1"/>
  <c r="AH21" i="17" s="1"/>
  <c r="U21" i="17"/>
  <c r="Z21" i="17"/>
  <c r="AE21" i="17" s="1"/>
  <c r="AL21" i="17" s="1"/>
  <c r="Q21" i="17"/>
  <c r="AD21" i="17" s="1"/>
  <c r="AK21" i="17" s="1"/>
  <c r="AN21" i="17" s="1"/>
  <c r="T21" i="17"/>
  <c r="AC21" i="17" s="1"/>
  <c r="AJ21" i="17" s="1"/>
  <c r="AM21" i="17" s="1"/>
  <c r="W46" i="24"/>
  <c r="Z46" i="24"/>
  <c r="AI46" i="24" s="1"/>
  <c r="AQ46" i="24" s="1"/>
  <c r="Y46" i="24"/>
  <c r="AH46" i="24" s="1"/>
  <c r="AO46" i="24" s="1"/>
  <c r="X46" i="24"/>
  <c r="AK46" i="24" s="1"/>
  <c r="AU46" i="24" s="1"/>
  <c r="AA46" i="24"/>
  <c r="AJ46" i="24" s="1"/>
  <c r="AS46" i="24" s="1"/>
  <c r="AZ22" i="24"/>
  <c r="Z38" i="24"/>
  <c r="AI38" i="24" s="1"/>
  <c r="AQ38" i="24" s="1"/>
  <c r="W38" i="24"/>
  <c r="Y38" i="24"/>
  <c r="AH38" i="24" s="1"/>
  <c r="AO38" i="24" s="1"/>
  <c r="X38" i="24"/>
  <c r="AK38" i="24" s="1"/>
  <c r="AU38" i="24" s="1"/>
  <c r="AY33" i="24"/>
  <c r="AY45" i="24"/>
  <c r="AY67" i="24"/>
  <c r="Q63" i="17"/>
  <c r="AD63" i="17" s="1"/>
  <c r="AK63" i="17" s="1"/>
  <c r="Z63" i="17"/>
  <c r="AE63" i="17" s="1"/>
  <c r="AL63" i="17" s="1"/>
  <c r="U63" i="17"/>
  <c r="P63" i="17"/>
  <c r="R63" i="17"/>
  <c r="AA63" i="17" s="1"/>
  <c r="AH63" i="17" s="1"/>
  <c r="S63" i="17"/>
  <c r="AB63" i="17" s="1"/>
  <c r="AI63" i="17" s="1"/>
  <c r="T63" i="17"/>
  <c r="AC63" i="17" s="1"/>
  <c r="AJ63" i="17" s="1"/>
  <c r="AM63" i="17" s="1"/>
  <c r="S32" i="17"/>
  <c r="AB32" i="17" s="1"/>
  <c r="AI32" i="17" s="1"/>
  <c r="R32" i="17"/>
  <c r="AA32" i="17" s="1"/>
  <c r="AH32" i="17" s="1"/>
  <c r="P32" i="17"/>
  <c r="Q32" i="17"/>
  <c r="AD32" i="17" s="1"/>
  <c r="AK32" i="17" s="1"/>
  <c r="T32" i="17"/>
  <c r="AC32" i="17" s="1"/>
  <c r="AJ32" i="17" s="1"/>
  <c r="AM32" i="17" s="1"/>
  <c r="AY18" i="24"/>
  <c r="AY31" i="24"/>
  <c r="Z21" i="24"/>
  <c r="AI21" i="24" s="1"/>
  <c r="AQ21" i="24" s="1"/>
  <c r="Y21" i="24"/>
  <c r="AH21" i="24" s="1"/>
  <c r="AO21" i="24" s="1"/>
  <c r="AB21" i="24"/>
  <c r="AG21" i="24"/>
  <c r="AL21" i="24" s="1"/>
  <c r="AW21" i="24" s="1"/>
  <c r="W21" i="24"/>
  <c r="X21" i="24"/>
  <c r="AK21" i="24" s="1"/>
  <c r="AU21" i="24" s="1"/>
  <c r="AA21" i="24"/>
  <c r="AJ21" i="24" s="1"/>
  <c r="AS21" i="24" s="1"/>
  <c r="W55" i="24"/>
  <c r="Z55" i="24"/>
  <c r="AI55" i="24" s="1"/>
  <c r="AQ55" i="24" s="1"/>
  <c r="AG55" i="24"/>
  <c r="AL55" i="24" s="1"/>
  <c r="AW55" i="24" s="1"/>
  <c r="AB55" i="24"/>
  <c r="X55" i="24"/>
  <c r="AK55" i="24" s="1"/>
  <c r="AU55" i="24" s="1"/>
  <c r="Y55" i="24"/>
  <c r="AH55" i="24" s="1"/>
  <c r="AO55" i="24" s="1"/>
  <c r="AA55" i="24"/>
  <c r="AJ55" i="24" s="1"/>
  <c r="AS55" i="24" s="1"/>
  <c r="AY54" i="24"/>
  <c r="AA6" i="17"/>
  <c r="AH6" i="17" s="1"/>
  <c r="AZ19" i="24"/>
  <c r="AZ67" i="24"/>
  <c r="Z12" i="24"/>
  <c r="AI12" i="24" s="1"/>
  <c r="AQ12" i="24" s="1"/>
  <c r="Y12" i="24"/>
  <c r="AH12" i="24" s="1"/>
  <c r="AO12" i="24" s="1"/>
  <c r="W12" i="24"/>
  <c r="AG12" i="24"/>
  <c r="AL12" i="24" s="1"/>
  <c r="AW12" i="24" s="1"/>
  <c r="AA12" i="24"/>
  <c r="AJ12" i="24" s="1"/>
  <c r="AS12" i="24" s="1"/>
  <c r="X12" i="24"/>
  <c r="AK12" i="24" s="1"/>
  <c r="AU12" i="24" s="1"/>
  <c r="AB12" i="24"/>
  <c r="S46" i="17"/>
  <c r="AB46" i="17" s="1"/>
  <c r="AI46" i="17" s="1"/>
  <c r="R46" i="17"/>
  <c r="AA46" i="17" s="1"/>
  <c r="AH46" i="17" s="1"/>
  <c r="P46" i="17"/>
  <c r="T46" i="17"/>
  <c r="AC46" i="17" s="1"/>
  <c r="AJ46" i="17" s="1"/>
  <c r="Q46" i="17"/>
  <c r="AD46" i="17" s="1"/>
  <c r="AK46" i="17" s="1"/>
  <c r="AN46" i="17" s="1"/>
  <c r="AY50" i="24"/>
  <c r="AZ6" i="24"/>
  <c r="AZ18" i="24"/>
  <c r="AY65" i="24"/>
  <c r="U46" i="17"/>
  <c r="AN45" i="17"/>
  <c r="AG38" i="24"/>
  <c r="AL38" i="24" s="1"/>
  <c r="AW38" i="24" s="1"/>
  <c r="AG9" i="24"/>
  <c r="AL9" i="24" s="1"/>
  <c r="AW9" i="24" s="1"/>
  <c r="AZ48" i="24"/>
  <c r="AZ16" i="24"/>
  <c r="AY47" i="24"/>
  <c r="AM49" i="17"/>
  <c r="AM16" i="17"/>
  <c r="AY60" i="24"/>
  <c r="S28" i="17"/>
  <c r="AB28" i="17" s="1"/>
  <c r="AI28" i="17" s="1"/>
  <c r="R28" i="17"/>
  <c r="AA28" i="17" s="1"/>
  <c r="AH28" i="17" s="1"/>
  <c r="P28" i="17"/>
  <c r="T28" i="17"/>
  <c r="AC28" i="17" s="1"/>
  <c r="AJ28" i="17" s="1"/>
  <c r="Q28" i="17"/>
  <c r="AD28" i="17" s="1"/>
  <c r="AK28" i="17" s="1"/>
  <c r="AN28" i="17" s="1"/>
  <c r="AY43" i="24"/>
  <c r="AZ29" i="24"/>
  <c r="AZ23" i="24"/>
  <c r="AZ61" i="24"/>
  <c r="AG67" i="24"/>
  <c r="AL67" i="24" s="1"/>
  <c r="AW67" i="24" s="1"/>
  <c r="Y25" i="24"/>
  <c r="AH25" i="24" s="1"/>
  <c r="AO25" i="24" s="1"/>
  <c r="Z25" i="24"/>
  <c r="AI25" i="24" s="1"/>
  <c r="AQ25" i="24" s="1"/>
  <c r="W25" i="24"/>
  <c r="AB25" i="24"/>
  <c r="AG25" i="24"/>
  <c r="AL25" i="24" s="1"/>
  <c r="AW25" i="24" s="1"/>
  <c r="X25" i="24"/>
  <c r="AK25" i="24" s="1"/>
  <c r="AU25" i="24" s="1"/>
  <c r="AA25" i="24"/>
  <c r="AJ25" i="24" s="1"/>
  <c r="AS25" i="24" s="1"/>
  <c r="AY56" i="24"/>
  <c r="AY17" i="24"/>
  <c r="S12" i="17"/>
  <c r="AB12" i="17" s="1"/>
  <c r="AI12" i="17" s="1"/>
  <c r="R12" i="17"/>
  <c r="AA12" i="17" s="1"/>
  <c r="AH12" i="17" s="1"/>
  <c r="P12" i="17"/>
  <c r="Z12" i="17"/>
  <c r="AE12" i="17" s="1"/>
  <c r="AL12" i="17" s="1"/>
  <c r="U12" i="17"/>
  <c r="T12" i="17"/>
  <c r="AC12" i="17" s="1"/>
  <c r="AJ12" i="17" s="1"/>
  <c r="AM12" i="17" s="1"/>
  <c r="Q12" i="17"/>
  <c r="AD12" i="17" s="1"/>
  <c r="AK12" i="17" s="1"/>
  <c r="AN12" i="17" s="1"/>
  <c r="AB51" i="24"/>
  <c r="W51" i="24"/>
  <c r="AG51" i="24"/>
  <c r="AL51" i="24" s="1"/>
  <c r="AW51" i="24" s="1"/>
  <c r="Z51" i="24"/>
  <c r="AI51" i="24" s="1"/>
  <c r="AQ51" i="24" s="1"/>
  <c r="Y51" i="24"/>
  <c r="AH51" i="24" s="1"/>
  <c r="AO51" i="24" s="1"/>
  <c r="X51" i="24"/>
  <c r="AK51" i="24" s="1"/>
  <c r="AU51" i="24" s="1"/>
  <c r="AA51" i="24"/>
  <c r="AJ51" i="24" s="1"/>
  <c r="AS51" i="24" s="1"/>
  <c r="AL6" i="17"/>
  <c r="AZ30" i="24"/>
  <c r="AB38" i="24"/>
  <c r="AY39" i="24"/>
  <c r="AG44" i="24"/>
  <c r="AL44" i="24" s="1"/>
  <c r="AW44" i="24" s="1"/>
  <c r="AZ15" i="24"/>
  <c r="AZ65" i="24"/>
  <c r="AY10" i="24"/>
  <c r="AY61" i="24"/>
  <c r="S34" i="17"/>
  <c r="AB34" i="17" s="1"/>
  <c r="AI34" i="17" s="1"/>
  <c r="R34" i="17"/>
  <c r="AA34" i="17" s="1"/>
  <c r="AH34" i="17" s="1"/>
  <c r="P34" i="17"/>
  <c r="T34" i="17"/>
  <c r="AC34" i="17" s="1"/>
  <c r="AJ34" i="17" s="1"/>
  <c r="Q34" i="17"/>
  <c r="AD34" i="17" s="1"/>
  <c r="AK34" i="17" s="1"/>
  <c r="AN34" i="17" s="1"/>
  <c r="Y40" i="24"/>
  <c r="AH40" i="24" s="1"/>
  <c r="AO40" i="24" s="1"/>
  <c r="W40" i="24"/>
  <c r="Z40" i="24"/>
  <c r="AI40" i="24" s="1"/>
  <c r="AQ40" i="24" s="1"/>
  <c r="X40" i="24"/>
  <c r="AK40" i="24" s="1"/>
  <c r="AU40" i="24" s="1"/>
  <c r="AA40" i="24"/>
  <c r="AJ40" i="24" s="1"/>
  <c r="AS40" i="24" s="1"/>
  <c r="Y63" i="24"/>
  <c r="AH63" i="24" s="1"/>
  <c r="AO63" i="24" s="1"/>
  <c r="AG63" i="24"/>
  <c r="AL63" i="24" s="1"/>
  <c r="AW63" i="24" s="1"/>
  <c r="Z63" i="24"/>
  <c r="AI63" i="24" s="1"/>
  <c r="AQ63" i="24" s="1"/>
  <c r="AB63" i="24"/>
  <c r="X63" i="24"/>
  <c r="AK63" i="24" s="1"/>
  <c r="AU63" i="24" s="1"/>
  <c r="W63" i="24"/>
  <c r="AA63" i="24"/>
  <c r="AJ63" i="24" s="1"/>
  <c r="AS63" i="24" s="1"/>
  <c r="U34" i="17"/>
  <c r="Z32" i="24"/>
  <c r="AI32" i="24" s="1"/>
  <c r="AQ32" i="24" s="1"/>
  <c r="W32" i="24"/>
  <c r="Y32" i="24"/>
  <c r="AH32" i="24" s="1"/>
  <c r="AO32" i="24" s="1"/>
  <c r="AA32" i="24"/>
  <c r="AJ32" i="24" s="1"/>
  <c r="AS32" i="24" s="1"/>
  <c r="X32" i="24"/>
  <c r="AK32" i="24" s="1"/>
  <c r="AU32" i="24" s="1"/>
  <c r="G70" i="17"/>
  <c r="AN66" i="17"/>
  <c r="AY30" i="24"/>
  <c r="AM7" i="17"/>
  <c r="AB46" i="24"/>
  <c r="R44" i="17"/>
  <c r="AA44" i="17" s="1"/>
  <c r="AH44" i="17" s="1"/>
  <c r="S44" i="17"/>
  <c r="AB44" i="17" s="1"/>
  <c r="AI44" i="17" s="1"/>
  <c r="P44" i="17"/>
  <c r="Q44" i="17"/>
  <c r="AD44" i="17" s="1"/>
  <c r="AK44" i="17" s="1"/>
  <c r="T44" i="17"/>
  <c r="AC44" i="17" s="1"/>
  <c r="AJ44" i="17" s="1"/>
  <c r="AY62" i="24"/>
  <c r="S36" i="17"/>
  <c r="AB36" i="17" s="1"/>
  <c r="AI36" i="17" s="1"/>
  <c r="AM36" i="17" s="1"/>
  <c r="R36" i="17"/>
  <c r="AA36" i="17" s="1"/>
  <c r="AH36" i="17" s="1"/>
  <c r="P36" i="17"/>
  <c r="Q36" i="17"/>
  <c r="AD36" i="17" s="1"/>
  <c r="AK36" i="17" s="1"/>
  <c r="AZ7" i="24"/>
  <c r="AD6" i="17"/>
  <c r="AB6" i="17"/>
  <c r="AN22" i="17"/>
  <c r="AY35" i="24"/>
  <c r="AY52" i="24"/>
  <c r="S8" i="17"/>
  <c r="AB8" i="17" s="1"/>
  <c r="AI8" i="17" s="1"/>
  <c r="R8" i="17"/>
  <c r="AA8" i="17" s="1"/>
  <c r="AH8" i="17" s="1"/>
  <c r="P8" i="17"/>
  <c r="U8" i="17"/>
  <c r="T8" i="17"/>
  <c r="AC8" i="17" s="1"/>
  <c r="AJ8" i="17" s="1"/>
  <c r="AM8" i="17" s="1"/>
  <c r="Q8" i="17"/>
  <c r="AD8" i="17" s="1"/>
  <c r="AK8" i="17" s="1"/>
  <c r="Z8" i="17"/>
  <c r="AE8" i="17" s="1"/>
  <c r="AL8" i="17" s="1"/>
  <c r="AY19" i="24"/>
  <c r="AN65" i="17"/>
  <c r="AG27" i="24"/>
  <c r="AL27" i="24" s="1"/>
  <c r="AW27" i="24" s="1"/>
  <c r="AY37" i="24"/>
  <c r="N71" i="17"/>
  <c r="N72" i="17" s="1"/>
  <c r="AY6" i="24"/>
  <c r="AY64" i="24"/>
  <c r="AY16" i="24"/>
  <c r="AM29" i="17"/>
  <c r="AY11" i="24"/>
  <c r="AZ26" i="24"/>
  <c r="AZ11" i="24"/>
  <c r="AG41" i="24"/>
  <c r="AL41" i="24" s="1"/>
  <c r="AW41" i="24" s="1"/>
  <c r="R42" i="17"/>
  <c r="AA42" i="17" s="1"/>
  <c r="AH42" i="17" s="1"/>
  <c r="S42" i="17"/>
  <c r="AB42" i="17" s="1"/>
  <c r="AI42" i="17" s="1"/>
  <c r="P42" i="17"/>
  <c r="T42" i="17"/>
  <c r="AC42" i="17" s="1"/>
  <c r="AJ42" i="17" s="1"/>
  <c r="Q42" i="17"/>
  <c r="AD42" i="17" s="1"/>
  <c r="AK42" i="17" s="1"/>
  <c r="AZ66" i="24"/>
  <c r="P13" i="17"/>
  <c r="S13" i="17"/>
  <c r="AB13" i="17" s="1"/>
  <c r="AI13" i="17" s="1"/>
  <c r="R13" i="17"/>
  <c r="AA13" i="17" s="1"/>
  <c r="AH13" i="17" s="1"/>
  <c r="Z13" i="17"/>
  <c r="AE13" i="17" s="1"/>
  <c r="AL13" i="17" s="1"/>
  <c r="Q13" i="17"/>
  <c r="AD13" i="17" s="1"/>
  <c r="AK13" i="17" s="1"/>
  <c r="U13" i="17"/>
  <c r="T13" i="17"/>
  <c r="AC13" i="17" s="1"/>
  <c r="AJ13" i="17" s="1"/>
  <c r="AY7" i="24"/>
  <c r="AM23" i="17"/>
  <c r="U44" i="17"/>
  <c r="S20" i="17"/>
  <c r="AB20" i="17" s="1"/>
  <c r="AI20" i="17" s="1"/>
  <c r="Z20" i="17"/>
  <c r="AE20" i="17" s="1"/>
  <c r="AL20" i="17" s="1"/>
  <c r="U20" i="17"/>
  <c r="P20" i="17"/>
  <c r="R20" i="17"/>
  <c r="AA20" i="17" s="1"/>
  <c r="AH20" i="17" s="1"/>
  <c r="Q20" i="17"/>
  <c r="AD20" i="17" s="1"/>
  <c r="AK20" i="17" s="1"/>
  <c r="T20" i="17"/>
  <c r="AC20" i="17" s="1"/>
  <c r="AJ20" i="17" s="1"/>
  <c r="AY41" i="24"/>
  <c r="Z28" i="24"/>
  <c r="AI28" i="24" s="1"/>
  <c r="AQ28" i="24" s="1"/>
  <c r="Y28" i="24"/>
  <c r="AH28" i="24" s="1"/>
  <c r="AO28" i="24" s="1"/>
  <c r="W28" i="24"/>
  <c r="AA28" i="24"/>
  <c r="AJ28" i="24" s="1"/>
  <c r="AS28" i="24" s="1"/>
  <c r="X28" i="24"/>
  <c r="AK28" i="24" s="1"/>
  <c r="AU28" i="24" s="1"/>
  <c r="AY29" i="24"/>
  <c r="P55" i="17"/>
  <c r="Z55" i="17"/>
  <c r="AE55" i="17" s="1"/>
  <c r="AL55" i="17" s="1"/>
  <c r="Q55" i="17"/>
  <c r="AD55" i="17" s="1"/>
  <c r="AK55" i="17" s="1"/>
  <c r="AN55" i="17" s="1"/>
  <c r="U55" i="17"/>
  <c r="R55" i="17"/>
  <c r="AA55" i="17" s="1"/>
  <c r="AH55" i="17" s="1"/>
  <c r="S55" i="17"/>
  <c r="AB55" i="17" s="1"/>
  <c r="AI55" i="17" s="1"/>
  <c r="T55" i="17"/>
  <c r="AC55" i="17" s="1"/>
  <c r="AJ55" i="17" s="1"/>
  <c r="AM55" i="17" s="1"/>
  <c r="H71" i="17"/>
  <c r="H72" i="17" s="1"/>
  <c r="Z24" i="24"/>
  <c r="AI24" i="24" s="1"/>
  <c r="AQ24" i="24" s="1"/>
  <c r="Y24" i="24"/>
  <c r="AH24" i="24" s="1"/>
  <c r="AO24" i="24" s="1"/>
  <c r="W24" i="24"/>
  <c r="AB24" i="24"/>
  <c r="AG24" i="24"/>
  <c r="AL24" i="24" s="1"/>
  <c r="AW24" i="24" s="1"/>
  <c r="X24" i="24"/>
  <c r="AK24" i="24" s="1"/>
  <c r="AU24" i="24" s="1"/>
  <c r="AA24" i="24"/>
  <c r="AJ24" i="24" s="1"/>
  <c r="AS24" i="24" s="1"/>
  <c r="AZ60" i="24"/>
  <c r="G79" i="17"/>
  <c r="I82" i="17" s="1"/>
  <c r="Z9" i="24"/>
  <c r="AI9" i="24" s="1"/>
  <c r="AQ9" i="24" s="1"/>
  <c r="Y9" i="24"/>
  <c r="AH9" i="24" s="1"/>
  <c r="AO9" i="24" s="1"/>
  <c r="W9" i="24"/>
  <c r="X9" i="24"/>
  <c r="AK9" i="24" s="1"/>
  <c r="AU9" i="24" s="1"/>
  <c r="AA9" i="24"/>
  <c r="AJ9" i="24" s="1"/>
  <c r="AS9" i="24" s="1"/>
  <c r="AY27" i="24"/>
  <c r="R40" i="17"/>
  <c r="AA40" i="17" s="1"/>
  <c r="AH40" i="17" s="1"/>
  <c r="P40" i="17"/>
  <c r="S40" i="17"/>
  <c r="AB40" i="17" s="1"/>
  <c r="AI40" i="17" s="1"/>
  <c r="T40" i="17"/>
  <c r="AC40" i="17" s="1"/>
  <c r="AJ40" i="17" s="1"/>
  <c r="AM40" i="17" s="1"/>
  <c r="Q40" i="17"/>
  <c r="AD40" i="17" s="1"/>
  <c r="AK40" i="17" s="1"/>
  <c r="Z34" i="24"/>
  <c r="AI34" i="24" s="1"/>
  <c r="AQ34" i="24" s="1"/>
  <c r="W34" i="24"/>
  <c r="Y34" i="24"/>
  <c r="AH34" i="24" s="1"/>
  <c r="AO34" i="24" s="1"/>
  <c r="X34" i="24"/>
  <c r="AK34" i="24" s="1"/>
  <c r="AU34" i="24" s="1"/>
  <c r="AA34" i="24"/>
  <c r="AJ34" i="24" s="1"/>
  <c r="AS34" i="24" s="1"/>
  <c r="AZ49" i="24"/>
  <c r="AG19" i="24"/>
  <c r="AL19" i="24" s="1"/>
  <c r="AW19" i="24" s="1"/>
  <c r="AY58" i="24"/>
  <c r="P25" i="17"/>
  <c r="Z25" i="17"/>
  <c r="AE25" i="17" s="1"/>
  <c r="AL25" i="17" s="1"/>
  <c r="R25" i="17"/>
  <c r="AA25" i="17" s="1"/>
  <c r="AH25" i="17" s="1"/>
  <c r="U25" i="17"/>
  <c r="S25" i="17"/>
  <c r="AB25" i="17" s="1"/>
  <c r="AI25" i="17" s="1"/>
  <c r="T25" i="17"/>
  <c r="AC25" i="17" s="1"/>
  <c r="AJ25" i="17" s="1"/>
  <c r="Q25" i="17"/>
  <c r="AD25" i="17" s="1"/>
  <c r="AK25" i="17" s="1"/>
  <c r="AZ17" i="24"/>
  <c r="AY49" i="24"/>
  <c r="AY48" i="24"/>
  <c r="AG48" i="24"/>
  <c r="AL48" i="24" s="1"/>
  <c r="AW48" i="24" s="1"/>
  <c r="Y44" i="24"/>
  <c r="AH44" i="24" s="1"/>
  <c r="AO44" i="24" s="1"/>
  <c r="W44" i="24"/>
  <c r="Z44" i="24"/>
  <c r="AI44" i="24" s="1"/>
  <c r="AQ44" i="24" s="1"/>
  <c r="X44" i="24"/>
  <c r="AK44" i="24" s="1"/>
  <c r="AU44" i="24" s="1"/>
  <c r="AA44" i="24"/>
  <c r="AJ44" i="24" s="1"/>
  <c r="AS44" i="24" s="1"/>
  <c r="AM66" i="17"/>
  <c r="Z36" i="24"/>
  <c r="AI36" i="24" s="1"/>
  <c r="AQ36" i="24" s="1"/>
  <c r="W36" i="24"/>
  <c r="Y36" i="24"/>
  <c r="AH36" i="24" s="1"/>
  <c r="AO36" i="24" s="1"/>
  <c r="X36" i="24"/>
  <c r="AK36" i="24" s="1"/>
  <c r="AU36" i="24" s="1"/>
  <c r="AC6" i="17"/>
  <c r="H70" i="17"/>
  <c r="H73" i="17" s="1"/>
  <c r="R24" i="17"/>
  <c r="AA24" i="17" s="1"/>
  <c r="AH24" i="17" s="1"/>
  <c r="S24" i="17"/>
  <c r="AB24" i="17" s="1"/>
  <c r="AI24" i="17" s="1"/>
  <c r="Z24" i="17"/>
  <c r="AE24" i="17" s="1"/>
  <c r="AL24" i="17" s="1"/>
  <c r="P24" i="17"/>
  <c r="U24" i="17"/>
  <c r="T24" i="17"/>
  <c r="AC24" i="17" s="1"/>
  <c r="AJ24" i="17" s="1"/>
  <c r="AM24" i="17" s="1"/>
  <c r="Q24" i="17"/>
  <c r="AD24" i="17" s="1"/>
  <c r="AK24" i="17" s="1"/>
  <c r="AY23" i="24"/>
  <c r="AY66" i="24"/>
  <c r="AB32" i="24"/>
  <c r="AN26" i="17"/>
  <c r="Z8" i="24"/>
  <c r="AI8" i="24" s="1"/>
  <c r="AQ8" i="24" s="1"/>
  <c r="W8" i="24"/>
  <c r="Y8" i="24"/>
  <c r="AH8" i="24" s="1"/>
  <c r="AO8" i="24" s="1"/>
  <c r="AB8" i="24"/>
  <c r="AA8" i="24"/>
  <c r="AJ8" i="24" s="1"/>
  <c r="AS8" i="24" s="1"/>
  <c r="AG8" i="24"/>
  <c r="AL8" i="24" s="1"/>
  <c r="AW8" i="24" s="1"/>
  <c r="X8" i="24"/>
  <c r="AK8" i="24" s="1"/>
  <c r="AU8" i="24" s="1"/>
  <c r="S51" i="17"/>
  <c r="AB51" i="17" s="1"/>
  <c r="AI51" i="17" s="1"/>
  <c r="R51" i="17"/>
  <c r="AA51" i="17" s="1"/>
  <c r="AH51" i="17" s="1"/>
  <c r="P51" i="17"/>
  <c r="Z51" i="17"/>
  <c r="AE51" i="17" s="1"/>
  <c r="AL51" i="17" s="1"/>
  <c r="Q51" i="17"/>
  <c r="AD51" i="17" s="1"/>
  <c r="AK51" i="17" s="1"/>
  <c r="AN51" i="17" s="1"/>
  <c r="U51" i="17"/>
  <c r="T51" i="17"/>
  <c r="AC51" i="17" s="1"/>
  <c r="AJ51" i="17" s="1"/>
  <c r="U36" i="17"/>
  <c r="N70" i="17"/>
  <c r="N73" i="17" s="1"/>
  <c r="R38" i="17"/>
  <c r="AA38" i="17" s="1"/>
  <c r="AH38" i="17" s="1"/>
  <c r="P38" i="17"/>
  <c r="S38" i="17"/>
  <c r="AB38" i="17" s="1"/>
  <c r="AI38" i="17" s="1"/>
  <c r="AM38" i="17" s="1"/>
  <c r="Q38" i="17"/>
  <c r="AD38" i="17" s="1"/>
  <c r="AK38" i="17" s="1"/>
  <c r="Z36" i="17"/>
  <c r="AE36" i="17" s="1"/>
  <c r="AL36" i="17" s="1"/>
  <c r="AZ41" i="24"/>
  <c r="AM56" i="17"/>
  <c r="AM48" i="17"/>
  <c r="AY15" i="24"/>
  <c r="AY22" i="24"/>
  <c r="P9" i="17"/>
  <c r="S9" i="17"/>
  <c r="AB9" i="17" s="1"/>
  <c r="AI9" i="17" s="1"/>
  <c r="R9" i="17"/>
  <c r="AA9" i="17" s="1"/>
  <c r="AH9" i="17" s="1"/>
  <c r="Q9" i="17"/>
  <c r="AD9" i="17" s="1"/>
  <c r="AK9" i="17" s="1"/>
  <c r="T9" i="17"/>
  <c r="AC9" i="17" s="1"/>
  <c r="AJ9" i="17" s="1"/>
  <c r="AY59" i="24"/>
  <c r="Z42" i="24"/>
  <c r="AI42" i="24" s="1"/>
  <c r="AQ42" i="24" s="1"/>
  <c r="Y42" i="24"/>
  <c r="AH42" i="24" s="1"/>
  <c r="AO42" i="24" s="1"/>
  <c r="W42" i="24"/>
  <c r="X42" i="24"/>
  <c r="AK42" i="24" s="1"/>
  <c r="AU42" i="24" s="1"/>
  <c r="AA42" i="24"/>
  <c r="AJ42" i="24" s="1"/>
  <c r="AS42" i="24" s="1"/>
  <c r="Z44" i="17"/>
  <c r="AE44" i="17" s="1"/>
  <c r="AL44" i="17" s="1"/>
  <c r="Z13" i="24"/>
  <c r="AI13" i="24" s="1"/>
  <c r="AQ13" i="24" s="1"/>
  <c r="W13" i="24"/>
  <c r="Y13" i="24"/>
  <c r="AH13" i="24" s="1"/>
  <c r="AO13" i="24" s="1"/>
  <c r="X13" i="24"/>
  <c r="AK13" i="24" s="1"/>
  <c r="AU13" i="24" s="1"/>
  <c r="AG13" i="24"/>
  <c r="AL13" i="24" s="1"/>
  <c r="AW13" i="24" s="1"/>
  <c r="AB13" i="24"/>
  <c r="AA13" i="24"/>
  <c r="AJ13" i="24" s="1"/>
  <c r="AS13" i="24" s="1"/>
  <c r="AB44" i="24"/>
  <c r="Y20" i="24"/>
  <c r="AH20" i="24" s="1"/>
  <c r="AO20" i="24" s="1"/>
  <c r="Z20" i="24"/>
  <c r="AI20" i="24" s="1"/>
  <c r="AQ20" i="24" s="1"/>
  <c r="AG20" i="24"/>
  <c r="AL20" i="24" s="1"/>
  <c r="AW20" i="24" s="1"/>
  <c r="W20" i="24"/>
  <c r="AB20" i="24"/>
  <c r="X20" i="24"/>
  <c r="AK20" i="24" s="1"/>
  <c r="AU20" i="24" s="1"/>
  <c r="AA20" i="24"/>
  <c r="AJ20" i="24" s="1"/>
  <c r="AS20" i="24" s="1"/>
  <c r="AY26" i="24"/>
  <c r="AM50" i="17"/>
  <c r="AZ56" i="24"/>
  <c r="AZ50" i="24"/>
  <c r="U71" i="17" l="1"/>
  <c r="U72" i="17" s="1"/>
  <c r="AM34" i="17"/>
  <c r="P71" i="17"/>
  <c r="P72" i="17" s="1"/>
  <c r="P70" i="17"/>
  <c r="AN40" i="17"/>
  <c r="AN8" i="17"/>
  <c r="AN36" i="17"/>
  <c r="AM28" i="17"/>
  <c r="AM13" i="17"/>
  <c r="AY9" i="24"/>
  <c r="K76" i="17"/>
  <c r="G73" i="17"/>
  <c r="J76" i="17"/>
  <c r="M76" i="17"/>
  <c r="L76" i="17"/>
  <c r="N76" i="17"/>
  <c r="AY51" i="24"/>
  <c r="R71" i="17"/>
  <c r="R72" i="17" s="1"/>
  <c r="AY21" i="24"/>
  <c r="AZ8" i="24"/>
  <c r="T71" i="17"/>
  <c r="T72" i="17" s="1"/>
  <c r="AZ44" i="24"/>
  <c r="AZ9" i="24"/>
  <c r="AY24" i="24"/>
  <c r="AN42" i="17"/>
  <c r="AB70" i="17"/>
  <c r="AB71" i="17"/>
  <c r="AB72" i="17" s="1"/>
  <c r="AI6" i="17"/>
  <c r="Q70" i="17"/>
  <c r="AZ32" i="24"/>
  <c r="AZ40" i="24"/>
  <c r="AE70" i="17"/>
  <c r="AZ51" i="24"/>
  <c r="AY25" i="24"/>
  <c r="U70" i="17"/>
  <c r="U73" i="17" s="1"/>
  <c r="AY36" i="24"/>
  <c r="R70" i="17"/>
  <c r="R73" i="17" s="1"/>
  <c r="AZ21" i="24"/>
  <c r="AN32" i="17"/>
  <c r="AZ38" i="24"/>
  <c r="AZ46" i="24"/>
  <c r="AY44" i="24"/>
  <c r="AZ34" i="24"/>
  <c r="AZ20" i="24"/>
  <c r="AY42" i="24"/>
  <c r="AM9" i="17"/>
  <c r="AM80" i="17"/>
  <c r="AM51" i="17"/>
  <c r="AZ36" i="24"/>
  <c r="AN25" i="17"/>
  <c r="AZ24" i="24"/>
  <c r="AZ28" i="24"/>
  <c r="AM20" i="17"/>
  <c r="AM42" i="17"/>
  <c r="S70" i="17"/>
  <c r="AD71" i="17"/>
  <c r="AD72" i="17" s="1"/>
  <c r="AD70" i="17"/>
  <c r="AK6" i="17"/>
  <c r="AN6" i="17" s="1"/>
  <c r="AM44" i="17"/>
  <c r="AY32" i="24"/>
  <c r="AZ63" i="24"/>
  <c r="AZ25" i="24"/>
  <c r="AM46" i="17"/>
  <c r="AZ55" i="24"/>
  <c r="AY20" i="24"/>
  <c r="AZ13" i="24"/>
  <c r="T70" i="17"/>
  <c r="T73" i="17" s="1"/>
  <c r="Q71" i="17"/>
  <c r="Q72" i="17" s="1"/>
  <c r="AY63" i="24"/>
  <c r="AY40" i="24"/>
  <c r="AY12" i="24"/>
  <c r="AY55" i="24"/>
  <c r="AY46" i="24"/>
  <c r="AY13" i="24"/>
  <c r="AZ42" i="24"/>
  <c r="AN9" i="17"/>
  <c r="AN38" i="17"/>
  <c r="AY8" i="24"/>
  <c r="AN24" i="17"/>
  <c r="AJ6" i="17"/>
  <c r="AM6" i="17" s="1"/>
  <c r="AC70" i="17"/>
  <c r="AC71" i="17"/>
  <c r="AC72" i="17" s="1"/>
  <c r="AM25" i="17"/>
  <c r="AY34" i="24"/>
  <c r="AY38" i="24"/>
  <c r="AY28" i="24"/>
  <c r="AN20" i="17"/>
  <c r="AN13" i="17"/>
  <c r="S71" i="17"/>
  <c r="S72" i="17" s="1"/>
  <c r="AN44" i="17"/>
  <c r="AE71" i="17"/>
  <c r="AE72" i="17" s="1"/>
  <c r="AZ12" i="24"/>
  <c r="AN63" i="17"/>
  <c r="P73" i="17" l="1"/>
  <c r="S73" i="17"/>
  <c r="AM79" i="17"/>
  <c r="AB73" i="17"/>
  <c r="Q73" i="17"/>
  <c r="AM78" i="17"/>
  <c r="M74" i="17"/>
  <c r="M75" i="17"/>
  <c r="AC75" i="17"/>
  <c r="AE75" i="17"/>
  <c r="AC73" i="17"/>
  <c r="AD75" i="17"/>
  <c r="AD73" i="17"/>
  <c r="AE7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120" authorId="0" shapeId="0" xr:uid="{00000000-0006-0000-0600-000001000000}">
      <text>
        <r>
          <rPr>
            <b/>
            <sz val="9"/>
            <color indexed="81"/>
            <rFont val="Calibri"/>
            <family val="2"/>
          </rPr>
          <t>Diana Davies:</t>
        </r>
        <r>
          <rPr>
            <sz val="9"/>
            <color indexed="81"/>
            <rFont val="Calibri"/>
            <family val="2"/>
          </rPr>
          <t xml:space="preserve">
IUPAC method and </t>
        </r>
      </text>
    </comment>
    <comment ref="C150" authorId="0" shapeId="0" xr:uid="{00000000-0006-0000-0600-000002000000}">
      <text>
        <r>
          <rPr>
            <b/>
            <sz val="9"/>
            <color indexed="81"/>
            <rFont val="Calibri"/>
            <family val="2"/>
          </rPr>
          <t>Diana Davies:</t>
        </r>
        <r>
          <rPr>
            <sz val="9"/>
            <color indexed="81"/>
            <rFont val="Calibri"/>
            <family val="2"/>
          </rPr>
          <t xml:space="preserve">
IUPAC method and </t>
        </r>
      </text>
    </comment>
    <comment ref="C164" authorId="0" shapeId="0" xr:uid="{00000000-0006-0000-0600-000003000000}">
      <text>
        <r>
          <rPr>
            <b/>
            <sz val="9"/>
            <color indexed="81"/>
            <rFont val="Calibri"/>
            <family val="2"/>
          </rPr>
          <t>Diana Davies:</t>
        </r>
        <r>
          <rPr>
            <sz val="9"/>
            <color indexed="81"/>
            <rFont val="Calibri"/>
            <family val="2"/>
          </rPr>
          <t xml:space="preserve">
IUPAC method 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3" authorId="0" shapeId="0" xr:uid="{00000000-0006-0000-0B00-000001000000}">
      <text>
        <r>
          <rPr>
            <sz val="8"/>
            <color indexed="81"/>
            <rFont val="Tahoma"/>
            <family val="2"/>
          </rPr>
          <t>Microbalance, Mettler-Toledo (UMX2, SNR 1127231697)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Cathryn Wynn-Edwards</author>
  </authors>
  <commentList>
    <comment ref="C1" authorId="0" shapeId="0" xr:uid="{00000000-0006-0000-0F00-000001000000}">
      <text>
        <r>
          <rPr>
            <b/>
            <sz val="9"/>
            <color indexed="81"/>
            <rFont val="Calibri"/>
            <family val="2"/>
          </rPr>
          <t>Diana Davies:</t>
        </r>
        <r>
          <rPr>
            <sz val="9"/>
            <color indexed="81"/>
            <rFont val="Calibri"/>
            <family val="2"/>
          </rPr>
          <t xml:space="preserve">
the cups are incorrectly labelled in the mooring diagram.  As shown here are correct.</t>
        </r>
      </text>
    </comment>
    <comment ref="M9" authorId="1" shapeId="0" xr:uid="{00000000-0006-0000-0F00-000002000000}">
      <text>
        <r>
          <rPr>
            <b/>
            <sz val="9"/>
            <color indexed="81"/>
            <rFont val="Tahoma"/>
            <family val="2"/>
          </rPr>
          <t>Cathryn Wynn-Edwards:</t>
        </r>
        <r>
          <rPr>
            <sz val="9"/>
            <color indexed="81"/>
            <rFont val="Tahoma"/>
            <family val="2"/>
          </rPr>
          <t xml:space="preserve">
average of 2 duplicates</t>
        </r>
      </text>
    </comment>
    <comment ref="M20" authorId="1" shapeId="0" xr:uid="{00000000-0006-0000-0F00-000003000000}">
      <text>
        <r>
          <rPr>
            <b/>
            <sz val="9"/>
            <color indexed="81"/>
            <rFont val="Tahoma"/>
            <family val="2"/>
          </rPr>
          <t>Cathryn Wynn-Edwards:</t>
        </r>
        <r>
          <rPr>
            <sz val="9"/>
            <color indexed="81"/>
            <rFont val="Tahoma"/>
            <family val="2"/>
          </rPr>
          <t xml:space="preserve">
average of 2 duplicates</t>
        </r>
      </text>
    </comment>
    <comment ref="M31" authorId="1" shapeId="0" xr:uid="{00000000-0006-0000-0F00-000004000000}">
      <text>
        <r>
          <rPr>
            <b/>
            <sz val="9"/>
            <color indexed="81"/>
            <rFont val="Tahoma"/>
            <family val="2"/>
          </rPr>
          <t>Cathryn Wynn-Edwards:</t>
        </r>
        <r>
          <rPr>
            <sz val="9"/>
            <color indexed="81"/>
            <rFont val="Tahoma"/>
            <family val="2"/>
          </rPr>
          <t xml:space="preserve">
average of 2 duplicates</t>
        </r>
      </text>
    </comment>
    <comment ref="M48" authorId="1" shapeId="0" xr:uid="{00000000-0006-0000-0F00-000005000000}">
      <text>
        <r>
          <rPr>
            <b/>
            <sz val="9"/>
            <color indexed="81"/>
            <rFont val="Tahoma"/>
            <family val="2"/>
          </rPr>
          <t>Cathryn Wynn-Edwards:</t>
        </r>
        <r>
          <rPr>
            <sz val="9"/>
            <color indexed="81"/>
            <rFont val="Tahoma"/>
            <family val="2"/>
          </rPr>
          <t xml:space="preserve">
average of 2 duplicates</t>
        </r>
      </text>
    </comment>
    <comment ref="M55" authorId="1" shapeId="0" xr:uid="{00000000-0006-0000-0F00-000006000000}">
      <text>
        <r>
          <rPr>
            <b/>
            <sz val="9"/>
            <color indexed="81"/>
            <rFont val="Tahoma"/>
            <family val="2"/>
          </rPr>
          <t>Cathryn Wynn-Edwards:</t>
        </r>
        <r>
          <rPr>
            <sz val="9"/>
            <color indexed="81"/>
            <rFont val="Tahoma"/>
            <family val="2"/>
          </rPr>
          <t xml:space="preserve">
average of 2 duplicates</t>
        </r>
      </text>
    </comment>
    <comment ref="K56" authorId="1" shapeId="0" xr:uid="{00000000-0006-0000-0F00-000007000000}">
      <text>
        <r>
          <rPr>
            <b/>
            <sz val="9"/>
            <color indexed="81"/>
            <rFont val="Tahoma"/>
            <family val="2"/>
          </rPr>
          <t>Cathryn Wynn-Edwards:</t>
        </r>
        <r>
          <rPr>
            <sz val="9"/>
            <color indexed="81"/>
            <rFont val="Tahoma"/>
            <family val="2"/>
          </rPr>
          <t xml:space="preserve">
filter ripped and some fluid was lost</t>
        </r>
      </text>
    </comment>
    <comment ref="M74" authorId="1" shapeId="0" xr:uid="{00000000-0006-0000-0F00-000008000000}">
      <text>
        <r>
          <rPr>
            <b/>
            <sz val="9"/>
            <color indexed="81"/>
            <rFont val="Tahoma"/>
            <family val="2"/>
          </rPr>
          <t>Cathryn Wynn-Edwards:</t>
        </r>
        <r>
          <rPr>
            <sz val="9"/>
            <color indexed="81"/>
            <rFont val="Tahoma"/>
            <family val="2"/>
          </rPr>
          <t xml:space="preserve">
average of 2 duplicates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H70" authorId="0" shapeId="0" xr:uid="{00000000-0006-0000-1000-000001000000}">
      <text>
        <r>
          <rPr>
            <b/>
            <sz val="9"/>
            <color indexed="81"/>
            <rFont val="Calibri"/>
            <family val="2"/>
          </rPr>
          <t>Diana Davies:</t>
        </r>
        <r>
          <rPr>
            <sz val="9"/>
            <color indexed="81"/>
            <rFont val="Calibri"/>
            <family val="2"/>
          </rPr>
          <t xml:space="preserve">
global flux 22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I70" authorId="0" shapeId="0" xr:uid="{00000000-0006-0000-1100-000001000000}">
      <text>
        <r>
          <rPr>
            <b/>
            <sz val="9"/>
            <color indexed="81"/>
            <rFont val="Calibri"/>
            <family val="2"/>
          </rPr>
          <t>Diana Davies:</t>
        </r>
        <r>
          <rPr>
            <sz val="9"/>
            <color indexed="81"/>
            <rFont val="Calibri"/>
            <family val="2"/>
          </rPr>
          <t xml:space="preserve">
global flux 22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Cathryn Wynn-Edwards</author>
  </authors>
  <commentList>
    <comment ref="C89" authorId="0" shapeId="0" xr:uid="{00000000-0006-0000-1400-000001000000}">
      <text>
        <r>
          <rPr>
            <b/>
            <sz val="9"/>
            <color indexed="81"/>
            <rFont val="Tahoma"/>
            <family val="2"/>
          </rPr>
          <t>Cathryn Wynn-Edwards:</t>
        </r>
        <r>
          <rPr>
            <sz val="9"/>
            <color indexed="81"/>
            <rFont val="Tahoma"/>
            <family val="2"/>
          </rPr>
          <t xml:space="preserve">
16_1 dry material is stored in a separate scintillation vial. During the grinding process the petridish shattered into the mortal and pestle with 16_1 in it. Great care was taken to remove glass debris from the sample but it can't be guaranteed. 16_2 and 16_3 are in the scintillation vial labelled 3800_16 and are free of glass contamination</t>
        </r>
      </text>
    </comment>
  </commentList>
</comments>
</file>

<file path=xl/sharedStrings.xml><?xml version="1.0" encoding="utf-8"?>
<sst xmlns="http://schemas.openxmlformats.org/spreadsheetml/2006/main" count="7955" uniqueCount="2897">
  <si>
    <t>2017 McLane sediment trap brine mercuric chloride concentration brine adjustment</t>
  </si>
  <si>
    <t xml:space="preserve">Di's additions:  there is a general preference to fill the cups with brine, remove 10mL by pipette and replace with 10mL of saturated mercuric chloride. This was trialed during SAZ18 prep. </t>
  </si>
  <si>
    <t>The volume of the McLane Parflux mark78 21 cup is 250mL but I need to check when filled to shoulder=</t>
  </si>
  <si>
    <t>Salts are added to filtered seawater=SS V03 2/5/2013 46S142E underway FSW 142mm GF/F stored 4C.</t>
  </si>
  <si>
    <t>final concentration g/L</t>
  </si>
  <si>
    <t>g wt added to 20L</t>
  </si>
  <si>
    <t>g/L added</t>
  </si>
  <si>
    <t>take out 10mL and add 10mL sat HgCl2 to 250mL cup g/L ie 4% salts</t>
  </si>
  <si>
    <t>CHECK 1L</t>
  </si>
  <si>
    <t>sodium chloride, NaCl</t>
  </si>
  <si>
    <t>sodium tetraborate,Na2B4O7.10H2O in addition to sw</t>
  </si>
  <si>
    <t>increased as per later notes</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</si>
  <si>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</si>
  <si>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</si>
  <si>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</si>
  <si>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</si>
  <si>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</si>
  <si>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</si>
  <si>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saturated mercuric chloride volume (mL) required=</t>
  </si>
  <si>
    <t>g</t>
  </si>
  <si>
    <t>Brine volume (L) required for 3 traps for SAZ19=</t>
  </si>
  <si>
    <t>hence prepare 20L as 2 10L aliquots for easy</t>
  </si>
  <si>
    <t>Can only find one lowboy. Previous chemicals have disappeared.</t>
  </si>
  <si>
    <r>
      <t xml:space="preserve">2017-02 Sed trap prep brine for SAZ19 </t>
    </r>
    <r>
      <rPr>
        <b/>
        <sz val="12"/>
        <color rgb="FFFF0000"/>
        <rFont val="Calibri"/>
        <family val="2"/>
        <scheme val="minor"/>
      </rPr>
      <t>NO POISON</t>
    </r>
  </si>
  <si>
    <t>Initial FSW IN2015_V01 27-03-15 5:47 UTC UW water GF/F. Brine concentration increased to allow for 10mL removal from 250mL and replacement with mercuric chloride</t>
  </si>
  <si>
    <t xml:space="preserve">10L batch (Di), 2 aliquots prepared </t>
  </si>
  <si>
    <t>g/10L</t>
  </si>
  <si>
    <t>company, PN</t>
  </si>
  <si>
    <t>Merck 1.06404.0500</t>
  </si>
  <si>
    <t>Sigma Aldrich B3545-500</t>
  </si>
  <si>
    <t>Sigma Aldrich 10025-70-4</t>
  </si>
  <si>
    <t>Approximately 20L of deep water remains from processing saz18 for saz20 brine prep</t>
  </si>
  <si>
    <t>Email from Tom: Di,</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</si>
  <si>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</si>
  <si>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</si>
  <si>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</si>
  <si>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</si>
  <si>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</si>
  <si>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</si>
  <si>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</si>
  <si>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</si>
  <si>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</si>
  <si>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</si>
  <si>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</si>
  <si>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</si>
  <si>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</si>
  <si>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</si>
  <si>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</si>
  <si>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</si>
  <si>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</si>
  <si>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</si>
  <si>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</si>
  <si>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all concentrations in  uM</t>
  </si>
  <si>
    <t>SAZ19_2017 Sample processing FSW</t>
  </si>
  <si>
    <t>Sample ID</t>
  </si>
  <si>
    <t>NOx (uM)</t>
  </si>
  <si>
    <t>Phosphate (uM)</t>
  </si>
  <si>
    <t>Silicate (uM)</t>
  </si>
  <si>
    <t>Ammonia (uM)</t>
  </si>
  <si>
    <t>Nitrite (uM)</t>
  </si>
  <si>
    <t>DD 1 - Carboy 1</t>
  </si>
  <si>
    <t>DD 2 - Carboy 2</t>
  </si>
  <si>
    <t>DD 3 - Carboy 3</t>
  </si>
  <si>
    <t>DD 4 - Carboy 4</t>
  </si>
  <si>
    <t>Fish excluders fitted to the null hole for the first time: all intact on recovery.</t>
  </si>
  <si>
    <t>Recovered 10/3/2018</t>
  </si>
  <si>
    <t>depth</t>
  </si>
  <si>
    <t>trap</t>
  </si>
  <si>
    <t>McLane 250x21 Cup set G, Ti frame 14182-01, controller ML_11741_01, Motor ML_14182-01</t>
  </si>
  <si>
    <t>McLane 250x21 Cup set B, Ti frame 2241, controller ML_11640_01, Motor ML_11640-01, tilt</t>
  </si>
  <si>
    <t>McLane 250x21 Cup set A, Ti frame 10705, controller ML_11649_01, Motor ML_11649-01</t>
  </si>
  <si>
    <t>deployment</t>
  </si>
  <si>
    <t>SAZ-19 anchor released at 2017-03-21 0311 UTC, 46 06.38' S,142 18.01'E, -46.106285, 142.300106. Surveyed anchor position: 46.10945S, 142.30854E in 4526m depth.</t>
  </si>
  <si>
    <t>Schedule Verification</t>
  </si>
  <si>
    <t xml:space="preserve"> Event   1 of  22 = 03/30/2017 00:00:00</t>
  </si>
  <si>
    <t>Recovered Sat 10/03/2018</t>
  </si>
  <si>
    <t xml:space="preserve"> Event   2 of  22 = 04/15/2017 01:08:34</t>
  </si>
  <si>
    <t>Samples transferred to ACE CRC fridge Mo 12/03/2018</t>
  </si>
  <si>
    <t xml:space="preserve"> Event   3 of  22 = 05/01/2017 02:17:08</t>
  </si>
  <si>
    <t xml:space="preserve"> Event   4 of  22 = 05/17/2017 03:25:42</t>
  </si>
  <si>
    <t xml:space="preserve"> Event   5 of  22 = 06/02/2017 04:34:16</t>
  </si>
  <si>
    <t xml:space="preserve"> Event   6 of  22 = 06/18/2017 05:42:50</t>
  </si>
  <si>
    <t xml:space="preserve"> Event   7 of  22 = 07/04/2017 06:51:24</t>
  </si>
  <si>
    <t xml:space="preserve"> Event   8 of  22 = 07/20/2017 07:59:58</t>
  </si>
  <si>
    <t xml:space="preserve"> Event   9 of  22 = 08/05/2017 09:08:32</t>
  </si>
  <si>
    <t xml:space="preserve"> Event  10 of  22 = 08/21/2017 10:17:06</t>
  </si>
  <si>
    <t xml:space="preserve"> Event  11 of  22 = 09/06/2017 11:25:40</t>
  </si>
  <si>
    <t xml:space="preserve"> Event  12 of  22 = 09/22/2017 12:34:14</t>
  </si>
  <si>
    <t xml:space="preserve"> Event  13 of  22 = 10/08/2017 13:42:48</t>
  </si>
  <si>
    <t xml:space="preserve"> Event  14 of  22 = 10/24/2017 14:51:22</t>
  </si>
  <si>
    <t xml:space="preserve"> Event  15 of  22 = 11/09/2017 15:59:56</t>
  </si>
  <si>
    <t xml:space="preserve"> Event  16 of  22 = 11/25/2017 17:08:30</t>
  </si>
  <si>
    <t xml:space="preserve"> Event  17 of  22 = 12/11/2017 18:17:04</t>
  </si>
  <si>
    <t xml:space="preserve"> Event  18 of  22 = 12/27/2017 19:25:38</t>
  </si>
  <si>
    <t xml:space="preserve"> Event  19 of  22 = 01/12/2018 20:34:12</t>
  </si>
  <si>
    <t xml:space="preserve"> Event  20 of  22 = 01/28/2018 21:42:46</t>
  </si>
  <si>
    <t xml:space="preserve"> Event  21 of  22 = 02/13/2018 22:51:20</t>
  </si>
  <si>
    <t xml:space="preserve"> Event  22 of  22 = 03/01/2018 23:59:54</t>
  </si>
  <si>
    <t>IN2017-V02</t>
  </si>
  <si>
    <t>Clock was 4min 29sec slow on recovery</t>
  </si>
  <si>
    <t>LINKED</t>
  </si>
  <si>
    <t>Clock was 26min 29sec slow on recovery</t>
  </si>
  <si>
    <t>Clock was 29min 16sec slow on recovery</t>
  </si>
  <si>
    <t>Schedule SAZ19 21 march 2017 ML_11741-01</t>
  </si>
  <si>
    <t>1000m</t>
  </si>
  <si>
    <t xml:space="preserve">Schedule SAZ19 21 March 2017, controller 11640-01 </t>
  </si>
  <si>
    <t>2000m</t>
  </si>
  <si>
    <t xml:space="preserve">Schedule SAZ19 21 March 2017, controller 11649-01 </t>
  </si>
  <si>
    <t>3800m</t>
  </si>
  <si>
    <t>[2018-03-11 05:12:10.820]  Event 01 of 22 @ 03/30/2017 00:00:00</t>
  </si>
  <si>
    <t>[2018-03-11 05:06:05.988]  Event 01 of 22 @ 03/30/2017 00:00:00</t>
  </si>
  <si>
    <t>[2018-03-11 05:00:37.139]  Event 01 of 22 @ 03/30/2017 00:00:00</t>
  </si>
  <si>
    <t>[2018-03-11 05:12:10.900]  Event 02 of 22 @ 04/15/2017 01:08:34</t>
  </si>
  <si>
    <t>[2018-03-11 05:06:06.088]  Event 02 of 22 @ 04/15/2017 01:08:34</t>
  </si>
  <si>
    <t>[2018-03-11 05:00:37.219]  Event 02 of 22 @ 04/15/2017 01:08:34</t>
  </si>
  <si>
    <t>[2018-03-11 05:12:10.990]  Event 03 of 22 @ 05/01/2017 02:17:08</t>
  </si>
  <si>
    <t>[2018-03-11 05:06:06.178]  Event 03 of 22 @ 05/01/2017 02:17:08</t>
  </si>
  <si>
    <t>[2018-03-11 05:00:37.308]  Event 03 of 22 @ 05/01/2017 02:17:08</t>
  </si>
  <si>
    <t>[2018-03-11 05:12:11.090]  Event 04 of 22 @ 05/17/2017 03:25:42</t>
  </si>
  <si>
    <t>[2018-03-11 05:06:06.259]  Event 04 of 22 @ 05/17/2017 03:25:42</t>
  </si>
  <si>
    <t>[2018-03-11 05:00:37.409]  Event 04 of 22 @ 05/17/2017 03:25:42</t>
  </si>
  <si>
    <t>[2018-03-11 05:12:11.170]  Event 05 of 22 @ 06/02/2017 04:34:16</t>
  </si>
  <si>
    <t>[2018-03-11 05:06:06.355]  Event 05 of 22 @ 06/02/2017 04:34:16</t>
  </si>
  <si>
    <t>[2018-03-11 05:00:37.489]  Event 05 of 22 @ 06/02/2017 04:34:16</t>
  </si>
  <si>
    <t>[2018-03-11 05:12:11.260]  Event 06 of 22 @ 06/18/2017 05:42:50</t>
  </si>
  <si>
    <t>[2018-03-11 05:06:06.455]  Event 06 of 22 @ 06/18/2017 05:42:50</t>
  </si>
  <si>
    <t>[2018-03-11 05:00:37.579]  Event 06 of 22 @ 06/18/2017 05:42:50</t>
  </si>
  <si>
    <t>[2018-03-11 05:12:11.360]  Event 07 of 22 @ 07/04/2017 06:51:24</t>
  </si>
  <si>
    <t>[2018-03-11 05:06:06.546]  Event 07 of 22 @ 07/04/2017 06:51:24</t>
  </si>
  <si>
    <t>[2018-03-11 05:00:37.679]  Event 07 of 22 @ 07/04/2017 06:51:24</t>
  </si>
  <si>
    <t>[2018-03-11 05:12:11.456]  Event 08 of 22 @ 07/20/2017 07:59:58</t>
  </si>
  <si>
    <t>[2018-03-11 05:06:06.625]  Event 08 of 22 @ 07/20/2017 07:59:58</t>
  </si>
  <si>
    <t>[2018-03-11 05:00:37.778]  Event 08 of 22 @ 07/20/2017 07:59:58</t>
  </si>
  <si>
    <t>[2018-03-11 05:12:11.536]  Event 09 of 22 @ 08/05/2017 09:08:32</t>
  </si>
  <si>
    <t>[2018-03-11 05:06:06.726]  Event 09 of 22 @ 08/05/2017 09:08:32</t>
  </si>
  <si>
    <t>[2018-03-11 05:00:37.858]  Event 09 of 22 @ 08/05/2017 09:08:32</t>
  </si>
  <si>
    <t>[2018-03-11 05:12:11.636]  Event 10 of 22 @ 08/21/2017 10:17:06</t>
  </si>
  <si>
    <t>[2018-03-11 05:06:06.816]  Event 10 of 22 @ 08/21/2017 10:17:06</t>
  </si>
  <si>
    <t>[2018-03-11 05:00:37.949]  Event 10 of 22 @ 08/21/2017 10:17:06</t>
  </si>
  <si>
    <t>[2018-03-11 05:12:11.726]  Event 11 of 22 @ 09/06/2017 11:25:40</t>
  </si>
  <si>
    <t>[2018-03-11 05:06:06.916]  Event 11 of 22 @ 09/06/2017 11:25:40</t>
  </si>
  <si>
    <t>[2018-03-11 05:00:38.049]  Event 11 of 22 @ 09/06/2017 11:25:40</t>
  </si>
  <si>
    <t>[2018-03-11 05:12:11.826]  Event 12 of 22 @ 09/22/2017 12:34:14</t>
  </si>
  <si>
    <t>[2018-03-11 05:06:06.996]  Event 12 of 22 @ 09/22/2017 12:34:14</t>
  </si>
  <si>
    <t>[2018-03-11 05:00:38.139]  Event 12 of 22 @ 09/22/2017 12:34:14</t>
  </si>
  <si>
    <t>[2018-03-11 05:12:11.906]  Event 13 of 22 @ 10/08/2017 13:42:48</t>
  </si>
  <si>
    <t>[2018-03-11 05:06:07.086]  Event 13 of 22 @ 10/08/2017 13:42:48</t>
  </si>
  <si>
    <t>[2018-03-11 05:00:38.219]  Event 13 of 22 @ 10/08/2017 13:42:48</t>
  </si>
  <si>
    <t>[2018-03-11 05:12:11.997]  Event 14 of 22 @ 10/24/2017 14:51:22</t>
  </si>
  <si>
    <t>[2018-03-11 05:06:07.186]  Event 14 of 22 @ 10/24/2017 14:51:22</t>
  </si>
  <si>
    <t>[2018-03-11 05:00:38.315]  Event 14 of 22 @ 10/24/2017 14:51:22</t>
  </si>
  <si>
    <t>[2018-03-11 05:12:12.097]  Event 15 of 22 @ 11/09/2017 15:59:56</t>
  </si>
  <si>
    <t>[2018-03-11 05:06:07.286]  Event 15 of 22 @ 11/09/2017 15:59:56</t>
  </si>
  <si>
    <t>[2018-03-11 05:00:38.415]  Event 15 of 22 @ 11/09/2017 15:59:56</t>
  </si>
  <si>
    <t>[2018-03-11 05:12:12.197]  Event 16 of 22 @ 11/25/2017 17:08:30</t>
  </si>
  <si>
    <t>[2018-03-11 05:06:07.364]  Event 16 of 22 @ 11/25/2017 17:08:30</t>
  </si>
  <si>
    <t>[2018-03-11 05:00:38.515]  Event 16 of 22 @ 11/25/2017 17:08:30</t>
  </si>
  <si>
    <t>[2018-03-11 05:12:12.285]  Event 17 of 22 @ 12/11/2017 18:17:04</t>
  </si>
  <si>
    <t>[2018-03-11 05:06:07.463]  Event 17 of 22 @ 12/11/2017 18:17:04</t>
  </si>
  <si>
    <t>[2018-03-11 05:00:38.605]  Event 17 of 22 @ 12/11/2017 18:17:04</t>
  </si>
  <si>
    <t>[2018-03-11 05:12:12.370]  Event 18 of 22 @ 12/27/2017 19:25:38</t>
  </si>
  <si>
    <t>[2018-03-11 05:06:07.553]  Event 18 of 22 @ 12/27/2017 19:25:38</t>
  </si>
  <si>
    <t>[2018-03-11 05:00:38.685]  Event 18 of 22 @ 12/27/2017 19:25:38</t>
  </si>
  <si>
    <t>[2018-03-11 05:12:12.466]  Event 19 of 22 @ 01/12/2018 20:34:12</t>
  </si>
  <si>
    <t>[2018-03-11 05:06:07.652]  Event 19 of 22 @ 01/12/2018 20:34:12</t>
  </si>
  <si>
    <t>[2018-03-11 05:00:38.785]  Event 19 of 22 @ 01/12/2018 20:34:12</t>
  </si>
  <si>
    <t>[2018-03-11 05:12:12.562]  Event 20 of 22 @ 01/28/2018 21:42:46</t>
  </si>
  <si>
    <t>[2018-03-11 05:06:07.733]  Event 20 of 22 @ 01/28/2018 21:42:46</t>
  </si>
  <si>
    <t>[2018-03-11 05:00:38.875]  Event 20 of 22 @ 01/28/2018 21:42:46</t>
  </si>
  <si>
    <t>[2018-03-11 05:12:12.642]  Event 21 of 22 @ 02/13/2018 22:51:20</t>
  </si>
  <si>
    <t>[2018-03-11 05:06:07.823]  Event 21 of 22 @ 02/13/2018 22:51:20</t>
  </si>
  <si>
    <t>[2018-03-11 05:00:38.955]  Event 21 of 22 @ 02/13/2018 22:51:20</t>
  </si>
  <si>
    <t>[2018-03-11 05:12:12.738]  Event 22 of 22 @ 03/01/2018 23:59:54</t>
  </si>
  <si>
    <t>[2018-03-11 05:06:07.923]  Event 22 of 22 @ 03/01/2018 23:59:54</t>
  </si>
  <si>
    <t>[2018-03-11 05:00:39.055]  Event 22 of 22 @ 03/01/2018 23:59:54</t>
  </si>
  <si>
    <t>1000m trap:</t>
  </si>
  <si>
    <t>2000m trap:</t>
  </si>
  <si>
    <t>3800m trap:</t>
  </si>
  <si>
    <t>disassembled 12/4/18, rotor plate parts soaked in tap water overnight, rinsed with MQ the</t>
  </si>
  <si>
    <t>disassembled 11/4/18, rotor plate parts soaked in tap water overnight, rinsed with MQ the</t>
  </si>
  <si>
    <t>disassembled 13/4/18, rotor plate parts soaked in tap water overnight, rinsed with MQ the</t>
  </si>
  <si>
    <t>next day and dried overnight for reassemble the following day, Variseals and bearings were soaked in MQ</t>
  </si>
  <si>
    <t>no motor oil was removed since the bladder wasn't overly tight</t>
  </si>
  <si>
    <t>all batteries were removed from inside the controller, 12/4/18</t>
  </si>
  <si>
    <t>all batteries were removed from inside the controller, 11/4/18</t>
  </si>
  <si>
    <t>all batteries were removed from inside the controller, 13/4/18</t>
  </si>
  <si>
    <t>reassembled 16/4/18</t>
  </si>
  <si>
    <t>reassembled 13/4/18</t>
  </si>
  <si>
    <t>LOGS</t>
  </si>
  <si>
    <t>NO TILT</t>
  </si>
  <si>
    <t>[2018-03-11 05:12:12.790]  DEPLOYMENT DATA</t>
  </si>
  <si>
    <t>[2018-03-11 05:06:07.973]  DEPLOYMENT DATA</t>
  </si>
  <si>
    <t>[2018-03-11 05:00:39.105]  DEPLOYMENT DATA</t>
  </si>
  <si>
    <t>[2018-03-11 05:12:12.822]  _______________</t>
  </si>
  <si>
    <t>[2018-03-11 05:06:08.005]  _______________</t>
  </si>
  <si>
    <t>[2018-03-11 05:00:39.135]  _______________</t>
  </si>
  <si>
    <t xml:space="preserve">[2018-03-11 05:12:12.850] </t>
  </si>
  <si>
    <t xml:space="preserve">[2018-03-11 05:06:08.028] </t>
  </si>
  <si>
    <t xml:space="preserve">[2018-03-11 05:00:39.175] </t>
  </si>
  <si>
    <t>[2018-03-11 05:12:12.850]  Event 01</t>
  </si>
  <si>
    <t>[2018-03-11 05:06:08.038]  Event 01</t>
  </si>
  <si>
    <t>[2018-03-11 05:00:39.175]  Event 01</t>
  </si>
  <si>
    <t xml:space="preserve">[2018-03-11 05:12:12.866] </t>
  </si>
  <si>
    <t xml:space="preserve">[2018-03-11 05:06:08.058] </t>
  </si>
  <si>
    <t xml:space="preserve">[2018-03-11 05:00:39.185] </t>
  </si>
  <si>
    <t>[2018-03-11 05:12:12.914]  Scheduled start time:  03/30/2017 00:00:00</t>
  </si>
  <si>
    <t>[2018-03-11 05:06:08.098]  Scheduled start time:  03/30/2017 00:00:00</t>
  </si>
  <si>
    <t>[2018-03-11 05:00:39.235]  Scheduled start time:  03/30/2017 00:00:00</t>
  </si>
  <si>
    <t>[2018-03-11 05:12:13.013]  Event start time:      03/30/2017 00:00:00</t>
  </si>
  <si>
    <t>[2018-03-11 05:06:08.198]  Event start time:      03/30/2017 00:00:00</t>
  </si>
  <si>
    <t>[2018-03-11 05:00:39.324]  Event start time:      03/30/2017 00:00:00</t>
  </si>
  <si>
    <t>[2018-03-11 05:12:13.103]  Event stop time:       03/30/2017 00:00:27</t>
  </si>
  <si>
    <t>[2018-03-11 05:06:08.278]  Event stop time:       03/30/2017 00:00:27</t>
  </si>
  <si>
    <t>[2018-03-11 05:00:39.424]  Event stop time:       03/30/2017 00:00:25</t>
  </si>
  <si>
    <t xml:space="preserve">[2018-03-11 05:12:13.153] </t>
  </si>
  <si>
    <t xml:space="preserve">[2018-03-11 05:06:08.345] </t>
  </si>
  <si>
    <t xml:space="preserve">[2018-03-11 05:00:39.474] </t>
  </si>
  <si>
    <t>[2018-03-11 05:12:13.183]          Aligned  Battery  Temperature  Tilt  Heading</t>
  </si>
  <si>
    <t>[2018-03-11 05:06:08.370]          Aligned  Battery  Temperature  Tilt  Heading</t>
  </si>
  <si>
    <t>[2018-03-11 05:00:39.504]          Aligned    Battery    Temperature</t>
  </si>
  <si>
    <t>[2018-03-11 05:12:13.313]  Start:     Y       20.2        7.C       2.    322.</t>
  </si>
  <si>
    <t>[2018-03-11 05:06:08.500]  Start:     Y       19.9        3.C       3.    199.</t>
  </si>
  <si>
    <t>[2018-03-11 05:00:39.594]  Start:     Y         20.0          1 .C</t>
  </si>
  <si>
    <t>[2018-03-11 05:12:13.439]  Stop:      Y       20.0        7.C       2.    323.</t>
  </si>
  <si>
    <t>[2018-03-11 05:06:08.630]  Stop:      Y       19.6        3.C       3.    196.</t>
  </si>
  <si>
    <t>[2018-03-11 05:00:39.694]  Stop:      Y         19.8          2 .C</t>
  </si>
  <si>
    <t xml:space="preserve">[2018-03-11 05:12:13.509] </t>
  </si>
  <si>
    <t xml:space="preserve">[2018-03-11 05:06:08.680] </t>
  </si>
  <si>
    <t xml:space="preserve">[2018-03-11 05:00:39.744] </t>
  </si>
  <si>
    <t>[2018-03-11 05:12:13.509]  Event 02</t>
  </si>
  <si>
    <t>[2018-03-11 05:06:08.690]  Event 02</t>
  </si>
  <si>
    <t>[2018-03-11 05:00:39.754]  Event 02</t>
  </si>
  <si>
    <t xml:space="preserve">[2018-03-11 05:12:13.529] </t>
  </si>
  <si>
    <t xml:space="preserve">[2018-03-11 05:06:08.710] </t>
  </si>
  <si>
    <t xml:space="preserve">[2018-03-11 05:00:39.774] </t>
  </si>
  <si>
    <t>[2018-03-11 05:12:13.569]  Scheduled start time:  04/15/2017 01:08:34</t>
  </si>
  <si>
    <t>[2018-03-11 05:06:08.750]  Scheduled start time:  04/15/2017 01:08:34</t>
  </si>
  <si>
    <t>[2018-03-11 05:00:39.824]  Scheduled start time:  04/15/2017 01:08:34</t>
  </si>
  <si>
    <t>[2018-03-11 05:12:13.669]  Event start time:      04/15/2017 01:08:34</t>
  </si>
  <si>
    <t>[2018-03-11 05:06:08.850]  Event start time:      04/15/2017 01:08:34</t>
  </si>
  <si>
    <t>[2018-03-11 05:00:39.914]  Event start time:      04/15/2017 01:08:34</t>
  </si>
  <si>
    <t>[2018-03-11 05:12:13.759]  Event stop time:       04/15/2017 01:09:01</t>
  </si>
  <si>
    <t>[2018-03-11 05:06:08.950]  Event stop time:       04/15/2017 01:09:01</t>
  </si>
  <si>
    <t>[2018-03-11 05:00:40.014]  Event stop time:       04/15/2017 01:08:59</t>
  </si>
  <si>
    <t xml:space="preserve">[2018-03-11 05:12:13.809] </t>
  </si>
  <si>
    <t xml:space="preserve">[2018-03-11 05:06:09.000] </t>
  </si>
  <si>
    <t xml:space="preserve">[2018-03-11 05:00:40.064] </t>
  </si>
  <si>
    <t>[2018-03-11 05:12:13.839]          Aligned  Battery  Temperature  Tilt  Heading</t>
  </si>
  <si>
    <t>[2018-03-11 05:06:09.030]          Aligned  Battery  Temperature  Tilt  Heading</t>
  </si>
  <si>
    <t>[2018-03-11 05:00:40.074]          Aligned    Battery    Temperature</t>
  </si>
  <si>
    <t>[2018-03-11 05:12:13.964]  Start:     Y       19.9        7.C       1.    297.</t>
  </si>
  <si>
    <t>[2018-03-11 05:06:09.160]  Start:     Y       19.5        3.C       3.    176.</t>
  </si>
  <si>
    <t>[2018-03-11 05:00:40.194]  Start:     Y         19.6          1 .C</t>
  </si>
  <si>
    <t>[2018-03-11 05:12:14.094]  Stop:      Y       19.6        7.C       1.    290.</t>
  </si>
  <si>
    <t>[2018-03-11 05:06:09.280]  Stop:      Y       19.1        3.C       3.    171.</t>
  </si>
  <si>
    <t>[2018-03-11 05:00:40.291]  Stop:      Y         19.2          2 .C</t>
  </si>
  <si>
    <t xml:space="preserve">[2018-03-11 05:12:14.164] </t>
  </si>
  <si>
    <t xml:space="preserve">[2018-03-11 05:06:09.347] </t>
  </si>
  <si>
    <t xml:space="preserve">[2018-03-11 05:00:40.341] </t>
  </si>
  <si>
    <t>[2018-03-11 05:12:14.164]  Event 03</t>
  </si>
  <si>
    <t>[2018-03-11 05:06:09.347]  Event 03</t>
  </si>
  <si>
    <t>[2018-03-11 05:00:40.351]  Event 03</t>
  </si>
  <si>
    <t xml:space="preserve">[2018-03-11 05:12:14.182] </t>
  </si>
  <si>
    <t xml:space="preserve">[2018-03-11 05:06:09.367] </t>
  </si>
  <si>
    <t xml:space="preserve">[2018-03-11 05:00:40.371] </t>
  </si>
  <si>
    <t>[2018-03-11 05:12:14.226]  Scheduled start time:  05/01/2017 02:17:08</t>
  </si>
  <si>
    <t>[2018-03-11 05:06:09.407]  Scheduled start time:  05/01/2017 02:17:08</t>
  </si>
  <si>
    <t>[2018-03-11 05:00:40.411]  Scheduled start time:  05/01/2017 02:17:08</t>
  </si>
  <si>
    <t>[2018-03-11 05:12:14.316]  Event start time:      05/01/2017 02:17:08</t>
  </si>
  <si>
    <t>[2018-03-11 05:06:09.507]  Event start time:      05/01/2017 02:17:08</t>
  </si>
  <si>
    <t>[2018-03-11 05:00:40.511]  Event start time:      05/01/2017 02:17:08</t>
  </si>
  <si>
    <t>[2018-03-11 05:12:14.416]  Event stop time:       05/01/2017 02:17:35</t>
  </si>
  <si>
    <t>[2018-03-11 05:06:09.607]  Event stop time:       05/01/2017 02:17:35</t>
  </si>
  <si>
    <t>[2018-03-11 05:00:40.591]  Event stop time:       05/01/2017 02:17:33</t>
  </si>
  <si>
    <t xml:space="preserve">[2018-03-11 05:12:14.476] </t>
  </si>
  <si>
    <t xml:space="preserve">[2018-03-11 05:06:09.657] </t>
  </si>
  <si>
    <t xml:space="preserve">[2018-03-11 05:00:40.661] </t>
  </si>
  <si>
    <t>[2018-03-11 05:12:14.497]          Aligned  Battery  Temperature  Tilt  Heading</t>
  </si>
  <si>
    <t>[2018-03-11 05:06:09.687]          Aligned  Battery  Temperature  Tilt  Heading</t>
  </si>
  <si>
    <t>[2018-03-11 05:00:40.671]          Aligned    Battery    Temperature</t>
  </si>
  <si>
    <t>[2018-03-11 05:12:14.626]  Start:     Y       19.5        6.C       6.    284.</t>
  </si>
  <si>
    <t>[2018-03-11 05:06:09.807]  Start:     Y       19.0        3.C       5.    235.</t>
  </si>
  <si>
    <t>[2018-03-11 05:00:40.781]  Start:     Y         19.2          1 .C</t>
  </si>
  <si>
    <t>[2018-03-11 05:12:14.756]  Stop:      Y       19.2        6.C       6.    285.</t>
  </si>
  <si>
    <t>[2018-03-11 05:06:09.937]  Stop:      Y       18.6        3.C       5.    232.</t>
  </si>
  <si>
    <t>[2018-03-11 05:00:40.881]  Stop:      Y         18.9          2 .C</t>
  </si>
  <si>
    <t xml:space="preserve">[2018-03-11 05:12:14.817] </t>
  </si>
  <si>
    <t xml:space="preserve">[2018-03-11 05:06:10.007] </t>
  </si>
  <si>
    <t xml:space="preserve">[2018-03-11 05:00:40.931] </t>
  </si>
  <si>
    <t>[2018-03-11 05:12:14.836]  Event 04</t>
  </si>
  <si>
    <t>[2018-03-11 05:06:10.007]  Event 04</t>
  </si>
  <si>
    <t>[2018-03-11 05:00:40.941]  Event 04</t>
  </si>
  <si>
    <t xml:space="preserve">[2018-03-11 05:12:14.836] </t>
  </si>
  <si>
    <t xml:space="preserve">[2018-03-11 05:06:10.027] </t>
  </si>
  <si>
    <t xml:space="preserve">[2018-03-11 05:00:40.961] </t>
  </si>
  <si>
    <t>[2018-03-11 05:12:14.877]  Scheduled start time:  05/17/2017 03:25:42</t>
  </si>
  <si>
    <t>[2018-03-11 05:06:10.067]  Scheduled start time:  05/17/2017 03:25:42</t>
  </si>
  <si>
    <t>[2018-03-11 05:00:40.991]  Scheduled start time:  05/17/2017 03:25:42</t>
  </si>
  <si>
    <t>[2018-03-11 05:12:14.977]  Event start time:      05/17/2017 03:25:42</t>
  </si>
  <si>
    <t>[2018-03-11 05:06:10.157]  Event start time:      05/17/2017 03:25:42</t>
  </si>
  <si>
    <t>[2018-03-11 05:00:41.081]  Event start time:      05/17/2017 03:25:42</t>
  </si>
  <si>
    <t>[2018-03-11 05:12:15.076]  Event stop time:       05/17/2017 03:26:09</t>
  </si>
  <si>
    <t>[2018-03-11 05:06:10.257]  Event stop time:       05/17/2017 03:26:09</t>
  </si>
  <si>
    <t>[2018-03-11 05:00:41.181]  Event stop time:       05/17/2017 03:26:07</t>
  </si>
  <si>
    <t xml:space="preserve">[2018-03-11 05:12:15.126] </t>
  </si>
  <si>
    <t xml:space="preserve">[2018-03-11 05:06:10.317] </t>
  </si>
  <si>
    <t xml:space="preserve">[2018-03-11 05:00:41.251] </t>
  </si>
  <si>
    <t>[2018-03-11 05:12:15.156]          Aligned  Battery  Temperature  Tilt  Heading</t>
  </si>
  <si>
    <t>[2018-03-11 05:06:10.337]          Aligned  Battery  Temperature  Tilt  Heading</t>
  </si>
  <si>
    <t>[2018-03-11 05:00:41.261]          Aligned    Battery    Temperature</t>
  </si>
  <si>
    <t>[2018-03-11 05:12:15.297]  Start:     Y       19.3        6.C       5.    228.</t>
  </si>
  <si>
    <t>[2018-03-11 05:06:10.467]  Start:     Y       18.6        3.C       4.    189.</t>
  </si>
  <si>
    <t>[2018-03-11 05:00:41.371]  Start:     Y         18.9          1 .C</t>
  </si>
  <si>
    <t>[2018-03-11 05:12:15.412]  Stop:      Y       19.0        7.C       5.    221.</t>
  </si>
  <si>
    <t>[2018-03-11 05:06:10.597]  Stop:      Y       18.2        3.C       4.    190.</t>
  </si>
  <si>
    <t>[2018-03-11 05:00:41.471]  Stop:      Y         18.4          2 .C</t>
  </si>
  <si>
    <t xml:space="preserve">[2018-03-11 05:12:15.472] </t>
  </si>
  <si>
    <t xml:space="preserve">[2018-03-11 05:06:10.668] </t>
  </si>
  <si>
    <t xml:space="preserve">[2018-03-11 05:00:41.521] </t>
  </si>
  <si>
    <t>[2018-03-11 05:12:15.492]  Event 05</t>
  </si>
  <si>
    <t>[2018-03-11 05:06:10.678]  Event 05</t>
  </si>
  <si>
    <t>[2018-03-11 05:00:41.541]  Event 05</t>
  </si>
  <si>
    <t xml:space="preserve">[2018-03-11 05:12:15.512] </t>
  </si>
  <si>
    <t xml:space="preserve">[2018-03-11 05:06:10.698] </t>
  </si>
  <si>
    <t xml:space="preserve">[2018-03-11 05:00:41.541] </t>
  </si>
  <si>
    <t>[2018-03-11 05:12:15.552]  Scheduled start time:  06/02/2017 04:34:16</t>
  </si>
  <si>
    <t>[2018-03-11 05:06:10.728]  Scheduled start time:  06/02/2017 04:34:16</t>
  </si>
  <si>
    <t>[2018-03-11 05:00:41.581]  Scheduled start time:  06/02/2017 04:34:16</t>
  </si>
  <si>
    <t>[2018-03-11 05:12:15.652]  Event start time:      06/02/2017 04:34:16</t>
  </si>
  <si>
    <t>[2018-03-11 05:06:10.818]  Event start time:      06/02/2017 04:34:16</t>
  </si>
  <si>
    <t>[2018-03-11 05:00:41.676]  Event start time:      06/02/2017 04:34:16</t>
  </si>
  <si>
    <t>[2018-03-11 05:12:15.732]  Event stop time:       06/02/2017 04:34:43</t>
  </si>
  <si>
    <t>[2018-03-11 05:06:10.918]  Event stop time:       06/02/2017 04:34:43</t>
  </si>
  <si>
    <t>[2018-03-11 05:00:41.776]  Event stop time:       06/02/2017 04:34:41</t>
  </si>
  <si>
    <t xml:space="preserve">[2018-03-11 05:12:15.793] </t>
  </si>
  <si>
    <t xml:space="preserve">[2018-03-11 05:06:10.988] </t>
  </si>
  <si>
    <t xml:space="preserve">[2018-03-11 05:00:41.826] </t>
  </si>
  <si>
    <t>[2018-03-11 05:12:15.822]          Aligned  Battery  Temperature  Tilt  Heading</t>
  </si>
  <si>
    <t>[2018-03-11 05:06:11.008]          Aligned  Battery  Temperature  Tilt  Heading</t>
  </si>
  <si>
    <t>[2018-03-11 05:00:41.856]          Aligned    Battery    Temperature</t>
  </si>
  <si>
    <t>[2018-03-11 05:12:15.953]  Start:     Y       19.1        7.C       2.     98.</t>
  </si>
  <si>
    <t>[2018-03-11 05:06:11.138]  Start:     Y       18.3        3.C       3.     77.</t>
  </si>
  <si>
    <t>[2018-03-11 05:00:41.966]  Start:     Y         18.5          1 .C</t>
  </si>
  <si>
    <t>[2018-03-11 05:12:16.083]  Stop:      Y       18.8        7.C       1.     98.</t>
  </si>
  <si>
    <t>[2018-03-11 05:06:11.268]  Stop:      Y       17.9        3.C       3.     74.</t>
  </si>
  <si>
    <t>[2018-03-11 05:00:42.066]  Stop:      Y         18.1          2 .C</t>
  </si>
  <si>
    <t xml:space="preserve">[2018-03-11 05:12:16.132] </t>
  </si>
  <si>
    <t xml:space="preserve">[2018-03-11 05:06:11.318] </t>
  </si>
  <si>
    <t xml:space="preserve">[2018-03-11 05:00:42.116] </t>
  </si>
  <si>
    <t>[2018-03-11 05:12:16.142]  Event 06</t>
  </si>
  <si>
    <t>[2018-03-11 05:06:11.328]  Event 06</t>
  </si>
  <si>
    <t>[2018-03-11 05:00:42.126]  Event 06</t>
  </si>
  <si>
    <t xml:space="preserve">[2018-03-11 05:12:16.163] </t>
  </si>
  <si>
    <t xml:space="preserve">[2018-03-11 05:06:11.353] </t>
  </si>
  <si>
    <t xml:space="preserve">[2018-03-11 05:00:42.126] </t>
  </si>
  <si>
    <t>[2018-03-11 05:12:16.212]  Scheduled start time:  06/18/2017 05:42:50</t>
  </si>
  <si>
    <t>[2018-03-11 05:06:11.393]  Scheduled start time:  06/18/2017 05:42:50</t>
  </si>
  <si>
    <t>[2018-03-11 05:00:42.176]  Scheduled start time:  06/18/2017 05:42:50</t>
  </si>
  <si>
    <t>[2018-03-11 05:12:16.303]  Event start time:      06/18/2017 05:42:50</t>
  </si>
  <si>
    <t>[2018-03-11 05:06:11.493]  Event start time:      06/18/2017 05:42:50</t>
  </si>
  <si>
    <t>[2018-03-11 05:00:42.266]  Event start time:      06/18/2017 05:42:50</t>
  </si>
  <si>
    <t>[2018-03-11 05:12:16.399]  Event stop time:       06/18/2017 05:43:17</t>
  </si>
  <si>
    <t>[2018-03-11 05:06:11.583]  Event stop time:       06/18/2017 05:43:17</t>
  </si>
  <si>
    <t>[2018-03-11 05:00:42.366]  Event stop time:       06/18/2017 05:43:15</t>
  </si>
  <si>
    <t xml:space="preserve">[2018-03-11 05:12:16.449] </t>
  </si>
  <si>
    <t xml:space="preserve">[2018-03-11 05:06:11.643] </t>
  </si>
  <si>
    <t xml:space="preserve">[2018-03-11 05:00:42.416] </t>
  </si>
  <si>
    <t>[2018-03-11 05:12:16.479]          Aligned  Battery  Temperature  Tilt  Heading</t>
  </si>
  <si>
    <t>[2018-03-11 05:06:11.664]          Aligned  Battery  Temperature  Tilt  Heading</t>
  </si>
  <si>
    <t>[2018-03-11 05:00:42.446]          Aligned    Battery    Temperature</t>
  </si>
  <si>
    <t>[2018-03-11 05:12:16.609]  Start:     Y       18.9        7.C       2.    215.</t>
  </si>
  <si>
    <t>[2018-03-11 05:06:11.794]  Start:     Y       18.0        3.C       3.    135.</t>
  </si>
  <si>
    <t>[2018-03-11 05:00:42.556]  Start:     Y         18.3          1 .C</t>
  </si>
  <si>
    <t>[2018-03-11 05:12:16.739]  Stop:      Y       18.6        7.C       1.    218.</t>
  </si>
  <si>
    <t>[2018-03-11 05:06:11.923]  Stop:      Y       17.6        3.C       3.    129.</t>
  </si>
  <si>
    <t>[2018-03-11 05:00:42.656]  Stop:      Y         17.9          2 .C</t>
  </si>
  <si>
    <t xml:space="preserve">[2018-03-11 05:12:16.799] </t>
  </si>
  <si>
    <t xml:space="preserve">[2018-03-11 05:06:11.993] </t>
  </si>
  <si>
    <t xml:space="preserve">[2018-03-11 05:00:42.706] </t>
  </si>
  <si>
    <t>[2018-03-11 05:12:16.799]  Event 07</t>
  </si>
  <si>
    <t>[2018-03-11 05:06:11.993]  Event 07</t>
  </si>
  <si>
    <t>[2018-03-11 05:00:42.706]  Event 07</t>
  </si>
  <si>
    <t xml:space="preserve">[2018-03-11 05:12:16.819] </t>
  </si>
  <si>
    <t xml:space="preserve">[2018-03-11 05:06:12.004] </t>
  </si>
  <si>
    <t xml:space="preserve">[2018-03-11 05:00:42.726] </t>
  </si>
  <si>
    <t>[2018-03-11 05:12:16.859]  Scheduled start time:  07/04/2017 06:51:24</t>
  </si>
  <si>
    <t>[2018-03-11 05:06:12.054]  Scheduled start time:  07/04/2017 06:51:24</t>
  </si>
  <si>
    <t>[2018-03-11 05:00:42.766]  Scheduled start time:  07/04/2017 06:51:24</t>
  </si>
  <si>
    <t>[2018-03-11 05:12:16.959]  Event start time:      07/04/2017 06:51:24</t>
  </si>
  <si>
    <t>[2018-03-11 05:06:12.144]  Event start time:      07/04/2017 06:51:24</t>
  </si>
  <si>
    <t>[2018-03-11 05:00:42.856]  Event start time:      07/04/2017 06:51:24</t>
  </si>
  <si>
    <t>[2018-03-11 05:12:17.059]  Event stop time:       07/04/2017 06:51:51</t>
  </si>
  <si>
    <t>[2018-03-11 05:06:12.244]  Event stop time:       07/04/2017 06:51:51</t>
  </si>
  <si>
    <t>[2018-03-11 05:00:42.953]  Event stop time:       07/04/2017 06:51:49</t>
  </si>
  <si>
    <t xml:space="preserve">[2018-03-11 05:12:17.109] </t>
  </si>
  <si>
    <t xml:space="preserve">[2018-03-11 05:06:12.294] </t>
  </si>
  <si>
    <t xml:space="preserve">[2018-03-11 05:00:43.013] </t>
  </si>
  <si>
    <t>[2018-03-11 05:12:17.139]          Aligned  Battery  Temperature  Tilt  Heading</t>
  </si>
  <si>
    <t>[2018-03-11 05:06:12.324]          Aligned  Battery  Temperature  Tilt  Heading</t>
  </si>
  <si>
    <t>[2018-03-11 05:00:43.033]          Aligned    Battery    Temperature</t>
  </si>
  <si>
    <t>[2018-03-11 05:12:17.259]  Start:     Y       18.5        6.C       7.    256.</t>
  </si>
  <si>
    <t>[2018-03-11 05:06:12.454]  Start:     Y       17.1        3.C       6.    222.</t>
  </si>
  <si>
    <t>[2018-03-11 05:00:43.133]  Start:     Y         17.8          1 .C</t>
  </si>
  <si>
    <t>[2018-03-11 05:12:17.395]  Stop:      Y       18.2        6.C       7.    253.</t>
  </si>
  <si>
    <t>[2018-03-11 05:06:12.574]  Stop:      Y       16.7        3.C       6.    218.</t>
  </si>
  <si>
    <t>[2018-03-11 05:00:43.243]  Stop:      Y         17.2          2 .C</t>
  </si>
  <si>
    <t xml:space="preserve">[2018-03-11 05:12:17.463] </t>
  </si>
  <si>
    <t xml:space="preserve">[2018-03-11 05:06:12.644] </t>
  </si>
  <si>
    <t xml:space="preserve">[2018-03-11 05:00:43.292] </t>
  </si>
  <si>
    <t>[2018-03-11 05:12:17.479]  Event 08</t>
  </si>
  <si>
    <t>[2018-03-11 05:06:12.644]  Event 08</t>
  </si>
  <si>
    <t>[2018-03-11 05:00:43.292]  Event 08</t>
  </si>
  <si>
    <t xml:space="preserve">[2018-03-11 05:12:17.479] </t>
  </si>
  <si>
    <t xml:space="preserve">[2018-03-11 05:06:12.664] </t>
  </si>
  <si>
    <t xml:space="preserve">[2018-03-11 05:00:43.312] </t>
  </si>
  <si>
    <t>[2018-03-11 05:12:17.523]  Scheduled start time:  07/20/2017 07:59:58</t>
  </si>
  <si>
    <t>[2018-03-11 05:06:12.704]  Scheduled start time:  07/20/2017 07:59:58</t>
  </si>
  <si>
    <t>[2018-03-11 05:00:43.362]  Scheduled start time:  07/20/2017 07:59:58</t>
  </si>
  <si>
    <t>[2018-03-11 05:12:17.615]  Event start time:      07/20/2017 07:59:58</t>
  </si>
  <si>
    <t>[2018-03-11 05:06:12.804]  Event start time:      07/20/2017 07:59:58</t>
  </si>
  <si>
    <t>[2018-03-11 05:00:43.452]  Event start time:      07/20/2017 07:59:58</t>
  </si>
  <si>
    <t>[2018-03-11 05:12:17.711]  Event stop time:       07/20/2017 08:00:25</t>
  </si>
  <si>
    <t>[2018-03-11 05:06:12.898]  Event stop time:       07/20/2017 08:00:25</t>
  </si>
  <si>
    <t>[2018-03-11 05:00:43.552]  Event stop time:       07/20/2017 08:00:23</t>
  </si>
  <si>
    <t xml:space="preserve">[2018-03-11 05:12:17.772] </t>
  </si>
  <si>
    <t xml:space="preserve">[2018-03-11 05:06:12.948] </t>
  </si>
  <si>
    <t xml:space="preserve">[2018-03-11 05:00:43.602] </t>
  </si>
  <si>
    <t>[2018-03-11 05:12:17.802]          Aligned  Battery  Temperature  Tilt  Heading</t>
  </si>
  <si>
    <t>[2018-03-11 05:06:12.978]          Aligned  Battery  Temperature  Tilt  Heading</t>
  </si>
  <si>
    <t>[2018-03-11 05:00:43.632]          Aligned    Battery    Temperature</t>
  </si>
  <si>
    <t>[2018-03-11 05:12:17.932]  Start:     Y       18.1        6.C       6.    227.</t>
  </si>
  <si>
    <t>[2018-03-11 05:06:13.108]  Start:     Y       16.7        3.C       4.    194.</t>
  </si>
  <si>
    <t>[2018-03-11 05:00:43.722]  Start:     Y         17.1          1 .C</t>
  </si>
  <si>
    <t>[2018-03-11 05:12:18.062]  Stop:      Y       17.7        6.C       6.    229.</t>
  </si>
  <si>
    <t>[2018-03-11 05:06:13.238]  Stop:      Y       16.2        3.C       4.    196.</t>
  </si>
  <si>
    <t>[2018-03-11 05:00:43.832]  Stop:      Y         16.6          2 .C</t>
  </si>
  <si>
    <t xml:space="preserve">[2018-03-11 05:12:18.112] </t>
  </si>
  <si>
    <t xml:space="preserve">[2018-03-11 05:06:13.308] </t>
  </si>
  <si>
    <t xml:space="preserve">[2018-03-11 05:00:43.892] </t>
  </si>
  <si>
    <t>[2018-03-11 05:12:18.132]  Event 09</t>
  </si>
  <si>
    <t>[2018-03-11 05:06:13.318]  Event 09</t>
  </si>
  <si>
    <t>[2018-03-11 05:00:43.892]  Event 09</t>
  </si>
  <si>
    <t xml:space="preserve">[2018-03-11 05:12:18.152] </t>
  </si>
  <si>
    <t xml:space="preserve">[2018-03-11 05:06:13.339] </t>
  </si>
  <si>
    <t xml:space="preserve">[2018-03-11 05:00:43.912] </t>
  </si>
  <si>
    <t>[2018-03-11 05:12:18.192]  Scheduled start time:  08/05/2017 09:08:32</t>
  </si>
  <si>
    <t>[2018-03-11 05:06:13.378]  Scheduled start time:  08/05/2017 09:08:32</t>
  </si>
  <si>
    <t>[2018-03-11 05:00:43.952]  Scheduled start time:  08/05/2017 09:08:32</t>
  </si>
  <si>
    <t>[2018-03-11 05:12:18.282]  Event start time:      08/05/2017 09:08:32</t>
  </si>
  <si>
    <t>[2018-03-11 05:06:13.478]  Event start time:      08/05/2017 09:08:32</t>
  </si>
  <si>
    <t>[2018-03-11 05:00:44.042]  Event start time:      08/05/2017 09:08:32</t>
  </si>
  <si>
    <t>[2018-03-11 05:12:18.382]  Event stop time:       08/05/2017 09:08:59</t>
  </si>
  <si>
    <t>[2018-03-11 05:06:13.558]  Event stop time:       08/05/2017 09:08:59</t>
  </si>
  <si>
    <t>[2018-03-11 05:00:44.142]  Event stop time:       08/05/2017 09:08:57</t>
  </si>
  <si>
    <t xml:space="preserve">[2018-03-11 05:12:18.440] </t>
  </si>
  <si>
    <t xml:space="preserve">[2018-03-11 05:06:13.628] </t>
  </si>
  <si>
    <t xml:space="preserve">[2018-03-11 05:00:44.192] </t>
  </si>
  <si>
    <t>[2018-03-11 05:12:18.462]          Aligned  Battery  Temperature  Tilt  Heading</t>
  </si>
  <si>
    <t>[2018-03-11 05:06:13.648]          Aligned  Battery  Temperature  Tilt  Heading</t>
  </si>
  <si>
    <t>[2018-03-11 05:00:44.222]          Aligned    Battery    Temperature</t>
  </si>
  <si>
    <t>[2018-03-11 05:12:18.592]  Start:     Y       18.1        7.C       3.    225.</t>
  </si>
  <si>
    <t>[2018-03-11 05:06:13.778]  Start:     Y       17.0        3.C       4.    170.</t>
  </si>
  <si>
    <t>[2018-03-11 05:00:44.318]  Start:     Y         17.3          1 .C</t>
  </si>
  <si>
    <t>[2018-03-11 05:12:18.722]  Stop:      Y       17.8        7.C       3.    227.</t>
  </si>
  <si>
    <t>[2018-03-11 05:06:13.908]  Stop:      Y       16.5        3.C       3.    166.</t>
  </si>
  <si>
    <t>[2018-03-11 05:00:44.428]  Stop:      Y         16.9          2 .C</t>
  </si>
  <si>
    <t xml:space="preserve">[2018-03-11 05:12:18.792] </t>
  </si>
  <si>
    <t xml:space="preserve">[2018-03-11 05:06:13.958] </t>
  </si>
  <si>
    <t xml:space="preserve">[2018-03-11 05:00:44.478] </t>
  </si>
  <si>
    <t>[2018-03-11 05:12:18.792]  Event 10</t>
  </si>
  <si>
    <t>[2018-03-11 05:06:13.968]  Event 10</t>
  </si>
  <si>
    <t>[2018-03-11 05:00:44.478]  Event 10</t>
  </si>
  <si>
    <t xml:space="preserve">[2018-03-11 05:12:18.802] </t>
  </si>
  <si>
    <t xml:space="preserve">[2018-03-11 05:06:13.998] </t>
  </si>
  <si>
    <t xml:space="preserve">[2018-03-11 05:00:44.497] </t>
  </si>
  <si>
    <t>[2018-03-11 05:12:18.842]  Scheduled start time:  08/21/2017 10:17:06</t>
  </si>
  <si>
    <t>[2018-03-11 05:06:14.038]  Scheduled start time:  08/21/2017 10:17:06</t>
  </si>
  <si>
    <t>[2018-03-11 05:00:44.538]  Scheduled start time:  08/21/2017 10:17:06</t>
  </si>
  <si>
    <t>[2018-03-11 05:12:18.942]  Event start time:      08/21/2017 10:17:06</t>
  </si>
  <si>
    <t>[2018-03-11 05:06:14.128]  Event start time:      08/21/2017 10:17:06</t>
  </si>
  <si>
    <t>[2018-03-11 05:00:44.638]  Event start time:      08/21/2017 10:17:06</t>
  </si>
  <si>
    <t>[2018-03-11 05:12:19.042]  Event stop time:       08/21/2017 10:17:33</t>
  </si>
  <si>
    <t>[2018-03-11 05:06:14.228]  Event stop time:       08/21/2017 10:17:33</t>
  </si>
  <si>
    <t>[2018-03-11 05:00:44.728]  Event stop time:       08/21/2017 10:17:31</t>
  </si>
  <si>
    <t xml:space="preserve">[2018-03-11 05:12:19.092] </t>
  </si>
  <si>
    <t xml:space="preserve">[2018-03-11 05:06:14.278] </t>
  </si>
  <si>
    <t xml:space="preserve">[2018-03-11 05:00:44.787] </t>
  </si>
  <si>
    <t>[2018-03-11 05:12:19.122]          Aligned  Battery  Temperature  Tilt  Heading</t>
  </si>
  <si>
    <t>[2018-03-11 05:06:14.308]          Aligned  Battery  Temperature  Tilt  Heading</t>
  </si>
  <si>
    <t>[2018-03-11 05:00:44.807]          Aligned    Battery    Temperature</t>
  </si>
  <si>
    <t>[2018-03-11 05:12:19.242]  Start:     Y       18.2        6.C       2.    202.</t>
  </si>
  <si>
    <t>[2018-03-11 05:06:14.439]  Start:     Y       17.1        3.C       3.    128.</t>
  </si>
  <si>
    <t>[2018-03-11 05:00:44.908]  Start:     Y         17.4          1 .C</t>
  </si>
  <si>
    <t>[2018-03-11 05:12:19.372]  Stop:      Y       17.8        7.C       2.    204.</t>
  </si>
  <si>
    <t>[2018-03-11 05:06:14.559]  Stop:      Y       16.6        3.C       3.    127.</t>
  </si>
  <si>
    <t>[2018-03-11 05:00:45.018]  Stop:      Y         16.9          2 .C</t>
  </si>
  <si>
    <t xml:space="preserve">[2018-03-11 05:12:19.435] </t>
  </si>
  <si>
    <t xml:space="preserve">[2018-03-11 05:06:14.629] </t>
  </si>
  <si>
    <t xml:space="preserve">[2018-03-11 05:00:45.077] </t>
  </si>
  <si>
    <t>[2018-03-11 05:12:19.455]  Event 11</t>
  </si>
  <si>
    <t>[2018-03-11 05:06:14.629]  Event 11</t>
  </si>
  <si>
    <t>[2018-03-11 05:00:45.077]  Event 11</t>
  </si>
  <si>
    <t xml:space="preserve">[2018-03-11 05:12:19.455] </t>
  </si>
  <si>
    <t xml:space="preserve">[2018-03-11 05:06:14.649] </t>
  </si>
  <si>
    <t xml:space="preserve">[2018-03-11 05:00:45.087] </t>
  </si>
  <si>
    <t>[2018-03-11 05:12:19.505]  Scheduled start time:  09/06/2017 11:25:40</t>
  </si>
  <si>
    <t>[2018-03-11 05:06:14.689]  Scheduled start time:  09/06/2017 11:25:40</t>
  </si>
  <si>
    <t>[2018-03-11 05:00:45.128]  Scheduled start time:  09/06/2017 11:25:40</t>
  </si>
  <si>
    <t>[2018-03-11 05:12:19.595]  Event start time:      09/06/2017 11:25:40</t>
  </si>
  <si>
    <t>[2018-03-11 05:06:14.789]  Event start time:      09/06/2017 11:25:40</t>
  </si>
  <si>
    <t>[2018-03-11 05:00:45.228]  Event start time:      09/06/2017 11:25:40</t>
  </si>
  <si>
    <t>[2018-03-11 05:12:19.695]  Event stop time:       09/06/2017 11:26:07</t>
  </si>
  <si>
    <t>[2018-03-11 05:06:14.879]  Event stop time:       09/06/2017 11:26:07</t>
  </si>
  <si>
    <t>[2018-03-11 05:00:45.327]  Event stop time:       09/06/2017 11:26:05</t>
  </si>
  <si>
    <t xml:space="preserve">[2018-03-11 05:12:19.765] </t>
  </si>
  <si>
    <t xml:space="preserve">[2018-03-11 05:06:14.929] </t>
  </si>
  <si>
    <t xml:space="preserve">[2018-03-11 05:00:45.377] </t>
  </si>
  <si>
    <t>[2018-03-11 05:12:19.795]          Aligned  Battery  Temperature  Tilt  Heading</t>
  </si>
  <si>
    <t>[2018-03-11 05:06:14.959]          Aligned  Battery  Temperature  Tilt  Heading</t>
  </si>
  <si>
    <t>[2018-03-11 05:00:45.407]          Aligned    Battery    Temperature</t>
  </si>
  <si>
    <t>[2018-03-11 05:12:19.915]  Start:     Y       18.1        7.C       1.    240.</t>
  </si>
  <si>
    <t>[2018-03-11 05:06:15.089]  Start:     Y       17.0        3.C       3.     92.</t>
  </si>
  <si>
    <t>[2018-03-11 05:00:45.498]  Start:     Y         17.3          1 .C</t>
  </si>
  <si>
    <t>[2018-03-11 05:12:20.045]  Stop:      Y       17.8        7.C       1.    234.</t>
  </si>
  <si>
    <t>[2018-03-11 05:06:15.219]  Stop:      Y       16.6        3.C       3.     91.</t>
  </si>
  <si>
    <t>[2018-03-11 05:00:45.608]  Stop:      Y         16.8          2 .C</t>
  </si>
  <si>
    <t xml:space="preserve">[2018-03-11 05:12:20.095] </t>
  </si>
  <si>
    <t xml:space="preserve">[2018-03-11 05:06:15.289] </t>
  </si>
  <si>
    <t xml:space="preserve">[2018-03-11 05:00:45.667] </t>
  </si>
  <si>
    <t>[2018-03-11 05:12:20.115]  Event 12</t>
  </si>
  <si>
    <t>[2018-03-11 05:06:15.299]  Event 12</t>
  </si>
  <si>
    <t>[2018-03-11 05:00:45.667]  Event 12</t>
  </si>
  <si>
    <t xml:space="preserve">[2018-03-11 05:12:20.135] </t>
  </si>
  <si>
    <t xml:space="preserve">[2018-03-11 05:06:15.319] </t>
  </si>
  <si>
    <t xml:space="preserve">[2018-03-11 05:00:45.678] </t>
  </si>
  <si>
    <t>[2018-03-11 05:12:20.175]  Scheduled start time:  09/22/2017 12:34:14</t>
  </si>
  <si>
    <t>[2018-03-11 05:06:15.360]  Scheduled start time:  09/22/2017 12:34:14</t>
  </si>
  <si>
    <t>[2018-03-11 05:00:45.727]  Scheduled start time:  09/22/2017 12:34:14</t>
  </si>
  <si>
    <t>[2018-03-11 05:12:20.275]  Event start time:      09/22/2017 12:34:14</t>
  </si>
  <si>
    <t>[2018-03-11 05:06:15.440]  Event start time:      09/22/2017 12:34:14</t>
  </si>
  <si>
    <t>[2018-03-11 05:00:45.818]  Event start time:      09/22/2017 12:34:14</t>
  </si>
  <si>
    <t>[2018-03-11 05:12:20.365]  Event stop time:       09/22/2017 12:34:41</t>
  </si>
  <si>
    <t>[2018-03-11 05:06:15.540]  Event stop time:       09/22/2017 12:34:41</t>
  </si>
  <si>
    <t>[2018-03-11 05:00:45.918]  Event stop time:       09/22/2017 12:34:39</t>
  </si>
  <si>
    <t xml:space="preserve">[2018-03-11 05:12:20.422] </t>
  </si>
  <si>
    <t xml:space="preserve">[2018-03-11 05:06:15.610] </t>
  </si>
  <si>
    <t xml:space="preserve">[2018-03-11 05:00:45.967] </t>
  </si>
  <si>
    <t>[2018-03-11 05:12:20.442]          Aligned  Battery  Temperature  Tilt  Heading</t>
  </si>
  <si>
    <t>[2018-03-11 05:06:15.630]          Aligned  Battery  Temperature  Tilt  Heading</t>
  </si>
  <si>
    <t>[2018-03-11 05:00:45.998]          Aligned    Battery    Temperature</t>
  </si>
  <si>
    <t>[2018-03-11 05:12:20.572]  Start:     Y       18.0        7.C       2.    290.</t>
  </si>
  <si>
    <t>[2018-03-11 05:06:15.760]  Start:     Y       16.9        3.C       3.    198.</t>
  </si>
  <si>
    <t>[2018-03-11 05:00:46.088]  Start:     Y         17.1          1 .C</t>
  </si>
  <si>
    <t>[2018-03-11 05:12:20.702]  Stop:      Y       17.7        7.C       2.    274.</t>
  </si>
  <si>
    <t>[2018-03-11 05:06:15.890]  Stop:      Y       16.4        3.C       3.    192.</t>
  </si>
  <si>
    <t>[2018-03-11 05:00:46.208]  Stop:      Y         16.8          2 .C</t>
  </si>
  <si>
    <t xml:space="preserve">[2018-03-11 05:12:20.772] </t>
  </si>
  <si>
    <t xml:space="preserve">[2018-03-11 05:06:15.940] </t>
  </si>
  <si>
    <t xml:space="preserve">[2018-03-11 05:00:46.258] </t>
  </si>
  <si>
    <t>[2018-03-11 05:12:20.772]  Event 13</t>
  </si>
  <si>
    <t>[2018-03-11 05:06:15.950]  Event 13</t>
  </si>
  <si>
    <t>[2018-03-11 05:00:46.258]  Event 13</t>
  </si>
  <si>
    <t xml:space="preserve">[2018-03-11 05:12:20.782] </t>
  </si>
  <si>
    <t xml:space="preserve">[2018-03-11 05:06:15.980] </t>
  </si>
  <si>
    <t xml:space="preserve">[2018-03-11 05:00:46.278] </t>
  </si>
  <si>
    <t>[2018-03-11 05:12:20.832]  Scheduled start time:  10/08/2017 13:42:48</t>
  </si>
  <si>
    <t>[2018-03-11 05:06:16.020]  Scheduled start time:  10/08/2017 13:42:48</t>
  </si>
  <si>
    <t>[2018-03-11 05:00:46.318]  Scheduled start time:  10/08/2017 13:42:48</t>
  </si>
  <si>
    <t>[2018-03-11 05:12:20.922]  Event start time:      10/08/2017 13:42:48</t>
  </si>
  <si>
    <t>[2018-03-11 05:06:16.110]  Event start time:      10/08/2017 13:42:48</t>
  </si>
  <si>
    <t>[2018-03-11 05:00:46.408]  Event start time:      10/08/2017 13:42:48</t>
  </si>
  <si>
    <t>[2018-03-11 05:12:21.022]  Event stop time:       10/08/2017 13:43:15</t>
  </si>
  <si>
    <t>[2018-03-11 05:06:16.210]  Event stop time:       10/08/2017 13:43:15</t>
  </si>
  <si>
    <t>[2018-03-11 05:00:46.508]  Event stop time:       10/08/2017 13:43:13</t>
  </si>
  <si>
    <t xml:space="preserve">[2018-03-11 05:12:21.072] </t>
  </si>
  <si>
    <t xml:space="preserve">[2018-03-11 05:06:16.260] </t>
  </si>
  <si>
    <t xml:space="preserve">[2018-03-11 05:00:46.558] </t>
  </si>
  <si>
    <t>[2018-03-11 05:12:21.102]          Aligned  Battery  Temperature  Tilt  Heading</t>
  </si>
  <si>
    <t>[2018-03-11 05:06:16.290]          Aligned  Battery  Temperature  Tilt  Heading</t>
  </si>
  <si>
    <t>[2018-03-11 05:00:46.588]          Aligned    Battery    Temperature</t>
  </si>
  <si>
    <t>[2018-03-11 05:12:21.232]  Start:     Y       17.9        6.C       6.    288.</t>
  </si>
  <si>
    <t>[2018-03-11 05:06:16.420]  Start:     Y       16.7        3.C       6.    241.</t>
  </si>
  <si>
    <t>[2018-03-11 05:00:46.698]  Start:     Y         17.1          1 .C</t>
  </si>
  <si>
    <t>[2018-03-11 05:12:21.362]  Stop:      Y       17.6        6.C       6.    287.</t>
  </si>
  <si>
    <t>[2018-03-11 05:06:16.550]  Stop:      Y       16.3        3.C       6.    240.</t>
  </si>
  <si>
    <t>[2018-03-11 05:00:46.798]  Stop:      Y         16.6          2 .C</t>
  </si>
  <si>
    <t xml:space="preserve">[2018-03-11 05:12:21.424] </t>
  </si>
  <si>
    <t xml:space="preserve">[2018-03-11 05:06:16.610] </t>
  </si>
  <si>
    <t xml:space="preserve">[2018-03-11 05:00:46.848] </t>
  </si>
  <si>
    <t>[2018-03-11 05:12:21.444]  Event 14</t>
  </si>
  <si>
    <t>[2018-03-11 05:06:16.630]  Event 14</t>
  </si>
  <si>
    <t>[2018-03-11 05:00:46.848]  Event 14</t>
  </si>
  <si>
    <t xml:space="preserve">[2018-03-11 05:12:21.454] </t>
  </si>
  <si>
    <t xml:space="preserve">[2018-03-11 05:06:16.630] </t>
  </si>
  <si>
    <t xml:space="preserve">[2018-03-11 05:00:46.868] </t>
  </si>
  <si>
    <t>[2018-03-11 05:12:21.504]  Scheduled start time:  10/24/2017 14:51:22</t>
  </si>
  <si>
    <t>[2018-03-11 05:06:16.670]  Scheduled start time:  10/24/2017 14:51:22</t>
  </si>
  <si>
    <t>[2018-03-11 05:00:46.908]  Scheduled start time:  10/24/2017 14:51:22</t>
  </si>
  <si>
    <t>[2018-03-11 05:12:21.595]  Event start time:      10/24/2017 14:51:22</t>
  </si>
  <si>
    <t>[2018-03-11 05:06:16.771]  Event start time:      10/24/2017 14:51:22</t>
  </si>
  <si>
    <t>[2018-03-11 05:00:47.008]  Event start time:      10/24/2017 14:51:22</t>
  </si>
  <si>
    <t>[2018-03-11 05:12:21.695]  Event stop time:       10/24/2017 14:51:49</t>
  </si>
  <si>
    <t>[2018-03-11 05:06:16.869]  Event stop time:       10/24/2017 14:51:49</t>
  </si>
  <si>
    <t>[2018-03-11 05:00:47.098]  Event stop time:       10/24/2017 14:51:47</t>
  </si>
  <si>
    <t xml:space="preserve">[2018-03-11 05:12:21.745] </t>
  </si>
  <si>
    <t xml:space="preserve">[2018-03-11 05:06:16.929] </t>
  </si>
  <si>
    <t xml:space="preserve">[2018-03-11 05:00:47.158] </t>
  </si>
  <si>
    <t>[2018-03-11 05:12:21.775]          Aligned  Battery  Temperature  Tilt  Heading</t>
  </si>
  <si>
    <t>[2018-03-11 05:06:16.959]          Aligned  Battery  Temperature  Tilt  Heading</t>
  </si>
  <si>
    <t>[2018-03-11 05:00:47.178]          Aligned    Battery    Temperature</t>
  </si>
  <si>
    <t>[2018-03-11 05:12:21.904]  Start:     Y       17.8        6.C       4.    242.</t>
  </si>
  <si>
    <t>[2018-03-11 05:06:17.089]  Start:     Y       16.6        3.C       4.    189.</t>
  </si>
  <si>
    <t>[2018-03-11 05:00:47.294]  Start:     Y         17.0          1 .C</t>
  </si>
  <si>
    <t>[2018-03-11 05:12:22.034]  Stop:      Y       17.5        6.C       4.    239.</t>
  </si>
  <si>
    <t>[2018-03-11 05:06:17.219]  Stop:      Y       16.1        3.C       4.    185.</t>
  </si>
  <si>
    <t>[2018-03-11 05:00:47.384]  Stop:      Y         16.5          2 .C</t>
  </si>
  <si>
    <t xml:space="preserve">[2018-03-11 05:12:22.095] </t>
  </si>
  <si>
    <t xml:space="preserve">[2018-03-11 05:06:17.269] </t>
  </si>
  <si>
    <t xml:space="preserve">[2018-03-11 05:00:47.444] </t>
  </si>
  <si>
    <t>[2018-03-11 05:12:22.095]  Event 15</t>
  </si>
  <si>
    <t>[2018-03-11 05:06:17.279]  Event 15</t>
  </si>
  <si>
    <t>[2018-03-11 05:00:47.454]  Event 15</t>
  </si>
  <si>
    <t xml:space="preserve">[2018-03-11 05:12:22.114] </t>
  </si>
  <si>
    <t xml:space="preserve">[2018-03-11 05:06:17.299] </t>
  </si>
  <si>
    <t xml:space="preserve">[2018-03-11 05:00:47.454] </t>
  </si>
  <si>
    <t>[2018-03-11 05:12:22.155]  Scheduled start time:  11/09/2017 15:59:56</t>
  </si>
  <si>
    <t>[2018-03-11 05:06:17.349]  Scheduled start time:  11/09/2017 15:59:56</t>
  </si>
  <si>
    <t>[2018-03-11 05:00:47.504]  Scheduled start time:  11/09/2017 15:59:56</t>
  </si>
  <si>
    <t>[2018-03-11 05:12:22.255]  Event start time:      11/09/2017 15:59:56</t>
  </si>
  <si>
    <t>[2018-03-11 05:06:17.443]  Event start time:      11/09/2017 15:59:56</t>
  </si>
  <si>
    <t>[2018-03-11 05:00:47.594]  Event start time:      11/09/2017 15:59:56</t>
  </si>
  <si>
    <t>[2018-03-11 05:12:22.352]  Event stop time:       11/09/2017 16:00:23</t>
  </si>
  <si>
    <t>[2018-03-11 05:06:17.543]  Event stop time:       11/09/2017 16:00:23</t>
  </si>
  <si>
    <t>[2018-03-11 05:00:47.694]  Event stop time:       11/09/2017 16:00:21</t>
  </si>
  <si>
    <t xml:space="preserve">[2018-03-11 05:12:22.408] </t>
  </si>
  <si>
    <t xml:space="preserve">[2018-03-11 05:06:17.593] </t>
  </si>
  <si>
    <t xml:space="preserve">[2018-03-11 05:00:47.764] </t>
  </si>
  <si>
    <t>[2018-03-11 05:12:22.432]          Aligned  Battery  Temperature  Tilt  Heading</t>
  </si>
  <si>
    <t>[2018-03-11 05:06:17.623]          Aligned  Battery  Temperature  Tilt  Heading</t>
  </si>
  <si>
    <t>[2018-03-11 05:00:47.774]          Aligned    Battery    Temperature</t>
  </si>
  <si>
    <t>[2018-03-11 05:12:22.560]  Start:     Y       17.7        6.C       2.    184.</t>
  </si>
  <si>
    <t>[2018-03-11 05:06:17.743]  Start:     Y       16.5        3.C       3.    104.</t>
  </si>
  <si>
    <t>[2018-03-11 05:00:47.884]  Start:     Y         16.9          1 .C</t>
  </si>
  <si>
    <t>[2018-03-11 05:12:22.688]  Stop:      Y       17.4        7.C       2.    166.</t>
  </si>
  <si>
    <t>[2018-03-11 05:06:17.874]  Stop:      Y       16.0        3.C       3.    105.</t>
  </si>
  <si>
    <t>[2018-03-11 05:00:47.984]  Stop:      Y         16.4          1 .C</t>
  </si>
  <si>
    <t xml:space="preserve">[2018-03-11 05:12:22.752] </t>
  </si>
  <si>
    <t xml:space="preserve">[2018-03-11 05:06:17.943] </t>
  </si>
  <si>
    <t xml:space="preserve">[2018-03-11 05:00:48.034] </t>
  </si>
  <si>
    <t>[2018-03-11 05:12:22.769]  Event 16</t>
  </si>
  <si>
    <t>[2018-03-11 05:06:17.943]  Event 16</t>
  </si>
  <si>
    <t>[2018-03-11 05:00:48.044]  Event 16</t>
  </si>
  <si>
    <t xml:space="preserve">[2018-03-11 05:12:22.769] </t>
  </si>
  <si>
    <t xml:space="preserve">[2018-03-11 05:06:17.963] </t>
  </si>
  <si>
    <t xml:space="preserve">[2018-03-11 05:00:48.044] </t>
  </si>
  <si>
    <t>[2018-03-11 05:12:22.815]  Scheduled start time:  11/25/2017 17:08:30</t>
  </si>
  <si>
    <t>[2018-03-11 05:06:18.004]  Scheduled start time:  11/25/2017 17:08:30</t>
  </si>
  <si>
    <t>[2018-03-11 05:00:48.094]  Scheduled start time:  11/25/2017 17:08:30</t>
  </si>
  <si>
    <t>[2018-03-11 05:12:22.905]  Event start time:      11/25/2017 17:08:30</t>
  </si>
  <si>
    <t>[2018-03-11 05:06:18.104]  Event start time:      11/25/2017 17:08:30</t>
  </si>
  <si>
    <t>[2018-03-11 05:00:48.184]  Event start time:      11/25/2017 17:08:30</t>
  </si>
  <si>
    <t>[2018-03-11 05:12:23.025]  Event stop time:       11/25/2017 17:08:57</t>
  </si>
  <si>
    <t>[2018-03-11 05:06:18.194]  Event stop time:       11/25/2017 17:08:57</t>
  </si>
  <si>
    <t>[2018-03-11 05:00:48.284]  Event stop time:       11/25/2017 17:08:55</t>
  </si>
  <si>
    <t xml:space="preserve">[2018-03-11 05:12:23.075] </t>
  </si>
  <si>
    <t xml:space="preserve">[2018-03-11 05:06:18.254] </t>
  </si>
  <si>
    <t xml:space="preserve">[2018-03-11 05:00:48.354] </t>
  </si>
  <si>
    <t>[2018-03-11 05:12:23.105]          Aligned  Battery  Temperature  Tilt  Heading</t>
  </si>
  <si>
    <t>[2018-03-11 05:06:18.274]          Aligned  Battery  Temperature  Tilt  Heading</t>
  </si>
  <si>
    <t>[2018-03-11 05:00:48.364]          Aligned    Battery    Temperature</t>
  </si>
  <si>
    <t>[2018-03-11 05:12:23.225]  Start:     Y       17.6        7.C       2.    134.</t>
  </si>
  <si>
    <t>[2018-03-11 05:06:18.400]  Start:     Y       16.3        3.C       3.     47.</t>
  </si>
  <si>
    <t>[2018-03-11 05:00:48.474]  Start:     Y         16.7          1 .C</t>
  </si>
  <si>
    <t>[2018-03-11 05:12:23.355]  Stop:      Y       17.3        8.C       2.    116.</t>
  </si>
  <si>
    <t>[2018-03-11 05:06:18.530]  Stop:      Y       15.8        3.C       3.     37.</t>
  </si>
  <si>
    <t>[2018-03-11 05:00:48.574]  Stop:      Y         16.2          2 .C</t>
  </si>
  <si>
    <t xml:space="preserve">[2018-03-11 05:12:23.425] </t>
  </si>
  <si>
    <t xml:space="preserve">[2018-03-11 05:06:18.600] </t>
  </si>
  <si>
    <t xml:space="preserve">[2018-03-11 05:00:48.624] </t>
  </si>
  <si>
    <t>[2018-03-11 05:12:23.425]  Event 17</t>
  </si>
  <si>
    <t>[2018-03-11 05:06:18.610]  Event 17</t>
  </si>
  <si>
    <t>[2018-03-11 05:00:48.644]  Event 17</t>
  </si>
  <si>
    <t xml:space="preserve">[2018-03-11 05:12:23.445] </t>
  </si>
  <si>
    <t xml:space="preserve">[2018-03-11 05:06:18.630] </t>
  </si>
  <si>
    <t xml:space="preserve">[2018-03-11 05:00:48.654] </t>
  </si>
  <si>
    <t>[2018-03-11 05:12:23.485]  Scheduled start time:  12/11/2017 18:17:04</t>
  </si>
  <si>
    <t>[2018-03-11 05:06:18.670]  Scheduled start time:  12/11/2017 18:17:04</t>
  </si>
  <si>
    <t>[2018-03-11 05:00:48.704]  Scheduled start time:  12/11/2017 18:17:04</t>
  </si>
  <si>
    <t>[2018-03-11 05:12:23.585]  Event start time:      12/11/2017 18:17:04</t>
  </si>
  <si>
    <t>[2018-03-11 05:06:18.770]  Event start time:      12/11/2017 18:17:04</t>
  </si>
  <si>
    <t>[2018-03-11 05:00:48.794]  Event start time:      12/11/2017 18:17:04</t>
  </si>
  <si>
    <t>[2018-03-11 05:12:23.675]  Event stop time:       12/11/2017 18:17:31</t>
  </si>
  <si>
    <t>[2018-03-11 05:06:18.870]  Event stop time:       12/11/2017 18:17:31</t>
  </si>
  <si>
    <t>[2018-03-11 05:00:48.894]  Event stop time:       12/11/2017 18:17:29</t>
  </si>
  <si>
    <t xml:space="preserve">[2018-03-11 05:12:23.725] </t>
  </si>
  <si>
    <t xml:space="preserve">[2018-03-11 05:06:18.920] </t>
  </si>
  <si>
    <t xml:space="preserve">[2018-03-11 05:00:48.944] </t>
  </si>
  <si>
    <t>[2018-03-11 05:12:23.755]          Aligned  Battery  Temperature  Tilt  Heading</t>
  </si>
  <si>
    <t>[2018-03-11 05:06:18.950]          Aligned  Battery  Temperature  Tilt  Heading</t>
  </si>
  <si>
    <t>[2018-03-11 05:00:48.954]          Aligned    Battery    Temperature</t>
  </si>
  <si>
    <t>[2018-03-11 05:12:23.885]  Start:     Y       17.5        8.C       1.    121.</t>
  </si>
  <si>
    <t>[2018-03-11 05:06:19.070]  Start:     Y       16.1        3.C       3.     51.</t>
  </si>
  <si>
    <t>[2018-03-11 05:00:49.064]  Start:     Y         16.6          1 .C</t>
  </si>
  <si>
    <t>[2018-03-11 05:12:24.015]  Stop:      Y       17.2        8.C       1.    118.</t>
  </si>
  <si>
    <t>[2018-03-11 05:06:19.200]  Stop:      Y       15.7        3.C       3.     49.</t>
  </si>
  <si>
    <t>[2018-03-11 05:00:49.164]  Stop:      Y         16.1          2 .C</t>
  </si>
  <si>
    <t xml:space="preserve">[2018-03-11 05:12:24.085] </t>
  </si>
  <si>
    <t xml:space="preserve">[2018-03-11 05:06:19.270] </t>
  </si>
  <si>
    <t xml:space="preserve">[2018-03-11 05:00:49.214] </t>
  </si>
  <si>
    <t>[2018-03-11 05:12:24.095]  Event 18</t>
  </si>
  <si>
    <t>[2018-03-11 05:06:19.270]  Event 18</t>
  </si>
  <si>
    <t>[2018-03-11 05:00:49.224]  Event 18</t>
  </si>
  <si>
    <t xml:space="preserve">[2018-03-11 05:12:24.095] </t>
  </si>
  <si>
    <t xml:space="preserve">[2018-03-11 05:06:19.290] </t>
  </si>
  <si>
    <t xml:space="preserve">[2018-03-11 05:00:49.244] </t>
  </si>
  <si>
    <t>[2018-03-11 05:12:24.145]  Scheduled start time:  12/27/2017 19:25:38</t>
  </si>
  <si>
    <t>[2018-03-11 05:06:19.330]  Scheduled start time:  12/27/2017 19:25:38</t>
  </si>
  <si>
    <t>[2018-03-11 05:00:49.295]  Scheduled start time:  12/27/2017 19:25:38</t>
  </si>
  <si>
    <t>[2018-03-11 05:12:24.255]  Event start time:      12/27/2017 19:25:38</t>
  </si>
  <si>
    <t>[2018-03-11 05:06:19.426]  Event start time:      12/27/2017 19:25:38</t>
  </si>
  <si>
    <t>[2018-03-11 05:00:49.385]  Event start time:      12/27/2017 19:25:38</t>
  </si>
  <si>
    <t>[2018-03-11 05:12:24.345]  Event stop time:       12/27/2017 19:26:05</t>
  </si>
  <si>
    <t>[2018-03-11 05:06:19.526]  Event stop time:       12/27/2017 19:26:05</t>
  </si>
  <si>
    <t>[2018-03-11 05:00:49.485]  Event stop time:       12/27/2017 19:26:03</t>
  </si>
  <si>
    <t xml:space="preserve">[2018-03-11 05:12:24.401] </t>
  </si>
  <si>
    <t xml:space="preserve">[2018-03-11 05:06:19.576] </t>
  </si>
  <si>
    <t xml:space="preserve">[2018-03-11 05:00:49.535] </t>
  </si>
  <si>
    <t>[2018-03-11 05:12:24.431]          Aligned  Battery  Temperature  Tilt  Heading</t>
  </si>
  <si>
    <t>[2018-03-11 05:06:19.606]          Aligned  Battery  Temperature  Tilt  Heading</t>
  </si>
  <si>
    <t>[2018-03-11 05:00:49.565]          Aligned    Battery    Temperature</t>
  </si>
  <si>
    <t>[2018-03-11 05:12:24.560]  Start:     Y       17.4        7.C       2.    358.</t>
  </si>
  <si>
    <t>[2018-03-11 05:06:19.726]  Start:     Y       16.0        3.C       3.    265.</t>
  </si>
  <si>
    <t>[2018-03-11 05:00:49.655]  Start:     Y         16.5          1 .C</t>
  </si>
  <si>
    <t>[2018-03-11 05:12:24.683]  Stop:      Y       17.1        7.C       2.    355.</t>
  </si>
  <si>
    <t>[2018-03-11 05:06:19.856]  Stop:      Y       15.5        3.C       3.    269.</t>
  </si>
  <si>
    <t>[2018-03-11 05:00:49.755]  Stop:      Y         15.9          2 .C</t>
  </si>
  <si>
    <t xml:space="preserve">[2018-03-11 05:12:24.753] </t>
  </si>
  <si>
    <t xml:space="preserve">[2018-03-11 05:06:19.926] </t>
  </si>
  <si>
    <t xml:space="preserve">[2018-03-11 05:00:49.805] </t>
  </si>
  <si>
    <t>[2018-03-11 05:12:24.753]  Event 19</t>
  </si>
  <si>
    <t>[2018-03-11 05:06:19.946]  Event 19</t>
  </si>
  <si>
    <t>[2018-03-11 05:00:49.815]  Event 19</t>
  </si>
  <si>
    <t xml:space="preserve">[2018-03-11 05:12:24.773] </t>
  </si>
  <si>
    <t xml:space="preserve">[2018-03-11 05:06:19.956] </t>
  </si>
  <si>
    <t xml:space="preserve">[2018-03-11 05:00:49.835] </t>
  </si>
  <si>
    <t>[2018-03-11 05:12:24.813]  Scheduled start time:  01/12/2018 20:34:12</t>
  </si>
  <si>
    <t>[2018-03-11 05:06:19.986]  Scheduled start time:  01/12/2018 20:34:12</t>
  </si>
  <si>
    <t>[2018-03-11 05:00:49.885]  Scheduled start time:  01/12/2018 20:34:12</t>
  </si>
  <si>
    <t>[2018-03-11 05:12:24.913]  Event start time:      01/12/2018 20:34:12</t>
  </si>
  <si>
    <t>[2018-03-11 05:06:20.086]  Event start time:      01/12/2018 20:34:12</t>
  </si>
  <si>
    <t>[2018-03-11 05:00:49.975]  Event start time:      01/12/2018 20:34:12</t>
  </si>
  <si>
    <t>[2018-03-11 05:12:25.003]  Event stop time:       01/12/2018 20:34:39</t>
  </si>
  <si>
    <t>[2018-03-11 05:06:20.176]  Event stop time:       01/12/2018 20:34:39</t>
  </si>
  <si>
    <t>[2018-03-11 05:00:50.055]  Event stop time:       01/12/2018 20:34:37</t>
  </si>
  <si>
    <t xml:space="preserve">[2018-03-11 05:12:25.053] </t>
  </si>
  <si>
    <t xml:space="preserve">[2018-03-11 05:06:20.226] </t>
  </si>
  <si>
    <t xml:space="preserve">[2018-03-11 05:00:50.125] </t>
  </si>
  <si>
    <t>[2018-03-11 05:12:25.083]          Aligned  Battery  Temperature  Tilt  Heading</t>
  </si>
  <si>
    <t>[2018-03-11 05:06:20.256]          Aligned  Battery  Temperature  Tilt  Heading</t>
  </si>
  <si>
    <t>[2018-03-11 05:00:50.135]          Aligned    Battery    Temperature</t>
  </si>
  <si>
    <t>[2018-03-11 05:12:25.213]  Start:     Y       17.2        7.C       1.    353.</t>
  </si>
  <si>
    <t>[2018-03-11 05:06:20.386]  Start:     Y       15.7        3.C       3.    276.</t>
  </si>
  <si>
    <t>[2018-03-11 05:00:50.255]  Start:     Y         16.2          1 .C</t>
  </si>
  <si>
    <t>[2018-03-11 05:12:25.343]  Stop:      Y       16.9        7.C       1.    356.</t>
  </si>
  <si>
    <t>[2018-03-11 05:06:20.516]  Stop:      Y       15.3        3.C       3.    267.</t>
  </si>
  <si>
    <t>[2018-03-11 05:00:50.345]  Stop:      Y         15.8          2 .C</t>
  </si>
  <si>
    <t xml:space="preserve">[2018-03-11 05:12:25.409] </t>
  </si>
  <si>
    <t xml:space="preserve">[2018-03-11 05:06:20.586] </t>
  </si>
  <si>
    <t xml:space="preserve">[2018-03-11 05:00:50.395] </t>
  </si>
  <si>
    <t>[2018-03-11 05:12:25.409]  Event 20</t>
  </si>
  <si>
    <t>[2018-03-11 05:06:20.596]  Event 20</t>
  </si>
  <si>
    <t>[2018-03-11 05:00:50.415]  Event 20</t>
  </si>
  <si>
    <t xml:space="preserve">[2018-03-11 05:12:25.429] </t>
  </si>
  <si>
    <t xml:space="preserve">[2018-03-11 05:06:20.616] </t>
  </si>
  <si>
    <t xml:space="preserve">[2018-03-11 05:00:50.435] </t>
  </si>
  <si>
    <t>[2018-03-11 05:12:25.469]  Scheduled start time:  01/28/2018 21:42:46</t>
  </si>
  <si>
    <t>[2018-03-11 05:06:20.646]  Scheduled start time:  01/28/2018 21:42:46</t>
  </si>
  <si>
    <t>[2018-03-11 05:00:50.455]  Scheduled start time:  01/28/2018 21:42:46</t>
  </si>
  <si>
    <t>[2018-03-11 05:12:25.569]  Event start time:      01/28/2018 21:42:46</t>
  </si>
  <si>
    <t>[2018-03-11 05:06:20.736]  Event start time:      01/28/2018 21:42:46</t>
  </si>
  <si>
    <t>[2018-03-11 05:00:50.555]  Event start time:      01/28/2018 21:42:46</t>
  </si>
  <si>
    <t>[2018-03-11 05:12:25.659]  Event stop time:       01/28/2018 21:43:13</t>
  </si>
  <si>
    <t>[2018-03-11 05:06:20.837]  Event stop time:       01/28/2018 21:43:13</t>
  </si>
  <si>
    <t>[2018-03-11 05:00:50.655]  Event stop time:       01/28/2018 21:43:11</t>
  </si>
  <si>
    <t xml:space="preserve">[2018-03-11 05:12:25.709] </t>
  </si>
  <si>
    <t xml:space="preserve">[2018-03-11 05:06:20.887] </t>
  </si>
  <si>
    <t xml:space="preserve">[2018-03-11 05:00:50.705] </t>
  </si>
  <si>
    <t>[2018-03-11 05:12:25.739]          Aligned  Battery  Temperature  Tilt  Heading</t>
  </si>
  <si>
    <t>[2018-03-11 05:06:20.917]          Aligned  Battery  Temperature  Tilt  Heading</t>
  </si>
  <si>
    <t>[2018-03-11 05:00:50.725]          Aligned    Battery    Temperature</t>
  </si>
  <si>
    <t>[2018-03-11 05:12:25.869]  Start:     Y       17.1        6.C       1.    339.</t>
  </si>
  <si>
    <t>[2018-03-11 05:06:21.047]  Start:     Y       15.5        3.C       3.    230.</t>
  </si>
  <si>
    <t>[2018-03-11 05:00:50.825]  Start:     Y         16.0          1 .C</t>
  </si>
  <si>
    <t>[2018-03-11 05:12:25.999]  Stop:      Y       16.8        7.C       1.    333.</t>
  </si>
  <si>
    <t>[2018-03-11 05:06:21.167]  Stop:      Y       15.1        3.C       4.    235.</t>
  </si>
  <si>
    <t>[2018-03-11 05:00:50.935]  Stop:      Y         15.5          2 .C</t>
  </si>
  <si>
    <t xml:space="preserve">[2018-03-11 05:12:26.069] </t>
  </si>
  <si>
    <t xml:space="preserve">[2018-03-11 05:06:21.237] </t>
  </si>
  <si>
    <t xml:space="preserve">[2018-03-11 05:00:50.995] </t>
  </si>
  <si>
    <t>[2018-03-11 05:12:26.069]  Event 21</t>
  </si>
  <si>
    <t>[2018-03-11 05:06:21.257]  Event 21</t>
  </si>
  <si>
    <t>[2018-03-11 05:00:50.995]  Event 21</t>
  </si>
  <si>
    <t xml:space="preserve">[2018-03-11 05:12:26.079] </t>
  </si>
  <si>
    <t xml:space="preserve">[2018-03-11 05:06:21.267] </t>
  </si>
  <si>
    <t xml:space="preserve">[2018-03-11 05:00:51.005] </t>
  </si>
  <si>
    <t>[2018-03-11 05:12:26.129]  Scheduled start time:  02/13/2018 22:51:20</t>
  </si>
  <si>
    <t>[2018-03-11 05:06:21.297]  Scheduled start time:  02/13/2018 22:51:20</t>
  </si>
  <si>
    <t>[2018-03-11 05:00:51.045]  Scheduled start time:  02/13/2018 22:51:20</t>
  </si>
  <si>
    <t>[2018-03-11 05:12:26.219]  Event start time:      02/13/2018 22:51:20</t>
  </si>
  <si>
    <t>[2018-03-11 05:06:21.390]  Event start time:      02/13/2018 22:51:20</t>
  </si>
  <si>
    <t>[2018-03-11 05:00:51.145]  Event start time:      02/13/2018 22:51:20</t>
  </si>
  <si>
    <t>[2018-03-11 05:12:26.319]  Event stop time:       02/13/2018 22:51:47</t>
  </si>
  <si>
    <t>[2018-03-11 05:06:21.490]  Event stop time:       02/13/2018 22:51:47</t>
  </si>
  <si>
    <t>[2018-03-11 05:00:51.245]  Event stop time:       02/13/2018 22:51:45</t>
  </si>
  <si>
    <t xml:space="preserve">[2018-03-11 05:12:26.369] </t>
  </si>
  <si>
    <t xml:space="preserve">[2018-03-11 05:06:21.540] </t>
  </si>
  <si>
    <t xml:space="preserve">[2018-03-11 05:00:51.291] </t>
  </si>
  <si>
    <t>[2018-03-11 05:12:26.399]          Aligned  Battery  Temperature  Tilt  Heading</t>
  </si>
  <si>
    <t>[2018-03-11 05:06:21.570]          Aligned  Battery  Temperature  Tilt  Heading</t>
  </si>
  <si>
    <t>[2018-03-11 05:00:51.321]          Aligned    Battery    Temperature</t>
  </si>
  <si>
    <t>[2018-03-11 05:12:26.529]  Start:     Y       16.9        7.C       3.    328.</t>
  </si>
  <si>
    <t>[2018-03-11 05:06:21.710]  Start:     Y       15.3        3.C       4.    261.</t>
  </si>
  <si>
    <t>[2018-03-11 05:00:51.421]  Start:     Y         15.8          1 .C</t>
  </si>
  <si>
    <t>[2018-03-11 05:12:26.649]  Stop:      Y       16.6        7.C       3.    330.</t>
  </si>
  <si>
    <t>[2018-03-11 05:06:21.830]  Stop:      Y       14.9        3.C       4.    261.</t>
  </si>
  <si>
    <t>[2018-03-11 05:00:51.511]  Stop:      Y         15.5          1 .C</t>
  </si>
  <si>
    <t xml:space="preserve">[2018-03-11 05:12:26.719] </t>
  </si>
  <si>
    <t xml:space="preserve">[2018-03-11 05:06:21.900] </t>
  </si>
  <si>
    <t xml:space="preserve">[2018-03-11 05:00:51.561] </t>
  </si>
  <si>
    <t>[2018-03-11 05:12:26.719]  Event 22</t>
  </si>
  <si>
    <t>[2018-03-11 05:06:21.910]  Event 22</t>
  </si>
  <si>
    <t>[2018-03-11 05:00:51.581]  Event 22</t>
  </si>
  <si>
    <t xml:space="preserve">[2018-03-11 05:12:26.739] </t>
  </si>
  <si>
    <t xml:space="preserve">[2018-03-11 05:06:21.930] </t>
  </si>
  <si>
    <t xml:space="preserve">[2018-03-11 05:00:51.601] </t>
  </si>
  <si>
    <t>[2018-03-11 05:12:26.779]  Scheduled start time:  03/01/2018 23:59:54</t>
  </si>
  <si>
    <t>[2018-03-11 05:06:21.970]  Scheduled start time:  03/01/2018 23:59:54</t>
  </si>
  <si>
    <t>[2018-03-11 05:00:51.641]  Scheduled start time:  03/01/2018 23:59:54</t>
  </si>
  <si>
    <t>[2018-03-11 05:12:26.879]  Event start time:      03/01/2018 23:59:54</t>
  </si>
  <si>
    <t>[2018-03-11 05:06:22.050]  Event start time:      03/01/2018 23:59:54</t>
  </si>
  <si>
    <t>[2018-03-11 05:00:51.741]  Event start time:      03/01/2018 23:59:54</t>
  </si>
  <si>
    <t>[2018-03-11 05:12:26.969]  Event stop time:       03/02/2018 00:00:21</t>
  </si>
  <si>
    <t>[2018-03-11 05:06:22.150]  Event stop time:       03/02/2018 00:00:21</t>
  </si>
  <si>
    <t>[2018-03-11 05:00:51.821]  Event stop time:       03/02/2018 00:00:19</t>
  </si>
  <si>
    <t xml:space="preserve">[2018-03-11 05:12:27.029] </t>
  </si>
  <si>
    <t xml:space="preserve">[2018-03-11 05:06:22.200] </t>
  </si>
  <si>
    <t xml:space="preserve">[2018-03-11 05:00:51.881] </t>
  </si>
  <si>
    <t>[2018-03-11 05:12:27.049]          Aligned  Battery  Temperature  Tilt  Heading</t>
  </si>
  <si>
    <t>[2018-03-11 05:06:22.240]          Aligned  Battery  Temperature  Tilt  Heading</t>
  </si>
  <si>
    <t>[2018-03-11 05:00:51.901]          Aligned    Battery    Temperature</t>
  </si>
  <si>
    <t>[2018-03-11 05:12:27.179]  Start:     Y       16.7        5.C      10.    348.</t>
  </si>
  <si>
    <t>[2018-03-11 05:06:22.370]  Start:     Y       15.1        2.C      10.    310.</t>
  </si>
  <si>
    <t>[2018-03-11 05:00:52.011]  Start:     Y         15.8          1 .C</t>
  </si>
  <si>
    <t>[2018-03-11 05:12:27.309]  Stop:      Y       16.4        6.C      11.    346.</t>
  </si>
  <si>
    <t>[2018-03-11 05:06:22.496]  Stop:      Y       14.7        3.C      10.    306.</t>
  </si>
  <si>
    <t>[2018-03-11 05:00:52.101]  Stop:      Y         15.2          1 .C</t>
  </si>
  <si>
    <t xml:space="preserve">[2018-03-11 05:12:27.378] </t>
  </si>
  <si>
    <t xml:space="preserve">[2018-03-11 05:06:22.556] </t>
  </si>
  <si>
    <t xml:space="preserve">[2018-03-11 05:00:52.151] </t>
  </si>
  <si>
    <t>[2018-03-11 05:12:27.378]  TILT DATA</t>
  </si>
  <si>
    <t>[2018-03-11 05:06:22.566]  TILT DATA</t>
  </si>
  <si>
    <t>[2018-03-11 05:00:52.171]  Normal shutdown.</t>
  </si>
  <si>
    <t>[2018-03-11 05:12:27.394]  _________</t>
  </si>
  <si>
    <t>[2018-03-11 05:06:22.576]  _________</t>
  </si>
  <si>
    <t xml:space="preserve">[2018-03-11 05:00:52.191] </t>
  </si>
  <si>
    <t xml:space="preserve">[2018-03-11 05:12:27.410]   </t>
  </si>
  <si>
    <t xml:space="preserve">[2018-03-11 05:06:22.596]   </t>
  </si>
  <si>
    <t xml:space="preserve">[2018-03-11 05:00:52.221]  End of instrument data file.        </t>
  </si>
  <si>
    <t xml:space="preserve">[2018-03-11 05:12:27.454]  Tilt sample interval:  1440 minutes            </t>
  </si>
  <si>
    <t xml:space="preserve">[2018-03-11 05:06:22.646]  Tilt sample interval:  1440 minutes            </t>
  </si>
  <si>
    <t xml:space="preserve">[2018-03-11 05:12:27.510] </t>
  </si>
  <si>
    <t xml:space="preserve">[2018-03-11 05:06:22.696] </t>
  </si>
  <si>
    <t>[2018-03-11 05:12:27.518]  Event  Tilt  Heading</t>
  </si>
  <si>
    <t>[2018-03-11 05:06:22.706]  Event  Tilt  Heading</t>
  </si>
  <si>
    <t xml:space="preserve">[2018-03-11 05:12:27.550] </t>
  </si>
  <si>
    <t xml:space="preserve">[2018-03-11 05:06:22.746] </t>
  </si>
  <si>
    <t>[2018-03-11 05:12:27.582]    01    2.T   320.H</t>
  </si>
  <si>
    <t>[2018-03-11 05:06:22.756]    01    3.T   214.H</t>
  </si>
  <si>
    <t>[2018-03-11 05:12:27.614]    01    2.T   328.H</t>
  </si>
  <si>
    <t>[2018-03-11 05:06:22.807]    01    3.T   219.H</t>
  </si>
  <si>
    <t>[2018-03-11 05:12:27.666]    01    2.T   314.H</t>
  </si>
  <si>
    <t>[2018-03-11 05:06:22.847]    01    3.T   208.H</t>
  </si>
  <si>
    <t>[2018-03-11 05:12:27.710]    01    2.T   319.H</t>
  </si>
  <si>
    <t>[2018-03-11 05:06:22.897]    01    3.T   209.H</t>
  </si>
  <si>
    <t>[2018-03-11 05:12:27.758]    01    2.T   273.H</t>
  </si>
  <si>
    <t>[2018-03-11 05:06:22.927]    01    3.T   197.H</t>
  </si>
  <si>
    <t>[2018-03-11 05:12:27.800]    01    3.T   326.H</t>
  </si>
  <si>
    <t>[2018-03-11 05:06:22.977]    01    3.T   220.H</t>
  </si>
  <si>
    <t>[2018-03-11 05:12:27.840]    01    2.T   304.H</t>
  </si>
  <si>
    <t>[2018-03-11 05:06:23.027]    01    3.T   214.H</t>
  </si>
  <si>
    <t>[2018-03-11 05:12:27.880]    01    3.T   309.H</t>
  </si>
  <si>
    <t>[2018-03-11 05:06:23.077]    01    3.T   226.H</t>
  </si>
  <si>
    <t>[2018-03-11 05:12:27.927]    01    1.T   251.H</t>
  </si>
  <si>
    <t>[2018-03-11 05:06:23.127]    01    3.T   184.H</t>
  </si>
  <si>
    <t>[2018-03-11 05:12:27.977]    01    2.T   280.H</t>
  </si>
  <si>
    <t>[2018-03-11 05:06:23.157]    01    3.T   196.H</t>
  </si>
  <si>
    <t>[2018-03-11 05:12:28.027]    01    1.T   234.H</t>
  </si>
  <si>
    <t>[2018-03-11 05:06:23.207]    01    3.T   172.H</t>
  </si>
  <si>
    <t>[2018-03-11 05:12:28.057]    01    1.T   191.H</t>
  </si>
  <si>
    <t>[2018-03-11 05:06:23.257]    01    3.T   169.H</t>
  </si>
  <si>
    <t>[2018-03-11 05:12:28.107]    01    2.T   273.H</t>
  </si>
  <si>
    <t>[2018-03-11 05:06:23.297]    01    3.T   179.H</t>
  </si>
  <si>
    <t>[2018-03-11 05:12:28.157]    01    1.T   221.H</t>
  </si>
  <si>
    <t>[2018-03-11 05:06:23.347]    01    3.T   179.H</t>
  </si>
  <si>
    <t>[2018-03-11 05:12:28.207]    01    1.T   315.H</t>
  </si>
  <si>
    <t>[2018-03-11 05:06:23.382]    01    3.T   183.H</t>
  </si>
  <si>
    <t>[2018-03-11 05:12:28.257]    01    1.T   294.H</t>
  </si>
  <si>
    <t>[2018-03-11 05:06:23.422]    01    3.T   168.H</t>
  </si>
  <si>
    <t>[2018-03-11 05:12:28.287]    02    1.T   299.H</t>
  </si>
  <si>
    <t>[2018-03-11 05:06:23.472]    02    3.T   184.H</t>
  </si>
  <si>
    <t>[2018-03-11 05:12:28.327]    02    2.T   295.H</t>
  </si>
  <si>
    <t>[2018-03-11 05:06:23.522]    02    3.T   196.H</t>
  </si>
  <si>
    <t>[2018-03-11 05:12:28.377]    02    2.T   312.H</t>
  </si>
  <si>
    <t>[2018-03-11 05:06:23.572]    02    3.T   210.H</t>
  </si>
  <si>
    <t>[2018-03-11 05:12:28.427]    02    4.T   289.H</t>
  </si>
  <si>
    <t>[2018-03-11 05:06:23.612]    02    4.T   228.H</t>
  </si>
  <si>
    <t>[2018-03-11 05:12:28.477]    02    5.T   297.H</t>
  </si>
  <si>
    <t>[2018-03-11 05:06:23.652]    02    4.T   236.H</t>
  </si>
  <si>
    <t>[2018-03-11 05:12:28.507]    02    6.T   311.H</t>
  </si>
  <si>
    <t>[2018-03-11 05:06:23.702]    02    5.T   250.H</t>
  </si>
  <si>
    <t>[2018-03-11 05:12:28.557]    02    3.T   296.H</t>
  </si>
  <si>
    <t>[2018-03-11 05:06:23.742]    02    4.T   224.H</t>
  </si>
  <si>
    <t>[2018-03-11 05:12:28.607]    02    5.T   304.H</t>
  </si>
  <si>
    <t>[2018-03-11 05:06:23.792]    02    5.T   239.H</t>
  </si>
  <si>
    <t>[2018-03-11 05:12:28.647]    02    4.T   311.H</t>
  </si>
  <si>
    <t>[2018-03-11 05:06:23.822]    02    5.T   234.H</t>
  </si>
  <si>
    <t>[2018-03-11 05:12:28.687]    02    4.T   290.H</t>
  </si>
  <si>
    <t>[2018-03-11 05:06:23.877]    02    4.T   228.H</t>
  </si>
  <si>
    <t>[2018-03-11 05:12:28.727]    02    4.T   289.H</t>
  </si>
  <si>
    <t>[2018-03-11 05:06:23.927]    02    5.T   229.H</t>
  </si>
  <si>
    <t>[2018-03-11 05:12:28.777]    02    4.T   285.H</t>
  </si>
  <si>
    <t>[2018-03-11 05:06:23.967]    02    4.T   230.H</t>
  </si>
  <si>
    <t>[2018-03-11 05:12:28.827]    02    4.T   276.H</t>
  </si>
  <si>
    <t>[2018-03-11 05:06:24.017]    02    4.T   214.H</t>
  </si>
  <si>
    <t>[2018-03-11 05:12:28.877]    02    3.T   284.H</t>
  </si>
  <si>
    <t>[2018-03-11 05:06:24.047]    02    4.T   214.H</t>
  </si>
  <si>
    <t>[2018-03-11 05:12:28.907]    02    5.T   273.H</t>
  </si>
  <si>
    <t>[2018-03-11 05:06:24.097]    02    4.T   215.H</t>
  </si>
  <si>
    <t>[2018-03-11 05:12:28.957]    02    6.T   291.H</t>
  </si>
  <si>
    <t>[2018-03-11 05:06:24.147]    02    5.T   233.H</t>
  </si>
  <si>
    <t>[2018-03-11 05:12:29.007]    03    4.T   286.H</t>
  </si>
  <si>
    <t>[2018-03-11 05:06:24.197]    03    4.T   224.H</t>
  </si>
  <si>
    <t>[2018-03-11 05:12:29.047]    03    5.T   285.H</t>
  </si>
  <si>
    <t>[2018-03-11 05:06:24.227]    03    5.T   237.H</t>
  </si>
  <si>
    <t>[2018-03-11 05:12:29.097]    03    4.T   288.H</t>
  </si>
  <si>
    <t>[2018-03-11 05:06:24.277]    03    4.T   217.H</t>
  </si>
  <si>
    <t>[2018-03-11 05:12:29.127]    03    5.T   264.H</t>
  </si>
  <si>
    <t>[2018-03-11 05:06:24.317]    03    5.T   224.H</t>
  </si>
  <si>
    <t>[2018-03-11 05:12:29.177]    03    4.T   269.H</t>
  </si>
  <si>
    <t>[2018-03-11 05:06:24.367]    03    4.T   218.H</t>
  </si>
  <si>
    <t>[2018-03-11 05:12:29.227]    03    6.T   266.H</t>
  </si>
  <si>
    <t>[2018-03-11 05:06:24.417]    03    6.T   232.H</t>
  </si>
  <si>
    <t>[2018-03-11 05:12:29.277]    03    6.T   256.H</t>
  </si>
  <si>
    <t>[2018-03-11 05:06:24.447]    03    5.T   221.H</t>
  </si>
  <si>
    <t>[2018-03-11 05:12:29.327]    03    5.T   269.H</t>
  </si>
  <si>
    <t>[2018-03-11 05:06:24.497]    03    6.T   226.H</t>
  </si>
  <si>
    <t>[2018-03-11 05:12:29.357]    03    6.T   247.H</t>
  </si>
  <si>
    <t>[2018-03-11 05:06:24.557]    03    7.T   224.H</t>
  </si>
  <si>
    <t>[2018-03-11 05:12:29.404]    03    7.T   260.H</t>
  </si>
  <si>
    <t>[2018-03-11 05:06:24.597]    03    6.T   227.H</t>
  </si>
  <si>
    <t>[2018-03-11 05:12:29.449]    03    8.T   250.H</t>
  </si>
  <si>
    <t>[2018-03-11 05:06:24.657]    03    7.T   219.H</t>
  </si>
  <si>
    <t>[2018-03-11 05:12:29.499]    03    6.T   248.H</t>
  </si>
  <si>
    <t>[2018-03-11 05:06:24.677]    03    6.T   219.H</t>
  </si>
  <si>
    <t>[2018-03-11 05:12:29.549]    03    7.T   230.H</t>
  </si>
  <si>
    <t>[2018-03-11 05:06:24.717]    03    6.T   207.H</t>
  </si>
  <si>
    <t>[2018-03-11 05:12:29.579]    03    5.T   233.H</t>
  </si>
  <si>
    <t>[2018-03-11 05:06:24.767]    03    5.T   203.H</t>
  </si>
  <si>
    <t>[2018-03-11 05:12:29.629]    03    7.T   239.H</t>
  </si>
  <si>
    <t>[2018-03-11 05:06:24.817]    03    5.T   204.H</t>
  </si>
  <si>
    <t>[2018-03-11 05:12:29.679]    03    5.T   227.H</t>
  </si>
  <si>
    <t>[2018-03-11 05:06:24.867]    03    4.T   190.H</t>
  </si>
  <si>
    <t>[2018-03-11 05:12:29.719]    04    7.T   243.H</t>
  </si>
  <si>
    <t>[2018-03-11 05:06:24.897]    04    6.T   208.H</t>
  </si>
  <si>
    <t>[2018-03-11 05:12:29.769]    04    4.T   219.H</t>
  </si>
  <si>
    <t>[2018-03-11 05:06:24.947]    04    4.T   192.H</t>
  </si>
  <si>
    <t>[2018-03-11 05:12:29.799]    04    4.T   234.H</t>
  </si>
  <si>
    <t>[2018-03-11 05:06:24.997]    04    4.T   191.H</t>
  </si>
  <si>
    <t>[2018-03-11 05:12:29.849]    04    5.T   190.H</t>
  </si>
  <si>
    <t>[2018-03-11 05:06:25.038]    04    4.T   173.H</t>
  </si>
  <si>
    <t>[2018-03-11 05:12:29.899]    04    3.T   203.H</t>
  </si>
  <si>
    <t>[2018-03-11 05:06:25.088]    04    4.T   161.H</t>
  </si>
  <si>
    <t>[2018-03-11 05:12:29.949]    04    4.T   187.H</t>
  </si>
  <si>
    <t>[2018-03-11 05:06:25.117]    04    4.T   150.H</t>
  </si>
  <si>
    <t>[2018-03-11 05:12:29.999]    04    2.T   140.H</t>
  </si>
  <si>
    <t>[2018-03-11 05:06:25.168]    04    3.T   127.H</t>
  </si>
  <si>
    <t>[2018-03-11 05:12:30.029]    04    2.T   184.H</t>
  </si>
  <si>
    <t>[2018-03-11 05:06:25.218]    04    3.T   142.H</t>
  </si>
  <si>
    <t>[2018-03-11 05:12:30.079]    04    2.T   151.H</t>
  </si>
  <si>
    <t>[2018-03-11 05:06:25.268]    04    3.T   112.H</t>
  </si>
  <si>
    <t>[2018-03-11 05:12:30.119]    04    2.T   175.H</t>
  </si>
  <si>
    <t>[2018-03-11 05:06:25.317]    04    3.T   134.H</t>
  </si>
  <si>
    <t>[2018-03-11 05:12:30.169]    04    3.T   179.H</t>
  </si>
  <si>
    <t>[2018-03-11 05:06:25.349]    04    3.T   133.H</t>
  </si>
  <si>
    <t>[2018-03-11 05:12:30.219]    04    2.T   174.H</t>
  </si>
  <si>
    <t>[2018-03-11 05:06:25.393]    04    3.T   125.H</t>
  </si>
  <si>
    <t>[2018-03-11 05:12:30.249]    04    3.T   179.H</t>
  </si>
  <si>
    <t>[2018-03-11 05:06:25.443]    04    3.T   121.H</t>
  </si>
  <si>
    <t>[2018-03-11 05:12:30.299]    04    1.T   151.H</t>
  </si>
  <si>
    <t>[2018-03-11 05:06:25.493]    04    3.T    82.H</t>
  </si>
  <si>
    <t>[2018-03-11 05:12:30.349]    04    1.T   164.H</t>
  </si>
  <si>
    <t>[2018-03-11 05:06:25.540]    04    3.T    52.H</t>
  </si>
  <si>
    <t>[2018-03-11 05:12:30.399]    04    2.T   121.H</t>
  </si>
  <si>
    <t>[2018-03-11 05:06:25.572]    04    3.T    86.H</t>
  </si>
  <si>
    <t>[2018-03-11 05:12:30.439]    05    1.T   143.H</t>
  </si>
  <si>
    <t>[2018-03-11 05:06:25.620]    05    3.T    37.H</t>
  </si>
  <si>
    <t>[2018-03-11 05:12:30.479]    05    2.T   109.H</t>
  </si>
  <si>
    <t>[2018-03-11 05:06:25.668]    05    3.T    73.H</t>
  </si>
  <si>
    <t>[2018-03-11 05:12:30.519]    05    1.T   142.H</t>
  </si>
  <si>
    <t>[2018-03-11 05:06:25.716]    05    4.T   108.H</t>
  </si>
  <si>
    <t>[2018-03-11 05:12:30.569]    05    1.T   206.H</t>
  </si>
  <si>
    <t>[2018-03-11 05:06:25.762]    05    4.T   178.H</t>
  </si>
  <si>
    <t>[2018-03-11 05:12:30.619]    05    1.T   248.H</t>
  </si>
  <si>
    <t>[2018-03-11 05:06:25.792]    05    4.T   148.H</t>
  </si>
  <si>
    <t>[2018-03-11 05:12:30.669]    05    1.T   236.H</t>
  </si>
  <si>
    <t>[2018-03-11 05:06:25.843]    05    3.T   194.H</t>
  </si>
  <si>
    <t>[2018-03-11 05:12:30.699]    05    1.T   310.H</t>
  </si>
  <si>
    <t>[2018-03-11 05:06:25.886]    05    3.T   180.H</t>
  </si>
  <si>
    <t>[2018-03-11 05:12:30.749]    05    1.T   282.H</t>
  </si>
  <si>
    <t>[2018-03-11 05:06:25.943]    05    3.T   176.H</t>
  </si>
  <si>
    <t>[2018-03-11 05:12:30.799]    05    1.T   297.H</t>
  </si>
  <si>
    <t>[2018-03-11 05:06:25.990]    05    4.T   159.H</t>
  </si>
  <si>
    <t>[2018-03-11 05:12:30.839]    05    1.T   249.H</t>
  </si>
  <si>
    <t>[2018-03-11 05:06:26.020]    05    3.T   162.H</t>
  </si>
  <si>
    <t>[2018-03-11 05:12:30.889]    05    1.T   196.H</t>
  </si>
  <si>
    <t>[2018-03-11 05:06:26.071]    05    3.T   140.H</t>
  </si>
  <si>
    <t>[2018-03-11 05:12:30.919]    05    1.T   201.H</t>
  </si>
  <si>
    <t>[2018-03-11 05:06:26.120]    05    3.T   127.H</t>
  </si>
  <si>
    <t>[2018-03-11 05:12:30.969]    05    1.T   168.H</t>
  </si>
  <si>
    <t>[2018-03-11 05:06:26.160]    05    3.T   112.H</t>
  </si>
  <si>
    <t>[2018-03-11 05:12:31.019]    05    1.T   199.H</t>
  </si>
  <si>
    <t>[2018-03-11 05:06:26.210]    05    3.T   130.H</t>
  </si>
  <si>
    <t>[2018-03-11 05:12:31.069]    05    1.T   198.H</t>
  </si>
  <si>
    <t>[2018-03-11 05:06:26.243]    05    3.T   124.H</t>
  </si>
  <si>
    <t>[2018-03-11 05:12:31.119]    05    2.T   200.H</t>
  </si>
  <si>
    <t>[2018-03-11 05:06:26.285]    05    3.T   132.H</t>
  </si>
  <si>
    <t>[2018-03-11 05:12:31.149]    06    2.T   198.H</t>
  </si>
  <si>
    <t>[2018-03-11 05:06:26.341]    06    3.T   126.H</t>
  </si>
  <si>
    <t>[2018-03-11 05:12:31.199]    06    2.T   265.H</t>
  </si>
  <si>
    <t>[2018-03-11 05:06:26.389]    06    3.T   157.H</t>
  </si>
  <si>
    <t>[2018-03-11 05:12:31.239]    06    2.T   243.H</t>
  </si>
  <si>
    <t>[2018-03-11 05:06:26.421]    06    3.T   142.H</t>
  </si>
  <si>
    <t>[2018-03-11 05:12:31.289]    06    1.T   284.H</t>
  </si>
  <si>
    <t>[2018-03-11 05:06:26.469]    06    3.T   150.H</t>
  </si>
  <si>
    <t>[2018-03-11 05:12:31.319]    06    2.T   259.H</t>
  </si>
  <si>
    <t>[2018-03-11 05:06:26.518]    06    3.T   154.H</t>
  </si>
  <si>
    <t>[2018-03-11 05:12:31.369]    06    1.T   240.H</t>
  </si>
  <si>
    <t>[2018-03-11 05:06:26.558]    06    3.T   158.H</t>
  </si>
  <si>
    <t>[2018-03-11 05:12:31.417]    06    2.T   216.H</t>
  </si>
  <si>
    <t>[2018-03-11 05:06:26.608]    06    3.T   167.H</t>
  </si>
  <si>
    <t>[2018-03-11 05:12:31.467]    06    2.T   251.H</t>
  </si>
  <si>
    <t>[2018-03-11 05:06:26.647]    06    3.T   178.H</t>
  </si>
  <si>
    <t>[2018-03-11 05:12:31.517]    06    2.T   251.H</t>
  </si>
  <si>
    <t>[2018-03-11 05:06:26.695]    06    3.T   197.H</t>
  </si>
  <si>
    <t>[2018-03-11 05:12:31.547]    06    3.T   256.H</t>
  </si>
  <si>
    <t>[2018-03-11 05:06:26.735]    06    3.T   199.H</t>
  </si>
  <si>
    <t>[2018-03-11 05:12:31.597]    06    4.T   262.H</t>
  </si>
  <si>
    <t>[2018-03-11 05:06:26.785]    06    4.T   221.H</t>
  </si>
  <si>
    <t>[2018-03-11 05:12:31.647]    06    5.T   258.H</t>
  </si>
  <si>
    <t>[2018-03-11 05:06:26.836]    06    4.T   214.H</t>
  </si>
  <si>
    <t>[2018-03-11 05:12:31.687]    06    4.T   291.H</t>
  </si>
  <si>
    <t>[2018-03-11 05:06:26.868]    06    5.T   224.H</t>
  </si>
  <si>
    <t>[2018-03-11 05:12:31.737]    06    6.T   264.H</t>
  </si>
  <si>
    <t>[2018-03-11 05:06:26.916]    06    5.T   219.H</t>
  </si>
  <si>
    <t>[2018-03-11 05:12:31.767]    06    6.T   269.H</t>
  </si>
  <si>
    <t>[2018-03-11 05:06:26.964]    06    5.T   226.H</t>
  </si>
  <si>
    <t>[2018-03-11 05:12:31.817]    06    7.T   255.H</t>
  </si>
  <si>
    <t>[2018-03-11 05:06:27.011]    06    6.T   222.H</t>
  </si>
  <si>
    <t>[2018-03-11 05:12:31.867]    07    6.T   256.H</t>
  </si>
  <si>
    <t>[2018-03-11 05:06:27.063]    07    6.T   221.H</t>
  </si>
  <si>
    <t>[2018-03-11 05:12:31.917]    07    7.T   257.H</t>
  </si>
  <si>
    <t>[2018-03-11 05:06:27.090]    07    6.T   221.H</t>
  </si>
  <si>
    <t>[2018-03-11 05:12:31.967]    07    7.T   241.H</t>
  </si>
  <si>
    <t>[2018-03-11 05:06:27.140]    07    6.T   218.H</t>
  </si>
  <si>
    <t>[2018-03-11 05:12:31.997]    07    5.T   250.H</t>
  </si>
  <si>
    <t>[2018-03-11 05:06:27.190]    07    5.T   215.H</t>
  </si>
  <si>
    <t>[2018-03-11 05:12:32.047]    07    5.T   226.H</t>
  </si>
  <si>
    <t>[2018-03-11 05:06:27.241]    07    4.T   200.H</t>
  </si>
  <si>
    <t>[2018-03-11 05:12:32.087]    07    3.T   237.H</t>
  </si>
  <si>
    <t>[2018-03-11 05:06:27.285]    07    5.T   205.H</t>
  </si>
  <si>
    <t>[2018-03-11 05:12:32.137]    07    5.T   237.H</t>
  </si>
  <si>
    <t>[2018-03-11 05:06:27.317]    07    5.T   199.H</t>
  </si>
  <si>
    <t>[2018-03-11 05:12:32.187]    07    4.T   220.H</t>
  </si>
  <si>
    <t>[2018-03-11 05:06:27.366]    07    5.T   199.H</t>
  </si>
  <si>
    <t>[2018-03-11 05:12:32.217]    07    5.T   245.H</t>
  </si>
  <si>
    <t>[2018-03-11 05:06:27.413]    07    4.T   201.H</t>
  </si>
  <si>
    <t>[2018-03-11 05:12:32.270]    07    4.T   227.H</t>
  </si>
  <si>
    <t>[2018-03-11 05:06:27.461]    07    4.T   192.H</t>
  </si>
  <si>
    <t>[2018-03-11 05:12:32.317]    07    4.T   234.H</t>
  </si>
  <si>
    <t>[2018-03-11 05:06:27.508]    07    4.T   199.H</t>
  </si>
  <si>
    <t>[2018-03-11 05:12:32.366]    07    5.T   228.H</t>
  </si>
  <si>
    <t>[2018-03-11 05:06:27.538]    07    4.T   196.H</t>
  </si>
  <si>
    <t>[2018-03-11 05:12:32.414]    07    4.T   238.H</t>
  </si>
  <si>
    <t>[2018-03-11 05:06:27.593]    07    4.T   191.H</t>
  </si>
  <si>
    <t>[2018-03-11 05:12:32.450]    07    5.T   233.H</t>
  </si>
  <si>
    <t>[2018-03-11 05:06:27.637]    07    4.T   189.H</t>
  </si>
  <si>
    <t>[2018-03-11 05:12:32.494]    07    4.T   241.H</t>
  </si>
  <si>
    <t>[2018-03-11 05:06:27.682]    07    4.T   196.H</t>
  </si>
  <si>
    <t>[2018-03-11 05:12:32.542]    07    5.T   226.H</t>
  </si>
  <si>
    <t>[2018-03-11 05:06:27.732]    07    4.T   193.H</t>
  </si>
  <si>
    <t>[2018-03-11 05:12:32.590]    08    5.T   230.H</t>
  </si>
  <si>
    <t>[2018-03-11 05:06:27.762]    08    4.T   192.H</t>
  </si>
  <si>
    <t>[2018-03-11 05:12:32.638]    08    4.T   225.H</t>
  </si>
  <si>
    <t>[2018-03-11 05:06:27.812]    08    4.T   190.H</t>
  </si>
  <si>
    <t>[2018-03-11 05:12:32.666]    08    5.T   246.H</t>
  </si>
  <si>
    <t>[2018-03-11 05:06:27.861]    08    4.T   199.H</t>
  </si>
  <si>
    <t>[2018-03-11 05:12:32.718]    08    5.T   246.H</t>
  </si>
  <si>
    <t>[2018-03-11 05:06:27.913]    08    4.T   200.H</t>
  </si>
  <si>
    <t>[2018-03-11 05:12:32.766]    08    4.T   232.H</t>
  </si>
  <si>
    <t>[2018-03-11 05:06:27.957]    08    4.T   191.H</t>
  </si>
  <si>
    <t>[2018-03-11 05:12:32.807]    08    4.T   242.H</t>
  </si>
  <si>
    <t>[2018-03-11 05:06:27.989]    08    4.T   196.H</t>
  </si>
  <si>
    <t>[2018-03-11 05:12:32.857]    08    3.T   258.H</t>
  </si>
  <si>
    <t>[2018-03-11 05:06:28.037]    08    4.T   198.H</t>
  </si>
  <si>
    <t>[2018-03-11 05:12:32.887]    08    3.T   262.H</t>
  </si>
  <si>
    <t>[2018-03-11 05:06:28.085]    08    4.T   198.H</t>
  </si>
  <si>
    <t>[2018-03-11 05:12:32.937]    08    3.T   277.H</t>
  </si>
  <si>
    <t>[2018-03-11 05:06:28.133]    08    3.T   194.H</t>
  </si>
  <si>
    <t>[2018-03-11 05:12:32.987]    08    3.T   286.H</t>
  </si>
  <si>
    <t>[2018-03-11 05:06:28.181]    08    4.T   215.H</t>
  </si>
  <si>
    <t>[2018-03-11 05:12:33.037]    08    1.T   298.H</t>
  </si>
  <si>
    <t>[2018-03-11 05:06:28.213]    08    3.T   151.H</t>
  </si>
  <si>
    <t>[2018-03-11 05:12:33.087]    08    3.T   181.H</t>
  </si>
  <si>
    <t>[2018-03-11 05:06:28.265]    08    3.T   147.H</t>
  </si>
  <si>
    <t>[2018-03-11 05:12:33.117]    08    4.T   177.H</t>
  </si>
  <si>
    <t>[2018-03-11 05:06:28.308]    08    4.T   164.H</t>
  </si>
  <si>
    <t>[2018-03-11 05:12:33.167]    08    4.T   189.H</t>
  </si>
  <si>
    <t>[2018-03-11 05:06:28.359]    08    4.T   164.H</t>
  </si>
  <si>
    <t>[2018-03-11 05:12:33.207]    08    4.T   200.H</t>
  </si>
  <si>
    <t>[2018-03-11 05:06:28.403]    08    4.T   165.H</t>
  </si>
  <si>
    <t>[2018-03-11 05:12:33.257]    08    4.T   228.H</t>
  </si>
  <si>
    <t>[2018-03-11 05:06:28.435]    08    3.T   166.H</t>
  </si>
  <si>
    <t>[2018-03-11 05:12:33.307]    09    4.T   213.H</t>
  </si>
  <si>
    <t>[2018-03-11 05:06:28.483]    09    4.T   172.H</t>
  </si>
  <si>
    <t>[2018-03-11 05:12:33.337]    09    3.T   250.H</t>
  </si>
  <si>
    <t>[2018-03-11 05:06:28.531]    09    3.T   183.H</t>
  </si>
  <si>
    <t>[2018-03-11 05:12:33.387]    09    3.T   239.H</t>
  </si>
  <si>
    <t>[2018-03-11 05:06:28.581]    09    3.T   178.H</t>
  </si>
  <si>
    <t>[2018-03-11 05:12:33.433]    09    4.T   219.H</t>
  </si>
  <si>
    <t>[2018-03-11 05:06:28.621]    09    4.T   182.H</t>
  </si>
  <si>
    <t>[2018-03-11 05:12:33.483]    09    4.T   226.H</t>
  </si>
  <si>
    <t>[2018-03-11 05:06:28.660]    09    5.T   198.H</t>
  </si>
  <si>
    <t>[2018-03-11 05:12:33.534]    09    5.T   218.H</t>
  </si>
  <si>
    <t>[2018-03-11 05:06:28.706]    09    5.T   191.H</t>
  </si>
  <si>
    <t>[2018-03-11 05:12:33.563]    09    5.T   226.H</t>
  </si>
  <si>
    <t>[2018-03-11 05:06:28.756]    09    5.T   198.H</t>
  </si>
  <si>
    <t>[2018-03-11 05:12:33.613]    09    4.T   229.H</t>
  </si>
  <si>
    <t>[2018-03-11 05:06:28.806]    09    4.T   186.H</t>
  </si>
  <si>
    <t>[2018-03-11 05:12:33.664]    09    4.T   216.H</t>
  </si>
  <si>
    <t>[2018-03-11 05:06:28.859]    09    4.T   192.H</t>
  </si>
  <si>
    <t>[2018-03-11 05:12:33.704]    09    4.T   214.H</t>
  </si>
  <si>
    <t>[2018-03-11 05:06:28.886]    09    4.T   182.H</t>
  </si>
  <si>
    <t>[2018-03-11 05:12:33.754]    09    4.T   203.H</t>
  </si>
  <si>
    <t>[2018-03-11 05:06:28.935]    09    4.T   186.H</t>
  </si>
  <si>
    <t>[2018-03-11 05:12:33.794]    09    4.T   209.H</t>
  </si>
  <si>
    <t>[2018-03-11 05:06:28.982]    09    4.T   177.H</t>
  </si>
  <si>
    <t>[2018-03-11 05:12:33.834]    09    4.T   204.H</t>
  </si>
  <si>
    <t>[2018-03-11 05:06:29.028]    09    4.T   185.H</t>
  </si>
  <si>
    <t>[2018-03-11 05:12:33.884]    09    3.T   190.H</t>
  </si>
  <si>
    <t>[2018-03-11 05:06:29.060]    09    3.T   150.H</t>
  </si>
  <si>
    <t>[2018-03-11 05:12:33.934]    09    2.T   202.H</t>
  </si>
  <si>
    <t>[2018-03-11 05:06:29.108]    09    3.T   148.H</t>
  </si>
  <si>
    <t>[2018-03-11 05:12:33.964]    09    2.T   210.H</t>
  </si>
  <si>
    <t>[2018-03-11 05:06:29.156]    09    3.T   124.H</t>
  </si>
  <si>
    <t>[2018-03-11 05:12:34.014]    10    1.T   227.H</t>
  </si>
  <si>
    <t>[2018-03-11 05:06:29.208]    10    3.T   124.H</t>
  </si>
  <si>
    <t>[2018-03-11 05:12:34.064]    10    2.T   188.H</t>
  </si>
  <si>
    <t>[2018-03-11 05:06:29.252]    10    3.T    81.H</t>
  </si>
  <si>
    <t>[2018-03-11 05:12:34.104]    10    2.T   226.H</t>
  </si>
  <si>
    <t>[2018-03-11 05:06:29.284]    10    3.T   107.H</t>
  </si>
  <si>
    <t>[2018-03-11 05:12:34.154]    10    1.T   199.H</t>
  </si>
  <si>
    <t>[2018-03-11 05:06:29.332]    10    3.T   104.H</t>
  </si>
  <si>
    <t>[2018-03-11 05:12:34.202]    10    2.T   178.H</t>
  </si>
  <si>
    <t>[2018-03-11 05:06:29.380]    10    3.T    90.H</t>
  </si>
  <si>
    <t>[2018-03-11 05:12:34.232]    10    1.T   150.H</t>
  </si>
  <si>
    <t>[2018-03-11 05:06:29.436]    10    3.T    90.H</t>
  </si>
  <si>
    <t>[2018-03-11 05:12:34.282]    10    1.T    81.H</t>
  </si>
  <si>
    <t>[2018-03-11 05:06:29.476]    10    3.T    47.H</t>
  </si>
  <si>
    <t>[2018-03-11 05:12:34.332]    10    1.T   166.H</t>
  </si>
  <si>
    <t>[2018-03-11 05:06:29.508]    10    3.T   118.H</t>
  </si>
  <si>
    <t>[2018-03-11 05:12:34.382]    10    1.T   113.H</t>
  </si>
  <si>
    <t>[2018-03-11 05:06:29.556]    10    3.T    86.H</t>
  </si>
  <si>
    <t>[2018-03-11 05:12:34.432]    10    1.T   145.H</t>
  </si>
  <si>
    <t>[2018-03-11 05:06:29.604]    10    3.T   118.H</t>
  </si>
  <si>
    <t>[2018-03-11 05:12:34.456]    10    1.T   118.H</t>
  </si>
  <si>
    <t>[2018-03-11 05:06:29.653]    10    3.T    80.H</t>
  </si>
  <si>
    <t>[2018-03-11 05:12:34.508]    10    2.T   132.H</t>
  </si>
  <si>
    <t>[2018-03-11 05:06:29.701]    10    3.T   103.H</t>
  </si>
  <si>
    <t>[2018-03-11 05:12:34.554]    10    1.T   107.H</t>
  </si>
  <si>
    <t>[2018-03-11 05:06:29.733]    10    3.T    60.H</t>
  </si>
  <si>
    <t>[2018-03-11 05:12:34.604]    10    1.T   143.H</t>
  </si>
  <si>
    <t>[2018-03-11 05:06:29.781]    10    3.T    86.H</t>
  </si>
  <si>
    <t>[2018-03-11 05:12:34.654]    10    1.T    82.H</t>
  </si>
  <si>
    <t>[2018-03-11 05:06:29.829]    10    3.T    28.H</t>
  </si>
  <si>
    <t>[2018-03-11 05:12:34.684]    10    1.T   137.H</t>
  </si>
  <si>
    <t>[2018-03-11 05:06:29.877]    10    4.T   311.H</t>
  </si>
  <si>
    <t>[2018-03-11 05:12:34.724]    11    1.T   139.H</t>
  </si>
  <si>
    <t>[2018-03-11 05:06:29.925]    11    4.T   288.H</t>
  </si>
  <si>
    <t>[2018-03-11 05:12:34.774]    11    1.T   297.H</t>
  </si>
  <si>
    <t>[2018-03-11 05:06:29.957]    11    3.T   214.H</t>
  </si>
  <si>
    <t>[2018-03-11 05:12:34.824]    11    1.T   331.H</t>
  </si>
  <si>
    <t>[2018-03-11 05:06:30.005]    11    4.T   285.H</t>
  </si>
  <si>
    <t>[2018-03-11 05:12:34.874]    11    2.T   313.H</t>
  </si>
  <si>
    <t>[2018-03-11 05:06:30.053]    11    4.T   232.H</t>
  </si>
  <si>
    <t>[2018-03-11 05:12:34.909]    11    2.T   304.H</t>
  </si>
  <si>
    <t>[2018-03-11 05:06:30.101]    11    4.T   223.H</t>
  </si>
  <si>
    <t>[2018-03-11 05:12:34.951]    11    2.T   274.H</t>
  </si>
  <si>
    <t>[2018-03-11 05:06:30.149]    11    3.T   203.H</t>
  </si>
  <si>
    <t>[2018-03-11 05:12:35.001]    11    2.T   293.H</t>
  </si>
  <si>
    <t>[2018-03-11 05:06:30.181]    11    3.T   200.H</t>
  </si>
  <si>
    <t>[2018-03-11 05:12:35.051]    11    2.T   289.H</t>
  </si>
  <si>
    <t>[2018-03-11 05:06:30.229]    11    4.T   213.H</t>
  </si>
  <si>
    <t>[2018-03-11 05:12:35.101]    11    2.T   295.H</t>
  </si>
  <si>
    <t>[2018-03-11 05:06:30.277]    11    3.T   203.H</t>
  </si>
  <si>
    <t>[2018-03-11 05:12:35.131]    11    1.T   313.H</t>
  </si>
  <si>
    <t>[2018-03-11 05:06:30.325]    11    3.T   213.H</t>
  </si>
  <si>
    <t>[2018-03-11 05:12:35.181]    11    2.T   290.H</t>
  </si>
  <si>
    <t>[2018-03-11 05:06:30.373]    11    3.T   202.H</t>
  </si>
  <si>
    <t>[2018-03-11 05:12:35.221]    11    1.T   306.H</t>
  </si>
  <si>
    <t>[2018-03-11 05:06:30.405]    11    3.T   205.H</t>
  </si>
  <si>
    <t>[2018-03-11 05:12:35.271]    11    1.T   286.H</t>
  </si>
  <si>
    <t>[2018-03-11 05:06:30.453]    11    3.T   188.H</t>
  </si>
  <si>
    <t>[2018-03-11 05:12:35.321]    11    1.T   279.H</t>
  </si>
  <si>
    <t>[2018-03-11 05:06:30.501]    11    3.T   190.H</t>
  </si>
  <si>
    <t>[2018-03-11 05:12:35.351]    11    2.T   238.H</t>
  </si>
  <si>
    <t>[2018-03-11 05:06:30.549]    11    3.T   191.H</t>
  </si>
  <si>
    <t>[2018-03-11 05:12:35.406]    11    1.T   259.H</t>
  </si>
  <si>
    <t>[2018-03-11 05:06:30.597]    11    3.T   185.H</t>
  </si>
  <si>
    <t>[2018-03-11 05:12:35.452]    12    2.T   261.H</t>
  </si>
  <si>
    <t>[2018-03-11 05:06:30.645]    12    4.T   205.H</t>
  </si>
  <si>
    <t>[2018-03-11 05:12:35.492]    12    3.T   286.H</t>
  </si>
  <si>
    <t>[2018-03-11 05:06:30.681]    12    3.T   207.H</t>
  </si>
  <si>
    <t>[2018-03-11 05:12:35.542]    12    4.T   295.H</t>
  </si>
  <si>
    <t>[2018-03-11 05:06:30.725]    12    4.T   231.H</t>
  </si>
  <si>
    <t>[2018-03-11 05:12:35.572]    12    4.T   290.H</t>
  </si>
  <si>
    <t>[2018-03-11 05:06:30.773]    12    4.T   217.H</t>
  </si>
  <si>
    <t>[2018-03-11 05:12:35.622]    12    3.T   269.H</t>
  </si>
  <si>
    <t>[2018-03-11 05:06:30.821]    12    4.T   210.H</t>
  </si>
  <si>
    <t>[2018-03-11 05:12:35.672]    12    4.T   269.H</t>
  </si>
  <si>
    <t>[2018-03-11 05:06:30.869]    12    4.T   204.H</t>
  </si>
  <si>
    <t>[2018-03-11 05:12:35.722]    12    4.T   283.H</t>
  </si>
  <si>
    <t>[2018-03-11 05:06:30.901]    12    4.T   225.H</t>
  </si>
  <si>
    <t>[2018-03-11 05:12:35.772]    12    3.T   288.H</t>
  </si>
  <si>
    <t>[2018-03-11 05:06:30.949]    12    4.T   218.H</t>
  </si>
  <si>
    <t>[2018-03-11 05:12:35.802]    12    4.T   265.H</t>
  </si>
  <si>
    <t>[2018-03-11 05:06:30.997]    12    4.T   225.H</t>
  </si>
  <si>
    <t>[2018-03-11 05:12:35.852]    12    4.T   278.H</t>
  </si>
  <si>
    <t>[2018-03-11 05:06:31.045]    12    4.T   219.H</t>
  </si>
  <si>
    <t>[2018-03-11 05:12:35.892]    12    4.T   278.H</t>
  </si>
  <si>
    <t>[2018-03-11 05:06:31.093]    12    4.T   228.H</t>
  </si>
  <si>
    <t>[2018-03-11 05:12:35.942]    12    4.T   287.H</t>
  </si>
  <si>
    <t>[2018-03-11 05:06:31.125]    12    4.T   234.H</t>
  </si>
  <si>
    <t>[2018-03-11 05:12:35.992]    12    5.T   284.H</t>
  </si>
  <si>
    <t>[2018-03-11 05:06:31.173]    12    5.T   226.H</t>
  </si>
  <si>
    <t>[2018-03-11 05:12:36.022]    12    3.T   294.H</t>
  </si>
  <si>
    <t>[2018-03-11 05:06:31.221]    12    5.T   234.H</t>
  </si>
  <si>
    <t>[2018-03-11 05:12:36.072]    12    5.T   278.H</t>
  </si>
  <si>
    <t>[2018-03-11 05:06:31.265]    12    5.T   230.H</t>
  </si>
  <si>
    <t>[2018-03-11 05:12:36.122]    12    6.T   287.H</t>
  </si>
  <si>
    <t>[2018-03-11 05:06:31.313]    12    5.T   239.H</t>
  </si>
  <si>
    <t>[2018-03-11 05:12:36.172]    13    6.T   280.H</t>
  </si>
  <si>
    <t>[2018-03-11 05:06:31.345]    13    5.T   232.H</t>
  </si>
  <si>
    <t>[2018-03-11 05:12:36.222]    13    5.T   274.H</t>
  </si>
  <si>
    <t>[2018-03-11 05:06:31.393]    13    4.T   222.H</t>
  </si>
  <si>
    <t>[2018-03-11 05:12:36.252]    13    4.T   275.H</t>
  </si>
  <si>
    <t>[2018-03-11 05:06:31.441]    13    4.T   216.H</t>
  </si>
  <si>
    <t>[2018-03-11 05:12:36.302]    13    4.T   267.H</t>
  </si>
  <si>
    <t>[2018-03-11 05:06:31.489]    13    4.T   210.H</t>
  </si>
  <si>
    <t>[2018-03-11 05:12:36.342]    13    5.T   259.H</t>
  </si>
  <si>
    <t>[2018-03-11 05:06:31.537]    13    5.T   217.H</t>
  </si>
  <si>
    <t>[2018-03-11 05:12:36.392]    13    5.T   261.H</t>
  </si>
  <si>
    <t>[2018-03-11 05:06:31.573]    13    5.T   219.H</t>
  </si>
  <si>
    <t>[2018-03-11 05:12:36.439]    13    6.T   255.H</t>
  </si>
  <si>
    <t>[2018-03-11 05:06:31.621]    13    6.T   226.H</t>
  </si>
  <si>
    <t>[2018-03-11 05:12:36.469]    13    6.T   255.H</t>
  </si>
  <si>
    <t>[2018-03-11 05:06:31.669]    13    6.T   223.H</t>
  </si>
  <si>
    <t>[2018-03-11 05:12:36.519]    13    7.T   261.H</t>
  </si>
  <si>
    <t>[2018-03-11 05:06:31.717]    13    7.T   230.H</t>
  </si>
  <si>
    <t>[2018-03-11 05:12:36.569]    13    7.T   252.H</t>
  </si>
  <si>
    <t>[2018-03-11 05:06:31.765]    13    7.T   228.H</t>
  </si>
  <si>
    <t>[2018-03-11 05:12:36.619]    13    8.T   258.H</t>
  </si>
  <si>
    <t>[2018-03-11 05:06:31.797]    13    7.T   229.H</t>
  </si>
  <si>
    <t>[2018-03-11 05:12:36.669]    13    6.T   255.H</t>
  </si>
  <si>
    <t>[2018-03-11 05:06:31.845]    13    5.T   217.H</t>
  </si>
  <si>
    <t>[2018-03-11 05:12:36.699]    13    5.T   258.H</t>
  </si>
  <si>
    <t>[2018-03-11 05:06:31.893]    13    5.T   213.H</t>
  </si>
  <si>
    <t>[2018-03-11 05:12:36.749]    13    5.T   238.H</t>
  </si>
  <si>
    <t>[2018-03-11 05:06:31.941]    13    5.T   203.H</t>
  </si>
  <si>
    <t>[2018-03-11 05:12:36.789]    13    4.T   240.H</t>
  </si>
  <si>
    <t>[2018-03-11 05:06:31.989]    13    4.T   198.H</t>
  </si>
  <si>
    <t>[2018-03-11 05:12:36.839]    13    4.T   246.H</t>
  </si>
  <si>
    <t>[2018-03-11 05:06:32.021]    13    4.T   193.H</t>
  </si>
  <si>
    <t>[2018-03-11 05:12:36.889]    14    3.T   246.H</t>
  </si>
  <si>
    <t>[2018-03-11 05:06:32.069]    14    3.T   174.H</t>
  </si>
  <si>
    <t>[2018-03-11 05:12:36.919]    14    3.T   224.H</t>
  </si>
  <si>
    <t>[2018-03-11 05:06:32.117]    14    3.T   168.H</t>
  </si>
  <si>
    <t>[2018-03-11 05:12:36.969]    14    2.T   222.H</t>
  </si>
  <si>
    <t>[2018-03-11 05:06:32.165]    14    3.T   155.H</t>
  </si>
  <si>
    <t>[2018-03-11 05:12:37.019]    14    1.T   240.H</t>
  </si>
  <si>
    <t>[2018-03-11 05:06:32.213]    14    3.T   150.H</t>
  </si>
  <si>
    <t>[2018-03-11 05:12:37.069]    14    2.T   206.H</t>
  </si>
  <si>
    <t>[2018-03-11 05:06:32.245]    14    3.T   137.H</t>
  </si>
  <si>
    <t>[2018-03-11 05:12:37.109]    14    2.T   173.H</t>
  </si>
  <si>
    <t>[2018-03-11 05:06:32.293]    14    3.T   126.H</t>
  </si>
  <si>
    <t>[2018-03-11 05:12:37.149]    14    2.T   160.H</t>
  </si>
  <si>
    <t>[2018-03-11 05:06:32.341]    14    3.T   118.H</t>
  </si>
  <si>
    <t>[2018-03-11 05:12:37.189]    14    2.T   165.H</t>
  </si>
  <si>
    <t>[2018-03-11 05:06:32.389]    14    3.T   119.H</t>
  </si>
  <si>
    <t>[2018-03-11 05:12:37.239]    14    2.T   163.H</t>
  </si>
  <si>
    <t>[2018-03-11 05:06:32.437]    14    3.T   110.H</t>
  </si>
  <si>
    <t>[2018-03-11 05:12:37.289]    14    2.T   174.H</t>
  </si>
  <si>
    <t>[2018-03-11 05:06:32.469]    14    3.T   113.H</t>
  </si>
  <si>
    <t>[2018-03-11 05:12:37.339]    14    1.T   204.H</t>
  </si>
  <si>
    <t>[2018-03-11 05:06:32.517]    14    3.T   106.H</t>
  </si>
  <si>
    <t>[2018-03-11 05:12:37.369]    14    2.T   194.H</t>
  </si>
  <si>
    <t>[2018-03-11 05:06:32.565]    14    3.T   127.H</t>
  </si>
  <si>
    <t>[2018-03-11 05:12:37.420]    14    2.T   163.H</t>
  </si>
  <si>
    <t>[2018-03-11 05:06:32.613]    14    3.T    94.H</t>
  </si>
  <si>
    <t>[2018-03-11 05:12:37.464]    14    2.T   189.H</t>
  </si>
  <si>
    <t>[2018-03-11 05:06:32.661]    14    3.T   118.H</t>
  </si>
  <si>
    <t>[2018-03-11 05:12:37.514]    14    2.T   152.H</t>
  </si>
  <si>
    <t>[2018-03-11 05:06:32.693]    14    3.T    97.H</t>
  </si>
  <si>
    <t>[2018-03-11 05:12:37.564]    14    2.T   173.H</t>
  </si>
  <si>
    <t>[2018-03-11 05:06:32.745]    14    3.T   103.H</t>
  </si>
  <si>
    <t>[2018-03-11 05:12:37.594]    15    2.T   160.H</t>
  </si>
  <si>
    <t>[2018-03-11 05:06:32.789]    15    3.T    96.H</t>
  </si>
  <si>
    <t>[2018-03-11 05:12:37.644]    15    2.T   161.H</t>
  </si>
  <si>
    <t>[2018-03-11 05:06:32.837]    15    3.T   104.H</t>
  </si>
  <si>
    <t>[2018-03-11 05:12:37.692]    15    2.T   137.H</t>
  </si>
  <si>
    <t>[2018-03-11 05:06:32.885]    15    3.T    81.H</t>
  </si>
  <si>
    <t>[2018-03-11 05:12:37.735]    15    1.T   114.H</t>
  </si>
  <si>
    <t>[2018-03-11 05:06:32.917]    15    3.T    58.H</t>
  </si>
  <si>
    <t>[2018-03-11 05:12:37.786]    15    2.T   164.H</t>
  </si>
  <si>
    <t>[2018-03-11 05:06:32.965]    15    3.T   110.H</t>
  </si>
  <si>
    <t>[2018-03-11 05:12:37.815]    15    1.T   154.H</t>
  </si>
  <si>
    <t>[2018-03-11 05:06:33.013]    15    3.T    66.H</t>
  </si>
  <si>
    <t>[2018-03-11 05:12:37.865]    15    1.T   141.H</t>
  </si>
  <si>
    <t>[2018-03-11 05:06:33.057]    15    3.T    63.H</t>
  </si>
  <si>
    <t>[2018-03-11 05:12:37.915]    15    1.T   141.H</t>
  </si>
  <si>
    <t>[2018-03-11 05:06:33.106]    15    3.T    62.H</t>
  </si>
  <si>
    <t>[2018-03-11 05:12:37.955]    15    2.T   168.H</t>
  </si>
  <si>
    <t>[2018-03-11 05:06:33.138]    15    3.T    83.H</t>
  </si>
  <si>
    <t>[2018-03-11 05:12:38.005]    15    1.T   146.H</t>
  </si>
  <si>
    <t>[2018-03-11 05:06:33.190]    15    3.T     9.H</t>
  </si>
  <si>
    <t>[2018-03-11 05:12:38.045]    15    2.T   138.H</t>
  </si>
  <si>
    <t>[2018-03-11 05:06:33.238]    15    3.T    44.H</t>
  </si>
  <si>
    <t>[2018-03-11 05:12:38.085]    15    1.T   106.H</t>
  </si>
  <si>
    <t>[2018-03-11 05:06:33.286]    15    3.T   352.H</t>
  </si>
  <si>
    <t>[2018-03-11 05:12:38.135]    15    1.T   128.H</t>
  </si>
  <si>
    <t>[2018-03-11 05:06:33.334]    15    3.T    52.H</t>
  </si>
  <si>
    <t>[2018-03-11 05:12:38.185]    15    1.T   129.H</t>
  </si>
  <si>
    <t>[2018-03-11 05:06:33.366]    15    3.T    11.H</t>
  </si>
  <si>
    <t>[2018-03-11 05:12:38.235]    15    2.T    83.H</t>
  </si>
  <si>
    <t>[2018-03-11 05:06:33.414]    15    3.T    20.H</t>
  </si>
  <si>
    <t>[2018-03-11 05:12:38.265]    15    1.T   142.H</t>
  </si>
  <si>
    <t>[2018-03-11 05:06:33.462]    15    3.T    31.H</t>
  </si>
  <si>
    <t>[2018-03-11 05:12:38.315]    16    2.T   128.H</t>
  </si>
  <si>
    <t>[2018-03-11 05:06:33.510]    16    3.T    73.H</t>
  </si>
  <si>
    <t>[2018-03-11 05:12:38.356]    16    2.T   155.H</t>
  </si>
  <si>
    <t>[2018-03-11 05:06:33.558]    16    3.T    83.H</t>
  </si>
  <si>
    <t>[2018-03-11 05:12:38.413]    16    2.T   123.H</t>
  </si>
  <si>
    <t>[2018-03-11 05:06:33.590]    16    3.T    64.H</t>
  </si>
  <si>
    <t>[2018-03-11 05:12:38.461]    16    2.T   126.H</t>
  </si>
  <si>
    <t>[2018-03-11 05:06:33.638]    16    3.T    56.H</t>
  </si>
  <si>
    <t>[2018-03-11 05:12:38.491]    16    2.T   129.H</t>
  </si>
  <si>
    <t>[2018-03-11 05:06:33.686]    16    3.T    36.H</t>
  </si>
  <si>
    <t>[2018-03-11 05:12:38.541]    16    2.T   107.H</t>
  </si>
  <si>
    <t>[2018-03-11 05:06:33.734]    16    3.T    51.H</t>
  </si>
  <si>
    <t>[2018-03-11 05:12:38.581]    16    2.T    89.H</t>
  </si>
  <si>
    <t>[2018-03-11 05:06:33.782]    16    3.T    43.H</t>
  </si>
  <si>
    <t>[2018-03-11 05:12:38.631]    16    2.T    88.H</t>
  </si>
  <si>
    <t>[2018-03-11 05:06:33.814]    16    3.T    27.H</t>
  </si>
  <si>
    <t>[2018-03-11 05:12:38.681]    16    1.T    92.H</t>
  </si>
  <si>
    <t>[2018-03-11 05:06:33.862]    16    3.T    16.H</t>
  </si>
  <si>
    <t>[2018-03-11 05:12:38.711]    16    2.T    72.H</t>
  </si>
  <si>
    <t>[2018-03-11 05:06:33.910]    16    3.T   357.H</t>
  </si>
  <si>
    <t>[2018-03-11 05:12:38.761]    16    2.T    91.H</t>
  </si>
  <si>
    <t>[2018-03-11 05:06:33.958]    16    3.T    12.H</t>
  </si>
  <si>
    <t>[2018-03-11 05:12:38.811]    16    2.T    64.H</t>
  </si>
  <si>
    <t>[2018-03-11 05:06:34.006]    16    3.T   352.H</t>
  </si>
  <si>
    <t>[2018-03-11 05:12:38.861]    16    1.T    88.H</t>
  </si>
  <si>
    <t>[2018-03-11 05:06:34.038]    16    3.T   344.H</t>
  </si>
  <si>
    <t>[2018-03-11 05:12:38.901]    16    1.T    43.H</t>
  </si>
  <si>
    <t>[2018-03-11 05:06:34.086]    16    3.T    19.H</t>
  </si>
  <si>
    <t>[2018-03-11 05:12:38.941]    16    1.T    68.H</t>
  </si>
  <si>
    <t>[2018-03-11 05:06:34.134]    16    3.T     4.H</t>
  </si>
  <si>
    <t>[2018-03-11 05:12:38.981]    16    2.T    88.H</t>
  </si>
  <si>
    <t>[2018-03-11 05:06:34.182]    16    3.T    35.H</t>
  </si>
  <si>
    <t>[2018-03-11 05:12:39.031]    17    2.T   137.H</t>
  </si>
  <si>
    <t>[2018-03-11 05:06:34.230]    17    3.T    81.H</t>
  </si>
  <si>
    <t>[2018-03-11 05:12:39.081]    17    2.T    86.H</t>
  </si>
  <si>
    <t>[2018-03-11 05:06:34.262]    17    3.T    36.H</t>
  </si>
  <si>
    <t>[2018-03-11 05:12:39.131]    17    2.T    79.H</t>
  </si>
  <si>
    <t>[2018-03-11 05:06:34.310]    17    3.T    41.H</t>
  </si>
  <si>
    <t>[2018-03-11 05:12:39.161]    17    2.T    73.H</t>
  </si>
  <si>
    <t>[2018-03-11 05:06:34.354]    17    3.T     5.H</t>
  </si>
  <si>
    <t>[2018-03-11 05:12:39.211]    17    2.T    43.H</t>
  </si>
  <si>
    <t>[2018-03-11 05:06:34.402]    17    3.T   345.H</t>
  </si>
  <si>
    <t>[2018-03-11 05:12:39.261]    17    2.T    20.H</t>
  </si>
  <si>
    <t>[2018-03-11 05:06:34.434]    17    3.T   335.H</t>
  </si>
  <si>
    <t>[2018-03-11 05:12:39.301]    17    1.T    25.H</t>
  </si>
  <si>
    <t>[2018-03-11 05:06:34.482]    17    3.T   342.H</t>
  </si>
  <si>
    <t>[2018-03-11 05:12:39.351]    17    2.T    27.H</t>
  </si>
  <si>
    <t>[2018-03-11 05:06:34.530]    17    4.T   345.H</t>
  </si>
  <si>
    <t>[2018-03-11 05:12:39.381]    17    1.T    27.H</t>
  </si>
  <si>
    <t>[2018-03-11 05:06:34.578]    17    3.T   327.H</t>
  </si>
  <si>
    <t>[2018-03-11 05:12:39.430]    17    1.T    15.H</t>
  </si>
  <si>
    <t>[2018-03-11 05:06:34.630]    17    3.T   322.H</t>
  </si>
  <si>
    <t>[2018-03-11 05:12:39.480]    17    1.T   340.H</t>
  </si>
  <si>
    <t>[2018-03-11 05:06:34.678]    17    3.T   302.H</t>
  </si>
  <si>
    <t>[2018-03-11 05:12:39.530]    17    2.T    15.H</t>
  </si>
  <si>
    <t>[2018-03-11 05:06:34.706]    17    3.T   293.H</t>
  </si>
  <si>
    <t>[2018-03-11 05:12:39.580]    17    1.T    14.H</t>
  </si>
  <si>
    <t>[2018-03-11 05:06:34.754]    17    3.T   285.H</t>
  </si>
  <si>
    <t>[2018-03-11 05:12:39.610]    17    2.T     6.H</t>
  </si>
  <si>
    <t>[2018-03-11 05:06:34.802]    17    3.T   270.H</t>
  </si>
  <si>
    <t>[2018-03-11 05:12:39.660]    17    1.T    28.H</t>
  </si>
  <si>
    <t>[2018-03-11 05:06:34.850]    17    3.T   270.H</t>
  </si>
  <si>
    <t>[2018-03-11 05:12:39.710]    17    2.T    17.H</t>
  </si>
  <si>
    <t>[2018-03-11 05:06:34.902]    17    3.T   282.H</t>
  </si>
  <si>
    <t>[2018-03-11 05:12:39.760]    18    1.T    17.H</t>
  </si>
  <si>
    <t>[2018-03-11 05:06:34.934]    18    3.T   287.H</t>
  </si>
  <si>
    <t>[2018-03-11 05:12:39.800]    18    2.T    24.H</t>
  </si>
  <si>
    <t>[2018-03-11 05:06:34.990]    18    3.T   294.H</t>
  </si>
  <si>
    <t>[2018-03-11 05:12:39.830]    18    1.T   133.H</t>
  </si>
  <si>
    <t>[2018-03-11 05:06:35.026]    18    3.T   249.H</t>
  </si>
  <si>
    <t>[2018-03-11 05:12:39.880]    18    1.T    23.H</t>
  </si>
  <si>
    <t>[2018-03-11 05:06:35.074]    18    3.T   312.H</t>
  </si>
  <si>
    <t>[2018-03-11 05:12:39.930]    18    1.T   354.H</t>
  </si>
  <si>
    <t>[2018-03-11 05:06:35.122]    18    3.T   291.H</t>
  </si>
  <si>
    <t>[2018-03-11 05:12:39.980]    18    2.T    46.H</t>
  </si>
  <si>
    <t>[2018-03-11 05:06:35.154]    18    3.T   342.H</t>
  </si>
  <si>
    <t>[2018-03-11 05:12:40.020]    18    1.T   343.H</t>
  </si>
  <si>
    <t>[2018-03-11 05:06:35.202]    18    3.T   269.H</t>
  </si>
  <si>
    <t>[2018-03-11 05:12:40.130]    18    1.T    21.H</t>
  </si>
  <si>
    <t>[2018-03-11 05:06:35.250]    18    3.T   312.H</t>
  </si>
  <si>
    <t>[2018-03-11 05:12:40.140]    18    2.T   350.H</t>
  </si>
  <si>
    <t>[2018-03-11 05:06:35.298]    18    3.T   261.H</t>
  </si>
  <si>
    <t>[2018-03-11 05:12:40.150]    18    1.T    17.H</t>
  </si>
  <si>
    <t>[2018-03-11 05:06:35.346]    18    3.T   258.H</t>
  </si>
  <si>
    <t>[2018-03-11 05:12:40.200]    18    1.T     1.H</t>
  </si>
  <si>
    <t>[2018-03-11 05:06:35.378]    18    3.T   275.H</t>
  </si>
  <si>
    <t>[2018-03-11 05:12:40.250]    18    1.T    16.H</t>
  </si>
  <si>
    <t>[2018-03-11 05:06:35.426]    18    3.T   255.H</t>
  </si>
  <si>
    <t>[2018-03-11 05:12:40.280]    18    1.T   326.H</t>
  </si>
  <si>
    <t>[2018-03-11 05:06:35.474]    18    3.T   251.H</t>
  </si>
  <si>
    <t>[2018-03-11 05:12:40.330]    18    1.T   342.H</t>
  </si>
  <si>
    <t>[2018-03-11 05:06:35.522]    18    3.T   236.H</t>
  </si>
  <si>
    <t>[2018-03-11 05:12:40.380]    18    1.T   343.H</t>
  </si>
  <si>
    <t>[2018-03-11 05:06:35.570]    18    3.T   268.H</t>
  </si>
  <si>
    <t>[2018-03-11 05:12:40.430]    18    1.T     4.H</t>
  </si>
  <si>
    <t>[2018-03-11 05:06:35.602]    18    3.T   277.H</t>
  </si>
  <si>
    <t>[2018-03-11 05:12:40.470]    19    1.T   313.H</t>
  </si>
  <si>
    <t>[2018-03-11 05:06:35.650]    19    3.T   256.H</t>
  </si>
  <si>
    <t>[2018-03-11 05:12:40.500]    19    2.T   348.H</t>
  </si>
  <si>
    <t>[2018-03-11 05:06:35.698]    19    3.T   269.H</t>
  </si>
  <si>
    <t>[2018-03-11 05:12:40.550]    19    1.T   342.H</t>
  </si>
  <si>
    <t>[2018-03-11 05:06:35.746]    19    3.T   268.H</t>
  </si>
  <si>
    <t>[2018-03-11 05:12:40.600]    19    1.T   349.H</t>
  </si>
  <si>
    <t>[2018-03-11 05:06:35.798]    19    3.T   243.H</t>
  </si>
  <si>
    <t>[2018-03-11 05:12:40.650]    19    2.T   341.H</t>
  </si>
  <si>
    <t>[2018-03-11 05:06:35.826]    19    3.T   252.H</t>
  </si>
  <si>
    <t>[2018-03-11 05:12:40.700]    19    2.T   343.H</t>
  </si>
  <si>
    <t>[2018-03-11 05:06:35.874]    19    3.T   250.H</t>
  </si>
  <si>
    <t>[2018-03-11 05:12:40.730]    19    2.T   322.H</t>
  </si>
  <si>
    <t>[2018-03-11 05:06:35.922]    19    3.T   220.H</t>
  </si>
  <si>
    <t>[2018-03-11 05:12:40.780]    19    1.T   307.H</t>
  </si>
  <si>
    <t>[2018-03-11 05:06:35.970]    19    3.T   177.H</t>
  </si>
  <si>
    <t>[2018-03-11 05:12:40.820]    19    2.T   318.H</t>
  </si>
  <si>
    <t>[2018-03-11 05:06:36.018]    19    3.T   217.H</t>
  </si>
  <si>
    <t>[2018-03-11 05:12:40.870]    19    2.T   307.H</t>
  </si>
  <si>
    <t>[2018-03-11 05:06:36.050]    19    3.T   192.H</t>
  </si>
  <si>
    <t>[2018-03-11 05:12:40.920]    19    1.T   335.H</t>
  </si>
  <si>
    <t>[2018-03-11 05:06:36.098]    19    3.T   231.H</t>
  </si>
  <si>
    <t>[2018-03-11 05:12:40.950]    19    2.T   306.H</t>
  </si>
  <si>
    <t>[2018-03-11 05:06:36.146]    19    3.T   205.H</t>
  </si>
  <si>
    <t>[2018-03-11 05:12:41.000]    19    1.T   323.H</t>
  </si>
  <si>
    <t>[2018-03-11 05:06:36.195]    19    3.T   212.H</t>
  </si>
  <si>
    <t>[2018-03-11 05:12:41.050]    19    1.T   307.H</t>
  </si>
  <si>
    <t>[2018-03-11 05:06:36.244]    19    3.T   204.H</t>
  </si>
  <si>
    <t>[2018-03-11 05:12:41.100]    19    1.T   325.H</t>
  </si>
  <si>
    <t>[2018-03-11 05:06:36.275]    19    3.T   183.H</t>
  </si>
  <si>
    <t>[2018-03-11 05:12:41.140]    19    1.T   340.H</t>
  </si>
  <si>
    <t>[2018-03-11 05:06:36.325]    19    3.T   251.H</t>
  </si>
  <si>
    <t>[2018-03-11 05:12:41.180]    20    1.T   109.H</t>
  </si>
  <si>
    <t>[2018-03-11 05:06:36.370]    20    3.T   223.H</t>
  </si>
  <si>
    <t>[2018-03-11 05:12:41.220]    20    1.T   242.H</t>
  </si>
  <si>
    <t>[2018-03-11 05:06:36.418]    20    3.T   195.H</t>
  </si>
  <si>
    <t>[2018-03-11 05:12:41.270]    20    1.T   137.H</t>
  </si>
  <si>
    <t>[2018-03-11 05:06:36.467]    20    3.T    88.H</t>
  </si>
  <si>
    <t>[2018-03-11 05:12:41.320]    20    1.T   177.H</t>
  </si>
  <si>
    <t>[2018-03-11 05:06:36.498]    20    4.T   152.H</t>
  </si>
  <si>
    <t>[2018-03-11 05:12:41.370]    20    1.T   134.H</t>
  </si>
  <si>
    <t>[2018-03-11 05:06:36.540]    20    3.T   102.H</t>
  </si>
  <si>
    <t>[2018-03-11 05:12:41.400]    20    1.T   167.H</t>
  </si>
  <si>
    <t>[2018-03-11 05:06:36.590]    20    4.T   145.H</t>
  </si>
  <si>
    <t>[2018-03-11 05:12:41.450]    20    2.T   243.H</t>
  </si>
  <si>
    <t>[2018-03-11 05:06:36.640]    20    4.T   180.H</t>
  </si>
  <si>
    <t>[2018-03-11 05:12:41.500]    20    1.T   247.H</t>
  </si>
  <si>
    <t>[2018-03-11 05:06:36.689]    20    3.T   174.H</t>
  </si>
  <si>
    <t>[2018-03-11 05:12:41.540]    20    2.T   261.H</t>
  </si>
  <si>
    <t>[2018-03-11 05:06:36.719]    20    3.T   182.H</t>
  </si>
  <si>
    <t>[2018-03-11 05:12:41.590]    20    1.T   228.H</t>
  </si>
  <si>
    <t>[2018-03-11 05:06:36.779]    20    3.T   175.H</t>
  </si>
  <si>
    <t>[2018-03-11 05:12:41.620]    20    1.T   254.H</t>
  </si>
  <si>
    <t>[2018-03-11 05:06:36.819]    20    3.T   183.H</t>
  </si>
  <si>
    <t>[2018-03-11 05:12:41.670]    20    2.T   301.H</t>
  </si>
  <si>
    <t>[2018-03-11 05:06:36.859]    20    4.T   213.H</t>
  </si>
  <si>
    <t>[2018-03-11 05:12:41.720]    20    2.T   305.H</t>
  </si>
  <si>
    <t>[2018-03-11 05:06:36.909]    20    4.T   220.H</t>
  </si>
  <si>
    <t>[2018-03-11 05:12:41.770]    20    2.T   332.H</t>
  </si>
  <si>
    <t>[2018-03-11 05:06:36.949]    20    3.T   238.H</t>
  </si>
  <si>
    <t>[2018-03-11 05:12:41.820]    20    3.T   326.H</t>
  </si>
  <si>
    <t>[2018-03-11 05:06:36.989]    20    4.T   249.H</t>
  </si>
  <si>
    <t>[2018-03-11 05:12:41.850]    20    3.T   341.H</t>
  </si>
  <si>
    <t>[2018-03-11 05:06:37.039]    20    3.T   256.H</t>
  </si>
  <si>
    <t>[2018-03-11 05:12:41.900]    21    4.T   331.H</t>
  </si>
  <si>
    <t>[2018-03-11 05:06:37.089]    21    4.T   265.H</t>
  </si>
  <si>
    <t>[2018-03-11 05:12:41.940]    21    4.T   343.H</t>
  </si>
  <si>
    <t>[2018-03-11 05:06:37.138]    21    4.T   281.H</t>
  </si>
  <si>
    <t>[2018-03-11 05:12:41.990]    21    4.T   327.H</t>
  </si>
  <si>
    <t>[2018-03-11 05:06:37.170]    21    4.T   275.H</t>
  </si>
  <si>
    <t>[2018-03-11 05:12:42.040]    21    4.T   334.H</t>
  </si>
  <si>
    <t>[2018-03-11 05:06:37.218]    21    5.T   281.H</t>
  </si>
  <si>
    <t>[2018-03-11 05:12:42.070]    21    3.T   311.H</t>
  </si>
  <si>
    <t>[2018-03-11 05:06:37.266]    21    4.T   259.H</t>
  </si>
  <si>
    <t>[2018-03-11 05:12:42.120]    21    5.T   336.H</t>
  </si>
  <si>
    <t>[2018-03-11 05:06:37.314]    21    5.T   277.H</t>
  </si>
  <si>
    <t>[2018-03-11 05:12:42.170]    21    4.T   330.H</t>
  </si>
  <si>
    <t>[2018-03-11 05:06:37.362]    21    6.T   285.H</t>
  </si>
  <si>
    <t>[2018-03-11 05:12:42.220]    21    7.T   330.H</t>
  </si>
  <si>
    <t>[2018-03-11 05:06:37.394]    21    6.T   278.H</t>
  </si>
  <si>
    <t>[2018-03-11 05:12:42.260]    21   11.T   338.H</t>
  </si>
  <si>
    <t>[2018-03-11 05:06:37.436]    21    9.T   290.H</t>
  </si>
  <si>
    <t>[2018-03-11 05:12:42.300]    21    7.T   330.H</t>
  </si>
  <si>
    <t>[2018-03-11 05:06:37.486]    21    7.T   288.H</t>
  </si>
  <si>
    <t>[2018-03-11 05:12:42.340]    21   11.T   345.H</t>
  </si>
  <si>
    <t>[2018-03-11 05:06:37.536]    21    9.T   300.H</t>
  </si>
  <si>
    <t>[2018-03-11 05:12:42.390]    21    9.T   334.H</t>
  </si>
  <si>
    <t>[2018-03-11 05:06:37.588]    21   10.T   295.H</t>
  </si>
  <si>
    <t>[2018-03-11 05:12:42.439]    21   11.T   341.H</t>
  </si>
  <si>
    <t>[2018-03-11 05:06:37.620]    21   11.T   298.H</t>
  </si>
  <si>
    <t>[2018-03-11 05:12:42.489]    21    9.T   342.H</t>
  </si>
  <si>
    <t>[2018-03-11 05:06:37.668]    21   10.T   299.H</t>
  </si>
  <si>
    <t>[2018-03-11 05:12:42.525]    21   10.T   351.H</t>
  </si>
  <si>
    <t>[2018-03-11 05:06:37.716]    21   10.T   306.H</t>
  </si>
  <si>
    <t>[2018-03-11 05:12:42.573]    21   11.T   351.H</t>
  </si>
  <si>
    <t>[2018-03-11 05:06:37.764]    21   10.T   310.H</t>
  </si>
  <si>
    <t xml:space="preserve">[2018-03-11 05:12:42.605] </t>
  </si>
  <si>
    <t xml:space="preserve">[2018-03-11 05:06:37.784] </t>
  </si>
  <si>
    <t>[2018-03-11 05:12:42.621]  Normal shutdown.</t>
  </si>
  <si>
    <t>[2018-03-11 05:06:37.796]  Normal shutdown.</t>
  </si>
  <si>
    <t xml:space="preserve">[2018-03-11 05:12:42.637] </t>
  </si>
  <si>
    <t xml:space="preserve">[2018-03-11 05:06:37.828] </t>
  </si>
  <si>
    <t xml:space="preserve">[2018-03-11 05:12:42.649]  End of instrument data file.        </t>
  </si>
  <si>
    <t xml:space="preserve">[2018-03-11 05:06:37.844]  End of instrument data file.        </t>
  </si>
  <si>
    <t>saz19, 2017</t>
  </si>
  <si>
    <t>47_1000</t>
  </si>
  <si>
    <t>1_start</t>
  </si>
  <si>
    <t>McLane</t>
  </si>
  <si>
    <t xml:space="preserve"> saz19, 2017</t>
  </si>
  <si>
    <t>47_2000</t>
  </si>
  <si>
    <t>47_3800</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</si>
  <si>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</si>
  <si>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</si>
  <si>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</si>
  <si>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</si>
  <si>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</si>
  <si>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</si>
  <si>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</si>
  <si>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</si>
  <si>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</si>
  <si>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</si>
  <si>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</si>
  <si>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</si>
  <si>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</si>
  <si>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</si>
  <si>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</si>
  <si>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</si>
  <si>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</si>
  <si>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</si>
  <si>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</si>
  <si>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</si>
  <si>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</si>
  <si>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</si>
  <si>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</si>
  <si>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</si>
  <si>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</si>
  <si>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</si>
  <si>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</si>
  <si>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</si>
  <si>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</si>
  <si>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</si>
  <si>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</si>
  <si>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</si>
  <si>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</si>
  <si>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</si>
  <si>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</si>
  <si>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</si>
  <si>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</si>
  <si>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</si>
  <si>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</si>
  <si>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</si>
  <si>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</si>
  <si>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SAZ19_2017-47-1000-</t>
  </si>
  <si>
    <t>SAZ19_2017-47-2000-</t>
  </si>
  <si>
    <t>SAZ19_2017-47-3800-</t>
  </si>
  <si>
    <t>-&lt;1mm Dry</t>
  </si>
  <si>
    <t>-NUT</t>
  </si>
  <si>
    <t>-dupl</t>
  </si>
  <si>
    <t>-Sal</t>
  </si>
  <si>
    <t>-pH</t>
  </si>
  <si>
    <t>- &gt;1mm</t>
  </si>
  <si>
    <t>- &lt;1mm</t>
  </si>
  <si>
    <t>- &lt;1mm_1/10</t>
  </si>
  <si>
    <t>- &lt;1mm_2/10</t>
  </si>
  <si>
    <t>- &lt;1mm_3/10</t>
  </si>
  <si>
    <t>- &lt;1mm_4/10</t>
  </si>
  <si>
    <t>- &lt;1mm_5/10</t>
  </si>
  <si>
    <t>- &lt;1mm_6/10</t>
  </si>
  <si>
    <t>- &lt;1mm_7/10</t>
  </si>
  <si>
    <t>- &lt;1mm_8/10</t>
  </si>
  <si>
    <t>- &lt;1mm_9/10</t>
  </si>
  <si>
    <t>- &lt;1mm_10/10</t>
  </si>
  <si>
    <t>- dry</t>
  </si>
  <si>
    <t>FACE down</t>
  </si>
  <si>
    <t>8 sets of 21 cups per sheet</t>
  </si>
  <si>
    <t>Year</t>
  </si>
  <si>
    <t>Position</t>
  </si>
  <si>
    <t>Cup</t>
  </si>
  <si>
    <t>Sal</t>
  </si>
  <si>
    <t>temp</t>
  </si>
  <si>
    <t>Date</t>
  </si>
  <si>
    <t>Temp</t>
  </si>
  <si>
    <t>pH</t>
  </si>
  <si>
    <t>Analyst</t>
  </si>
  <si>
    <t>Comment</t>
  </si>
  <si>
    <t>Calibrations</t>
  </si>
  <si>
    <t>Depth</t>
  </si>
  <si>
    <r>
      <t>[</t>
    </r>
    <r>
      <rPr>
        <sz val="10"/>
        <rFont val="Calibri"/>
        <family val="2"/>
      </rPr>
      <t>°</t>
    </r>
    <r>
      <rPr>
        <sz val="12"/>
        <color theme="1"/>
        <rFont val="Calibri"/>
        <family val="2"/>
        <scheme val="minor"/>
      </rPr>
      <t>C]</t>
    </r>
  </si>
  <si>
    <t>replicate</t>
  </si>
  <si>
    <t>date</t>
  </si>
  <si>
    <t>diff</t>
  </si>
  <si>
    <t>Cathryn</t>
  </si>
  <si>
    <t>weak tea colour</t>
  </si>
  <si>
    <t>Salinity</t>
  </si>
  <si>
    <r>
      <t>Calibrated with 1413</t>
    </r>
    <r>
      <rPr>
        <sz val="10"/>
        <color theme="0" tint="-0.34998626667073579"/>
        <rFont val="Calibri"/>
        <family val="2"/>
      </rPr>
      <t>µ</t>
    </r>
    <r>
      <rPr>
        <sz val="12"/>
        <color theme="0" tint="-0.34998626667073579"/>
        <rFont val="Calibri"/>
        <family val="2"/>
        <charset val="204"/>
        <scheme val="minor"/>
      </rPr>
      <t>S standard</t>
    </r>
  </si>
  <si>
    <t>reading</t>
  </si>
  <si>
    <t>temperature</t>
  </si>
  <si>
    <r>
      <t>1413</t>
    </r>
    <r>
      <rPr>
        <sz val="10"/>
        <color theme="0" tint="-0.34998626667073579"/>
        <rFont val="Calibri"/>
        <family val="2"/>
      </rPr>
      <t>µ</t>
    </r>
    <r>
      <rPr>
        <sz val="12"/>
        <color theme="0" tint="-0.34998626667073579"/>
        <rFont val="Calibri"/>
        <family val="2"/>
        <charset val="204"/>
        <scheme val="minor"/>
      </rPr>
      <t>S</t>
    </r>
  </si>
  <si>
    <t>µS</t>
  </si>
  <si>
    <t>IAPSO 34.988 psu standard</t>
  </si>
  <si>
    <t>psu</t>
  </si>
  <si>
    <t>0.01N KCl</t>
  </si>
  <si>
    <t>Salinity check at the end of all measurements</t>
  </si>
  <si>
    <t>Repeat measurement because there were some doubts about the accuracy of the conductivity meter</t>
  </si>
  <si>
    <t>salinity and pH samples were NOT measured in numerical order!</t>
  </si>
  <si>
    <t>pH calibration buffers</t>
  </si>
  <si>
    <t>reading after calibration</t>
  </si>
  <si>
    <t>pH check at the end of all measurements</t>
  </si>
  <si>
    <r>
      <t>Calibrated with 1413</t>
    </r>
    <r>
      <rPr>
        <sz val="10"/>
        <rFont val="Calibri"/>
        <family val="2"/>
      </rPr>
      <t>µ</t>
    </r>
    <r>
      <rPr>
        <sz val="12"/>
        <color theme="1"/>
        <rFont val="Calibri"/>
        <family val="2"/>
        <scheme val="minor"/>
      </rPr>
      <t>S standard</t>
    </r>
  </si>
  <si>
    <t>conductivity meter shows results as adjusted to 25C</t>
  </si>
  <si>
    <t>%</t>
  </si>
  <si>
    <t>cc: 0.552543/cm</t>
  </si>
  <si>
    <r>
      <t>1413</t>
    </r>
    <r>
      <rPr>
        <sz val="10"/>
        <rFont val="Calibri"/>
        <family val="2"/>
      </rPr>
      <t>µ</t>
    </r>
    <r>
      <rPr>
        <sz val="12"/>
        <color theme="1"/>
        <rFont val="Calibri"/>
        <family val="2"/>
        <scheme val="minor"/>
      </rPr>
      <t>S</t>
    </r>
  </si>
  <si>
    <t>12.88mS/cm</t>
  </si>
  <si>
    <t>Repeat measurement because there were some doubts about the calibration of the new pH meter</t>
  </si>
  <si>
    <t>average slope 100.5%</t>
  </si>
  <si>
    <t>average slope 99.4%</t>
  </si>
  <si>
    <t>same as calibration</t>
  </si>
  <si>
    <t>cc: 0.537313/cm</t>
  </si>
  <si>
    <t>average slope 100.1%</t>
  </si>
  <si>
    <t>Fresh</t>
  </si>
  <si>
    <t>cc: 0.533843/cm</t>
  </si>
  <si>
    <t>Trap</t>
  </si>
  <si>
    <t>cup</t>
  </si>
  <si>
    <t>frac</t>
  </si>
  <si>
    <t>mass</t>
  </si>
  <si>
    <t xml:space="preserve">date </t>
  </si>
  <si>
    <t>RH</t>
  </si>
  <si>
    <t>Filter</t>
  </si>
  <si>
    <t>Filter used</t>
  </si>
  <si>
    <t>Who</t>
  </si>
  <si>
    <t>Comments</t>
  </si>
  <si>
    <t>difference</t>
  </si>
  <si>
    <t>2017 saz19</t>
  </si>
  <si>
    <t>#</t>
  </si>
  <si>
    <t>start</t>
  </si>
  <si>
    <t>end</t>
  </si>
  <si>
    <t>filt</t>
  </si>
  <si>
    <t>filt+sed</t>
  </si>
  <si>
    <t>dry</t>
  </si>
  <si>
    <t>weigh</t>
  </si>
  <si>
    <t>dC</t>
  </si>
  <si>
    <t>sn</t>
  </si>
  <si>
    <t>sed</t>
  </si>
  <si>
    <t>sed 10/10</t>
  </si>
  <si>
    <t>sed 1/10</t>
  </si>
  <si>
    <t>scintillation vial</t>
  </si>
  <si>
    <t>scintillation vial after material for analyses was taken out</t>
  </si>
  <si>
    <t>filter after second drying</t>
  </si>
  <si>
    <t>filt after scraping sediment off</t>
  </si>
  <si>
    <t>loss</t>
  </si>
  <si>
    <t>mg</t>
  </si>
  <si>
    <t>filter+sed</t>
  </si>
  <si>
    <t>filter</t>
  </si>
  <si>
    <t>Deployment 21/03/2017 INV17_V2</t>
  </si>
  <si>
    <r>
      <t>McLane frame</t>
    </r>
    <r>
      <rPr>
        <sz val="10"/>
        <color theme="1"/>
        <rFont val="Arial"/>
        <family val="2"/>
      </rPr>
      <t xml:space="preserve"> sn 14182-01,</t>
    </r>
    <r>
      <rPr>
        <sz val="10"/>
        <color rgb="FFFF0000"/>
        <rFont val="Arial"/>
        <family val="2"/>
      </rPr>
      <t xml:space="preserve"> </t>
    </r>
    <r>
      <rPr>
        <sz val="10"/>
        <rFont val="Arial"/>
        <family val="2"/>
      </rPr>
      <t>G250x21</t>
    </r>
  </si>
  <si>
    <t>46_1000</t>
  </si>
  <si>
    <t>30-31%</t>
  </si>
  <si>
    <t>22.0-22.3</t>
  </si>
  <si>
    <t>31-30%</t>
  </si>
  <si>
    <t>21.6-22.5</t>
  </si>
  <si>
    <t>Sterlitech PCTE Memebrane Filter, 0.4um 47mm</t>
  </si>
  <si>
    <t>Lot: M/060814/R/1, PCT0447100, opened 27/5/2015 by Di</t>
  </si>
  <si>
    <t>CWE</t>
  </si>
  <si>
    <t>into oven at 1600 27/4/2018 @ 60C</t>
  </si>
  <si>
    <t>38-36%</t>
  </si>
  <si>
    <t>22.5-22.7</t>
  </si>
  <si>
    <t>5_1</t>
  </si>
  <si>
    <t>5_2</t>
  </si>
  <si>
    <t>6_1</t>
  </si>
  <si>
    <t>6_2</t>
  </si>
  <si>
    <t>32-32%</t>
  </si>
  <si>
    <t>22.2-22.4</t>
  </si>
  <si>
    <t>12_1</t>
  </si>
  <si>
    <t>22.4-21.7</t>
  </si>
  <si>
    <t xml:space="preserve"> some spillage prior to filtration of fractions 4-6 (filter was misaligned), hence fractions 4-6 were filtered on a separate filter to fractions 7-10 to allow an accurate weight estimate of the whole 10 fractions</t>
  </si>
  <si>
    <t>into oven at 15:53 30/4/2018 @ 60C; out of oven 0900, 2/5/18;</t>
  </si>
  <si>
    <t>12_2</t>
  </si>
  <si>
    <t>into oven at 15:53 30/4/2018 @ 60C; out of oven 0900, 2/5/18</t>
  </si>
  <si>
    <t>15_1</t>
  </si>
  <si>
    <t>15_2</t>
  </si>
  <si>
    <t>16_1</t>
  </si>
  <si>
    <t>into oven at 15:25 02/5/2018 @ 60C, out of oven 8:24 4/5/2018</t>
  </si>
  <si>
    <t>16_2</t>
  </si>
  <si>
    <t>17_1</t>
  </si>
  <si>
    <t>30-30%</t>
  </si>
  <si>
    <t>23.3-23.8</t>
  </si>
  <si>
    <t>into oven at 14:21 4/5/2018 @ 60C, out of oven 9:37 7/5/2018</t>
  </si>
  <si>
    <t>17_2</t>
  </si>
  <si>
    <t>18_1</t>
  </si>
  <si>
    <t>18_2</t>
  </si>
  <si>
    <t>19_1</t>
  </si>
  <si>
    <t>19_2</t>
  </si>
  <si>
    <t>22.7-22.7</t>
  </si>
  <si>
    <t>into oven at 14:21 4/5/2018 @ 60C, out of oven 9:55 10/5/2018</t>
  </si>
  <si>
    <t>20_1</t>
  </si>
  <si>
    <t>20_2</t>
  </si>
  <si>
    <t>McLane frame sn 2241, B250x21</t>
  </si>
  <si>
    <t>46_2000</t>
  </si>
  <si>
    <t>22.8-22.5</t>
  </si>
  <si>
    <t>29-29%</t>
  </si>
  <si>
    <t>22.2-22.6</t>
  </si>
  <si>
    <t>into oven at 16:23 9/5/2018 @ 60C, out of oven 14/5/2018 @9:43</t>
  </si>
  <si>
    <t>29-30%</t>
  </si>
  <si>
    <t>22.9-23.0</t>
  </si>
  <si>
    <t>into oven at 16:35 14/5/2018 @ 60C, out of oven 16/5/2018 @9:23</t>
  </si>
  <si>
    <t>33-33%</t>
  </si>
  <si>
    <t>22.3-22.5</t>
  </si>
  <si>
    <t>22.4-22.8</t>
  </si>
  <si>
    <t>Osmonics Inc.; Poretics, Polycarbonate filter, 0.4um 47mm</t>
  </si>
  <si>
    <t>1-800-444-8212, Catalog No K04CP04700, Batch No. 426348, opened 19/11/2015</t>
  </si>
  <si>
    <t>22.9-22.9</t>
  </si>
  <si>
    <t>into oven at 14:10 17/5/2018 @ 60C, out of oven @ 9:53, 21/5/2018</t>
  </si>
  <si>
    <t>27-27%</t>
  </si>
  <si>
    <t>24.3-24.4</t>
  </si>
  <si>
    <t>16_3</t>
  </si>
  <si>
    <t>into oven at 14:30 18/5/2018 @ 60C, out of oven @ 9:53, 21/5/2018</t>
  </si>
  <si>
    <t>17_3</t>
  </si>
  <si>
    <t>lost 1 drop before filtration, therefore 10/10 weight calculation is based on 18_2 and 18_3</t>
  </si>
  <si>
    <t>18_3</t>
  </si>
  <si>
    <t>19_3</t>
  </si>
  <si>
    <t>36-34%</t>
  </si>
  <si>
    <t>22.8-23.0</t>
  </si>
  <si>
    <t>20_3</t>
  </si>
  <si>
    <t>46_3800</t>
  </si>
  <si>
    <t>23.5-23.6</t>
  </si>
  <si>
    <t>23.2-23.5</t>
  </si>
  <si>
    <t>into oven at 12:42 21/5/2018 @ 60C, power outage turned oven off sometime overnight, back on @9:19 22/5/2018, out of oven 23/5/2018 @ 11:09</t>
  </si>
  <si>
    <t>2_1</t>
  </si>
  <si>
    <t>Filter ripped, some fluid lost, recovered as much as possible, some recovered fluid filtered onto filter 2_2 for more accurate weight but likely not recoverable from filter after drying</t>
  </si>
  <si>
    <t>2_2</t>
  </si>
  <si>
    <t>recovered lost fluid</t>
  </si>
  <si>
    <t>23.9-24.0</t>
  </si>
  <si>
    <t>into oven at 16:06 22/5/2018 @ 60C, out of oven at 8:13 24/05/2018</t>
  </si>
  <si>
    <t>23.6-24.2</t>
  </si>
  <si>
    <t>Poretics Corporation, Polycarbonate Membrane Filter, 0.4um 47mm</t>
  </si>
  <si>
    <t>Catalog No. 130213, Lot No. HGB1CQ11C003</t>
  </si>
  <si>
    <t>28-29%</t>
  </si>
  <si>
    <t>23.6-24.0</t>
  </si>
  <si>
    <t>into oven at 14:17 23/5/2018 @ 60C, out of oven 23/5/2018 @ 9:12</t>
  </si>
  <si>
    <t>23.4-23.6</t>
  </si>
  <si>
    <t>23.6-23.5</t>
  </si>
  <si>
    <t>into oven at 15:43 25/5/2018 @ 60C,</t>
  </si>
  <si>
    <t>28-28%</t>
  </si>
  <si>
    <t>23.7-24.0</t>
  </si>
  <si>
    <t>20_4</t>
  </si>
  <si>
    <t>cathryn.wynnedwards@utas.edu.au</t>
  </si>
  <si>
    <t>Sn cups, Elemental Microanalysis PN D1008, 8x5mm supplied as preferred by CSL.</t>
  </si>
  <si>
    <t>Samples contain ~0.5% Hg w/w, originally as HgCl2, but potentially bound in other forms.</t>
  </si>
  <si>
    <t>UMX2 microbalance and antistatic:  aim for samples 2.5mg, (2.5 to 3mg) but not less due to low nitrogen</t>
  </si>
  <si>
    <t>CRM PACS-2 dried at 60dC 3 to 4mg</t>
  </si>
  <si>
    <t>submitted CSL EA 12/6/2018</t>
  </si>
  <si>
    <t>96 well#</t>
  </si>
  <si>
    <t>Sample Mass</t>
  </si>
  <si>
    <t>Date weighed</t>
  </si>
  <si>
    <t>Person</t>
  </si>
  <si>
    <t>Humidty</t>
  </si>
  <si>
    <t>year</t>
  </si>
  <si>
    <t>ug</t>
  </si>
  <si>
    <t>A1</t>
  </si>
  <si>
    <t>empty capsule</t>
  </si>
  <si>
    <t>32-31%</t>
  </si>
  <si>
    <t>22.8-22.6C</t>
  </si>
  <si>
    <t>A2</t>
  </si>
  <si>
    <t>A3</t>
  </si>
  <si>
    <t>A4</t>
  </si>
  <si>
    <t>3_a</t>
  </si>
  <si>
    <t>A5</t>
  </si>
  <si>
    <t>3_b</t>
  </si>
  <si>
    <t>A6</t>
  </si>
  <si>
    <t>A7</t>
  </si>
  <si>
    <t>A8</t>
  </si>
  <si>
    <t>A9</t>
  </si>
  <si>
    <t>A10</t>
  </si>
  <si>
    <t>A11</t>
  </si>
  <si>
    <t>A12</t>
  </si>
  <si>
    <t>B1</t>
  </si>
  <si>
    <t>B2</t>
  </si>
  <si>
    <t>B3</t>
  </si>
  <si>
    <t>B4</t>
  </si>
  <si>
    <t>14_a</t>
  </si>
  <si>
    <t>B5</t>
  </si>
  <si>
    <t>14_b</t>
  </si>
  <si>
    <t>B6</t>
  </si>
  <si>
    <t>B7</t>
  </si>
  <si>
    <t>B8</t>
  </si>
  <si>
    <t>B9</t>
  </si>
  <si>
    <t>B10</t>
  </si>
  <si>
    <t>B11</t>
  </si>
  <si>
    <t>B12</t>
  </si>
  <si>
    <t>C1</t>
  </si>
  <si>
    <t>PACS-2 CRM 11.08 #1</t>
  </si>
  <si>
    <t>C2</t>
  </si>
  <si>
    <t>PACS-2 CRM 11.08 #2</t>
  </si>
  <si>
    <t>C3</t>
  </si>
  <si>
    <t>1_a</t>
  </si>
  <si>
    <t>C4</t>
  </si>
  <si>
    <t>1_b</t>
  </si>
  <si>
    <t>C5</t>
  </si>
  <si>
    <t>C6</t>
  </si>
  <si>
    <t>C7</t>
  </si>
  <si>
    <t>C8</t>
  </si>
  <si>
    <t>C9</t>
  </si>
  <si>
    <t>C10</t>
  </si>
  <si>
    <t>C11</t>
  </si>
  <si>
    <t>C12</t>
  </si>
  <si>
    <t>D1</t>
  </si>
  <si>
    <t>31-31%</t>
  </si>
  <si>
    <t>22.6-23.1C</t>
  </si>
  <si>
    <t>D2</t>
  </si>
  <si>
    <t>D3</t>
  </si>
  <si>
    <t>D4</t>
  </si>
  <si>
    <t>D5</t>
  </si>
  <si>
    <t>D6</t>
  </si>
  <si>
    <t>D7</t>
  </si>
  <si>
    <t>D8</t>
  </si>
  <si>
    <t>D9</t>
  </si>
  <si>
    <t>18_a</t>
  </si>
  <si>
    <t>D10</t>
  </si>
  <si>
    <t>18_b</t>
  </si>
  <si>
    <t>D11</t>
  </si>
  <si>
    <t>D12</t>
  </si>
  <si>
    <t>E1</t>
  </si>
  <si>
    <t>E2</t>
  </si>
  <si>
    <t>E3</t>
  </si>
  <si>
    <t>E4</t>
  </si>
  <si>
    <t>E5</t>
  </si>
  <si>
    <t>E6</t>
  </si>
  <si>
    <t>E7</t>
  </si>
  <si>
    <t>E8</t>
  </si>
  <si>
    <t>E9</t>
  </si>
  <si>
    <t>E10</t>
  </si>
  <si>
    <t>E11</t>
  </si>
  <si>
    <t>E12</t>
  </si>
  <si>
    <t>F1</t>
  </si>
  <si>
    <t>F2</t>
  </si>
  <si>
    <t>F3</t>
  </si>
  <si>
    <t>F4</t>
  </si>
  <si>
    <t>F5</t>
  </si>
  <si>
    <t>F6</t>
  </si>
  <si>
    <t>F7</t>
  </si>
  <si>
    <t>F8</t>
  </si>
  <si>
    <t>F9</t>
  </si>
  <si>
    <t>F10</t>
  </si>
  <si>
    <t>20_a</t>
  </si>
  <si>
    <t>F11</t>
  </si>
  <si>
    <t>20_b</t>
  </si>
  <si>
    <t>F12</t>
  </si>
  <si>
    <t>G1</t>
  </si>
  <si>
    <t>G2</t>
  </si>
  <si>
    <t>PACS-2 CRM 11.08 #3</t>
  </si>
  <si>
    <t>G3</t>
  </si>
  <si>
    <t>Acetanilide Thermo 33840012 6.15</t>
  </si>
  <si>
    <t>Sn cups, Elemental Analysis PN D1008, BN230591 8x5mm ex CSL supplied</t>
  </si>
  <si>
    <t>All samples were dried again @ 60C over three nights prior to weighing</t>
  </si>
  <si>
    <t>CaCO3 standards: Sigma 398101, Ba 08025 EC, SB Nov 2015</t>
  </si>
  <si>
    <t>PIC analysis</t>
  </si>
  <si>
    <t>humidity and temp</t>
  </si>
  <si>
    <t>weighed (ug)</t>
  </si>
  <si>
    <t>cups</t>
  </si>
  <si>
    <t>29%-29%, 23.2C-22.8C</t>
  </si>
  <si>
    <t>Sercon Smooth walled tin capsules, Flat base 5.5x5mm, BN 203583, opened June '17 CWE, new Exetainer tube</t>
  </si>
  <si>
    <t>4_a</t>
  </si>
  <si>
    <t>4_b</t>
  </si>
  <si>
    <t>Sercon Smooth walled tin capsules, Flat base 5.5x5mm, BN 267862, opened June '18 CWE, new Exetainer tubes</t>
  </si>
  <si>
    <t>31-32%, 22.8-22.6C</t>
  </si>
  <si>
    <t>Sercon Smooth walled tin capsules, Flat base 5.5x5mm, BN 267862, opened June '18 CWE, washed and recycled Exetainer tubes (previously blanks and CaCO3 standards)</t>
  </si>
  <si>
    <t>30-31%, 22.8-22.8C</t>
  </si>
  <si>
    <t>Sercon Smooth walled tin capsules, Flat base 5.5x5mm, BN 267862, new box opened June '18 CWE, washed and recycled Exetainer tubes (previously blanks and CaCO3 standards)</t>
  </si>
  <si>
    <t>REPEATS</t>
  </si>
  <si>
    <t>29-29%, 22.8-22.9C</t>
  </si>
  <si>
    <t>29-29%, 22.9-23.9C</t>
  </si>
  <si>
    <t>digest date</t>
  </si>
  <si>
    <t>digest #</t>
  </si>
  <si>
    <t>humidty temp</t>
  </si>
  <si>
    <t>date weighed</t>
  </si>
  <si>
    <t>nutrient tube</t>
  </si>
  <si>
    <t>rep</t>
  </si>
  <si>
    <t>sed mass</t>
  </si>
  <si>
    <t>who</t>
  </si>
  <si>
    <t>Digestion steps:</t>
  </si>
  <si>
    <t>yymmdd</t>
  </si>
  <si>
    <t>SAZ 19</t>
  </si>
  <si>
    <t>samp</t>
  </si>
  <si>
    <t>1. add 4ml 0.2M NaOH, vortex, losen cap, digest for 90 min in 95dC waterbath</t>
  </si>
  <si>
    <t>10/10</t>
  </si>
  <si>
    <t>7/10</t>
  </si>
  <si>
    <t>2. straight into ice slurry for 2min, then add 1ml 1M HCl, shake</t>
  </si>
  <si>
    <t>mg/cup</t>
  </si>
  <si>
    <t>3. centrifuge for 10min (3000rpm, 215 rotor, 15.4cm radius)</t>
  </si>
  <si>
    <t>4. draw off 4ml into fresh nut. Tube, add 6ml MQ</t>
  </si>
  <si>
    <t>Sercon, pressed silver cups, 5.5x5mm, BN 287221, opened July '18 CWE</t>
  </si>
  <si>
    <t>30-29%, 23.2-22.9C</t>
  </si>
  <si>
    <t>Blank #1</t>
  </si>
  <si>
    <t>PACS-2</t>
  </si>
  <si>
    <t>Blank #2</t>
  </si>
  <si>
    <t>Sercon, pressed silver cups, 5.5x5mm, BN 249372</t>
  </si>
  <si>
    <t>Discoloured cup base, therefore weighed out diplicated, Sercon, pressed silver cups, 5.5x5mm, BN 249372</t>
  </si>
  <si>
    <t>Blank #3</t>
  </si>
  <si>
    <t>Blank #4</t>
  </si>
  <si>
    <t>copied from original file "SAZ19_Bsi raw data from CSIRO hydrochem_July 2018" in dropbox under raw data / Bsi</t>
  </si>
  <si>
    <t>raw data from 10mL extraction tube</t>
  </si>
  <si>
    <t>extraction blank average</t>
  </si>
  <si>
    <t>uM</t>
  </si>
  <si>
    <t>umol/L</t>
  </si>
  <si>
    <t>10ml per nutrient tube</t>
  </si>
  <si>
    <t>original digest volume 5ml, then 4ml taken off for anaysis</t>
  </si>
  <si>
    <t>Lab No.</t>
  </si>
  <si>
    <t>Site ID</t>
  </si>
  <si>
    <t>Nutrient ID</t>
  </si>
  <si>
    <t>Silicate (µM)</t>
  </si>
  <si>
    <t>sample weight ug</t>
  </si>
  <si>
    <t>final results Silicate uM minus extraction blank average</t>
  </si>
  <si>
    <t>SiO2-Si umol</t>
  </si>
  <si>
    <t>Bsi ug</t>
  </si>
  <si>
    <t>BSiO2 ug</t>
  </si>
  <si>
    <t>Bsi %</t>
  </si>
  <si>
    <t>BsiO2 %</t>
  </si>
  <si>
    <t>rep % difference</t>
  </si>
  <si>
    <t>CSIRO Hydrochemistry Data Report - 21</t>
  </si>
  <si>
    <t>46_1000 1</t>
  </si>
  <si>
    <t>46_1000 2</t>
  </si>
  <si>
    <t>CSIRO Hydrochemistry Laboratory</t>
  </si>
  <si>
    <t>46_1000 3</t>
  </si>
  <si>
    <t>Date Issued:</t>
  </si>
  <si>
    <t>Castray Esplanade</t>
  </si>
  <si>
    <t>46_1000 4_a</t>
  </si>
  <si>
    <t>Sample receipt date:</t>
  </si>
  <si>
    <t>Hobart TAS 7000</t>
  </si>
  <si>
    <t>46_1000 4_b</t>
  </si>
  <si>
    <t>Data analysis date:</t>
  </si>
  <si>
    <t>Email: O&amp;AHydrochemistryFacility@csiro.au</t>
  </si>
  <si>
    <t>46_1000 5</t>
  </si>
  <si>
    <t>46_1000 6</t>
  </si>
  <si>
    <t>Client Details:</t>
  </si>
  <si>
    <t>Di Davies</t>
  </si>
  <si>
    <t>Analysis Type:</t>
  </si>
  <si>
    <t>46_1000 7</t>
  </si>
  <si>
    <t>CSIRO</t>
  </si>
  <si>
    <t>Nutrient</t>
  </si>
  <si>
    <t>46_1000 8</t>
  </si>
  <si>
    <t>Hydrochem SOP 001-4</t>
  </si>
  <si>
    <t>46_1000 9</t>
  </si>
  <si>
    <t>Hobart Tasmania 7004</t>
  </si>
  <si>
    <t>Phone:</t>
  </si>
  <si>
    <t>PACS-2 1</t>
  </si>
  <si>
    <t>Email: di.davies@csiro.au</t>
  </si>
  <si>
    <t>46_1000 10</t>
  </si>
  <si>
    <t>46_1000 11</t>
  </si>
  <si>
    <t>46_1000 12</t>
  </si>
  <si>
    <t>46_1000 13</t>
  </si>
  <si>
    <t>Notes:</t>
  </si>
  <si>
    <t>Sample dilution 1:5; except samples 3 &amp; 26 (no dilution) and 22 &amp; 47 (1:10)</t>
  </si>
  <si>
    <t>46_1000 14_a</t>
  </si>
  <si>
    <t>46_1000 14_b</t>
  </si>
  <si>
    <t>46_1000 15</t>
  </si>
  <si>
    <t>46_1000 16</t>
  </si>
  <si>
    <t>46_1000 17</t>
  </si>
  <si>
    <t>46_1000 18</t>
  </si>
  <si>
    <t>Cassie Schwanger</t>
  </si>
  <si>
    <t>46_1000 19</t>
  </si>
  <si>
    <t>46_1000 20</t>
  </si>
  <si>
    <t>Reference Material for Nutrients in Seawater (RMNS)</t>
  </si>
  <si>
    <t>46_1000 21</t>
  </si>
  <si>
    <t>46_2000 1_a</t>
  </si>
  <si>
    <t>46_2000 1_b</t>
  </si>
  <si>
    <t>Certified Value (CB)</t>
  </si>
  <si>
    <t>46_2000 2</t>
  </si>
  <si>
    <t>Run 1</t>
  </si>
  <si>
    <t>Run 2</t>
  </si>
  <si>
    <t>46_2000 3</t>
  </si>
  <si>
    <t>Measured Value</t>
  </si>
  <si>
    <t>46_2000 4</t>
  </si>
  <si>
    <t>Standard Deviation</t>
  </si>
  <si>
    <t>46_2000 5</t>
  </si>
  <si>
    <t>Samples measured</t>
  </si>
  <si>
    <t>1,2, 4-21, 23-25, 27-36</t>
  </si>
  <si>
    <t>3, 22, 26, 37-78</t>
  </si>
  <si>
    <t>46_2000 6</t>
  </si>
  <si>
    <t>46_2000 7</t>
  </si>
  <si>
    <t>Method Information</t>
  </si>
  <si>
    <t>46_2000 8</t>
  </si>
  <si>
    <t>MDL</t>
  </si>
  <si>
    <t>PACS-2 2</t>
  </si>
  <si>
    <t>46_2000 9</t>
  </si>
  <si>
    <r>
      <t xml:space="preserve">Calculated Measured Uncertainty @ 1 </t>
    </r>
    <r>
      <rPr>
        <b/>
        <sz val="10"/>
        <rFont val="Calibri"/>
        <family val="2"/>
      </rPr>
      <t>µ</t>
    </r>
    <r>
      <rPr>
        <b/>
        <sz val="10"/>
        <rFont val="Arial"/>
        <family val="2"/>
      </rPr>
      <t>M*</t>
    </r>
  </si>
  <si>
    <t>± 0.017</t>
  </si>
  <si>
    <t>46_2000 10</t>
  </si>
  <si>
    <t xml:space="preserve"> </t>
  </si>
  <si>
    <t>46_2000 11</t>
  </si>
  <si>
    <t>*The reported uncertainty is an expanded uncertainty using a coverage factor of 2 giving a 95% level of confidence.</t>
  </si>
  <si>
    <t>46_2000 12</t>
  </si>
  <si>
    <t>46_2000 13</t>
  </si>
  <si>
    <t>46_2000 14</t>
  </si>
  <si>
    <t>46_2000 15_1</t>
  </si>
  <si>
    <t>46_2000 15_2</t>
  </si>
  <si>
    <t>46_2000 16</t>
  </si>
  <si>
    <t>46_2000 17</t>
  </si>
  <si>
    <t>46_2000 18_a</t>
  </si>
  <si>
    <t>46_2000 18_b</t>
  </si>
  <si>
    <t>46_2000 19</t>
  </si>
  <si>
    <t>46_2000 20</t>
  </si>
  <si>
    <t>46_2000 21</t>
  </si>
  <si>
    <t>46_3800 1_a</t>
  </si>
  <si>
    <t>46_3800 1_b</t>
  </si>
  <si>
    <t>46_3800 2</t>
  </si>
  <si>
    <t>46_3800 3</t>
  </si>
  <si>
    <t>46_3800 4</t>
  </si>
  <si>
    <t>46_3800 5</t>
  </si>
  <si>
    <t>46_3800 6</t>
  </si>
  <si>
    <t>46_3800 7</t>
  </si>
  <si>
    <t>46_3800 8</t>
  </si>
  <si>
    <t>46_3800 9</t>
  </si>
  <si>
    <t>46_3800 10</t>
  </si>
  <si>
    <t>46_3800 11</t>
  </si>
  <si>
    <t>46_3800 12</t>
  </si>
  <si>
    <t>46_3800 13</t>
  </si>
  <si>
    <t>46_3800 14</t>
  </si>
  <si>
    <t>46_3800 15</t>
  </si>
  <si>
    <t>46_3800 16</t>
  </si>
  <si>
    <t>46_3800 17</t>
  </si>
  <si>
    <t>PACS-2 3</t>
  </si>
  <si>
    <t>46_3800 18</t>
  </si>
  <si>
    <t>46_3800 19</t>
  </si>
  <si>
    <t>46_3800 20_a</t>
  </si>
  <si>
    <t>46_3800 20_b</t>
  </si>
  <si>
    <t>46_3800 21</t>
  </si>
  <si>
    <t>PACS-2 4</t>
  </si>
  <si>
    <t>Height</t>
  </si>
  <si>
    <t>area</t>
  </si>
  <si>
    <t>comments</t>
  </si>
  <si>
    <t>Time</t>
  </si>
  <si>
    <t>Mass flux</t>
  </si>
  <si>
    <t>jar of</t>
  </si>
  <si>
    <t>C%</t>
  </si>
  <si>
    <t>H%</t>
  </si>
  <si>
    <t>N%</t>
  </si>
  <si>
    <t>CHN qc</t>
  </si>
  <si>
    <t>comments2</t>
  </si>
  <si>
    <t>Dates</t>
  </si>
  <si>
    <t>proportion</t>
  </si>
  <si>
    <t>PN/PSiO2</t>
  </si>
  <si>
    <t>TPC/PSiO2</t>
  </si>
  <si>
    <t>CaCO3</t>
  </si>
  <si>
    <t>PIC</t>
  </si>
  <si>
    <t>POC</t>
  </si>
  <si>
    <t>sum</t>
  </si>
  <si>
    <t>QC</t>
  </si>
  <si>
    <t>POC/PN</t>
  </si>
  <si>
    <t>netcdf QC flag</t>
  </si>
  <si>
    <t>Cup exist</t>
  </si>
  <si>
    <t>eg FSW batch</t>
  </si>
  <si>
    <t>open</t>
  </si>
  <si>
    <t>= cup_mass/area/time_open</t>
  </si>
  <si>
    <t>powder</t>
  </si>
  <si>
    <t>PC</t>
  </si>
  <si>
    <t>PN</t>
  </si>
  <si>
    <t>netcdf flag</t>
  </si>
  <si>
    <t>UTC</t>
  </si>
  <si>
    <t>normalised</t>
  </si>
  <si>
    <t>BSi</t>
  </si>
  <si>
    <t>BSiO2</t>
  </si>
  <si>
    <t>mass ratio</t>
  </si>
  <si>
    <t>CaCO3+opal + (POM=2.79*POC) + litho 3.7%</t>
  </si>
  <si>
    <t>Mol/mol</t>
  </si>
  <si>
    <t>good</t>
  </si>
  <si>
    <t>&lt;1mm</t>
  </si>
  <si>
    <t/>
  </si>
  <si>
    <t>Cup open</t>
  </si>
  <si>
    <t>Cup close</t>
  </si>
  <si>
    <t>midpoint</t>
  </si>
  <si>
    <t>cumulative</t>
  </si>
  <si>
    <t>=height / 0.5m2 / open_time</t>
  </si>
  <si>
    <t>Redfield 2.79 POM opal is BSiO2*1.11</t>
  </si>
  <si>
    <t>probably good minor malfunction</t>
  </si>
  <si>
    <t>recovery IN2018_V02</t>
  </si>
  <si>
    <t>mm</t>
  </si>
  <si>
    <t>m2</t>
  </si>
  <si>
    <t>days</t>
  </si>
  <si>
    <t>mg/m2/day</t>
  </si>
  <si>
    <t>g/m2/yr</t>
  </si>
  <si>
    <t>% w/w</t>
  </si>
  <si>
    <t>mm/m2/day</t>
  </si>
  <si>
    <t>w/w</t>
  </si>
  <si>
    <t>bad potentially correctable</t>
  </si>
  <si>
    <t>at END event</t>
  </si>
  <si>
    <t>at open event</t>
  </si>
  <si>
    <t>bad</t>
  </si>
  <si>
    <t>all 21 cups collected</t>
  </si>
  <si>
    <t>QC threshold 5%</t>
  </si>
  <si>
    <t>value changed by qc</t>
  </si>
  <si>
    <t>G 1</t>
  </si>
  <si>
    <t>FSW carboy 1, GF/F filtered, 10.3.2018, 11:44 UTC, -45.8744S, 142.2646E, 22L+22g Borax</t>
  </si>
  <si>
    <t>&lt;1</t>
  </si>
  <si>
    <t>Pickup 10/03/2018 INV18_02</t>
  </si>
  <si>
    <t>B 1</t>
  </si>
  <si>
    <t>FSW carboy 2, GF/F filtered, 10.3.2018, 11:44 UTC, -45.8744S, 142.2646E, 25L+25g Borax</t>
  </si>
  <si>
    <t>A 1</t>
  </si>
  <si>
    <t>FSW carboy 2, GF/F filtered, 10.3.2018, 11:44 UTC, -45.8744S, 142.2646E, 25L+25g Borax + FSW carboy 3, GF/F filtered, 10.3.2018, 11:44 UTC, -45.8744S, 142.2646E, 21L+21g Borax</t>
  </si>
  <si>
    <t>FSW carboy 3, GF/F filtered, 10.3.2018, 11:44 UTC, -45.8744S, 142.2646E, 21L+21g Borax</t>
  </si>
  <si>
    <t>COUNT</t>
  </si>
  <si>
    <t>good cups</t>
  </si>
  <si>
    <t>SUM from subtotals</t>
  </si>
  <si>
    <t>SUM Mclane from subs</t>
  </si>
  <si>
    <t>under funnel</t>
  </si>
  <si>
    <t>total</t>
  </si>
  <si>
    <t>COUNT from data (as a check)</t>
  </si>
  <si>
    <t>mass/trap</t>
  </si>
  <si>
    <t>time open</t>
  </si>
  <si>
    <t>mass flux</t>
  </si>
  <si>
    <t>% of year</t>
  </si>
  <si>
    <t>local</t>
  </si>
  <si>
    <t>release triggered:</t>
  </si>
  <si>
    <t>floats sighted</t>
  </si>
  <si>
    <t>rec finish</t>
  </si>
  <si>
    <t>recovery op</t>
  </si>
  <si>
    <t>hours</t>
  </si>
  <si>
    <t>AEST = UTC +10</t>
  </si>
  <si>
    <t>AEDS = UTC + 11</t>
  </si>
  <si>
    <t>Deployment</t>
  </si>
  <si>
    <t>mass/cup</t>
  </si>
  <si>
    <t>Total</t>
  </si>
  <si>
    <t>PC_mol_flux</t>
  </si>
  <si>
    <t>PN_mol_flux</t>
  </si>
  <si>
    <t>POC_mol_flux</t>
  </si>
  <si>
    <t>PIC_mol_flux</t>
  </si>
  <si>
    <t>BSi_mol_flux</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</si>
  <si>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</si>
  <si>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</si>
  <si>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</si>
  <si>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</si>
  <si>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</si>
  <si>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</si>
  <si>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</si>
  <si>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</si>
  <si>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</si>
  <si>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</si>
  <si>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</si>
  <si>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</si>
  <si>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</si>
  <si>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</si>
  <si>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</si>
  <si>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t>
  </si>
  <si>
    <t>cup mid-point</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</si>
  <si>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</si>
  <si>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</si>
  <si>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</si>
  <si>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</si>
  <si>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</si>
  <si>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</si>
  <si>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</si>
  <si>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</si>
  <si>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</si>
  <si>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</si>
  <si>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</si>
  <si>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</si>
  <si>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</si>
  <si>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</si>
  <si>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</si>
  <si>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sampler position</t>
  </si>
  <si>
    <t>yyyy:mm:dd hh:mm:ss UTC</t>
  </si>
  <si>
    <t>day</t>
  </si>
  <si>
    <t>comment</t>
  </si>
  <si>
    <t>comment_method</t>
  </si>
  <si>
    <t>dry wt 60C</t>
  </si>
  <si>
    <t>elemental analyser total carbon</t>
  </si>
  <si>
    <t>elemental analyser total nitrogen</t>
  </si>
  <si>
    <t>particulate total carbon minus particulate inorganic carbon</t>
  </si>
  <si>
    <t>comment_sample</t>
  </si>
  <si>
    <t>Processing date</t>
  </si>
  <si>
    <t>Processing comments at sieving stage</t>
  </si>
  <si>
    <t>Borax used: Sigma-Aldrich B3545-500g, Batch# 096K00021</t>
  </si>
  <si>
    <t>FSW carboy 1, GF/F filtered, 10.3.2018, 11:44 UTC, -45.8744S, 142.2646E, 22L + 22g Borax, plenty of amphipods, 2 pteropods</t>
  </si>
  <si>
    <t>FSW carboy 1, GF/F filtered, 10.3.2018, 11:44 UTC, -45.8744S, 142.2646E, 22L + 22g Borax, fine particle sludge stuck to the bottom of the cup, took a lot of squirting with FSW to get it off and onto the sieve</t>
  </si>
  <si>
    <t>FSW carboy 1, GF/F filtered, 10.3.2018, 11:44 UTC, -45.8744S, 142.2646E, 22L + 22g Borax,barely any coverage, almost exclusively white sand, 1 euphausid (?), which disintegrated during transfer onto 1mm sieve, some ended up in the &lt;1mm fraction, white encrusted matieral on bottom of the cup, scraped off with metal spatula (wouldn't come off with FSW) and transferred to &lt;1mm</t>
  </si>
  <si>
    <t>FSW carboy 1, GF/F filtered, 10.3.2018, 11:44 UTC, -45.8744S, 142.2646E, 22L + 22g Borax, white film stuck to the bottom of the cup, scraped off with metal spatula &amp; washed onto sieve, &gt;1mm fraction contained forams, fish scale (?)</t>
  </si>
  <si>
    <t>FSW carboy 1, GF/F filtered, 10.3.2018, 11:44 UTC, -45.8744S, 142.2646E, 22L + 22g Borax, 1mm sediment, but lots of organisms on top, oily film floating on top; splitting: oily film left behind in &lt;1mm jar despite numerous rinsing with FSW</t>
  </si>
  <si>
    <t>FSW carboy 1, GF/F filtered, 10.3.2018, 11:44 UTC, -45.8744S, 142.2646E, 22L + 22g Borax, barely anything, except for 9 salp pellets &amp; white sand</t>
  </si>
  <si>
    <r>
      <t xml:space="preserve">FSW carboy 1, GF/F filtered, 10.3.2018, 11:44 UTC, -45.8744S, 142.2646E, 22L + 22g Borax, </t>
    </r>
    <r>
      <rPr>
        <sz val="12"/>
        <color theme="1"/>
        <rFont val="Calibri"/>
        <family val="2"/>
        <scheme val="minor"/>
      </rPr>
      <t>6 faecal pellets, oily film on top, encrusted greenish cover, scraped off bottom of cup with metal spatula and washed onto sieve</t>
    </r>
  </si>
  <si>
    <t>FSW carboy 1, GF/F filtered, 10.3.2018, 11:44 UTC, -45.8744S, 142.2646E, 22L + 22g Borax, mostly faecal pellets</t>
  </si>
  <si>
    <t>FSW carboy 1, GF/F filtered, 10.3.2018, 11:44 UTC, -45.8744S, 142.2646E, 22L + 22g Borax, big organisms on top, oily film on top, &lt;1mm fraction split across two jars since there were too many faecal pellets to wash through</t>
  </si>
  <si>
    <t>FSW carboy 1, GF/F filtered, 10.3.2018, 11:44 UTC, -45.8744S, 142.2646E, 22L + 22g Borax, lots of big organisms, 2 euphausids, &lt;1mm split across 2 jars due to too many faecal pellets to wash through</t>
  </si>
  <si>
    <t>FSW carboy 1, GF/F filtered, 10.3.2018, 11:44 UTC, -45.8744S, 142.2646E, 22L + 22g Borax, mostly salp pellets, 1 euphausid, copepods, amphipods, 2 &lt;1mm jars, too  many salp pellets; some spillage prior to filtration of fractions 4-6 (filter was misaligned), hence fractions 4-6 were filtered on a separate filter to fractions 7-10 to allow an accurate weight estimate of the whole 10 fractions</t>
  </si>
  <si>
    <t>FSW carboy 1, GF/F filtered, 10.3.2018, 11:44 UTC, -45.8744S, 142.2646E, 22L + 22g Borax, 7 salp pellets &amp; white sand</t>
  </si>
  <si>
    <t>FSW carboy 1, GF/F filtered, 10.3.2018, 11:44 UTC, -45.8744S, 142.2646E, 22L + 22g Borax, faint yellow colour, fish, &lt;1mm fraction split across 2 jars, plenty of amphipods, copepods, exosceleton, &gt;1mm fraction across 2 jars --&gt; need to combine after letting it settle over the weekend</t>
  </si>
  <si>
    <t>FSW carboy 1, GF/F filtered, 10.3.2018, 11:44 UTC, -45.8744S, 142.2646E, 22L + 22g Borax, darker yellow colour than 14, fish, euphausids, &lt;1mm fraction across 3 jars, huge faecal pellets, inside looks like brains (pellets 5-10mm in length), spikey "cyrstal" spheres (radiolarians (?)), amphipods, copepods, pteropod</t>
  </si>
  <si>
    <t>FSW carboy 1, GF/F filtered, 10.3.2018, 11:44 UTC, -45.8744S, 142.2646E, 22L + 22g Borax, darker yellow colour still, large spikey spheres ~5mm diameter (radiolarians ?), crushed on pouring onto 1mm sieve, oily film on top, &lt;1mm across 3 jars, many faecal pellets, amphipods, pteropods, fish, euphausid, copepods</t>
  </si>
  <si>
    <t>FSW carboy 1, GF/F filtered, 10.3.2018, 11:44 UTC, -45.8744S, 142.2646E, 22L + 22g Borax, lighter yellow colour than 16, big pink / orange oil drops on top, fish, lots of amphipods, euphausid, &lt;1mm across 2 jars</t>
  </si>
  <si>
    <t>FSW carboy 1, GF/F filtered, 10.3.2018, 11:44 UTC, -45.8744S, 142.2646E, 22L + 22g Borax, lots of copepods / amphipods, &lt;1mm fraction in 4 jars</t>
  </si>
  <si>
    <t>FSW carboy 1, GF/F filtered, 10.3.2018, 11:44 UTC, -45.8744S, 142.2646E, 22L + 22g Borax, 2x &lt;1mm jars, amphipods, euphausid, cladoceran (?)</t>
  </si>
  <si>
    <t>FSW carboy 1, GF/F filtered, 10.3.2018, 11:44 UTC, -45.8744S, 142.2646E, 22L + 22g Borax, 2x &lt;1mm jars, fish, large amphipods &amp; little ones, cladoceran (?), copepods</t>
  </si>
  <si>
    <t>FSW carboy 1, GF/F filtered, 10.3.2018, 11:44 UTC, -45.8744S, 142.2646E, 22L + 22g Borax, barely any coverage, mostly white sand, 3 forams</t>
  </si>
  <si>
    <t xml:space="preserve">FSW carboy 1, GF/F filtered, 10.3.2018, 11:44 UTC, -45.8744S, 142.2646E, 22L + 22g Borax, radiolarians, pink appendicularian (?) </t>
  </si>
  <si>
    <t>FSW carboy 1, GF/F filtered, 10.3.2018, 11:44 UTC, -45.8744S, 142.2646E, 22L + 22g Borax, pink appendicularian (?), annelids (?)</t>
  </si>
  <si>
    <t>FSW carboy 1, GF/F filtered, 10.3.2018, 11:44 UTC, -45.8744S, 142.2646E, 22L + 22g Borax, oily film on top, pink appendicularian (?), radiolarian, annelids (?), amphipods</t>
  </si>
  <si>
    <t>FSW carboy 1, GF/F filtered, 10.3.2018, 11:44 UTC, -45.8744S, 142.2646E, 22L + 22g Borax, oily film on top</t>
  </si>
  <si>
    <t>FSW carboy 1, GF/F filtered, 10.3.2018, 11:44 UTC, -45.8744S, 142.2646E, 22L + 22g Borax, pink appendicularian (?), euphausid, radiolarians</t>
  </si>
  <si>
    <t>FSW carboy 1, GF/F filtered, 10.3.2018, 11:44 UTC, -45.8744S, 142.2646E, 22L + 22g Borax, ~ dozen fish scales (~ 1cm in length), 1 euphausid, several pink appendicularian (?), &lt;1mm fraction across 2 jars, half eaten amphipod, did the euphausid eat him before he died or did they both fall in from a "swarm" above the trap?, tiny holothurian (?) tiny curled up ball (animal?)</t>
  </si>
  <si>
    <t>FSW carboy 1, GF/F filtered, 10.3.2018, 11:44 UTC, -45.8744S, 142.2646E, 22L + 22g Borax, radiolarians, juvenile krill (?), oily film on top, lots of faecal pellets, &lt;1mm fraction across two jars</t>
  </si>
  <si>
    <t>FSW carboy 2, GF/F filtered, 10.3.2018, 11:44 UTC, -45.8744S, 142.2646E, 25L + 25g Borax, long white worm(s?), many faecal pellets, &lt;1mm fraction across 3 jars</t>
  </si>
  <si>
    <t>FSW carboy 2, GF/F filtered, 10.3.2018, 11:44 UTC, -45.8744S, 142.2646E, 25L + 25g Borax, oily film on top, large annelid (?), plenty of faecal pelets, pteropod, salp (?), &lt;1mm across 3 jars</t>
  </si>
  <si>
    <t>FSW carboy 2, GF/F filtered, 10.3.2018, 11:44 UTC, -45.8744S, 142.2646E, 25L + 25g Borax, fish scales ~4 (1cm in length), &lt;1mm fraction across 2 jars</t>
  </si>
  <si>
    <t>FSW carboy 2, GF/F filtered, 10.3.2018, 11:44 UTC, -45.8744S, 142.2646E, 25L + 25g Borax, thin white debirs floating on top, lots of large faecal pellets, &lt;1mm fraction across 2 jars</t>
  </si>
  <si>
    <t>FSW carboy 2, GF/F filtered, 10.3.2018, 11:44 UTC, -45.8744S, 142.2646E, 25L + 25g Borax, yellow worm, plenty of faecal pellets, radiolarian, copepods, amphipod</t>
  </si>
  <si>
    <t>FSW carboy 2, GF/F filtered, 10.3.2018, 11:44 UTC, -45.8744S, 142.2646E, 25L + 25g Borax; splitting: a few drops spilled before pouring into splitter tray</t>
  </si>
  <si>
    <t>FSW carboy 2, GF/F filtered, 10.3.2018, 11:44 UTC, -45.8744S, 142.2646E, 25L + 25g Borax, gill plate, fish bones, scales, etc., &lt;1mm fraction across 2 jars</t>
  </si>
  <si>
    <t>FSW carboy 2, GF/F filtered, 10.3.2018, 11:44 UTC, -45.8744S, 142.2646E, 25L + 25g Borax, &lt;1mm fraction across 2 jars</t>
  </si>
  <si>
    <t>FSW carboy 2, GF/F filtered, 10.3.2018, 11:44 UTC, -45.8744S, 142.2646E, 25L + 25g Borax, oily film on top, huge fish scale (~2cm wide), &lt;1mm fraction across 3 jars</t>
  </si>
  <si>
    <t>FSW carboy 2, GF/F filtered, 10.3.2018, 11:44 UTC, -45.8744S, 142.2646E, 25L + 25g Borax, oily film on top, radiolarians, plenty of faecal matter, &lt;1mm fraction split across 2 jars</t>
  </si>
  <si>
    <t>FSW carboy 2, GF/F filtered, 10.3.2018, 11:44 UTC, -45.8744S, 142.2646E, 25L + 25g Borax, pink appendicularian (?), radiolarians, &lt;1mm fraction split acros 2 jars</t>
  </si>
  <si>
    <t>FSW carboy 2, GF/F filtered, 10.3.2018, 11:44 UTC, -45.8744S, 142.2646E, 25L + 25g Borax, pink appendicularian (?), radiolarians, &lt;1mm fraction split acros 3 jars</t>
  </si>
  <si>
    <t>FSW carboy 2, GF/F filtered, 10.3.2018, 11:44 UTC, -45.8744S, 142.2646E, 25L + 25g Borax, pink appendicularians (?), radiolarian, &lt;1mm fraction across 2 jars, strange "teeth" &amp; strange copepod</t>
  </si>
  <si>
    <t>FSW carboy 2, GF/F filtered, 10.3.2018, 11:44 UTC, -45.8744S, 142.2646E, 25L + 25g Borax, oil drops on top, 1 euphausid + 1 exoskeleton, amphipods</t>
  </si>
  <si>
    <t>Overall 3800m faecal pellets in 3800m samples were in general more stringy and sticky and therefore harder to wash through the 1mm sieve compared to 1000m and 2000m samples (see photos)</t>
  </si>
  <si>
    <t>FSW carboy 2, GF/F filtered, 10.3.2018, 11:44 UTC, -45.8744S, 142.2646E, 25L + 25g Borax</t>
  </si>
  <si>
    <t>FSW carboy 2, GF/F filtered, 10.3.2018, 11:44 UTC, -45.8744S, 142.2646E, 25L + 25g Borax, "jelly" animals, radiolarians</t>
  </si>
  <si>
    <t>FSW carboy 2, GF/F filtered, 10.3.2018, 11:44 UTC, -45.8744S, 142.2646E, 25L + 25g Borax, salp?, radiolarians</t>
  </si>
  <si>
    <t>FSW carboy 2, GF/F filtered, 10.3.2018, 11:44 UTC, -45.8744S, 142.2646E, 25L + 25g Borax, radiolarians</t>
  </si>
  <si>
    <t>FSW carboy 2, GF/F filtered, 10.3.2018, 11:44 UTC, -45.8744S, 142.2646E, 25L + 25g Borax, &lt;1mm fraction split across 2 jars, strange copepod, "jelly" like organisms, radiolarians</t>
  </si>
  <si>
    <t>FSW carboy 2, GF/F filtered, 10.3.2018, 11:44 UTC, -45.8744S, 142.2646E, 25L + 25g Borax, &lt;1mm fraction split across 2 jars, same copepod as cup 6, more "jelly" like organisms, radiolarians</t>
  </si>
  <si>
    <t>FSW carboy 2, GF/F filtered, 10.3.2018, 11:44 UTC, -45.8744S, 142.2646E, 25L + 25g Borax, large amphipod (?), radiolarians, &lt;1mm fraction split across 2 jars due to ample faecal pellets</t>
  </si>
  <si>
    <t>FSW carboy 2, GF/F filtered, 10.3.2018, 11:44 UTC, -45.8744S, 142.2646E, 25L + 25g Borax, "jelly" like organisms, plenty of faecal pellets, &lt;1mm fraction across 2 jars</t>
  </si>
  <si>
    <t>FSW carboy 2, GF/F filtered, 10.3.2018, 11:44 UTC, -45.8744S, 142.2646E, 25L + 25g Borax, fish scale (~5mm), radiolarians, salps (?), &lt;1mm fraction across 2 jars</t>
  </si>
  <si>
    <t>FSW carboy 2, GF/F filtered, 10.3.2018, 11:44 UTC, -45.8744S, 142.2646E, 25L + 25g Borax, amphipod (?), radiolarians, plenty of faecal pellets</t>
  </si>
  <si>
    <t>FSW carboy 2, GF/F filtered, 10.3.2018, 11:44 UTC, -45.8744S, 142.2646E, 25L + 25g Borax, oily film on top, &lt;1mm fraction across 2 jars</t>
  </si>
  <si>
    <t>FSW carboy 2, GF/F filtered, 10.3.2018, 11:44 UTC, -45.8744S, 142.2646E, 25L + 25g Borax, plenty of faecal pellets, radiolarian in faecal pellet (?)</t>
  </si>
  <si>
    <r>
      <t>FSW carboy 2, GF/F filtered, 10.3.2018, 11:44 UTC, -45.8744S, 142.2646E, 25L + 25g Borax, + FSW carboy 3, GF/F filtered, 10.3.2018, 11:44 UTC, -45.8744S, 142.2646E, 21L + 21g Borax, &lt;1mm fraction across 2 jars; from this cup to 21 splitting used FSW 27/3/2015 5:52 UTC CTD site 141</t>
    </r>
    <r>
      <rPr>
        <sz val="12"/>
        <color theme="1"/>
        <rFont val="Calibri"/>
        <family val="2"/>
        <charset val="204"/>
      </rPr>
      <t>°</t>
    </r>
    <r>
      <rPr>
        <sz val="12"/>
        <color theme="1"/>
        <rFont val="Calibri"/>
        <family val="2"/>
        <charset val="204"/>
      </rPr>
      <t>34E, 46°50S +25g (Di)</t>
    </r>
  </si>
  <si>
    <t>FSW carboy 3, GF/F filtered, 10.3.2018, 11:44 UTC, -45.8744S, 142.2646E, 21L + 21g Borax, &lt;1mm fraction split across 3 jars</t>
  </si>
  <si>
    <t>FSW carboy 3, GF/F filtered, 10.3.2018, 11:44 UTC, -45.8744S, 142.2646E, 21L + 21g Borax, &lt;1mm fraction split across 3 jars, 2 salps (?), 1 amphipod (?)</t>
  </si>
  <si>
    <t>FSW carboy 3, GF/F filtered, 10.3.2018, 11:44 UTC, -45.8744S, 142.2646E, 21L + 21g Borax, &lt;1mm fraction split across 2 jars</t>
  </si>
  <si>
    <t>FSW carboy 3, GF/F filtered, 10.3.2018, 11:44 UTC, -45.8744S, 142.2646E, 21L + 21g Borax, &lt;1mm fraction split across 2 jars, pteropod shell</t>
  </si>
  <si>
    <t>FSW carboy 3, GF/F filtered, 10.3.2018, 11:44 UTC, -45.8744S, 142.2646E, 21L + 21g Borax, radiolarians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</si>
  <si>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</si>
  <si>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</si>
  <si>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</si>
  <si>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</si>
  <si>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</si>
  <si>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</si>
  <si>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</si>
  <si>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</si>
  <si>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</si>
  <si>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CWE-A1</t>
  </si>
  <si>
    <t>NA</t>
  </si>
  <si>
    <t>CWE-A2</t>
  </si>
  <si>
    <t>%difference between duplicates</t>
  </si>
  <si>
    <t>CWE-A3</t>
  </si>
  <si>
    <t>%N</t>
  </si>
  <si>
    <t>%C</t>
  </si>
  <si>
    <t>CWE-A4</t>
  </si>
  <si>
    <t>CWE-A5</t>
  </si>
  <si>
    <t>CWE-A6</t>
  </si>
  <si>
    <t>CWE-A7</t>
  </si>
  <si>
    <t>average</t>
  </si>
  <si>
    <t>CWE-A8</t>
  </si>
  <si>
    <t>CWE-A9</t>
  </si>
  <si>
    <t>CWE-A10</t>
  </si>
  <si>
    <t>CWE-A11</t>
  </si>
  <si>
    <t>CWE-A12</t>
  </si>
  <si>
    <t>CSL internal standard</t>
  </si>
  <si>
    <t>CWE-B1</t>
  </si>
  <si>
    <t>CWE-B2</t>
  </si>
  <si>
    <t>CWE-B3</t>
  </si>
  <si>
    <t>CWE-B4</t>
  </si>
  <si>
    <t>CWE-B5</t>
  </si>
  <si>
    <t>CWE-B6</t>
  </si>
  <si>
    <t>CWE-B7</t>
  </si>
  <si>
    <t>CWE-B8</t>
  </si>
  <si>
    <t>CWE-B9</t>
  </si>
  <si>
    <t>CWE-B10</t>
  </si>
  <si>
    <t>CWE-B11</t>
  </si>
  <si>
    <t>CWE-B12</t>
  </si>
  <si>
    <t>CWE-C1</t>
  </si>
  <si>
    <t>CWE-C2</t>
  </si>
  <si>
    <t>CWE-C3</t>
  </si>
  <si>
    <t>CWE-C4</t>
  </si>
  <si>
    <t>CWE-C5</t>
  </si>
  <si>
    <t>CWE-C6</t>
  </si>
  <si>
    <t>CWE-C7</t>
  </si>
  <si>
    <t>CWE-C8</t>
  </si>
  <si>
    <t>CWE-C9</t>
  </si>
  <si>
    <t>CWE-C10</t>
  </si>
  <si>
    <t>CWE-C11</t>
  </si>
  <si>
    <t>CWE-C12</t>
  </si>
  <si>
    <t>CWE-D1</t>
  </si>
  <si>
    <t>CWE-D2</t>
  </si>
  <si>
    <t>CWE-D3</t>
  </si>
  <si>
    <t>CWE-D4</t>
  </si>
  <si>
    <t>CWE-D5</t>
  </si>
  <si>
    <t>CWE-D6</t>
  </si>
  <si>
    <t>CWE-D7</t>
  </si>
  <si>
    <t>CWE-D8</t>
  </si>
  <si>
    <t>CWE-D9</t>
  </si>
  <si>
    <t>CWE-D10</t>
  </si>
  <si>
    <t>CWE-D11</t>
  </si>
  <si>
    <t>CWE-D12</t>
  </si>
  <si>
    <t>CWE-E1</t>
  </si>
  <si>
    <t>CWE-E2</t>
  </si>
  <si>
    <t>CWE-E3</t>
  </si>
  <si>
    <t>CWE-E4</t>
  </si>
  <si>
    <t>CWE-E5</t>
  </si>
  <si>
    <t>CWE-E6</t>
  </si>
  <si>
    <t>CWE-E7</t>
  </si>
  <si>
    <t>CWE-E8</t>
  </si>
  <si>
    <t>CWE-E9</t>
  </si>
  <si>
    <t>CWE-E10</t>
  </si>
  <si>
    <t>CWE-E11</t>
  </si>
  <si>
    <t>CWE-E12</t>
  </si>
  <si>
    <t>CWE-F1</t>
  </si>
  <si>
    <t>CWE-F2</t>
  </si>
  <si>
    <t>CWE-F3</t>
  </si>
  <si>
    <t>CWE-F4</t>
  </si>
  <si>
    <t>CWE-F5</t>
  </si>
  <si>
    <t>CWE-F6</t>
  </si>
  <si>
    <t>CWE-F7</t>
  </si>
  <si>
    <t>CWE-F8</t>
  </si>
  <si>
    <t>CWE-F9</t>
  </si>
  <si>
    <t>CWE-F10</t>
  </si>
  <si>
    <t>CWE-F11</t>
  </si>
  <si>
    <t>CWE-F12</t>
  </si>
  <si>
    <t>CWE-G1</t>
  </si>
  <si>
    <t>CWE-G2</t>
  </si>
  <si>
    <t>CWE-G3</t>
  </si>
  <si>
    <t>copied from C:\Users\cawynn\Dropbox\sediment trap lab proc\RAW data\CHN, file name "saz19_CHN_results_August 2018.xls"</t>
  </si>
  <si>
    <t>blank 1</t>
  </si>
  <si>
    <t>blank 2</t>
  </si>
  <si>
    <t>blank 3</t>
  </si>
  <si>
    <t>blank 4</t>
  </si>
  <si>
    <t>blank 5</t>
  </si>
  <si>
    <t>blank 6</t>
  </si>
  <si>
    <t>blank 7</t>
  </si>
  <si>
    <t>1999_54_1500_14a</t>
  </si>
  <si>
    <t>2017_46_1000_01</t>
  </si>
  <si>
    <t>2017_46_1000_02</t>
  </si>
  <si>
    <t>2017_46_1000_03</t>
  </si>
  <si>
    <t>2017_46_1000_04_a</t>
  </si>
  <si>
    <t>2017_46_1000_04_b</t>
  </si>
  <si>
    <t>2017_46_1000_05</t>
  </si>
  <si>
    <t>2017_46_1000_06</t>
  </si>
  <si>
    <t>2017_46_1000_07</t>
  </si>
  <si>
    <t>2017_46_1000_08</t>
  </si>
  <si>
    <t>2017_46_1000_09</t>
  </si>
  <si>
    <t>2017_46_1000_10</t>
  </si>
  <si>
    <t>2017_46_1000_11</t>
  </si>
  <si>
    <t>2017_46_1000_12</t>
  </si>
  <si>
    <t>2017_46_1000_13</t>
  </si>
  <si>
    <t>blank 8</t>
  </si>
  <si>
    <t>2017_46_2000_15</t>
  </si>
  <si>
    <t>2017_46_2000_16</t>
  </si>
  <si>
    <t>2017_46_2000_17</t>
  </si>
  <si>
    <t>2017_46_2000_18_a</t>
  </si>
  <si>
    <t>2017_46_2000_18_b</t>
  </si>
  <si>
    <t>2017_46_2000_19</t>
  </si>
  <si>
    <t>2017_46_2000_20</t>
  </si>
  <si>
    <t>2017_46_3800_15</t>
  </si>
  <si>
    <t>2017_46_3800_16</t>
  </si>
  <si>
    <t>2017_46_3800_17</t>
  </si>
  <si>
    <t>2017_46_3800_18</t>
  </si>
  <si>
    <t>2017_46_3800_19</t>
  </si>
  <si>
    <t>2017_46_3800_20_a</t>
  </si>
  <si>
    <t>2017_46_3800_20_b</t>
  </si>
  <si>
    <t>2017_46_2000_14</t>
  </si>
  <si>
    <t>2017_46_3800_3</t>
  </si>
  <si>
    <t>2017_46_3800_4</t>
  </si>
  <si>
    <t>2017_46_3800_5</t>
  </si>
  <si>
    <t>2017_46_3800_14</t>
  </si>
  <si>
    <t>2017_46_1000_14_a_rep</t>
  </si>
  <si>
    <t>2017_46_1000_14_b_rep</t>
  </si>
  <si>
    <t>blank 8 (no tin cup)</t>
  </si>
  <si>
    <t>blank 9 (no tin cup)</t>
  </si>
  <si>
    <t>programmed the coulometer to only analyse 23 instead of 24 samples</t>
  </si>
  <si>
    <t>2017_46_2000_15_rep</t>
  </si>
  <si>
    <t>2017_46_2000_16_rep</t>
  </si>
  <si>
    <t>2017_46_3800_20_rep</t>
  </si>
  <si>
    <t>2017_46_1000_4a_rep</t>
  </si>
  <si>
    <t>2017_46_1000_4b_rep</t>
  </si>
  <si>
    <t>2017_46_1000_15_rep</t>
  </si>
  <si>
    <t>2017_46_1000_16_rep</t>
  </si>
  <si>
    <t>2017_46_1000_17_rep</t>
  </si>
  <si>
    <t>2017_46_1000_18_rep</t>
  </si>
  <si>
    <t>2017_46_1000_19_rep</t>
  </si>
  <si>
    <t>2017_46_1000_20_rep</t>
  </si>
  <si>
    <t>2017_46_2000_2_rep</t>
  </si>
  <si>
    <t>2017_46_2000_3_rep</t>
  </si>
  <si>
    <t>2017_46_2000_4_rep</t>
  </si>
  <si>
    <t>moisture droplets visible in line just before Nafion, accidentally dislodged the droplets and they went into the Nafion, maybe these blanks should be disregarded therefore</t>
  </si>
  <si>
    <t>repeats</t>
  </si>
  <si>
    <t>%CaCO3</t>
  </si>
  <si>
    <t>original value</t>
  </si>
  <si>
    <t>repeat reading</t>
  </si>
  <si>
    <t>% difference to first reading</t>
  </si>
  <si>
    <t>average/useable reading</t>
  </si>
  <si>
    <t>readings were taken Monday, although the samples were purged and acidified overnight Thursday the week prior</t>
  </si>
  <si>
    <t>curves looked bad during first run</t>
  </si>
  <si>
    <t>2017_46_2000_5_rep</t>
  </si>
  <si>
    <t>2017_46_2000_6_rep</t>
  </si>
  <si>
    <t>2017_46_2000_7_rep</t>
  </si>
  <si>
    <t>2017_46_2000_8_rep</t>
  </si>
  <si>
    <t>2017_46_2000_9_rep</t>
  </si>
  <si>
    <t xml:space="preserve">blank 7 </t>
  </si>
  <si>
    <t>2017_46_2000_1a_rep</t>
  </si>
  <si>
    <t>2017_46_2000_1b_rep</t>
  </si>
  <si>
    <t>2017_46_2000_10_rep</t>
  </si>
  <si>
    <t>2017_46_2000_11</t>
  </si>
  <si>
    <t>moisture visible in line before Nafion drier, but didn’t' touch it this time</t>
  </si>
  <si>
    <t>just noticed that the flow meter is only reading 2, instead of 16! There is enough N2 in the tank still!</t>
  </si>
  <si>
    <t>When I took the 0.22um filter out, the flow meter went back up to the normal reading! The 0.22um filter was wet in side</t>
  </si>
  <si>
    <t>2017_46_1000_21_rep</t>
  </si>
  <si>
    <t>noticed condensation droplets after 0.22um filter already</t>
  </si>
  <si>
    <t>2017_46_2000_12</t>
  </si>
  <si>
    <t>flow rate still ok</t>
  </si>
  <si>
    <t>2017_46_2000_13</t>
  </si>
  <si>
    <t>2017_46_3800_1a</t>
  </si>
  <si>
    <t>2017_46_3800_1b</t>
  </si>
  <si>
    <t>changed 0.22um filter after sample 18, hit pause on the macro, changed filter and then let the system be flushed with N2 by placing the needle into position 40 for 3min before returning it to the Gilson autosampler and hitting resume on the macro</t>
  </si>
  <si>
    <t>2017_46_3800_2</t>
  </si>
  <si>
    <t>2017_46_3800_6</t>
  </si>
  <si>
    <t>2017_46_3800_7</t>
  </si>
  <si>
    <t>2017_46_3800_8</t>
  </si>
  <si>
    <t>2017_46_2000_21</t>
  </si>
  <si>
    <t>2017_46_3800_9</t>
  </si>
  <si>
    <t>2017_46_3800_10</t>
  </si>
  <si>
    <t>noticed condensation droplets in line after 0.22um filter</t>
  </si>
  <si>
    <t>2017_46_3800_11</t>
  </si>
  <si>
    <t>2017_46_3800_12</t>
  </si>
  <si>
    <t>2017_46_3800_13</t>
  </si>
  <si>
    <t>2017_46_3800_21</t>
  </si>
  <si>
    <t>CaCO3 Std.1  305.3</t>
  </si>
  <si>
    <t>CaCO3 Std.2  852.9</t>
  </si>
  <si>
    <t>CaCO3 Std.3  1501.6</t>
  </si>
  <si>
    <t>CaCO3 Std.4  2777</t>
  </si>
  <si>
    <t>CaCO3 Std.5  3437.2</t>
  </si>
  <si>
    <t>CaCO3 Std.3  1502.8</t>
  </si>
  <si>
    <t>CaCO3 Std.1  368.7</t>
  </si>
  <si>
    <t>CaCO3 Std.2  748.9</t>
  </si>
  <si>
    <t>CaCO3 Std.3  1586.7</t>
  </si>
  <si>
    <t>CaCO3 Std.4  2624.7</t>
  </si>
  <si>
    <t>CaCO3 Std.5  4049.2</t>
  </si>
  <si>
    <t>CaCO3 Std.3  1425.3</t>
  </si>
  <si>
    <t>CaCO3 Std.1  334.9</t>
  </si>
  <si>
    <t>CaCO3 Std.2  792.8</t>
  </si>
  <si>
    <t>CaCO3 Std.3  1423.5</t>
  </si>
  <si>
    <t>CaCO3 Std.4  2409.3</t>
  </si>
  <si>
    <t>CaCO3 Std.5  3491.1</t>
  </si>
  <si>
    <t>CaCO3 Std.3  1716.1</t>
  </si>
  <si>
    <t>CaCO3 Std.1  200.8</t>
  </si>
  <si>
    <t>CaCO3 Std.2  995.7</t>
  </si>
  <si>
    <t>CaCO3 Std.3  1653.9</t>
  </si>
  <si>
    <t>CaCO3 Std.4  2582.8</t>
  </si>
  <si>
    <t>CaCO3 Std.5  3462</t>
  </si>
  <si>
    <t>CaCO3 Std.3  1674.5</t>
  </si>
  <si>
    <t>CaCO3 Std.1  229.8</t>
  </si>
  <si>
    <t>CaCO3 Std.2  925.2</t>
  </si>
  <si>
    <t>CaCO3 Std.3  1854.2</t>
  </si>
  <si>
    <t>CaCO3 Std.4  2931.8</t>
  </si>
  <si>
    <t>CaCO3 Std.5  3994.9</t>
  </si>
  <si>
    <t>CaCO3 Std.3  1559</t>
  </si>
  <si>
    <t>CaCO3 Std.1  353.1</t>
  </si>
  <si>
    <t>CaCO3 Std.2  1090.1</t>
  </si>
  <si>
    <t>CaCO3 Std.3  1956.3</t>
  </si>
  <si>
    <t>CaCO3 Std.4  2518.6</t>
  </si>
  <si>
    <t>CaCO3 Std.5  4049.4</t>
  </si>
  <si>
    <t>CaCO3 Std.3  1333.1</t>
  </si>
  <si>
    <t>CaCO3 Std.1  222.6</t>
  </si>
  <si>
    <t>CaCO3 Std.2  798.3</t>
  </si>
  <si>
    <t>CaCO3 Std.3  1348.1</t>
  </si>
  <si>
    <t>CaCO3 Std.4  2738.7</t>
  </si>
  <si>
    <t>CaCO3 Std.5  3587.7</t>
  </si>
  <si>
    <t>CaCO3 Std.3  1570.1</t>
  </si>
  <si>
    <t>copied from C:\Users\cawynn\Dropbox\sediment trap lab proc\RAW data\PIC, file name "PIC_SEDIMENT TRAP_RESULTS_CWE_2018.xls"</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</si>
  <si>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</si>
  <si>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</si>
  <si>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</si>
  <si>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</si>
  <si>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</si>
  <si>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</si>
  <si>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</si>
  <si>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</si>
  <si>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</si>
  <si>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</si>
  <si>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</si>
  <si>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</si>
  <si>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</si>
  <si>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</si>
  <si>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</si>
  <si>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Gas Flow Rate (ml/min)</t>
  </si>
  <si>
    <t>Heating Block Temperature (degrees C)</t>
  </si>
  <si>
    <t>Coulometer Cell Volume (mls)</t>
  </si>
  <si>
    <t>Sample Run Time</t>
  </si>
  <si>
    <t>Weighed by</t>
  </si>
  <si>
    <t>Analysed by</t>
  </si>
  <si>
    <t>All samples were dried again @ 60C over two nights prior to weighing</t>
  </si>
  <si>
    <t>FLAG</t>
  </si>
  <si>
    <t>cup #</t>
  </si>
  <si>
    <t>std curve</t>
  </si>
  <si>
    <t>I used average blanks per run</t>
  </si>
  <si>
    <t>3 replicates</t>
  </si>
  <si>
    <t>2 replicates</t>
  </si>
  <si>
    <t>lots of &gt;1mm organisms, little sediment</t>
  </si>
  <si>
    <t>lots of salp pellets, hardly anything else but white sand</t>
  </si>
  <si>
    <t>salp pellets</t>
  </si>
  <si>
    <t>salp pellets &amp; white sand</t>
  </si>
  <si>
    <t>fish &amp; lots of amphipods, copepods &amp; faecal pellets</t>
  </si>
  <si>
    <t>filter white with forams!</t>
  </si>
  <si>
    <t>white sand obvious on filter</t>
  </si>
  <si>
    <t>Mass QC</t>
  </si>
  <si>
    <t>Estimated depth</t>
  </si>
  <si>
    <t>pres-between points</t>
  </si>
  <si>
    <t>wire between points</t>
  </si>
  <si>
    <t>CMD-ID</t>
  </si>
  <si>
    <t>SAZ46-19 Depths</t>
  </si>
  <si>
    <t>stdev.p</t>
  </si>
  <si>
    <t>high tilts for 1000 and 2000m traps!</t>
  </si>
  <si>
    <t>blanks</t>
  </si>
  <si>
    <t>n</t>
  </si>
  <si>
    <t>samples</t>
  </si>
  <si>
    <t>% of sample average</t>
  </si>
  <si>
    <t>09/07/2018</t>
  </si>
  <si>
    <t>16:28</t>
  </si>
  <si>
    <t>16:40</t>
  </si>
  <si>
    <t>16:52</t>
  </si>
  <si>
    <t>17:05</t>
  </si>
  <si>
    <t>17:16</t>
  </si>
  <si>
    <t>17:28</t>
  </si>
  <si>
    <t>17:40</t>
  </si>
  <si>
    <t>17:52</t>
  </si>
  <si>
    <t>18:04</t>
  </si>
  <si>
    <t>18:16</t>
  </si>
  <si>
    <t>18:29</t>
  </si>
  <si>
    <t>18:41</t>
  </si>
  <si>
    <t>18:53</t>
  </si>
  <si>
    <t>19:05</t>
  </si>
  <si>
    <t>19:17</t>
  </si>
  <si>
    <t>19:29</t>
  </si>
  <si>
    <t>19:42</t>
  </si>
  <si>
    <t>19:54</t>
  </si>
  <si>
    <t>20:06</t>
  </si>
  <si>
    <t>20:17</t>
  </si>
  <si>
    <t>20:29</t>
  </si>
  <si>
    <t>20:41</t>
  </si>
  <si>
    <t>20:53</t>
  </si>
  <si>
    <t>21:05</t>
  </si>
  <si>
    <t>21:17</t>
  </si>
  <si>
    <t>21:30</t>
  </si>
  <si>
    <t>21:42</t>
  </si>
  <si>
    <t>21:54</t>
  </si>
  <si>
    <t>22:06</t>
  </si>
  <si>
    <t>22:18</t>
  </si>
  <si>
    <t>22:30</t>
  </si>
  <si>
    <t>22:42</t>
  </si>
  <si>
    <t>22:54</t>
  </si>
  <si>
    <t>23:06</t>
  </si>
  <si>
    <t>23:18</t>
  </si>
  <si>
    <t>23:30</t>
  </si>
  <si>
    <t>23:42</t>
  </si>
  <si>
    <t>23:54</t>
  </si>
  <si>
    <t>10/07/2018</t>
  </si>
  <si>
    <t>00:06</t>
  </si>
  <si>
    <t>00:19</t>
  </si>
  <si>
    <t>00:31</t>
  </si>
  <si>
    <t>00:43</t>
  </si>
  <si>
    <t>00:55</t>
  </si>
  <si>
    <t>01:07</t>
  </si>
  <si>
    <t>01:19</t>
  </si>
  <si>
    <t>01:31</t>
  </si>
  <si>
    <t>01:43</t>
  </si>
  <si>
    <t>01:55</t>
  </si>
  <si>
    <t>02:07</t>
  </si>
  <si>
    <t>02:19</t>
  </si>
  <si>
    <t>02:31</t>
  </si>
  <si>
    <t>02:43</t>
  </si>
  <si>
    <t>02:55</t>
  </si>
  <si>
    <t>03:07</t>
  </si>
  <si>
    <t>03:20</t>
  </si>
  <si>
    <t>03:32</t>
  </si>
  <si>
    <t>03:44</t>
  </si>
  <si>
    <t>03:56</t>
  </si>
  <si>
    <t>04:08</t>
  </si>
  <si>
    <t>04:20</t>
  </si>
  <si>
    <t>04:32</t>
  </si>
  <si>
    <t>04:44</t>
  </si>
  <si>
    <t>04:56</t>
  </si>
  <si>
    <t>05:08</t>
  </si>
  <si>
    <t>05:20</t>
  </si>
  <si>
    <t>05:32</t>
  </si>
  <si>
    <t>05:44</t>
  </si>
  <si>
    <t>05:56</t>
  </si>
  <si>
    <t>06:09</t>
  </si>
  <si>
    <t>06:21</t>
  </si>
  <si>
    <t>06:33</t>
  </si>
  <si>
    <t>06:45</t>
  </si>
  <si>
    <t>06:57</t>
  </si>
  <si>
    <t>07:09</t>
  </si>
  <si>
    <t>07:21</t>
  </si>
  <si>
    <t>07:33</t>
  </si>
  <si>
    <t>07:45</t>
  </si>
  <si>
    <t>07:57</t>
  </si>
  <si>
    <t>08:09</t>
  </si>
  <si>
    <t>08:21</t>
  </si>
  <si>
    <t>08:33</t>
  </si>
  <si>
    <t>08:46</t>
  </si>
  <si>
    <t>Microbalance, Mettler-Toledo (UMX2, SNR 1127231697)</t>
  </si>
  <si>
    <t>Analytical precision calculation / standard error of regression</t>
  </si>
  <si>
    <t>Estimate (ug C) from calibration curve</t>
  </si>
  <si>
    <t>standard deviation about the regression</t>
  </si>
  <si>
    <t>ugC</t>
  </si>
  <si>
    <t>ugCaCO3</t>
  </si>
  <si>
    <t>UIC ugC reading</t>
  </si>
  <si>
    <t>% average sample</t>
  </si>
  <si>
    <t>max precision ugC</t>
  </si>
  <si>
    <t>min precision ugC</t>
  </si>
  <si>
    <t>copied from "SAZ19_Bsi raw data from CSIRO hydrochem_July 2018" in dropbox under raw data / Bsi</t>
  </si>
  <si>
    <t>difference CB measured from certified value</t>
  </si>
  <si>
    <t>average sample</t>
  </si>
  <si>
    <t>=</t>
  </si>
  <si>
    <t>% of average sample</t>
  </si>
  <si>
    <t>used to calculate result</t>
  </si>
  <si>
    <t>not used</t>
  </si>
  <si>
    <t>Samples dried in gravity convection oven at 60dC over three nights without caps.</t>
  </si>
  <si>
    <t>undercollecting</t>
  </si>
  <si>
    <t>Quick plots</t>
  </si>
  <si>
    <t>mean all depths</t>
  </si>
  <si>
    <t>stdevp</t>
  </si>
  <si>
    <t>95%ci</t>
  </si>
  <si>
    <t>POC/PIC</t>
  </si>
  <si>
    <t>POC/Bsi</t>
  </si>
  <si>
    <t>E</t>
  </si>
  <si>
    <t>Q</t>
  </si>
  <si>
    <t>T</t>
  </si>
  <si>
    <t>U</t>
  </si>
  <si>
    <t>S</t>
  </si>
  <si>
    <t>mol/mol</t>
  </si>
  <si>
    <t>umol/m2/d</t>
  </si>
  <si>
    <t>mean 1000</t>
  </si>
  <si>
    <t>mean 2000</t>
  </si>
  <si>
    <t>mean 3800</t>
  </si>
  <si>
    <t>Bray 2000</t>
  </si>
  <si>
    <t>mean LSi all depths</t>
  </si>
  <si>
    <t>%LSi</t>
  </si>
  <si>
    <r>
      <t>depth actual 834</t>
    </r>
    <r>
      <rPr>
        <sz val="10"/>
        <color rgb="FFFF0000"/>
        <rFont val="Arial"/>
        <family val="2"/>
      </rPr>
      <t xml:space="preserve"> </t>
    </r>
  </si>
  <si>
    <r>
      <t>depth actual 3712.5</t>
    </r>
    <r>
      <rPr>
        <sz val="10"/>
        <color rgb="FFFF0000"/>
        <rFont val="Arial"/>
        <family val="2"/>
      </rPr>
      <t xml:space="preserve"> </t>
    </r>
  </si>
  <si>
    <r>
      <t>depth actual 1837.9</t>
    </r>
    <r>
      <rPr>
        <sz val="10"/>
        <color rgb="FFFF0000"/>
        <rFont val="Arial"/>
        <family val="2"/>
      </rPr>
      <t xml:space="preserve"> </t>
    </r>
  </si>
  <si>
    <t>Deployment 21/03/2017 IN2017_V2</t>
  </si>
  <si>
    <t>McLane sn 14182-01, G250x21</t>
  </si>
  <si>
    <t>McLane sn 2241, B250x21</t>
  </si>
  <si>
    <t>McLane sn 10705-011, A250x21</t>
  </si>
  <si>
    <t>Pickup 10/03/2018 IN2018_V02</t>
  </si>
  <si>
    <t>brines dilute</t>
  </si>
  <si>
    <t>PIC/PN</t>
  </si>
  <si>
    <t>salts</t>
  </si>
  <si>
    <t>supernatant</t>
  </si>
  <si>
    <t>The bottom length of blue dynex was tangled with the red float pack and the trap. The bottom SBE was mashed but data intact.</t>
  </si>
  <si>
    <t>Note: there is now a SBE at each trap however the bottom SBE was mashed but data intact.</t>
  </si>
  <si>
    <t>Measurements from the pressure sensors on SAZ47-19,</t>
  </si>
  <si>
    <t>SAZ/IMOS_ABOS-SOTS_CSTZ_20170317_SAZ47_FV01_SAZ47-19-2017-SBE37SM-RS232-1000_END-20180311_C-20180504.nc</t>
  </si>
  <si>
    <t>       840.94       834.14</t>
  </si>
  <si>
    <t>SAZ/IMOS_ABOS-SOTS_AETVZ_20170317_SAZ47_FV01_SAZ47-19-2017-Aquadopp-Current-Meter-1200_END-20180311_C-20180504.nc</t>
  </si>
  <si>
    <t>       1068.6       1062.1</t>
  </si>
  <si>
    <t>SAZ/IMOS_ABOS-SOTS_CSTZ_20170317_SAZ47_FV01_SAZ47-19-2017-SBE37SM-RS232-2000_END-20180311_C-20180504.nc</t>
  </si>
  <si>
    <t>       1842.1       1837.9</t>
  </si>
  <si>
    <t>SAZ/IMOS_ABOS-SOTS_CSTZ_20170317_SAZ47_FV01_SAZ47-19-2017-SBE37-SM-4500_END-20180311_C-20180504.nc</t>
  </si>
  <si>
    <t>       4434.8       4434.9</t>
  </si>
  <si>
    <t>SAZ/IMOS_ABOS-SOTS_TZ_20170317_SAZ47_FV01_SAZ47-19-2017-TDR-2050-3800_END-20180311_C-20180504.nc</t>
  </si>
  <si>
    <t>       3713.6       3712.5</t>
  </si>
  <si>
    <r>
      <t>First number is the mean, 2</t>
    </r>
    <r>
      <rPr>
        <vertAlign val="superscript"/>
        <sz val="11"/>
        <color rgb="FF1F497D"/>
        <rFont val="Calibri"/>
        <family val="2"/>
        <scheme val="minor"/>
      </rPr>
      <t>nd</t>
    </r>
    <r>
      <rPr>
        <sz val="11"/>
        <color rgb="FF1F497D"/>
        <rFont val="Calibri"/>
        <family val="2"/>
        <scheme val="minor"/>
      </rPr>
      <t> is the mode of the depth. Use the mode for the actual depth of the traps,</t>
    </r>
  </si>
  <si>
    <t>So </t>
  </si>
  <si>
    <t>1000m trap was at 834 m</t>
  </si>
  <si>
    <t>2000m trap was at 1837.9 m</t>
  </si>
  <si>
    <t>3800m trap was at 3712.5 m</t>
  </si>
  <si>
    <t>count</t>
  </si>
  <si>
    <t>max</t>
  </si>
  <si>
    <t>min</t>
  </si>
  <si>
    <t>CWE: Di, the calculation on the left included % difference and absolute difference between repeat</t>
  </si>
  <si>
    <t>measurements. I assume that was a mistake? The calculation above in yellow only includes</t>
  </si>
  <si>
    <t>absolute differences between repeat measurements</t>
  </si>
  <si>
    <t>duplicate pairs salts</t>
  </si>
  <si>
    <t>mean</t>
  </si>
  <si>
    <t>abs difference</t>
  </si>
  <si>
    <t>quadratic</t>
  </si>
  <si>
    <t>duplicate</t>
  </si>
  <si>
    <t>n pair</t>
  </si>
  <si>
    <t>duplicate pairs pH</t>
  </si>
  <si>
    <t>est</t>
  </si>
  <si>
    <t>Di'squick and dirty 95%ci</t>
  </si>
  <si>
    <t>based on</t>
  </si>
  <si>
    <t>sd=0.7071*range for n=2 then 1.96</t>
  </si>
  <si>
    <t>best approx 95% ci from pairs</t>
  </si>
  <si>
    <t>best 95%ci from pairs</t>
  </si>
  <si>
    <t xml:space="preserve">Best have a separate column. See boardered values to the left.  Tough going with n=2   </t>
  </si>
  <si>
    <t>This carboy is used to prepare brine for SAZ21, deployed in 2019.</t>
  </si>
  <si>
    <r>
      <t>FSW carboy 1, GF/F filtered, 10.3.2018, 11:44 UTC, -45.8744S, 142.2646E, 22L + 22g Borax,&lt;1mm in two jars, too much material to rinse through sieve for one jar, lots of amphipods, 2 fish, 1 pteropod,</t>
    </r>
    <r>
      <rPr>
        <b/>
        <i/>
        <sz val="12"/>
        <color theme="1"/>
        <rFont val="Calibri"/>
        <family val="2"/>
        <scheme val="minor"/>
      </rPr>
      <t xml:space="preserve"> 1 large crustacean, faint odour --&gt; added 100ul of saturated HgCl2 to</t>
    </r>
    <r>
      <rPr>
        <b/>
        <sz val="12"/>
        <color theme="1"/>
        <rFont val="Calibri"/>
        <family val="2"/>
        <scheme val="minor"/>
      </rPr>
      <t xml:space="preserve"> &gt;1mm and &lt;1mm fraction!</t>
    </r>
  </si>
  <si>
    <r>
      <t>imos-toolbox</t>
    </r>
    <r>
      <rPr>
        <sz val="16"/>
        <color rgb="FF3366FF"/>
        <rFont val="Helvetica"/>
      </rPr>
      <t>/NetCDF/template/</t>
    </r>
    <r>
      <rPr>
        <sz val="16"/>
        <color rgb="FF3366FF"/>
        <rFont val="Helvetica"/>
      </rPr>
      <t>qc_attributes.tx</t>
    </r>
  </si>
  <si>
    <t>S, long_name = quality flag for [mat imosParameters(sample_data.variables{k}.name, 'long_name')]</t>
  </si>
  <si>
    <t>S, standard_name = [mat regexprep(strcat(imosParameters(sample_data.variables{k}.name, 'standard_name'), ' status_flag'), '^ .*', '')]</t>
  </si>
  <si>
    <t>Q, _FillValue = [mat imosQCFlag('', str2double(readProperty('toolbox.qc_set', 'toolboxProperties.txt')), 'fill_value')]</t>
  </si>
  <si>
    <t>N, add_offset =</t>
  </si>
  <si>
    <t>N, scale_factor =</t>
  </si>
  <si>
    <t>S, comment = [mat sample_data.variables{k}.ancillary_comment]</t>
  </si>
  <si>
    <t>S, history =</t>
  </si>
  <si>
    <t>S, references =</t>
  </si>
  <si>
    <t>S, quality_control_conventions = [mat imosQCFlag('', str2double(readProperty('toolbox.qc_set', 'toolboxProperties.txt')), 'set_desc')]</t>
  </si>
  <si>
    <t>% these fields are automatically populated upon NetCDF export</t>
  </si>
  <si>
    <t>Q, flag_values =</t>
  </si>
  <si>
    <t>S, flag_meanings =</t>
  </si>
  <si>
    <t>S, quality_control_global_conventions = Argo reference table 2a (see http://www.cmar.csiro.au/argo/dmqc/user_doc/QC_flags.html), applied on data in position only (between global attributes time_deployment_start and time_deployment_end)</t>
  </si>
  <si>
    <t>Reference table 2: Argo measurement flag scale</t>
  </si>
  <si>
    <t>n </t>
  </si>
  <si>
    <t>Meaning </t>
  </si>
  <si>
    <t>Real-time comment</t>
  </si>
  <si>
    <t>Delayed-mode comment</t>
  </si>
  <si>
    <t>no Qc performed </t>
  </si>
  <si>
    <t>. </t>
  </si>
  <si>
    <t>.</t>
  </si>
  <si>
    <t>good data </t>
  </si>
  <si>
    <t>All realtime QC tests passed</t>
  </si>
  <si>
    <t>Adjusted value is statistically consistent and a statistical error estimate is supplied </t>
  </si>
  <si>
    <t>probably good </t>
  </si>
  <si>
    <t>n/a </t>
  </si>
  <si>
    <t>bad but potentially correctable (maybe bad)</t>
  </si>
  <si>
    <t>not to be used without scientific correction </t>
  </si>
  <si>
    <t>An adjustment has been made but the value may still be bad </t>
  </si>
  <si>
    <t>bad </t>
  </si>
  <si>
    <t>5*</t>
  </si>
  <si>
    <t>value changed </t>
  </si>
  <si>
    <t>interpolated </t>
  </si>
  <si>
    <t>missing value </t>
  </si>
  <si>
    <t>*Pete uses 5 as not deployed.</t>
  </si>
  <si>
    <t>Reference table 2a: profile quality flag</t>
  </si>
  <si>
    <t>N is defined as the percentage of levels with good data where:</t>
  </si>
  <si>
    <t>QC flag values of 1, 2, 5, or 8 are GOOD data</t>
  </si>
  <si>
    <t>QC flag values of 9 (missing) are NOT USED in the computation</t>
  </si>
  <si>
    <t>All other QC flag values are BAD data</t>
  </si>
  <si>
    <t>Toms input:</t>
  </si>
  <si>
    <t>I think category 3 has always been a bit vague in all these flagging systems.  It’s a category to hold data that you are not quite ready to rate as  4=bad:  in some cases because there might be a way to correct the data; in some cases because the data is clearly bad for some purposes but possibly useful for others; in some cases because you have significant concerns about the data because some aspect of its collection or processing was unusual but not definitive in terms of compromising the quality; in some cases because you have tried to correct it but have little confidence in the correction.  </t>
  </si>
  <si>
    <t>None of these nuances is really caught by the flag number 3, but that is ok because our reports can provide more detail, and because in all systems 3 indicates to the user that this data should only be used with great care and consideration.</t>
  </si>
  <si>
    <t>not deployed</t>
  </si>
  <si>
    <t>didn’t happen.  Pete's special flag.</t>
  </si>
  <si>
    <t>flag considerations:</t>
  </si>
  <si>
    <t>Units correct, standards in range, CRM correct or corrected, mass &lt;20mg</t>
  </si>
  <si>
    <t>collection</t>
  </si>
  <si>
    <t>flag</t>
  </si>
  <si>
    <t xml:space="preserve">all cups </t>
  </si>
  <si>
    <t>tilt and washout phrase added to metadata.</t>
  </si>
  <si>
    <t>all traps: full deployment sample duration complete, all recovered, no failures</t>
  </si>
  <si>
    <t xml:space="preserve">PC_mol_flux </t>
  </si>
  <si>
    <t xml:space="preserve">PN_mol_flux </t>
  </si>
  <si>
    <t>total carbon from Thomas: duplicates within 1%, CRM within control limits.</t>
  </si>
  <si>
    <t>total nitrogen from Thomas: duplicates within 1%, CRM within control limits.</t>
  </si>
  <si>
    <r>
      <t xml:space="preserve">quick plot mass vs cup ht OK, some masses low but &gt;20mg, </t>
    </r>
    <r>
      <rPr>
        <sz val="12"/>
        <color rgb="FFFF0000"/>
        <rFont val="Calibri"/>
        <family val="2"/>
        <charset val="204"/>
        <scheme val="minor"/>
      </rPr>
      <t>check cup 5 1000m cup 20 3000m</t>
    </r>
  </si>
  <si>
    <t>tilt&gt;4degrees for some samples at 1000 and 2000m. The brine and poison may have washed from the cup indicated by supernatant salinity and pH however flags refer to analytical quality assurance.</t>
  </si>
  <si>
    <t>all runs.</t>
  </si>
  <si>
    <t>sample duplicate</t>
  </si>
  <si>
    <t>2017_46_2000-18</t>
  </si>
  <si>
    <t>seems low (POC/PN)</t>
  </si>
  <si>
    <t>one sample stands out 2000-18, seems low, could be all animal.  Noise in the bulk sediment material but strangely POC/PN looks ok which is dependent on a good PIC result.</t>
  </si>
  <si>
    <t>n=</t>
  </si>
  <si>
    <t>t=2.16, &lt;30 measurements</t>
  </si>
  <si>
    <t>within control limit</t>
  </si>
  <si>
    <t>all pacs95%ci</t>
  </si>
  <si>
    <t>from control accumulated data</t>
  </si>
  <si>
    <t>95%ci estimates.  Because c/n fell within control limit, 95% reported for best scenario, n=41</t>
  </si>
  <si>
    <t>stand out samples are consistent with animals present</t>
  </si>
  <si>
    <t>PIC was noisy and with 14 bulk ref resutls, the 95% ci was calculated for only those using appropriate t rather than z.</t>
  </si>
  <si>
    <t>95%ci for 20g of sample</t>
  </si>
  <si>
    <t>Looking at the total mass calculated from components, there is no clear result and error is reasonable.</t>
  </si>
  <si>
    <t>t=3.182 for 4 samples.</t>
  </si>
  <si>
    <t>95%ci Si</t>
  </si>
  <si>
    <t>95%ci SiO2</t>
  </si>
  <si>
    <t>n=4</t>
  </si>
  <si>
    <t>before next single point calibration standard</t>
  </si>
  <si>
    <t>single point calibration standard</t>
  </si>
  <si>
    <t>Mass flux ratio</t>
  </si>
  <si>
    <t>between depths</t>
  </si>
  <si>
    <t>1000m : 2000m</t>
  </si>
  <si>
    <t>2000m : 3800m</t>
  </si>
  <si>
    <t>1000m : 3800m</t>
  </si>
  <si>
    <t>CWE sed traps SAZ19 SOTS</t>
  </si>
  <si>
    <t>difference/mean</t>
  </si>
  <si>
    <t>std</t>
  </si>
  <si>
    <t>relative std. uncertainty</t>
  </si>
  <si>
    <t>expanded uncertainty, coverage factor 2</t>
  </si>
  <si>
    <t>remnandt dry weight of 7 splits [g]</t>
  </si>
  <si>
    <t>mS/cm</t>
  </si>
  <si>
    <t>PIC QC</t>
  </si>
  <si>
    <t>PC QC</t>
  </si>
  <si>
    <t>PN QC</t>
  </si>
  <si>
    <t>POC QC</t>
  </si>
  <si>
    <t>BSi QC</t>
  </si>
  <si>
    <t>PC mol QC</t>
  </si>
  <si>
    <t>PN mol QC</t>
  </si>
  <si>
    <t>POC mol QC</t>
  </si>
  <si>
    <t>PIC mol QC</t>
  </si>
  <si>
    <t>Bsi mol QC</t>
  </si>
  <si>
    <t>salts QC</t>
  </si>
  <si>
    <t>pH QC</t>
  </si>
  <si>
    <t>sampleQC</t>
  </si>
  <si>
    <t>3800_2, some fluid lost during filtration. Mass flux and component flux units based on mass flux affected.</t>
  </si>
  <si>
    <t>valid_min</t>
  </si>
  <si>
    <t>valid_max</t>
  </si>
  <si>
    <t>relative_uncertainty</t>
  </si>
  <si>
    <t>sample number</t>
  </si>
  <si>
    <t>sample duration</t>
  </si>
  <si>
    <t>particulate total mass flux</t>
  </si>
  <si>
    <t>mg m-2 d-1</t>
  </si>
  <si>
    <t>mass_flux_uncertainty</t>
  </si>
  <si>
    <t>SAL_BRINE</t>
  </si>
  <si>
    <t xml:space="preserve">sample supernatant practical salinity </t>
  </si>
  <si>
    <t>Supernatant salinity measured as conductivity on recovery as indicator of brine washout</t>
  </si>
  <si>
    <t>SAL_BRINE_uncertainty</t>
  </si>
  <si>
    <t>SAL_BRINE_qc</t>
  </si>
  <si>
    <t>pH_BRINE</t>
  </si>
  <si>
    <t>pH_BRINE_uncertainty</t>
  </si>
  <si>
    <t>pH_BRINE_qc</t>
  </si>
  <si>
    <t>sample supernatant pH NBS scale</t>
  </si>
  <si>
    <t>Supernatant pH measured potentiometrically on recovery as indicator of brine washout</t>
  </si>
  <si>
    <t>PC_mass_flux</t>
  </si>
  <si>
    <t>PC_mass_flux_uncertainty</t>
  </si>
  <si>
    <t>PC_mass_flux_qc</t>
  </si>
  <si>
    <t>particulate total carbon mass flux</t>
  </si>
  <si>
    <t>PN_mass_flux</t>
  </si>
  <si>
    <t>PN_mass_flux_uncertainty</t>
  </si>
  <si>
    <t>PN_mass_flux_qc</t>
  </si>
  <si>
    <t>particulate total nitrogen mass flux</t>
  </si>
  <si>
    <t>POC_mass_flux</t>
  </si>
  <si>
    <t>POC_mass_flux_uncertainty</t>
  </si>
  <si>
    <t>POC_mass_flux_qc</t>
  </si>
  <si>
    <t>particulate organic carbon mass flux</t>
  </si>
  <si>
    <t>PIC_mass_flux</t>
  </si>
  <si>
    <t>PIC_mass_flux_uncertainty</t>
  </si>
  <si>
    <t>PIC_mass_flux_qc</t>
  </si>
  <si>
    <t>particulate inorganic carbon mass flux</t>
  </si>
  <si>
    <t>closed system acidification and coulometry of evolved carbon dioxide</t>
  </si>
  <si>
    <t>BSi_mass_flux</t>
  </si>
  <si>
    <t>BSi_mass_flux_uncertainty</t>
  </si>
  <si>
    <t>BSi_mass_flux_qc</t>
  </si>
  <si>
    <t>particulate biogenic silicon mass flux</t>
  </si>
  <si>
    <t>alkaline digest and segmented-flow spectrometry</t>
  </si>
  <si>
    <t>1</t>
  </si>
  <si>
    <r>
      <t>McLane-PARFLUX-Mark78H-21 ;</t>
    </r>
    <r>
      <rPr>
        <sz val="10"/>
        <color theme="1"/>
        <rFont val="Arial"/>
        <family val="2"/>
      </rPr>
      <t xml:space="preserve"> 14182-01,</t>
    </r>
    <r>
      <rPr>
        <sz val="10"/>
        <color rgb="FFFF0000"/>
        <rFont val="Arial"/>
        <family val="2"/>
      </rPr>
      <t xml:space="preserve"> </t>
    </r>
    <r>
      <rPr>
        <sz val="10"/>
        <rFont val="Arial"/>
        <family val="2"/>
      </rPr>
      <t>G250x21</t>
    </r>
  </si>
  <si>
    <t>McLane-PARFLUX-Mark78H-21 ; 2241, B250x21</t>
  </si>
  <si>
    <t>McLane-PARFLUX-Mark78H-21 ; 10705, A250x21</t>
  </si>
  <si>
    <t>uncertainty</t>
  </si>
  <si>
    <t>actual pressure</t>
  </si>
  <si>
    <t>pressure_actual</t>
  </si>
  <si>
    <t>pressure from nearest instrument on mooring, extrapolated to trap position</t>
  </si>
  <si>
    <t>SAZ47-19-2017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</si>
</sst>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
    <numFmt numFmtId="165" formatCode="dd/mm/yyyy;@"/>
    <numFmt numFmtId="166" formatCode="d\-mmm\-yy\ hh:mm"/>
    <numFmt numFmtId="167" formatCode="d\-mmm\-yyyy"/>
    <numFmt numFmtId="168" formatCode="[$-F400]h:mm:ss\ AM/PM"/>
    <numFmt numFmtId="169" formatCode="mm/dd/yyyy"/>
    <numFmt numFmtId="170" formatCode="0.000"/>
    <numFmt numFmtId="171" formatCode="0.0000"/>
    <numFmt numFmtId="172" formatCode="d/m/yyyy;@"/>
    <numFmt numFmtId="173" formatCode="yyyy/mm/dd\ hh:mm:ss"/>
    <numFmt numFmtId="174" formatCode="d/mm/yyyy;@"/>
    <numFmt numFmtId="175" formatCode="0.0000000000000000000000000000000000000"/>
    <numFmt numFmtId="176" formatCode="0.00000"/>
    <numFmt numFmtId="177" formatCode="0.0%"/>
  </numFmts>
  <fonts count="87">
    <font>
      <sz val="12"/>
      <color theme="1"/>
      <name val="Calibri"/>
      <family val="2"/>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b/>
      <sz val="12"/>
      <color theme="1"/>
      <name val="Calibri"/>
      <family val="2"/>
      <scheme val="minor"/>
    </font>
    <font>
      <sz val="12"/>
      <name val="Arial"/>
      <family val="2"/>
    </font>
    <font>
      <b/>
      <sz val="12"/>
      <color rgb="FFFF0000"/>
      <name val="Calibri"/>
      <family val="2"/>
      <scheme val="minor"/>
    </font>
    <font>
      <sz val="12"/>
      <color rgb="FF000000"/>
      <name val="-webkit-standard"/>
    </font>
    <font>
      <b/>
      <sz val="14"/>
      <color theme="1"/>
      <name val="Calibri"/>
      <family val="2"/>
      <scheme val="minor"/>
    </font>
    <font>
      <b/>
      <sz val="11"/>
      <name val="Arial"/>
      <family val="2"/>
    </font>
    <font>
      <b/>
      <sz val="10"/>
      <color indexed="8"/>
      <name val="Arial"/>
      <family val="2"/>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rgb="FFFF0000"/>
      <name val="Arial"/>
      <family val="2"/>
    </font>
    <font>
      <b/>
      <sz val="10"/>
      <color indexed="10"/>
      <name val="Arial"/>
      <family val="2"/>
    </font>
    <font>
      <sz val="10"/>
      <color indexed="54"/>
      <name val="Arial"/>
      <family val="2"/>
    </font>
    <font>
      <sz val="10"/>
      <color theme="9"/>
      <name val="Arial"/>
      <family val="2"/>
    </font>
    <font>
      <sz val="10"/>
      <name val="Calibri"/>
      <family val="2"/>
    </font>
    <font>
      <b/>
      <sz val="12"/>
      <name val="Arial"/>
      <family val="2"/>
    </font>
    <font>
      <b/>
      <sz val="12"/>
      <color theme="1"/>
      <name val="Arial"/>
      <family val="2"/>
    </font>
    <font>
      <sz val="12"/>
      <color theme="9"/>
      <name val="Arial"/>
      <family val="2"/>
    </font>
    <font>
      <b/>
      <sz val="14"/>
      <name val="Arial"/>
      <family val="2"/>
    </font>
    <font>
      <sz val="12"/>
      <name val="Calibri"/>
      <family val="2"/>
      <scheme val="minor"/>
    </font>
    <font>
      <sz val="8"/>
      <color theme="1"/>
      <name val="Calibri"/>
      <family val="2"/>
      <scheme val="minor"/>
    </font>
    <font>
      <b/>
      <sz val="10"/>
      <color theme="9"/>
      <name val="Arial"/>
      <family val="2"/>
    </font>
    <font>
      <sz val="6"/>
      <name val="Calibri"/>
      <family val="2"/>
      <scheme val="minor"/>
    </font>
    <font>
      <sz val="12"/>
      <color theme="1"/>
      <name val="Calibri"/>
      <family val="2"/>
      <charset val="204"/>
    </font>
    <font>
      <b/>
      <sz val="12"/>
      <color theme="1"/>
      <name val="Calibri"/>
      <family val="2"/>
      <charset val="204"/>
      <scheme val="minor"/>
    </font>
    <font>
      <sz val="9"/>
      <color indexed="81"/>
      <name val="Tahoma"/>
      <family val="2"/>
    </font>
    <font>
      <b/>
      <sz val="9"/>
      <color indexed="81"/>
      <name val="Tahoma"/>
      <family val="2"/>
    </font>
    <font>
      <sz val="12"/>
      <name val="Calibri"/>
      <family val="2"/>
      <charset val="204"/>
      <scheme val="minor"/>
    </font>
    <font>
      <sz val="10"/>
      <color theme="0" tint="-0.34998626667073579"/>
      <name val="Arial"/>
      <family val="2"/>
    </font>
    <font>
      <sz val="12"/>
      <color theme="0" tint="-0.34998626667073579"/>
      <name val="Calibri"/>
      <family val="2"/>
      <charset val="204"/>
      <scheme val="minor"/>
    </font>
    <font>
      <sz val="10"/>
      <color theme="0" tint="-0.34998626667073579"/>
      <name val="Calibri"/>
      <family val="2"/>
    </font>
    <font>
      <sz val="12"/>
      <color theme="1"/>
      <name val="Calibri"/>
      <family val="2"/>
      <charset val="204"/>
      <scheme val="minor"/>
    </font>
    <font>
      <sz val="12"/>
      <color rgb="FFFF0000"/>
      <name val="Calibri"/>
      <family val="2"/>
      <charset val="204"/>
      <scheme val="minor"/>
    </font>
    <font>
      <sz val="10"/>
      <name val="Verdana"/>
      <family val="2"/>
    </font>
    <font>
      <u/>
      <sz val="12"/>
      <color theme="10"/>
      <name val="Calibri"/>
      <family val="2"/>
      <charset val="204"/>
      <scheme val="minor"/>
    </font>
    <font>
      <b/>
      <u/>
      <sz val="12"/>
      <color theme="10"/>
      <name val="Calibri"/>
      <family val="2"/>
      <scheme val="minor"/>
    </font>
    <font>
      <sz val="10"/>
      <name val="Arial"/>
      <family val="2"/>
    </font>
    <font>
      <u/>
      <sz val="10"/>
      <name val="Arial"/>
      <family val="2"/>
    </font>
    <font>
      <i/>
      <sz val="9"/>
      <name val="Arial"/>
      <family val="2"/>
    </font>
    <font>
      <sz val="10"/>
      <name val="Lucida Handwriting"/>
      <family val="4"/>
    </font>
    <font>
      <b/>
      <sz val="10"/>
      <name val="Calibri"/>
      <family val="2"/>
    </font>
    <font>
      <i/>
      <sz val="10"/>
      <name val="Arial"/>
      <family val="2"/>
    </font>
    <font>
      <i/>
      <u/>
      <sz val="10"/>
      <name val="Arial"/>
      <family val="2"/>
    </font>
    <font>
      <sz val="10"/>
      <color rgb="FF008000"/>
      <name val="Arial"/>
      <family val="2"/>
    </font>
    <font>
      <sz val="11"/>
      <name val="Calibri"/>
      <family val="2"/>
    </font>
    <font>
      <sz val="11"/>
      <color theme="1"/>
      <name val="Calibri"/>
      <family val="2"/>
    </font>
    <font>
      <sz val="11"/>
      <color rgb="FFFF0000"/>
      <name val="Calibri"/>
      <family val="2"/>
      <scheme val="minor"/>
    </font>
    <font>
      <b/>
      <sz val="11"/>
      <color theme="1"/>
      <name val="Calibri"/>
      <family val="2"/>
      <scheme val="minor"/>
    </font>
    <font>
      <sz val="8"/>
      <name val="MS Sans Serif"/>
      <family val="2"/>
    </font>
    <font>
      <b/>
      <sz val="8"/>
      <name val="MS Sans Serif"/>
      <family val="2"/>
    </font>
    <font>
      <b/>
      <sz val="8"/>
      <name val="MS Sans Serif"/>
    </font>
    <font>
      <sz val="11"/>
      <name val="Calibri"/>
      <family val="2"/>
      <scheme val="minor"/>
    </font>
    <font>
      <sz val="8"/>
      <color indexed="81"/>
      <name val="Tahoma"/>
      <family val="2"/>
    </font>
    <font>
      <i/>
      <sz val="11"/>
      <color theme="1"/>
      <name val="Calibri"/>
      <family val="2"/>
      <scheme val="minor"/>
    </font>
    <font>
      <sz val="9"/>
      <color indexed="81"/>
      <name val="Calibri"/>
      <family val="2"/>
    </font>
    <font>
      <b/>
      <sz val="9"/>
      <color indexed="81"/>
      <name val="Calibri"/>
      <family val="2"/>
    </font>
    <font>
      <sz val="12"/>
      <color rgb="FF000000"/>
      <name val="Calibri"/>
      <family val="2"/>
      <scheme val="minor"/>
    </font>
    <font>
      <sz val="11"/>
      <color rgb="FF1F497D"/>
      <name val="Calibri"/>
      <family val="2"/>
      <scheme val="minor"/>
    </font>
    <font>
      <vertAlign val="superscript"/>
      <sz val="11"/>
      <color rgb="FF1F497D"/>
      <name val="Calibri"/>
      <family val="2"/>
      <scheme val="minor"/>
    </font>
    <font>
      <sz val="11"/>
      <color rgb="FFFF0000"/>
      <name val="Calibri"/>
      <family val="2"/>
    </font>
    <font>
      <b/>
      <i/>
      <sz val="12"/>
      <color theme="1"/>
      <name val="Calibri"/>
      <family val="2"/>
      <scheme val="minor"/>
    </font>
    <font>
      <sz val="16"/>
      <color rgb="FF3366FF"/>
      <name val="Helvetica"/>
    </font>
    <font>
      <sz val="12"/>
      <color rgb="FF3366FF"/>
      <name val="Calibri"/>
      <family val="2"/>
      <scheme val="minor"/>
    </font>
    <font>
      <sz val="12"/>
      <color rgb="FF24292E"/>
      <name val="Consolas"/>
      <family val="3"/>
    </font>
    <font>
      <b/>
      <sz val="13.5"/>
      <color rgb="FF000000"/>
      <name val="-webkit-standard"/>
    </font>
    <font>
      <b/>
      <sz val="12"/>
      <color theme="1"/>
      <name val="-webkit-standard"/>
    </font>
    <font>
      <sz val="12"/>
      <color theme="1"/>
      <name val="-webkit-standard"/>
    </font>
    <font>
      <sz val="11"/>
      <color rgb="FF000000"/>
      <name val="Calibri"/>
      <family val="2"/>
    </font>
    <font>
      <b/>
      <sz val="12"/>
      <color rgb="FF000000"/>
      <name val="Calibri"/>
      <family val="2"/>
    </font>
    <font>
      <b/>
      <sz val="14"/>
      <color rgb="FF000000"/>
      <name val="Calibri"/>
      <family val="2"/>
    </font>
    <font>
      <b/>
      <sz val="12"/>
      <color rgb="FF000000"/>
      <name val="Calibri"/>
      <family val="2"/>
      <scheme val="minor"/>
    </font>
    <font>
      <b/>
      <sz val="12"/>
      <color theme="1"/>
      <name val="Calibri"/>
      <family val="2"/>
    </font>
    <font>
      <sz val="12"/>
      <color theme="9"/>
      <name val="Calibri"/>
      <family val="2"/>
      <scheme val="minor"/>
    </font>
    <font>
      <b/>
      <sz val="11"/>
      <name val="Calibri"/>
      <family val="2"/>
      <scheme val="minor"/>
    </font>
    <font>
      <b/>
      <sz val="12"/>
      <name val="Calibri"/>
      <family val="2"/>
      <scheme val="minor"/>
    </font>
    <font>
      <sz val="10"/>
      <color theme="0" tint="-0.24994659260841701"/>
      <name val="Arial"/>
      <family val="2"/>
    </font>
    <font>
      <sz val="12"/>
      <color theme="0" tint="-0.24994659260841701"/>
      <name val="Calibri"/>
      <family val="2"/>
      <scheme val="minor"/>
    </font>
    <font>
      <sz val="10"/>
      <color rgb="FFFF0000"/>
      <name val="MS Sans Serif"/>
      <family val="2"/>
    </font>
    <font>
      <u/>
      <sz val="12"/>
      <color rgb="FFFF0000"/>
      <name val="Calibri"/>
      <family val="2"/>
      <charset val="204"/>
      <scheme val="minor"/>
    </font>
  </fonts>
  <fills count="20">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theme="6" tint="0.79995117038483843"/>
        <bgColor indexed="64"/>
      </patternFill>
    </fill>
    <fill>
      <patternFill patternType="solid">
        <fgColor theme="0"/>
        <bgColor indexed="64"/>
      </patternFill>
    </fill>
    <fill>
      <patternFill patternType="solid">
        <fgColor theme="0" tint="-0.24994659260841701"/>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theme="2" tint="-0.24994659260841701"/>
        <bgColor indexed="64"/>
      </patternFill>
    </fill>
    <fill>
      <patternFill patternType="solid">
        <fgColor indexed="2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bgColor indexed="64"/>
      </patternFill>
    </fill>
    <fill>
      <patternFill patternType="solid">
        <fgColor indexed="50"/>
        <bgColor indexed="64"/>
      </patternFill>
    </fill>
    <fill>
      <patternFill patternType="solid">
        <fgColor theme="5" tint="0.59996337778862885"/>
        <bgColor indexed="64"/>
      </patternFill>
    </fill>
    <fill>
      <patternFill patternType="solid">
        <fgColor rgb="FFFF0000"/>
        <bgColor indexed="64"/>
      </patternFill>
    </fill>
    <fill>
      <patternFill patternType="solid">
        <fgColor theme="8" tint="0.79995117038483843"/>
        <bgColor indexed="64"/>
      </patternFill>
    </fill>
    <fill>
      <patternFill patternType="solid">
        <fgColor theme="0" tint="-4.9836725974303414E-2"/>
        <bgColor indexed="64"/>
      </patternFill>
    </fill>
    <fill>
      <patternFill patternType="solid">
        <fgColor rgb="FFFFC000"/>
        <bgColor indexed="64"/>
      </patternFill>
    </fill>
  </fills>
  <borders count="37">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right/>
      <top style="thin">
        <color indexed="8"/>
      </top>
      <bottom/>
      <diagonal/>
    </border>
    <border>
      <left/>
      <right style="thin">
        <color indexed="8"/>
      </right>
      <top style="thin">
        <color indexed="8"/>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8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39" fillId="0" borderId="0" applyFont="0" applyFill="0" applyBorder="0" applyAlignment="0" applyProtection="0"/>
    <xf numFmtId="0" fontId="41" fillId="0" borderId="0"/>
    <xf numFmtId="0" fontId="42" fillId="0" borderId="0" applyNumberFormat="0" applyFill="0" applyBorder="0" applyAlignment="0" applyProtection="0"/>
    <xf numFmtId="0" fontId="4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747">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right"/>
    </xf>
    <xf numFmtId="0" fontId="0" fillId="0" borderId="1" xfId="0" applyBorder="1"/>
    <xf numFmtId="2" fontId="0" fillId="0" borderId="2" xfId="0" applyNumberFormat="1" applyBorder="1"/>
    <xf numFmtId="2" fontId="0" fillId="0" borderId="3" xfId="0" applyNumberFormat="1" applyBorder="1"/>
    <xf numFmtId="2" fontId="0" fillId="0" borderId="0" xfId="0" applyNumberFormat="1"/>
    <xf numFmtId="0" fontId="0" fillId="0" borderId="4" xfId="0" applyBorder="1"/>
    <xf numFmtId="2" fontId="0" fillId="0" borderId="4" xfId="0" applyNumberFormat="1" applyBorder="1"/>
    <xf numFmtId="2" fontId="0" fillId="0" borderId="5" xfId="0" applyNumberFormat="1" applyBorder="1"/>
    <xf numFmtId="2" fontId="0" fillId="0" borderId="6" xfId="0" applyNumberFormat="1" applyBorder="1"/>
    <xf numFmtId="0" fontId="0" fillId="0" borderId="4" xfId="0" applyBorder="1" applyAlignment="1">
      <alignment horizontal="right"/>
    </xf>
    <xf numFmtId="0" fontId="0" fillId="0" borderId="7" xfId="0" applyBorder="1"/>
    <xf numFmtId="2" fontId="0" fillId="0" borderId="8" xfId="0" applyNumberFormat="1" applyBorder="1"/>
    <xf numFmtId="2" fontId="0" fillId="0" borderId="9" xfId="0" applyNumberFormat="1" applyBorder="1"/>
    <xf numFmtId="0" fontId="0" fillId="2" borderId="0" xfId="0" applyFill="1"/>
    <xf numFmtId="0" fontId="0" fillId="0" borderId="0" xfId="0" applyAlignment="1">
      <alignment horizontal="center"/>
    </xf>
    <xf numFmtId="2" fontId="0" fillId="0" borderId="1" xfId="0" applyNumberFormat="1" applyBorder="1"/>
    <xf numFmtId="2" fontId="0" fillId="0" borderId="4" xfId="0" applyNumberFormat="1" applyBorder="1" applyAlignment="1">
      <alignment horizontal="right"/>
    </xf>
    <xf numFmtId="2" fontId="0" fillId="0" borderId="7" xfId="0" applyNumberFormat="1" applyBorder="1"/>
    <xf numFmtId="0" fontId="0" fillId="0" borderId="9" xfId="0" applyBorder="1"/>
    <xf numFmtId="0" fontId="6" fillId="0" borderId="1" xfId="0" applyFont="1" applyBorder="1"/>
    <xf numFmtId="0" fontId="0" fillId="0" borderId="1" xfId="0" applyBorder="1" applyAlignment="1">
      <alignment horizontal="left" vertical="center"/>
    </xf>
    <xf numFmtId="0" fontId="7" fillId="0" borderId="1" xfId="0" applyFon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7" fillId="0" borderId="5" xfId="0" applyFont="1" applyBorder="1" applyAlignment="1">
      <alignment horizontal="left" vertical="center"/>
    </xf>
    <xf numFmtId="0" fontId="0" fillId="0" borderId="7" xfId="0" applyBorder="1" applyAlignment="1">
      <alignment horizontal="left" vertical="center"/>
    </xf>
    <xf numFmtId="0" fontId="7" fillId="0" borderId="8" xfId="0" applyFont="1" applyBorder="1" applyAlignment="1">
      <alignment horizontal="left" vertical="center"/>
    </xf>
    <xf numFmtId="0" fontId="0" fillId="0" borderId="10" xfId="0" applyBorder="1"/>
    <xf numFmtId="0" fontId="0" fillId="0" borderId="3" xfId="0" applyBorder="1"/>
    <xf numFmtId="0" fontId="0" fillId="0" borderId="6" xfId="0" applyBorder="1"/>
    <xf numFmtId="0" fontId="0" fillId="0" borderId="4" xfId="0" applyBorder="1" applyAlignment="1">
      <alignment horizontal="center"/>
    </xf>
    <xf numFmtId="0" fontId="0" fillId="0" borderId="6" xfId="0" applyBorder="1" applyAlignment="1">
      <alignment horizontal="center"/>
    </xf>
    <xf numFmtId="0" fontId="9"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0" fillId="0" borderId="0" xfId="0" applyAlignment="1">
      <alignment horizontal="left"/>
    </xf>
    <xf numFmtId="0" fontId="0" fillId="0" borderId="5" xfId="0" applyBorder="1" applyAlignment="1">
      <alignment horizontal="left"/>
    </xf>
    <xf numFmtId="0" fontId="10" fillId="0" borderId="0" xfId="0" applyFont="1"/>
    <xf numFmtId="0" fontId="11" fillId="0" borderId="1" xfId="0" applyFont="1" applyBorder="1" applyAlignment="1">
      <alignment vertical="center"/>
    </xf>
    <xf numFmtId="1" fontId="11" fillId="0" borderId="10" xfId="0" applyNumberFormat="1" applyFont="1" applyBorder="1" applyAlignment="1">
      <alignment vertical="center"/>
    </xf>
    <xf numFmtId="0" fontId="11" fillId="0" borderId="10" xfId="0" applyFont="1" applyBorder="1" applyAlignment="1">
      <alignment horizontal="left" vertical="center"/>
    </xf>
    <xf numFmtId="0" fontId="11" fillId="0" borderId="3" xfId="0" applyFont="1" applyBorder="1" applyAlignment="1">
      <alignment vertical="center"/>
    </xf>
    <xf numFmtId="0" fontId="11" fillId="0" borderId="10" xfId="0" applyFont="1" applyBorder="1" applyAlignment="1">
      <alignment vertical="center"/>
    </xf>
    <xf numFmtId="0" fontId="11" fillId="0" borderId="0" xfId="0" applyFont="1" applyAlignment="1">
      <alignment vertical="center"/>
    </xf>
    <xf numFmtId="0" fontId="11" fillId="0" borderId="4" xfId="0" applyFont="1" applyBorder="1" applyAlignment="1">
      <alignment vertical="center"/>
    </xf>
    <xf numFmtId="1" fontId="11" fillId="0" borderId="0" xfId="0" applyNumberFormat="1" applyFont="1" applyAlignment="1">
      <alignment vertical="center"/>
    </xf>
    <xf numFmtId="0" fontId="11" fillId="0" borderId="0" xfId="0" applyFont="1" applyAlignment="1">
      <alignment horizontal="left" vertical="center"/>
    </xf>
    <xf numFmtId="0" fontId="11" fillId="0" borderId="0" xfId="0" quotePrefix="1" applyFont="1" applyAlignment="1">
      <alignment vertical="center"/>
    </xf>
    <xf numFmtId="1" fontId="12" fillId="0" borderId="0" xfId="0" applyNumberFormat="1" applyFont="1" applyAlignment="1">
      <alignment horizontal="left"/>
    </xf>
    <xf numFmtId="2" fontId="2" fillId="0" borderId="0" xfId="0" applyNumberFormat="1" applyFont="1"/>
    <xf numFmtId="1" fontId="2" fillId="0" borderId="0" xfId="0" applyNumberFormat="1" applyFont="1"/>
    <xf numFmtId="164" fontId="2" fillId="0" borderId="0" xfId="0" applyNumberFormat="1" applyFont="1"/>
    <xf numFmtId="2" fontId="2" fillId="0" borderId="0" xfId="0" applyNumberFormat="1" applyFont="1" applyAlignment="1">
      <alignment horizontal="center"/>
    </xf>
    <xf numFmtId="164" fontId="13" fillId="0" borderId="0" xfId="0" applyNumberFormat="1" applyFont="1"/>
    <xf numFmtId="165" fontId="2" fillId="0" borderId="0" xfId="0" applyNumberFormat="1" applyFont="1" applyAlignment="1">
      <alignment horizontal="right"/>
    </xf>
    <xf numFmtId="166" fontId="2" fillId="0" borderId="0" xfId="0" applyNumberFormat="1" applyFont="1"/>
    <xf numFmtId="2" fontId="14" fillId="0" borderId="0" xfId="0" applyNumberFormat="1" applyFont="1" applyAlignment="1">
      <alignment horizontal="left"/>
    </xf>
    <xf numFmtId="2" fontId="15" fillId="0" borderId="0" xfId="0" applyNumberFormat="1" applyFont="1"/>
    <xf numFmtId="164" fontId="14" fillId="4" borderId="0" xfId="0" applyNumberFormat="1" applyFont="1" applyFill="1" applyAlignment="1">
      <alignment horizontal="right"/>
    </xf>
    <xf numFmtId="2" fontId="14" fillId="0" borderId="0" xfId="0" applyNumberFormat="1" applyFont="1"/>
    <xf numFmtId="0" fontId="2" fillId="0" borderId="0" xfId="0" applyFont="1" applyAlignment="1">
      <alignment horizontal="left"/>
    </xf>
    <xf numFmtId="0" fontId="13" fillId="0" borderId="0" xfId="0" applyFont="1"/>
    <xf numFmtId="1" fontId="16" fillId="0" borderId="0" xfId="0" applyNumberFormat="1" applyFont="1" applyAlignment="1">
      <alignment horizontal="left"/>
    </xf>
    <xf numFmtId="1" fontId="0" fillId="0" borderId="0" xfId="0" applyNumberFormat="1"/>
    <xf numFmtId="1" fontId="0" fillId="0" borderId="0" xfId="0" quotePrefix="1" applyNumberFormat="1"/>
    <xf numFmtId="164" fontId="0" fillId="0" borderId="0" xfId="0" quotePrefix="1" applyNumberFormat="1"/>
    <xf numFmtId="164" fontId="0" fillId="0" borderId="0" xfId="0" applyNumberFormat="1"/>
    <xf numFmtId="2" fontId="0" fillId="0" borderId="0" xfId="0" applyNumberFormat="1" applyAlignment="1">
      <alignment horizontal="center"/>
    </xf>
    <xf numFmtId="164" fontId="15" fillId="0" borderId="0" xfId="0" applyNumberFormat="1" applyFont="1"/>
    <xf numFmtId="165" fontId="0" fillId="0" borderId="0" xfId="0" applyNumberFormat="1" applyAlignment="1">
      <alignment horizontal="right"/>
    </xf>
    <xf numFmtId="166" fontId="0" fillId="0" borderId="0" xfId="0" applyNumberFormat="1"/>
    <xf numFmtId="1" fontId="14" fillId="4" borderId="0" xfId="0" applyNumberFormat="1" applyFont="1" applyFill="1" applyAlignment="1">
      <alignment horizontal="right"/>
    </xf>
    <xf numFmtId="0" fontId="14" fillId="0" borderId="0" xfId="0" applyFont="1"/>
    <xf numFmtId="1" fontId="0" fillId="0" borderId="0" xfId="0" applyNumberFormat="1" applyAlignment="1">
      <alignment horizontal="left"/>
    </xf>
    <xf numFmtId="15" fontId="0" fillId="0" borderId="0" xfId="0" applyNumberFormat="1" applyAlignment="1">
      <alignment horizontal="left"/>
    </xf>
    <xf numFmtId="0" fontId="17"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15" fillId="0" borderId="0" xfId="0" applyNumberFormat="1" applyFont="1" applyAlignment="1">
      <alignment horizontal="left"/>
    </xf>
    <xf numFmtId="1" fontId="13" fillId="5" borderId="0" xfId="0" applyNumberFormat="1" applyFont="1" applyFill="1"/>
    <xf numFmtId="0" fontId="18" fillId="0" borderId="0" xfId="0" applyFont="1"/>
    <xf numFmtId="164" fontId="19" fillId="0" borderId="0" xfId="0" applyNumberFormat="1" applyFont="1"/>
    <xf numFmtId="2" fontId="2" fillId="0" borderId="0" xfId="0" applyNumberFormat="1" applyFont="1" applyAlignment="1">
      <alignment horizontal="left"/>
    </xf>
    <xf numFmtId="0" fontId="20" fillId="0" borderId="0" xfId="0" applyFont="1"/>
    <xf numFmtId="0" fontId="16" fillId="0" borderId="0" xfId="0" applyFont="1" applyAlignment="1">
      <alignment horizontal="left"/>
    </xf>
    <xf numFmtId="1" fontId="20" fillId="0" borderId="0" xfId="0" applyNumberFormat="1" applyFont="1"/>
    <xf numFmtId="164" fontId="20" fillId="0" borderId="0" xfId="0" applyNumberFormat="1" applyFont="1"/>
    <xf numFmtId="2" fontId="20" fillId="0" borderId="0" xfId="0" applyNumberFormat="1" applyFont="1" applyAlignment="1">
      <alignment horizontal="center"/>
    </xf>
    <xf numFmtId="164" fontId="20" fillId="0" borderId="0" xfId="0" quotePrefix="1" applyNumberFormat="1" applyFont="1"/>
    <xf numFmtId="165" fontId="20" fillId="0" borderId="0" xfId="0" applyNumberFormat="1" applyFont="1" applyAlignment="1">
      <alignment horizontal="right"/>
    </xf>
    <xf numFmtId="166" fontId="20" fillId="0" borderId="0" xfId="0" applyNumberFormat="1" applyFont="1"/>
    <xf numFmtId="0" fontId="0" fillId="0" borderId="0" xfId="0" applyAlignment="1">
      <alignment wrapText="1"/>
    </xf>
    <xf numFmtId="0" fontId="15" fillId="0" borderId="0" xfId="0" applyFont="1"/>
    <xf numFmtId="0" fontId="14" fillId="0" borderId="0" xfId="0" applyFont="1" applyAlignment="1">
      <alignment horizontal="right"/>
    </xf>
    <xf numFmtId="1" fontId="14" fillId="0" borderId="0" xfId="0" applyNumberFormat="1" applyFont="1" applyAlignment="1">
      <alignment horizontal="left"/>
    </xf>
    <xf numFmtId="0" fontId="15" fillId="4" borderId="0" xfId="0" applyFont="1" applyFill="1"/>
    <xf numFmtId="0" fontId="14" fillId="4" borderId="0" xfId="0" applyFont="1" applyFill="1" applyAlignment="1">
      <alignment horizontal="left"/>
    </xf>
    <xf numFmtId="0" fontId="17" fillId="4" borderId="0" xfId="0" applyFont="1" applyFill="1"/>
    <xf numFmtId="0" fontId="0" fillId="4" borderId="0" xfId="0" applyFill="1"/>
    <xf numFmtId="2" fontId="21" fillId="4" borderId="0" xfId="0" applyNumberFormat="1" applyFont="1" applyFill="1"/>
    <xf numFmtId="1" fontId="21" fillId="4" borderId="0" xfId="0" applyNumberFormat="1" applyFont="1" applyFill="1"/>
    <xf numFmtId="1" fontId="14" fillId="4" borderId="0" xfId="0" applyNumberFormat="1" applyFont="1" applyFill="1"/>
    <xf numFmtId="0" fontId="14" fillId="4" borderId="0" xfId="0" applyFont="1" applyFill="1"/>
    <xf numFmtId="0" fontId="21" fillId="4" borderId="0" xfId="0" applyFont="1" applyFill="1"/>
    <xf numFmtId="2" fontId="21" fillId="4" borderId="0" xfId="0" applyNumberFormat="1" applyFont="1" applyFill="1" applyAlignment="1">
      <alignment horizontal="center"/>
    </xf>
    <xf numFmtId="164" fontId="21" fillId="4" borderId="0" xfId="0" applyNumberFormat="1" applyFont="1" applyFill="1"/>
    <xf numFmtId="165" fontId="21" fillId="4" borderId="0" xfId="0" applyNumberFormat="1" applyFont="1" applyFill="1" applyAlignment="1">
      <alignment horizontal="right"/>
    </xf>
    <xf numFmtId="15" fontId="21" fillId="4" borderId="0" xfId="0" applyNumberFormat="1" applyFont="1" applyFill="1"/>
    <xf numFmtId="167" fontId="21" fillId="4" borderId="0" xfId="0" applyNumberFormat="1" applyFont="1" applyFill="1"/>
    <xf numFmtId="1" fontId="21" fillId="0" borderId="0" xfId="0" applyNumberFormat="1" applyFont="1"/>
    <xf numFmtId="0" fontId="21" fillId="0" borderId="0" xfId="0" applyFont="1"/>
    <xf numFmtId="0" fontId="21" fillId="0" borderId="0" xfId="0" applyFont="1" applyAlignment="1">
      <alignment horizontal="left"/>
    </xf>
    <xf numFmtId="2" fontId="21" fillId="0" borderId="0" xfId="0" applyNumberFormat="1" applyFont="1"/>
    <xf numFmtId="164" fontId="21" fillId="0" borderId="0" xfId="0" applyNumberFormat="1" applyFont="1"/>
    <xf numFmtId="165" fontId="21" fillId="0" borderId="0" xfId="0" applyNumberFormat="1" applyFont="1" applyAlignment="1">
      <alignment horizontal="right"/>
    </xf>
    <xf numFmtId="15" fontId="21" fillId="0" borderId="0" xfId="0" applyNumberFormat="1" applyFont="1"/>
    <xf numFmtId="0" fontId="21" fillId="0" borderId="0" xfId="0" applyFont="1" applyAlignment="1">
      <alignment wrapText="1"/>
    </xf>
    <xf numFmtId="1" fontId="21" fillId="0" borderId="0" xfId="0" applyNumberFormat="1" applyFont="1" applyAlignment="1">
      <alignment horizontal="left"/>
    </xf>
    <xf numFmtId="2" fontId="21" fillId="0" borderId="0" xfId="0" applyNumberFormat="1" applyFont="1" applyAlignment="1">
      <alignment vertical="top"/>
    </xf>
    <xf numFmtId="164" fontId="14" fillId="0" borderId="0" xfId="0" applyNumberFormat="1" applyFont="1"/>
    <xf numFmtId="0" fontId="14" fillId="0" borderId="0" xfId="0" applyFont="1" applyAlignment="1">
      <alignment horizontal="left"/>
    </xf>
    <xf numFmtId="166" fontId="21" fillId="0" borderId="0" xfId="0" applyNumberFormat="1" applyFont="1"/>
    <xf numFmtId="1" fontId="14" fillId="0" borderId="0" xfId="0" applyNumberFormat="1" applyFont="1"/>
    <xf numFmtId="165" fontId="21" fillId="0" borderId="0" xfId="0" quotePrefix="1" applyNumberFormat="1" applyFont="1" applyAlignment="1">
      <alignment horizontal="right"/>
    </xf>
    <xf numFmtId="168" fontId="14" fillId="0" borderId="0" xfId="0" applyNumberFormat="1" applyFont="1"/>
    <xf numFmtId="168" fontId="14" fillId="0" borderId="0" xfId="0" applyNumberFormat="1" applyFont="1" applyAlignment="1">
      <alignment horizontal="left"/>
    </xf>
    <xf numFmtId="0" fontId="0" fillId="3" borderId="0" xfId="0" applyFill="1"/>
    <xf numFmtId="14" fontId="15" fillId="0" borderId="0" xfId="0" applyNumberFormat="1" applyFont="1"/>
    <xf numFmtId="0" fontId="0" fillId="6" borderId="0" xfId="0" applyFill="1"/>
    <xf numFmtId="2" fontId="0" fillId="6" borderId="0" xfId="0" applyNumberFormat="1" applyFill="1"/>
    <xf numFmtId="164" fontId="0" fillId="6" borderId="0" xfId="0" applyNumberFormat="1" applyFill="1"/>
    <xf numFmtId="164" fontId="0" fillId="6" borderId="0" xfId="0" applyNumberFormat="1" applyFill="1" applyAlignment="1">
      <alignment horizontal="center"/>
    </xf>
    <xf numFmtId="14" fontId="14" fillId="6" borderId="0" xfId="0" applyNumberFormat="1" applyFont="1" applyFill="1"/>
    <xf numFmtId="14" fontId="0" fillId="6" borderId="0" xfId="0" applyNumberFormat="1" applyFill="1"/>
    <xf numFmtId="166" fontId="0" fillId="6" borderId="0" xfId="0" applyNumberFormat="1" applyFill="1"/>
    <xf numFmtId="164" fontId="14" fillId="6" borderId="0" xfId="0" applyNumberFormat="1" applyFont="1" applyFill="1" applyAlignment="1">
      <alignment horizontal="center"/>
    </xf>
    <xf numFmtId="164" fontId="0" fillId="6" borderId="0" xfId="0" quotePrefix="1" applyNumberFormat="1" applyFill="1"/>
    <xf numFmtId="0" fontId="14" fillId="0" borderId="0" xfId="0" quotePrefix="1" applyFont="1"/>
    <xf numFmtId="0" fontId="22" fillId="0" borderId="0" xfId="0" applyFont="1"/>
    <xf numFmtId="0" fontId="15" fillId="0" borderId="12" xfId="0" applyFont="1" applyBorder="1"/>
    <xf numFmtId="0" fontId="0" fillId="0" borderId="12" xfId="0" applyBorder="1"/>
    <xf numFmtId="0" fontId="14" fillId="0" borderId="12" xfId="0" applyFont="1" applyBorder="1"/>
    <xf numFmtId="0" fontId="23" fillId="0" borderId="1" xfId="0" applyFont="1" applyBorder="1"/>
    <xf numFmtId="0" fontId="21" fillId="0" borderId="10" xfId="0" applyFont="1" applyBorder="1"/>
    <xf numFmtId="165" fontId="21" fillId="0" borderId="10" xfId="0" applyNumberFormat="1" applyFont="1" applyBorder="1" applyAlignment="1">
      <alignment horizontal="right"/>
    </xf>
    <xf numFmtId="169" fontId="21" fillId="0" borderId="3" xfId="0" applyNumberFormat="1" applyFont="1" applyBorder="1"/>
    <xf numFmtId="0" fontId="2" fillId="0" borderId="1" xfId="0" applyFont="1" applyBorder="1"/>
    <xf numFmtId="0" fontId="21" fillId="0" borderId="3" xfId="0" applyFont="1" applyBorder="1"/>
    <xf numFmtId="0" fontId="24" fillId="0" borderId="4" xfId="0" applyFont="1" applyBorder="1"/>
    <xf numFmtId="0" fontId="25" fillId="0" borderId="0" xfId="0" applyFont="1"/>
    <xf numFmtId="165" fontId="25" fillId="0" borderId="0" xfId="0" applyNumberFormat="1" applyFont="1" applyAlignment="1">
      <alignment horizontal="right"/>
    </xf>
    <xf numFmtId="0" fontId="15" fillId="0" borderId="4" xfId="0" applyFont="1" applyBorder="1"/>
    <xf numFmtId="14" fontId="15" fillId="0" borderId="6" xfId="0" applyNumberFormat="1" applyFont="1" applyBorder="1"/>
    <xf numFmtId="14" fontId="21" fillId="0" borderId="0" xfId="0" applyNumberFormat="1" applyFont="1"/>
    <xf numFmtId="14" fontId="0" fillId="0" borderId="0" xfId="0" applyNumberFormat="1"/>
    <xf numFmtId="0" fontId="15" fillId="0" borderId="7" xfId="0" applyFont="1" applyBorder="1"/>
    <xf numFmtId="0" fontId="21" fillId="0" borderId="12" xfId="0" applyFont="1" applyBorder="1"/>
    <xf numFmtId="165" fontId="21" fillId="0" borderId="12" xfId="0" applyNumberFormat="1" applyFont="1" applyBorder="1" applyAlignment="1">
      <alignment horizontal="right"/>
    </xf>
    <xf numFmtId="14" fontId="15" fillId="0" borderId="9" xfId="0" applyNumberFormat="1" applyFont="1" applyBorder="1"/>
    <xf numFmtId="2" fontId="21" fillId="0" borderId="0" xfId="0" applyNumberFormat="1" applyFont="1" applyAlignment="1">
      <alignment horizontal="right"/>
    </xf>
    <xf numFmtId="169" fontId="21" fillId="0" borderId="0" xfId="0" applyNumberFormat="1" applyFont="1"/>
    <xf numFmtId="165" fontId="0" fillId="0" borderId="12" xfId="0" applyNumberFormat="1" applyBorder="1" applyAlignment="1">
      <alignment horizontal="right"/>
    </xf>
    <xf numFmtId="0" fontId="26" fillId="0" borderId="0" xfId="0" applyFont="1"/>
    <xf numFmtId="0" fontId="27" fillId="0" borderId="0" xfId="0" applyFont="1"/>
    <xf numFmtId="169" fontId="23" fillId="0" borderId="6" xfId="0" applyNumberFormat="1" applyFont="1" applyBorder="1"/>
    <xf numFmtId="0" fontId="25" fillId="0" borderId="3" xfId="0" applyFont="1" applyBorder="1"/>
    <xf numFmtId="0" fontId="23" fillId="0" borderId="4" xfId="0" applyFont="1" applyBorder="1"/>
    <xf numFmtId="0" fontId="23" fillId="0" borderId="6" xfId="0" applyFont="1" applyBorder="1"/>
    <xf numFmtId="0" fontId="14" fillId="0" borderId="4" xfId="0" applyFont="1" applyBorder="1" applyAlignment="1">
      <alignment horizontal="left"/>
    </xf>
    <xf numFmtId="165" fontId="14" fillId="0" borderId="4" xfId="0" applyNumberFormat="1" applyFont="1" applyBorder="1" applyAlignment="1">
      <alignment horizontal="left"/>
    </xf>
    <xf numFmtId="165" fontId="14" fillId="0" borderId="7" xfId="0" applyNumberFormat="1" applyFont="1" applyBorder="1" applyAlignment="1">
      <alignment horizontal="left"/>
    </xf>
    <xf numFmtId="2" fontId="21" fillId="0" borderId="12" xfId="0" applyNumberFormat="1" applyFont="1" applyBorder="1"/>
    <xf numFmtId="164" fontId="21" fillId="0" borderId="12" xfId="0" applyNumberFormat="1" applyFont="1" applyBorder="1"/>
    <xf numFmtId="0" fontId="23" fillId="0" borderId="0" xfId="0" applyFont="1"/>
    <xf numFmtId="0" fontId="0" fillId="7" borderId="0" xfId="0" applyFill="1"/>
    <xf numFmtId="0" fontId="28" fillId="7" borderId="0" xfId="0" applyFont="1" applyFill="1" applyAlignment="1">
      <alignment horizontal="center" vertical="center"/>
    </xf>
    <xf numFmtId="0" fontId="28" fillId="7" borderId="0" xfId="0" applyFont="1" applyFill="1" applyAlignment="1">
      <alignment horizontal="center"/>
    </xf>
    <xf numFmtId="0" fontId="0" fillId="7" borderId="0" xfId="0" applyFill="1" applyAlignment="1">
      <alignment horizontal="center"/>
    </xf>
    <xf numFmtId="0" fontId="28" fillId="7" borderId="0" xfId="0" applyFont="1" applyFill="1"/>
    <xf numFmtId="0" fontId="10" fillId="0" borderId="0" xfId="0" applyFont="1" applyAlignment="1">
      <alignment horizontal="center" vertical="center"/>
    </xf>
    <xf numFmtId="0" fontId="28" fillId="0" borderId="0" xfId="0" applyFont="1" applyAlignment="1">
      <alignment horizontal="center"/>
    </xf>
    <xf numFmtId="0" fontId="28" fillId="0" borderId="0" xfId="0" applyFont="1"/>
    <xf numFmtId="0" fontId="0" fillId="0" borderId="0" xfId="0" applyAlignment="1">
      <alignment horizontal="left" vertical="center"/>
    </xf>
    <xf numFmtId="15" fontId="14" fillId="0" borderId="0" xfId="0" applyNumberFormat="1" applyFont="1"/>
    <xf numFmtId="15" fontId="0" fillId="0" borderId="0" xfId="0" applyNumberFormat="1"/>
    <xf numFmtId="2" fontId="6" fillId="0" borderId="0" xfId="0" applyNumberFormat="1" applyFont="1"/>
    <xf numFmtId="0" fontId="6" fillId="0" borderId="0" xfId="0" applyFont="1"/>
    <xf numFmtId="1" fontId="14" fillId="0" borderId="0" xfId="0" applyNumberFormat="1" applyFont="1" applyAlignment="1">
      <alignment horizontal="right"/>
    </xf>
    <xf numFmtId="0" fontId="30" fillId="0" borderId="0" xfId="0" applyFont="1" applyAlignment="1">
      <alignment horizontal="center" vertical="center" wrapText="1"/>
    </xf>
    <xf numFmtId="0" fontId="15" fillId="4" borderId="0" xfId="0" applyFont="1" applyFill="1" applyAlignment="1">
      <alignment horizontal="left"/>
    </xf>
    <xf numFmtId="0" fontId="13" fillId="0" borderId="10" xfId="0" applyFont="1" applyBorder="1"/>
    <xf numFmtId="0" fontId="6" fillId="0" borderId="0" xfId="0" applyFont="1" applyAlignment="1">
      <alignment horizontal="left"/>
    </xf>
    <xf numFmtId="0" fontId="15" fillId="8" borderId="0" xfId="0" applyFont="1" applyFill="1"/>
    <xf numFmtId="0" fontId="14" fillId="8" borderId="0" xfId="0" applyFont="1" applyFill="1" applyAlignment="1">
      <alignment horizontal="left"/>
    </xf>
    <xf numFmtId="0" fontId="17" fillId="8" borderId="0" xfId="0" applyFont="1" applyFill="1"/>
    <xf numFmtId="0" fontId="0" fillId="8" borderId="0" xfId="0" applyFill="1"/>
    <xf numFmtId="2" fontId="21" fillId="8" borderId="0" xfId="0" applyNumberFormat="1" applyFont="1" applyFill="1"/>
    <xf numFmtId="15" fontId="21" fillId="8" borderId="0" xfId="0" applyNumberFormat="1" applyFont="1" applyFill="1"/>
    <xf numFmtId="1" fontId="21" fillId="8" borderId="0" xfId="0" applyNumberFormat="1" applyFont="1" applyFill="1"/>
    <xf numFmtId="164" fontId="21" fillId="8" borderId="0" xfId="0" applyNumberFormat="1" applyFont="1" applyFill="1"/>
    <xf numFmtId="0" fontId="21" fillId="8" borderId="0" xfId="0" applyFont="1" applyFill="1"/>
    <xf numFmtId="0" fontId="29" fillId="8" borderId="0" xfId="0" applyFont="1" applyFill="1"/>
    <xf numFmtId="0" fontId="14" fillId="8" borderId="0" xfId="0" applyFont="1" applyFill="1"/>
    <xf numFmtId="164" fontId="6" fillId="0" borderId="0" xfId="0" applyNumberFormat="1" applyFont="1"/>
    <xf numFmtId="0" fontId="0" fillId="9" borderId="0" xfId="0" applyFill="1"/>
    <xf numFmtId="0" fontId="32" fillId="0" borderId="0" xfId="0" applyFont="1"/>
    <xf numFmtId="2" fontId="0" fillId="6" borderId="4" xfId="0" applyNumberFormat="1" applyFill="1" applyBorder="1"/>
    <xf numFmtId="0" fontId="0" fillId="6" borderId="4" xfId="0" applyFill="1" applyBorder="1"/>
    <xf numFmtId="1" fontId="17" fillId="0" borderId="0" xfId="0" applyNumberFormat="1" applyFont="1" applyAlignment="1">
      <alignment horizontal="left"/>
    </xf>
    <xf numFmtId="20" fontId="17" fillId="0" borderId="0" xfId="0" applyNumberFormat="1" applyFont="1"/>
    <xf numFmtId="164" fontId="17" fillId="0" borderId="0" xfId="0" applyNumberFormat="1" applyFont="1"/>
    <xf numFmtId="15" fontId="17" fillId="0" borderId="0" xfId="0" applyNumberFormat="1" applyFont="1"/>
    <xf numFmtId="2" fontId="17" fillId="0" borderId="0" xfId="0" applyNumberFormat="1" applyFont="1"/>
    <xf numFmtId="1" fontId="17" fillId="0" borderId="0" xfId="0" applyNumberFormat="1" applyFont="1"/>
    <xf numFmtId="0" fontId="35" fillId="0" borderId="0" xfId="0" applyFont="1"/>
    <xf numFmtId="14" fontId="15" fillId="0" borderId="12" xfId="0" applyNumberFormat="1" applyFont="1" applyBorder="1"/>
    <xf numFmtId="164" fontId="6" fillId="0" borderId="0" xfId="0" quotePrefix="1" applyNumberFormat="1" applyFont="1"/>
    <xf numFmtId="170" fontId="0" fillId="0" borderId="0" xfId="0" applyNumberFormat="1"/>
    <xf numFmtId="0" fontId="36" fillId="0" borderId="0" xfId="0" applyFont="1"/>
    <xf numFmtId="2" fontId="36" fillId="0" borderId="0" xfId="0" applyNumberFormat="1" applyFont="1"/>
    <xf numFmtId="164" fontId="36" fillId="0" borderId="0" xfId="0" applyNumberFormat="1" applyFont="1"/>
    <xf numFmtId="14" fontId="36" fillId="0" borderId="0" xfId="0" applyNumberFormat="1" applyFont="1"/>
    <xf numFmtId="0" fontId="36" fillId="0" borderId="4" xfId="0" applyFont="1" applyBorder="1"/>
    <xf numFmtId="0" fontId="36" fillId="0" borderId="0" xfId="0" applyFont="1" applyAlignment="1">
      <alignment horizontal="center"/>
    </xf>
    <xf numFmtId="164" fontId="37" fillId="0" borderId="0" xfId="0" quotePrefix="1" applyNumberFormat="1" applyFont="1"/>
    <xf numFmtId="1" fontId="37" fillId="0" borderId="0" xfId="0" applyNumberFormat="1" applyFont="1"/>
    <xf numFmtId="1" fontId="37" fillId="0" borderId="0" xfId="0" quotePrefix="1" applyNumberFormat="1" applyFont="1"/>
    <xf numFmtId="1" fontId="36" fillId="0" borderId="0" xfId="0" applyNumberFormat="1" applyFont="1"/>
    <xf numFmtId="166" fontId="36" fillId="0" borderId="0" xfId="0" applyNumberFormat="1" applyFont="1"/>
    <xf numFmtId="0" fontId="37" fillId="0" borderId="0" xfId="0" applyFont="1"/>
    <xf numFmtId="0" fontId="37" fillId="0" borderId="4" xfId="0" applyFont="1" applyBorder="1"/>
    <xf numFmtId="0" fontId="36" fillId="0" borderId="0" xfId="0" quotePrefix="1" applyFont="1"/>
    <xf numFmtId="0" fontId="38" fillId="0" borderId="0" xfId="0" applyFont="1"/>
    <xf numFmtId="0" fontId="36" fillId="0" borderId="12" xfId="0" applyFont="1" applyBorder="1"/>
    <xf numFmtId="0" fontId="37" fillId="0" borderId="12" xfId="0" applyFont="1" applyBorder="1"/>
    <xf numFmtId="0" fontId="37" fillId="0" borderId="7" xfId="0" applyFont="1" applyBorder="1"/>
    <xf numFmtId="164" fontId="6" fillId="0" borderId="10" xfId="0" quotePrefix="1" applyNumberFormat="1" applyFont="1" applyBorder="1"/>
    <xf numFmtId="2" fontId="0" fillId="0" borderId="10" xfId="0" applyNumberFormat="1" applyBorder="1"/>
    <xf numFmtId="2" fontId="0" fillId="0" borderId="10" xfId="0" quotePrefix="1" applyNumberFormat="1" applyBorder="1"/>
    <xf numFmtId="0" fontId="15" fillId="0" borderId="10" xfId="0" applyFont="1" applyBorder="1"/>
    <xf numFmtId="0" fontId="35" fillId="0" borderId="4" xfId="0" applyFont="1" applyBorder="1"/>
    <xf numFmtId="14" fontId="14" fillId="0" borderId="0" xfId="0" applyNumberFormat="1" applyFont="1"/>
    <xf numFmtId="0" fontId="35" fillId="0" borderId="7" xfId="0" applyFont="1" applyBorder="1"/>
    <xf numFmtId="0" fontId="35" fillId="0" borderId="12" xfId="0" applyFont="1" applyBorder="1"/>
    <xf numFmtId="14" fontId="14" fillId="0" borderId="12" xfId="0" applyNumberFormat="1" applyFont="1" applyBorder="1"/>
    <xf numFmtId="170" fontId="35" fillId="0" borderId="0" xfId="0" applyNumberFormat="1" applyFont="1"/>
    <xf numFmtId="10" fontId="35" fillId="0" borderId="0" xfId="33" applyNumberFormat="1" applyFont="1"/>
    <xf numFmtId="0" fontId="40" fillId="0" borderId="0" xfId="0" applyFont="1"/>
    <xf numFmtId="1" fontId="7" fillId="0" borderId="0" xfId="0" applyNumberFormat="1" applyFont="1"/>
    <xf numFmtId="171" fontId="0" fillId="0" borderId="0" xfId="0" applyNumberFormat="1"/>
    <xf numFmtId="172" fontId="0" fillId="0" borderId="0" xfId="0" applyNumberFormat="1" applyAlignment="1">
      <alignment horizontal="right"/>
    </xf>
    <xf numFmtId="0" fontId="14" fillId="0" borderId="0" xfId="34" applyFont="1"/>
    <xf numFmtId="164" fontId="0" fillId="0" borderId="10" xfId="0" applyNumberFormat="1" applyBorder="1"/>
    <xf numFmtId="172" fontId="0" fillId="0" borderId="10" xfId="0" applyNumberFormat="1" applyBorder="1"/>
    <xf numFmtId="0" fontId="0" fillId="0" borderId="10" xfId="0" applyBorder="1" applyAlignment="1">
      <alignment horizontal="right"/>
    </xf>
    <xf numFmtId="164" fontId="0" fillId="0" borderId="12" xfId="0" applyNumberFormat="1" applyBorder="1"/>
    <xf numFmtId="172" fontId="0" fillId="0" borderId="12" xfId="0" applyNumberFormat="1" applyBorder="1"/>
    <xf numFmtId="0" fontId="0" fillId="0" borderId="12" xfId="0" applyBorder="1" applyAlignment="1">
      <alignment horizontal="right"/>
    </xf>
    <xf numFmtId="0" fontId="43" fillId="0" borderId="0" xfId="35" applyFont="1"/>
    <xf numFmtId="14" fontId="0" fillId="0" borderId="12" xfId="0" applyNumberFormat="1" applyBorder="1"/>
    <xf numFmtId="0" fontId="15" fillId="0" borderId="13" xfId="0" applyFont="1" applyBorder="1"/>
    <xf numFmtId="0" fontId="0" fillId="0" borderId="13" xfId="0" applyBorder="1"/>
    <xf numFmtId="14" fontId="0" fillId="0" borderId="13" xfId="0" applyNumberFormat="1" applyBorder="1"/>
    <xf numFmtId="1" fontId="15" fillId="0" borderId="13" xfId="0" applyNumberFormat="1" applyFont="1" applyBorder="1"/>
    <xf numFmtId="2" fontId="15" fillId="0" borderId="13" xfId="0" applyNumberFormat="1" applyFont="1" applyBorder="1"/>
    <xf numFmtId="2" fontId="15" fillId="0" borderId="10" xfId="0" applyNumberFormat="1" applyFont="1" applyBorder="1"/>
    <xf numFmtId="14" fontId="0" fillId="0" borderId="10" xfId="0" applyNumberFormat="1" applyBorder="1"/>
    <xf numFmtId="0" fontId="6" fillId="0" borderId="13" xfId="0" applyFont="1" applyBorder="1"/>
    <xf numFmtId="0" fontId="0" fillId="0" borderId="11" xfId="0" applyBorder="1"/>
    <xf numFmtId="14" fontId="0" fillId="0" borderId="11" xfId="0" applyNumberFormat="1" applyBorder="1"/>
    <xf numFmtId="2" fontId="14" fillId="0" borderId="11" xfId="0" applyNumberFormat="1" applyFont="1" applyBorder="1"/>
    <xf numFmtId="2" fontId="40" fillId="0" borderId="0" xfId="0" applyNumberFormat="1" applyFont="1"/>
    <xf numFmtId="0" fontId="44" fillId="0" borderId="0" xfId="36"/>
    <xf numFmtId="164" fontId="44" fillId="0" borderId="0" xfId="36" applyNumberFormat="1"/>
    <xf numFmtId="0" fontId="2" fillId="0" borderId="0" xfId="36" applyFont="1"/>
    <xf numFmtId="0" fontId="44" fillId="0" borderId="14" xfId="36" applyBorder="1" applyAlignment="1">
      <alignment horizontal="right"/>
    </xf>
    <xf numFmtId="0" fontId="44" fillId="0" borderId="15" xfId="36" applyBorder="1" applyAlignment="1">
      <alignment horizontal="right"/>
    </xf>
    <xf numFmtId="0" fontId="44" fillId="0" borderId="16" xfId="36" applyBorder="1" applyAlignment="1">
      <alignment horizontal="right"/>
    </xf>
    <xf numFmtId="0" fontId="45" fillId="0" borderId="0" xfId="36" applyFont="1"/>
    <xf numFmtId="0" fontId="44" fillId="0" borderId="0" xfId="36" applyAlignment="1">
      <alignment horizontal="right"/>
    </xf>
    <xf numFmtId="0" fontId="44" fillId="0" borderId="0" xfId="36" applyAlignment="1">
      <alignment horizontal="center"/>
    </xf>
    <xf numFmtId="0" fontId="2" fillId="0" borderId="0" xfId="36" applyFont="1" applyAlignment="1">
      <alignment horizontal="center"/>
    </xf>
    <xf numFmtId="2" fontId="44" fillId="0" borderId="0" xfId="36" applyNumberFormat="1" applyAlignment="1">
      <alignment horizontal="center"/>
    </xf>
    <xf numFmtId="164" fontId="44" fillId="0" borderId="0" xfId="36" applyNumberFormat="1" applyAlignment="1">
      <alignment horizontal="center"/>
    </xf>
    <xf numFmtId="0" fontId="14" fillId="0" borderId="0" xfId="36" quotePrefix="1" applyFont="1"/>
    <xf numFmtId="0" fontId="14" fillId="0" borderId="0" xfId="36" applyFont="1" applyAlignment="1">
      <alignment horizontal="left"/>
    </xf>
    <xf numFmtId="0" fontId="14" fillId="0" borderId="0" xfId="36" applyFont="1" applyAlignment="1">
      <alignment horizontal="center"/>
    </xf>
    <xf numFmtId="0" fontId="14" fillId="0" borderId="0" xfId="36" applyFont="1"/>
    <xf numFmtId="0" fontId="50" fillId="0" borderId="0" xfId="36" applyFont="1" applyAlignment="1">
      <alignment horizontal="center"/>
    </xf>
    <xf numFmtId="0" fontId="49" fillId="0" borderId="0" xfId="36" applyFont="1"/>
    <xf numFmtId="0" fontId="14" fillId="0" borderId="0" xfId="36" quotePrefix="1" applyFont="1" applyAlignment="1">
      <alignment horizontal="center"/>
    </xf>
    <xf numFmtId="0" fontId="2" fillId="0" borderId="0" xfId="0" applyFont="1" applyAlignment="1">
      <alignment wrapText="1"/>
    </xf>
    <xf numFmtId="0" fontId="0" fillId="0" borderId="0" xfId="0" applyAlignment="1">
      <alignment horizontal="center" vertical="center"/>
    </xf>
    <xf numFmtId="0" fontId="51" fillId="0" borderId="0" xfId="0" applyFont="1"/>
    <xf numFmtId="0" fontId="51" fillId="0" borderId="0" xfId="0" applyFont="1" applyAlignment="1">
      <alignment horizontal="left"/>
    </xf>
    <xf numFmtId="14" fontId="51" fillId="0" borderId="0" xfId="0" applyNumberFormat="1" applyFont="1"/>
    <xf numFmtId="14" fontId="51" fillId="0" borderId="0" xfId="0" applyNumberFormat="1" applyFont="1" applyAlignment="1">
      <alignment horizontal="left"/>
    </xf>
    <xf numFmtId="1" fontId="51" fillId="0" borderId="0" xfId="0" applyNumberFormat="1" applyFont="1"/>
    <xf numFmtId="2" fontId="51" fillId="0" borderId="0" xfId="0" applyNumberFormat="1" applyFont="1"/>
    <xf numFmtId="170" fontId="51" fillId="0" borderId="0" xfId="0" applyNumberFormat="1" applyFont="1"/>
    <xf numFmtId="2" fontId="52" fillId="0" borderId="0" xfId="0" applyNumberFormat="1" applyFont="1"/>
    <xf numFmtId="170" fontId="52" fillId="0" borderId="0" xfId="0" applyNumberFormat="1" applyFont="1"/>
    <xf numFmtId="14" fontId="0" fillId="0" borderId="0" xfId="0" applyNumberFormat="1" applyAlignment="1">
      <alignment horizontal="left"/>
    </xf>
    <xf numFmtId="0" fontId="0" fillId="0" borderId="22" xfId="0" applyBorder="1"/>
    <xf numFmtId="0" fontId="0" fillId="0" borderId="22" xfId="0" applyBorder="1" applyAlignment="1">
      <alignment horizontal="left"/>
    </xf>
    <xf numFmtId="2" fontId="0" fillId="0" borderId="22" xfId="0" applyNumberFormat="1" applyBorder="1"/>
    <xf numFmtId="14" fontId="0" fillId="0" borderId="22" xfId="0" applyNumberFormat="1" applyBorder="1"/>
    <xf numFmtId="14" fontId="0" fillId="0" borderId="22" xfId="0" applyNumberFormat="1" applyBorder="1" applyAlignment="1">
      <alignment horizontal="left"/>
    </xf>
    <xf numFmtId="1" fontId="0" fillId="0" borderId="22" xfId="0" applyNumberFormat="1" applyBorder="1"/>
    <xf numFmtId="2" fontId="52" fillId="0" borderId="22" xfId="0" applyNumberFormat="1" applyFont="1" applyBorder="1"/>
    <xf numFmtId="170" fontId="52" fillId="0" borderId="22" xfId="0" applyNumberFormat="1" applyFont="1" applyBorder="1"/>
    <xf numFmtId="164" fontId="0" fillId="0" borderId="22" xfId="0" applyNumberFormat="1" applyBorder="1"/>
    <xf numFmtId="173" fontId="0" fillId="0" borderId="0" xfId="0" applyNumberFormat="1"/>
    <xf numFmtId="173" fontId="0" fillId="0" borderId="0" xfId="0" applyNumberFormat="1" applyAlignment="1">
      <alignment horizontal="left"/>
    </xf>
    <xf numFmtId="164" fontId="0" fillId="0" borderId="0" xfId="0" applyNumberFormat="1" applyAlignment="1">
      <alignment horizontal="center"/>
    </xf>
    <xf numFmtId="14" fontId="15" fillId="0" borderId="0" xfId="0" applyNumberFormat="1" applyFont="1" applyAlignment="1">
      <alignment horizontal="left"/>
    </xf>
    <xf numFmtId="0" fontId="14" fillId="0" borderId="0" xfId="0" applyFont="1" applyAlignment="1">
      <alignment horizontal="center"/>
    </xf>
    <xf numFmtId="164" fontId="52" fillId="0" borderId="0" xfId="0" applyNumberFormat="1" applyFont="1" applyAlignment="1">
      <alignment horizontal="left"/>
    </xf>
    <xf numFmtId="0" fontId="53" fillId="0" borderId="0" xfId="0" applyFont="1" applyAlignment="1">
      <alignment horizontal="left"/>
    </xf>
    <xf numFmtId="0" fontId="52" fillId="0" borderId="0" xfId="0" applyFont="1" applyAlignment="1">
      <alignment horizontal="left"/>
    </xf>
    <xf numFmtId="0" fontId="52" fillId="0" borderId="0" xfId="0" applyFont="1" applyAlignment="1">
      <alignment horizontal="right"/>
    </xf>
    <xf numFmtId="0" fontId="52" fillId="0" borderId="0" xfId="0" applyFont="1"/>
    <xf numFmtId="0" fontId="17" fillId="0" borderId="0" xfId="0" applyFont="1" applyAlignment="1">
      <alignment horizontal="left" vertical="center"/>
    </xf>
    <xf numFmtId="0" fontId="0" fillId="0" borderId="5" xfId="0" applyBorder="1"/>
    <xf numFmtId="0" fontId="6" fillId="0" borderId="5" xfId="0" applyFont="1" applyBorder="1"/>
    <xf numFmtId="0" fontId="55" fillId="0" borderId="0" xfId="0" applyFont="1"/>
    <xf numFmtId="0" fontId="55" fillId="0" borderId="23" xfId="0" applyFont="1" applyBorder="1" applyAlignment="1">
      <alignment horizontal="center"/>
    </xf>
    <xf numFmtId="0" fontId="55" fillId="0" borderId="24" xfId="0" applyFont="1" applyBorder="1" applyAlignment="1">
      <alignment horizontal="center"/>
    </xf>
    <xf numFmtId="0" fontId="55" fillId="0" borderId="25" xfId="0" applyFont="1" applyBorder="1" applyAlignment="1">
      <alignment horizontal="center"/>
    </xf>
    <xf numFmtId="0" fontId="0" fillId="0" borderId="25" xfId="0" applyBorder="1"/>
    <xf numFmtId="0" fontId="56" fillId="0" borderId="6" xfId="36" applyFont="1" applyBorder="1" applyAlignment="1">
      <alignment horizontal="center" vertical="top"/>
    </xf>
    <xf numFmtId="2" fontId="57" fillId="0" borderId="5" xfId="36" applyNumberFormat="1" applyFont="1" applyFill="1" applyBorder="1" applyAlignment="1" applyProtection="1">
      <alignment horizontal="center" vertical="top"/>
    </xf>
    <xf numFmtId="2" fontId="57" fillId="0" borderId="4" xfId="36" applyNumberFormat="1" applyFont="1" applyFill="1" applyBorder="1" applyAlignment="1" applyProtection="1">
      <alignment horizontal="center" vertical="top"/>
    </xf>
    <xf numFmtId="0" fontId="15" fillId="0" borderId="0" xfId="0" applyFont="1" applyFill="1"/>
    <xf numFmtId="0" fontId="0" fillId="0" borderId="0" xfId="0" applyBorder="1"/>
    <xf numFmtId="0" fontId="56" fillId="11" borderId="6" xfId="36" applyFont="1" applyFill="1" applyBorder="1" applyAlignment="1">
      <alignment horizontal="center" vertical="top"/>
    </xf>
    <xf numFmtId="2" fontId="57" fillId="11" borderId="5" xfId="36" applyNumberFormat="1" applyFont="1" applyFill="1" applyBorder="1" applyAlignment="1" applyProtection="1">
      <alignment horizontal="center" vertical="top"/>
    </xf>
    <xf numFmtId="2" fontId="57" fillId="11" borderId="4" xfId="36" applyNumberFormat="1" applyFont="1" applyFill="1" applyBorder="1" applyAlignment="1" applyProtection="1">
      <alignment horizontal="center" vertical="top"/>
    </xf>
    <xf numFmtId="0" fontId="15" fillId="11" borderId="0" xfId="0" applyFont="1" applyFill="1"/>
    <xf numFmtId="0" fontId="0" fillId="11" borderId="0" xfId="0" applyFill="1"/>
    <xf numFmtId="2" fontId="55" fillId="11" borderId="0" xfId="0" applyNumberFormat="1" applyFont="1" applyFill="1"/>
    <xf numFmtId="0" fontId="55" fillId="11" borderId="0" xfId="0" applyFont="1" applyFill="1"/>
    <xf numFmtId="2" fontId="55" fillId="0" borderId="0" xfId="0" applyNumberFormat="1" applyFont="1"/>
    <xf numFmtId="2" fontId="58" fillId="12" borderId="5" xfId="36" applyNumberFormat="1" applyFont="1" applyFill="1" applyBorder="1" applyAlignment="1" applyProtection="1">
      <alignment horizontal="left" vertical="top"/>
    </xf>
    <xf numFmtId="2" fontId="57" fillId="12" borderId="5" xfId="36" applyNumberFormat="1" applyFont="1" applyFill="1" applyBorder="1" applyAlignment="1" applyProtection="1">
      <alignment horizontal="center" vertical="top"/>
    </xf>
    <xf numFmtId="2" fontId="57" fillId="12" borderId="4" xfId="36" applyNumberFormat="1" applyFont="1" applyFill="1" applyBorder="1" applyAlignment="1" applyProtection="1">
      <alignment horizontal="center" vertical="top"/>
    </xf>
    <xf numFmtId="0" fontId="15" fillId="12" borderId="0" xfId="0" applyFont="1" applyFill="1"/>
    <xf numFmtId="0" fontId="0" fillId="12" borderId="0" xfId="0" applyFill="1"/>
    <xf numFmtId="1" fontId="15" fillId="0" borderId="0" xfId="0" applyNumberFormat="1" applyFont="1" applyFill="1"/>
    <xf numFmtId="1" fontId="15" fillId="11" borderId="0" xfId="0" applyNumberFormat="1" applyFont="1" applyFill="1"/>
    <xf numFmtId="1" fontId="15" fillId="12" borderId="0" xfId="0" applyNumberFormat="1" applyFont="1" applyFill="1"/>
    <xf numFmtId="0" fontId="55" fillId="12" borderId="0" xfId="0" applyFont="1" applyFill="1"/>
    <xf numFmtId="0" fontId="56" fillId="3" borderId="6" xfId="36" applyFont="1" applyFill="1" applyBorder="1" applyAlignment="1">
      <alignment horizontal="center" vertical="top"/>
    </xf>
    <xf numFmtId="2" fontId="57" fillId="3" borderId="5" xfId="36" applyNumberFormat="1" applyFont="1" applyFill="1" applyBorder="1" applyAlignment="1" applyProtection="1">
      <alignment horizontal="center" vertical="top"/>
    </xf>
    <xf numFmtId="2" fontId="57" fillId="3" borderId="4" xfId="36" applyNumberFormat="1" applyFont="1" applyFill="1" applyBorder="1" applyAlignment="1" applyProtection="1">
      <alignment horizontal="center" vertical="top"/>
    </xf>
    <xf numFmtId="1" fontId="15" fillId="3" borderId="0" xfId="0" applyNumberFormat="1" applyFont="1" applyFill="1"/>
    <xf numFmtId="0" fontId="0" fillId="3" borderId="13" xfId="0" applyFill="1" applyBorder="1"/>
    <xf numFmtId="2" fontId="55" fillId="3" borderId="0" xfId="0" applyNumberFormat="1" applyFont="1" applyFill="1"/>
    <xf numFmtId="0" fontId="55" fillId="3" borderId="0" xfId="0" applyFont="1" applyFill="1"/>
    <xf numFmtId="2" fontId="15" fillId="0" borderId="0" xfId="0" applyNumberFormat="1" applyFont="1" applyFill="1"/>
    <xf numFmtId="2" fontId="15" fillId="11" borderId="0" xfId="0" applyNumberFormat="1" applyFont="1" applyFill="1"/>
    <xf numFmtId="2" fontId="15" fillId="12" borderId="0" xfId="0" applyNumberFormat="1" applyFont="1" applyFill="1"/>
    <xf numFmtId="2" fontId="15" fillId="3" borderId="0" xfId="0" applyNumberFormat="1" applyFont="1" applyFill="1"/>
    <xf numFmtId="2" fontId="0" fillId="3" borderId="0" xfId="0" applyNumberFormat="1" applyFill="1"/>
    <xf numFmtId="0" fontId="0" fillId="3" borderId="10" xfId="0" applyFill="1" applyBorder="1"/>
    <xf numFmtId="174" fontId="0" fillId="0" borderId="0" xfId="0" applyNumberFormat="1"/>
    <xf numFmtId="171" fontId="0" fillId="0" borderId="0" xfId="0" applyNumberFormat="1" applyBorder="1"/>
    <xf numFmtId="2" fontId="0" fillId="0" borderId="0" xfId="0" applyNumberFormat="1" applyBorder="1"/>
    <xf numFmtId="171" fontId="55" fillId="0" borderId="0" xfId="0" applyNumberFormat="1" applyFont="1" applyBorder="1"/>
    <xf numFmtId="2" fontId="55" fillId="0" borderId="0" xfId="0" applyNumberFormat="1" applyFont="1" applyBorder="1"/>
    <xf numFmtId="0" fontId="0" fillId="0" borderId="0" xfId="0" applyFill="1"/>
    <xf numFmtId="1" fontId="0" fillId="3" borderId="0" xfId="0" applyNumberFormat="1" applyFill="1"/>
    <xf numFmtId="2" fontId="0" fillId="3" borderId="0" xfId="0" applyNumberFormat="1" applyFill="1" applyBorder="1"/>
    <xf numFmtId="2" fontId="0" fillId="3" borderId="4" xfId="0" applyNumberFormat="1" applyFill="1" applyBorder="1"/>
    <xf numFmtId="0" fontId="54" fillId="0" borderId="0" xfId="0" applyFont="1" applyFill="1"/>
    <xf numFmtId="0" fontId="59" fillId="3" borderId="0" xfId="0" applyFont="1" applyFill="1"/>
    <xf numFmtId="171" fontId="0" fillId="3" borderId="0" xfId="0" applyNumberFormat="1" applyFill="1" applyBorder="1"/>
    <xf numFmtId="2" fontId="0" fillId="0" borderId="0" xfId="0" applyNumberFormat="1" applyFill="1"/>
    <xf numFmtId="171" fontId="0" fillId="0" borderId="0" xfId="0" applyNumberFormat="1" applyFill="1" applyBorder="1"/>
    <xf numFmtId="2" fontId="54" fillId="0" borderId="0" xfId="0" applyNumberFormat="1" applyFont="1" applyFill="1"/>
    <xf numFmtId="0" fontId="6" fillId="13" borderId="0" xfId="0" applyFont="1" applyFill="1"/>
    <xf numFmtId="0" fontId="0" fillId="13" borderId="0" xfId="0" applyFill="1"/>
    <xf numFmtId="174"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2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4" fontId="0" fillId="0" borderId="22" xfId="0" applyNumberFormat="1" applyBorder="1" applyAlignment="1">
      <alignment vertical="top" wrapText="1"/>
    </xf>
    <xf numFmtId="1" fontId="0" fillId="0" borderId="22" xfId="0" applyNumberFormat="1" applyBorder="1" applyAlignment="1">
      <alignment vertical="top" wrapText="1"/>
    </xf>
    <xf numFmtId="0" fontId="0" fillId="0" borderId="22" xfId="0" applyBorder="1" applyAlignment="1">
      <alignment vertical="top" wrapText="1"/>
    </xf>
    <xf numFmtId="0" fontId="0" fillId="0" borderId="22" xfId="0" applyBorder="1" applyAlignment="1">
      <alignment vertical="top"/>
    </xf>
    <xf numFmtId="2" fontId="0" fillId="0" borderId="25" xfId="0" applyNumberFormat="1" applyBorder="1" applyAlignment="1">
      <alignment vertical="top" wrapText="1"/>
    </xf>
    <xf numFmtId="2" fontId="0" fillId="0" borderId="23" xfId="0" applyNumberFormat="1" applyBorder="1" applyAlignment="1">
      <alignment vertical="top"/>
    </xf>
    <xf numFmtId="14" fontId="0" fillId="0" borderId="0" xfId="0" applyNumberFormat="1" applyFont="1"/>
    <xf numFmtId="0" fontId="0" fillId="14" borderId="0" xfId="0" applyFill="1"/>
    <xf numFmtId="2" fontId="0" fillId="14" borderId="0" xfId="0" applyNumberFormat="1" applyFill="1"/>
    <xf numFmtId="0" fontId="0" fillId="0" borderId="0" xfId="0" applyBorder="1" applyAlignment="1">
      <alignment vertical="top" wrapText="1"/>
    </xf>
    <xf numFmtId="0" fontId="0" fillId="0" borderId="0" xfId="0" applyBorder="1" applyAlignment="1">
      <alignment vertical="top"/>
    </xf>
    <xf numFmtId="0" fontId="44" fillId="3" borderId="0" xfId="36" applyFill="1"/>
    <xf numFmtId="164" fontId="44" fillId="3" borderId="0" xfId="36" applyNumberFormat="1" applyFill="1"/>
    <xf numFmtId="164" fontId="0" fillId="3" borderId="0" xfId="0" applyNumberFormat="1" applyFill="1"/>
    <xf numFmtId="0" fontId="44" fillId="3" borderId="0" xfId="36" applyFill="1" applyAlignment="1">
      <alignment horizontal="center"/>
    </xf>
    <xf numFmtId="0" fontId="0" fillId="3" borderId="0" xfId="0" applyFill="1" applyBorder="1"/>
    <xf numFmtId="0" fontId="21" fillId="0" borderId="0" xfId="0" applyFont="1" applyFill="1"/>
    <xf numFmtId="0" fontId="0" fillId="15" borderId="0" xfId="0" applyFill="1"/>
    <xf numFmtId="1" fontId="0" fillId="15" borderId="0" xfId="0" applyNumberFormat="1" applyFill="1"/>
    <xf numFmtId="2" fontId="0" fillId="15" borderId="0" xfId="0" applyNumberFormat="1" applyFill="1"/>
    <xf numFmtId="0" fontId="40" fillId="15" borderId="0" xfId="0" applyFont="1" applyFill="1"/>
    <xf numFmtId="2" fontId="40" fillId="15" borderId="0" xfId="0" applyNumberFormat="1" applyFont="1" applyFill="1"/>
    <xf numFmtId="14" fontId="0" fillId="15" borderId="0" xfId="0" applyNumberFormat="1" applyFill="1"/>
    <xf numFmtId="15" fontId="14" fillId="15" borderId="0" xfId="0" applyNumberFormat="1" applyFont="1" applyFill="1"/>
    <xf numFmtId="170" fontId="0" fillId="15" borderId="0" xfId="0" applyNumberFormat="1" applyFill="1"/>
    <xf numFmtId="2" fontId="15" fillId="15" borderId="0" xfId="0" applyNumberFormat="1" applyFont="1" applyFill="1"/>
    <xf numFmtId="2" fontId="0" fillId="11" borderId="0" xfId="0" applyNumberFormat="1" applyFill="1"/>
    <xf numFmtId="1" fontId="6" fillId="3" borderId="0" xfId="0" applyNumberFormat="1" applyFont="1" applyFill="1"/>
    <xf numFmtId="0" fontId="0" fillId="0" borderId="0" xfId="0" applyAlignment="1"/>
    <xf numFmtId="0" fontId="0" fillId="0" borderId="0" xfId="0" applyAlignment="1">
      <alignment horizontal="center"/>
    </xf>
    <xf numFmtId="0" fontId="55" fillId="0" borderId="9" xfId="0" applyFont="1" applyBorder="1" applyAlignment="1">
      <alignment horizontal="center"/>
    </xf>
    <xf numFmtId="0" fontId="56" fillId="0" borderId="5" xfId="36" applyFont="1" applyBorder="1" applyAlignment="1">
      <alignment vertical="top"/>
    </xf>
    <xf numFmtId="0" fontId="55" fillId="0" borderId="5" xfId="0" applyFont="1" applyBorder="1" applyAlignment="1">
      <alignment horizontal="center"/>
    </xf>
    <xf numFmtId="0" fontId="55" fillId="0" borderId="4" xfId="0" applyFont="1" applyBorder="1" applyAlignment="1">
      <alignment horizontal="center"/>
    </xf>
    <xf numFmtId="164" fontId="0" fillId="0" borderId="0" xfId="0" applyNumberFormat="1" applyBorder="1"/>
    <xf numFmtId="2" fontId="55" fillId="0" borderId="4" xfId="0" applyNumberFormat="1" applyFont="1" applyBorder="1" applyAlignment="1">
      <alignment vertical="top" wrapText="1"/>
    </xf>
    <xf numFmtId="10" fontId="0" fillId="0" borderId="0" xfId="33" applyNumberFormat="1" applyFont="1"/>
    <xf numFmtId="170" fontId="6" fillId="0" borderId="0" xfId="0" applyNumberFormat="1" applyFont="1"/>
    <xf numFmtId="0" fontId="6" fillId="0" borderId="0" xfId="0" applyFont="1" applyBorder="1" applyAlignment="1">
      <alignment vertical="center" wrapText="1"/>
    </xf>
    <xf numFmtId="2" fontId="6" fillId="0" borderId="0" xfId="0" applyNumberFormat="1" applyFont="1" applyBorder="1" applyAlignment="1">
      <alignment vertical="top"/>
    </xf>
    <xf numFmtId="0" fontId="6" fillId="0" borderId="26" xfId="0" applyFont="1" applyBorder="1" applyAlignment="1">
      <alignment vertical="top"/>
    </xf>
    <xf numFmtId="0" fontId="0" fillId="0" borderId="27" xfId="0" applyBorder="1" applyAlignment="1">
      <alignment vertical="top"/>
    </xf>
    <xf numFmtId="0" fontId="0" fillId="0" borderId="28" xfId="0" applyBorder="1"/>
    <xf numFmtId="0" fontId="0" fillId="0" borderId="30" xfId="0" applyBorder="1"/>
    <xf numFmtId="0" fontId="0" fillId="0" borderId="29" xfId="0" applyBorder="1" applyAlignment="1">
      <alignment vertical="top"/>
    </xf>
    <xf numFmtId="2" fontId="6" fillId="0" borderId="32" xfId="0" applyNumberFormat="1" applyFont="1" applyBorder="1"/>
    <xf numFmtId="0" fontId="0" fillId="0" borderId="33" xfId="0" applyBorder="1"/>
    <xf numFmtId="0" fontId="6" fillId="0" borderId="29" xfId="0" applyFont="1" applyBorder="1" applyAlignment="1">
      <alignment vertical="top" wrapText="1"/>
    </xf>
    <xf numFmtId="0" fontId="50" fillId="0" borderId="0" xfId="0" applyFont="1" applyAlignment="1">
      <alignment horizontal="center"/>
    </xf>
    <xf numFmtId="0" fontId="14" fillId="0" borderId="0" xfId="0" quotePrefix="1" applyFont="1" applyAlignment="1">
      <alignment horizontal="center"/>
    </xf>
    <xf numFmtId="0" fontId="49" fillId="0" borderId="0" xfId="0" applyFont="1"/>
    <xf numFmtId="0" fontId="2" fillId="0" borderId="0" xfId="0" applyFont="1" applyAlignment="1"/>
    <xf numFmtId="0" fontId="0" fillId="0" borderId="14" xfId="0" applyBorder="1" applyAlignment="1">
      <alignment horizontal="right"/>
    </xf>
    <xf numFmtId="0" fontId="0" fillId="0" borderId="15" xfId="0" applyBorder="1" applyAlignment="1">
      <alignment horizontal="right"/>
    </xf>
    <xf numFmtId="0" fontId="0" fillId="0" borderId="34" xfId="0" applyBorder="1" applyAlignment="1">
      <alignment horizontal="right"/>
    </xf>
    <xf numFmtId="0" fontId="45" fillId="0" borderId="0" xfId="0" applyFont="1"/>
    <xf numFmtId="10" fontId="6" fillId="0" borderId="0" xfId="33" applyNumberFormat="1" applyFont="1"/>
    <xf numFmtId="0" fontId="2" fillId="3" borderId="0" xfId="36" applyFont="1" applyFill="1"/>
    <xf numFmtId="164" fontId="6" fillId="3" borderId="0" xfId="0" applyNumberFormat="1" applyFont="1" applyFill="1"/>
    <xf numFmtId="0" fontId="6" fillId="3" borderId="0" xfId="0" applyFont="1" applyFill="1"/>
    <xf numFmtId="170" fontId="6" fillId="3" borderId="0" xfId="0" applyNumberFormat="1" applyFont="1" applyFill="1"/>
    <xf numFmtId="14" fontId="0" fillId="11" borderId="0" xfId="0" applyNumberFormat="1" applyFill="1"/>
    <xf numFmtId="14" fontId="0" fillId="16" borderId="0" xfId="0" applyNumberFormat="1" applyFill="1"/>
    <xf numFmtId="0" fontId="0" fillId="16" borderId="0" xfId="0" applyFill="1"/>
    <xf numFmtId="14" fontId="0" fillId="0" borderId="0" xfId="0" applyNumberFormat="1" applyFill="1"/>
    <xf numFmtId="14" fontId="6" fillId="0" borderId="0" xfId="0" applyNumberFormat="1" applyFont="1"/>
    <xf numFmtId="0" fontId="0" fillId="0" borderId="0" xfId="0" applyAlignment="1">
      <alignment horizontal="center"/>
    </xf>
    <xf numFmtId="0" fontId="0" fillId="0" borderId="0" xfId="0"/>
    <xf numFmtId="0" fontId="0" fillId="0" borderId="0" xfId="0"/>
    <xf numFmtId="1" fontId="0" fillId="7" borderId="0" xfId="0" applyNumberFormat="1" applyFill="1"/>
    <xf numFmtId="2" fontId="0" fillId="7" borderId="0" xfId="0" applyNumberFormat="1" applyFill="1"/>
    <xf numFmtId="14" fontId="0" fillId="7" borderId="0" xfId="0" applyNumberFormat="1" applyFill="1"/>
    <xf numFmtId="15" fontId="0" fillId="7" borderId="0" xfId="0" applyNumberFormat="1" applyFill="1"/>
    <xf numFmtId="2" fontId="0" fillId="17" borderId="0" xfId="0" applyNumberFormat="1" applyFill="1"/>
    <xf numFmtId="164" fontId="51" fillId="0" borderId="0" xfId="0" applyNumberFormat="1" applyFont="1" applyFill="1"/>
    <xf numFmtId="164" fontId="52" fillId="0" borderId="0" xfId="0" applyNumberFormat="1" applyFont="1" applyFill="1"/>
    <xf numFmtId="164" fontId="0" fillId="0" borderId="0" xfId="0" applyNumberFormat="1" applyFill="1"/>
    <xf numFmtId="164" fontId="0" fillId="0" borderId="22" xfId="0" applyNumberFormat="1" applyFill="1" applyBorder="1"/>
    <xf numFmtId="1" fontId="0" fillId="0" borderId="0" xfId="0" applyNumberFormat="1" applyFill="1"/>
    <xf numFmtId="1" fontId="14" fillId="0" borderId="0" xfId="0" applyNumberFormat="1" applyFont="1" applyFill="1"/>
    <xf numFmtId="0" fontId="0" fillId="18" borderId="0" xfId="0" applyFill="1"/>
    <xf numFmtId="1" fontId="0" fillId="18" borderId="0" xfId="0" applyNumberFormat="1" applyFill="1"/>
    <xf numFmtId="2" fontId="0" fillId="18" borderId="0" xfId="0" applyNumberFormat="1" applyFill="1"/>
    <xf numFmtId="14" fontId="0" fillId="18" borderId="0" xfId="0" applyNumberFormat="1" applyFill="1"/>
    <xf numFmtId="15" fontId="0" fillId="18" borderId="0" xfId="0" applyNumberFormat="1" applyFill="1"/>
    <xf numFmtId="0" fontId="0" fillId="18" borderId="4" xfId="0" applyFill="1" applyBorder="1"/>
    <xf numFmtId="164" fontId="0" fillId="18" borderId="6" xfId="0" applyNumberFormat="1" applyFill="1" applyBorder="1"/>
    <xf numFmtId="0" fontId="61" fillId="18" borderId="4" xfId="0" applyFont="1" applyFill="1" applyBorder="1"/>
    <xf numFmtId="0" fontId="0" fillId="18" borderId="6" xfId="0" applyFill="1" applyBorder="1"/>
    <xf numFmtId="0" fontId="0" fillId="18" borderId="25" xfId="0" applyFill="1" applyBorder="1"/>
    <xf numFmtId="164" fontId="0" fillId="18" borderId="23" xfId="0" applyNumberFormat="1" applyFill="1" applyBorder="1"/>
    <xf numFmtId="2" fontId="0" fillId="4" borderId="0" xfId="0" applyNumberFormat="1" applyFill="1"/>
    <xf numFmtId="0" fontId="0" fillId="4" borderId="1" xfId="0" applyFill="1" applyBorder="1"/>
    <xf numFmtId="164" fontId="0" fillId="4" borderId="3" xfId="0" applyNumberFormat="1" applyFill="1" applyBorder="1"/>
    <xf numFmtId="0" fontId="64" fillId="0" borderId="0" xfId="0" applyFont="1"/>
    <xf numFmtId="2" fontId="27" fillId="0" borderId="0" xfId="0" applyNumberFormat="1" applyFont="1"/>
    <xf numFmtId="1" fontId="27" fillId="0" borderId="0" xfId="0" applyNumberFormat="1" applyFont="1"/>
    <xf numFmtId="0" fontId="65" fillId="0" borderId="0" xfId="0" applyFont="1"/>
    <xf numFmtId="0" fontId="0" fillId="0" borderId="0" xfId="0"/>
    <xf numFmtId="170" fontId="0" fillId="3" borderId="0" xfId="0" applyNumberFormat="1" applyFill="1"/>
    <xf numFmtId="171" fontId="0" fillId="3" borderId="0" xfId="0" applyNumberFormat="1" applyFill="1"/>
    <xf numFmtId="0" fontId="15" fillId="0" borderId="0" xfId="0" applyFont="1" applyBorder="1"/>
    <xf numFmtId="2" fontId="15" fillId="0" borderId="0" xfId="0" applyNumberFormat="1" applyFont="1" applyBorder="1"/>
    <xf numFmtId="170" fontId="0" fillId="0" borderId="5" xfId="0" applyNumberFormat="1" applyBorder="1"/>
    <xf numFmtId="175" fontId="0" fillId="0" borderId="0" xfId="0" applyNumberFormat="1" applyBorder="1"/>
    <xf numFmtId="170" fontId="0" fillId="0" borderId="0" xfId="0" applyNumberFormat="1" applyBorder="1"/>
    <xf numFmtId="0" fontId="0" fillId="4" borderId="4" xfId="0" applyFill="1" applyBorder="1"/>
    <xf numFmtId="0" fontId="0" fillId="4" borderId="0" xfId="0" applyFill="1" applyBorder="1"/>
    <xf numFmtId="0" fontId="0" fillId="0" borderId="4" xfId="0" applyFill="1" applyBorder="1"/>
    <xf numFmtId="0" fontId="0" fillId="0" borderId="0" xfId="0" applyFill="1" applyBorder="1"/>
    <xf numFmtId="0" fontId="35" fillId="0" borderId="0" xfId="0" applyFont="1" applyBorder="1"/>
    <xf numFmtId="170" fontId="0" fillId="0" borderId="6" xfId="0" applyNumberFormat="1" applyBorder="1"/>
    <xf numFmtId="0" fontId="0" fillId="0" borderId="25" xfId="0" applyFill="1" applyBorder="1"/>
    <xf numFmtId="0" fontId="0" fillId="0" borderId="23" xfId="0" applyBorder="1"/>
    <xf numFmtId="0" fontId="6" fillId="0" borderId="10" xfId="0" applyFont="1" applyBorder="1"/>
    <xf numFmtId="0" fontId="0" fillId="0" borderId="0" xfId="0" applyFill="1" applyAlignment="1">
      <alignment horizontal="center" vertical="center"/>
    </xf>
    <xf numFmtId="173" fontId="0" fillId="0" borderId="0" xfId="0" applyNumberFormat="1" applyFill="1"/>
    <xf numFmtId="164" fontId="52" fillId="0" borderId="0" xfId="0" applyNumberFormat="1" applyFont="1" applyFill="1" applyAlignment="1">
      <alignment horizontal="right"/>
    </xf>
    <xf numFmtId="0" fontId="53" fillId="0" borderId="0" xfId="0" applyFont="1" applyFill="1" applyAlignment="1">
      <alignment horizontal="right"/>
    </xf>
    <xf numFmtId="0" fontId="67" fillId="0" borderId="0" xfId="0" applyFont="1" applyFill="1"/>
    <xf numFmtId="1" fontId="52" fillId="0" borderId="0" xfId="0" applyNumberFormat="1" applyFont="1" applyFill="1"/>
    <xf numFmtId="0" fontId="52" fillId="0" borderId="0" xfId="0" applyFont="1" applyFill="1"/>
    <xf numFmtId="0" fontId="52" fillId="0" borderId="0" xfId="0" applyFont="1" applyFill="1" applyAlignment="1">
      <alignment horizontal="right"/>
    </xf>
    <xf numFmtId="0" fontId="0" fillId="0" borderId="0" xfId="0"/>
    <xf numFmtId="0" fontId="0" fillId="0" borderId="0" xfId="0" applyAlignment="1">
      <alignment horizontal="center"/>
    </xf>
    <xf numFmtId="0" fontId="0" fillId="0" borderId="0" xfId="0"/>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applyAlignment="1">
      <alignment horizontal="left"/>
    </xf>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applyAlignment="1">
      <alignment horizontal="center"/>
    </xf>
    <xf numFmtId="0" fontId="79" fillId="0" borderId="0" xfId="0" applyFont="1"/>
    <xf numFmtId="0" fontId="31" fillId="0" borderId="0" xfId="0" applyFont="1"/>
    <xf numFmtId="170" fontId="57" fillId="11" borderId="5" xfId="36" applyNumberFormat="1" applyFont="1" applyFill="1" applyBorder="1" applyAlignment="1" applyProtection="1">
      <alignment horizontal="center" vertical="top"/>
    </xf>
    <xf numFmtId="14" fontId="15" fillId="0" borderId="0" xfId="0" applyNumberFormat="1" applyFont="1" applyFill="1" applyAlignment="1">
      <alignment horizontal="left"/>
    </xf>
    <xf numFmtId="0" fontId="53" fillId="0" borderId="0" xfId="0" applyFont="1" applyFill="1" applyAlignment="1">
      <alignment horizontal="left"/>
    </xf>
    <xf numFmtId="2" fontId="52" fillId="0" borderId="0" xfId="0" applyNumberFormat="1" applyFont="1" applyFill="1" applyAlignment="1">
      <alignment horizontal="right"/>
    </xf>
    <xf numFmtId="2" fontId="0" fillId="2" borderId="23" xfId="0" applyNumberFormat="1" applyFill="1" applyBorder="1" applyAlignment="1">
      <alignment vertical="top" wrapText="1"/>
    </xf>
    <xf numFmtId="2" fontId="0" fillId="2" borderId="0" xfId="0" applyNumberFormat="1" applyFill="1" applyBorder="1" applyAlignment="1">
      <alignment vertical="top" wrapText="1"/>
    </xf>
    <xf numFmtId="0" fontId="6" fillId="2" borderId="0" xfId="0" applyFont="1" applyFill="1"/>
    <xf numFmtId="0" fontId="0" fillId="2" borderId="3" xfId="0" applyFill="1" applyBorder="1"/>
    <xf numFmtId="14" fontId="0" fillId="0" borderId="4" xfId="0" applyNumberFormat="1" applyBorder="1"/>
    <xf numFmtId="0" fontId="0" fillId="2" borderId="6" xfId="0" applyFill="1" applyBorder="1"/>
    <xf numFmtId="14" fontId="0" fillId="0" borderId="25" xfId="0" applyNumberFormat="1" applyBorder="1"/>
    <xf numFmtId="0" fontId="0" fillId="2" borderId="23" xfId="0" applyFill="1" applyBorder="1"/>
    <xf numFmtId="0" fontId="0" fillId="2" borderId="0" xfId="0" applyFill="1" applyBorder="1"/>
    <xf numFmtId="0" fontId="0" fillId="0" borderId="22" xfId="0" applyFill="1" applyBorder="1"/>
    <xf numFmtId="0" fontId="0" fillId="2" borderId="10" xfId="0" applyFill="1" applyBorder="1"/>
    <xf numFmtId="0" fontId="0" fillId="2" borderId="22" xfId="0" applyFill="1" applyBorder="1"/>
    <xf numFmtId="10" fontId="0" fillId="0" borderId="22" xfId="0" applyNumberFormat="1" applyBorder="1"/>
    <xf numFmtId="14" fontId="0" fillId="2" borderId="0" xfId="0" applyNumberFormat="1" applyFill="1"/>
    <xf numFmtId="0" fontId="0" fillId="0" borderId="0" xfId="0"/>
    <xf numFmtId="0" fontId="0" fillId="17" borderId="0" xfId="0" applyFill="1"/>
    <xf numFmtId="0" fontId="80" fillId="0" borderId="0" xfId="0" applyFont="1" applyFill="1"/>
    <xf numFmtId="2" fontId="80" fillId="0" borderId="0" xfId="0" applyNumberFormat="1" applyFont="1" applyFill="1"/>
    <xf numFmtId="171" fontId="80" fillId="0" borderId="0" xfId="0" applyNumberFormat="1" applyFont="1" applyFill="1"/>
    <xf numFmtId="2" fontId="80" fillId="18" borderId="0" xfId="0" applyNumberFormat="1" applyFont="1" applyFill="1"/>
    <xf numFmtId="170" fontId="80" fillId="18" borderId="0" xfId="0" applyNumberFormat="1" applyFont="1" applyFill="1"/>
    <xf numFmtId="171" fontId="80" fillId="18" borderId="0" xfId="0" applyNumberFormat="1" applyFont="1" applyFill="1"/>
    <xf numFmtId="14" fontId="14" fillId="0" borderId="0" xfId="0" applyNumberFormat="1" applyFont="1" applyFill="1" applyAlignment="1">
      <alignment horizontal="left"/>
    </xf>
    <xf numFmtId="0" fontId="52" fillId="0" borderId="0" xfId="0" applyFont="1" applyFill="1" applyAlignment="1">
      <alignment horizontal="left"/>
    </xf>
    <xf numFmtId="0" fontId="27" fillId="0" borderId="0" xfId="0" applyFont="1" applyFill="1"/>
    <xf numFmtId="164" fontId="27" fillId="0" borderId="0" xfId="0" applyNumberFormat="1" applyFont="1" applyFill="1"/>
    <xf numFmtId="1" fontId="27" fillId="0" borderId="0" xfId="0" applyNumberFormat="1" applyFont="1" applyFill="1"/>
    <xf numFmtId="0" fontId="80" fillId="0" borderId="6" xfId="0" applyFont="1" applyFill="1" applyBorder="1"/>
    <xf numFmtId="170" fontId="80" fillId="0" borderId="0" xfId="0" applyNumberFormat="1" applyFont="1"/>
    <xf numFmtId="2" fontId="80" fillId="0" borderId="0" xfId="0" applyNumberFormat="1" applyFont="1"/>
    <xf numFmtId="171" fontId="6" fillId="0" borderId="0" xfId="0" applyNumberFormat="1" applyFont="1"/>
    <xf numFmtId="0" fontId="80" fillId="0" borderId="0" xfId="0" applyFont="1"/>
    <xf numFmtId="164" fontId="44" fillId="0" borderId="0" xfId="36" applyNumberFormat="1" applyFill="1"/>
    <xf numFmtId="176" fontId="80" fillId="18" borderId="0" xfId="0" applyNumberFormat="1" applyFont="1" applyFill="1"/>
    <xf numFmtId="0" fontId="81" fillId="0" borderId="0" xfId="0" applyFont="1"/>
    <xf numFmtId="2" fontId="57" fillId="12" borderId="5" xfId="36" applyNumberFormat="1" applyFont="1" applyFill="1" applyBorder="1" applyAlignment="1" applyProtection="1">
      <alignment horizontal="left" vertical="top"/>
    </xf>
    <xf numFmtId="0" fontId="0" fillId="0" borderId="0" xfId="0"/>
    <xf numFmtId="0" fontId="2" fillId="0" borderId="0" xfId="0" applyFont="1"/>
    <xf numFmtId="0" fontId="58" fillId="0" borderId="0" xfId="36" applyFont="1" applyFill="1" applyBorder="1" applyAlignment="1">
      <alignment vertical="top"/>
    </xf>
    <xf numFmtId="0" fontId="2" fillId="0" borderId="0" xfId="0" applyFont="1" applyFill="1"/>
    <xf numFmtId="0" fontId="2" fillId="4" borderId="0" xfId="0" applyFont="1" applyFill="1"/>
    <xf numFmtId="0" fontId="2" fillId="0" borderId="0" xfId="0" applyFont="1"/>
    <xf numFmtId="0" fontId="0" fillId="0" borderId="0" xfId="0"/>
    <xf numFmtId="0" fontId="40" fillId="0" borderId="1" xfId="0" applyFont="1" applyBorder="1"/>
    <xf numFmtId="0" fontId="82" fillId="0" borderId="10" xfId="0" applyFont="1" applyBorder="1"/>
    <xf numFmtId="0" fontId="27" fillId="0" borderId="10" xfId="0" applyFont="1" applyBorder="1"/>
    <xf numFmtId="0" fontId="35" fillId="0" borderId="10" xfId="0" applyFont="1" applyBorder="1"/>
    <xf numFmtId="0" fontId="35" fillId="0" borderId="3" xfId="0" applyFont="1" applyBorder="1"/>
    <xf numFmtId="0" fontId="40" fillId="0" borderId="4" xfId="0" applyFont="1" applyBorder="1"/>
    <xf numFmtId="0" fontId="27" fillId="0" borderId="0" xfId="0" applyFont="1" applyBorder="1"/>
    <xf numFmtId="2" fontId="35" fillId="0" borderId="0" xfId="0" applyNumberFormat="1" applyFont="1" applyFill="1" applyBorder="1"/>
    <xf numFmtId="2" fontId="35" fillId="0" borderId="0" xfId="0" applyNumberFormat="1" applyFont="1" applyBorder="1"/>
    <xf numFmtId="170" fontId="35" fillId="0" borderId="5" xfId="0" applyNumberFormat="1" applyFont="1" applyBorder="1"/>
    <xf numFmtId="0" fontId="40" fillId="0" borderId="0" xfId="0" applyFont="1" applyBorder="1"/>
    <xf numFmtId="171" fontId="35" fillId="0" borderId="5" xfId="0" applyNumberFormat="1" applyFont="1" applyBorder="1"/>
    <xf numFmtId="170" fontId="40" fillId="0" borderId="5" xfId="0" applyNumberFormat="1" applyFont="1" applyBorder="1"/>
    <xf numFmtId="175" fontId="40" fillId="0" borderId="0" xfId="0" applyNumberFormat="1" applyFont="1" applyBorder="1"/>
    <xf numFmtId="0" fontId="40" fillId="0" borderId="5" xfId="0" applyFont="1" applyBorder="1"/>
    <xf numFmtId="0" fontId="35" fillId="4" borderId="4" xfId="0" applyFont="1" applyFill="1" applyBorder="1"/>
    <xf numFmtId="0" fontId="35" fillId="4" borderId="0" xfId="0" applyFont="1" applyFill="1" applyBorder="1"/>
    <xf numFmtId="170" fontId="35" fillId="4" borderId="0" xfId="0" applyNumberFormat="1" applyFont="1" applyFill="1" applyBorder="1"/>
    <xf numFmtId="0" fontId="40" fillId="0" borderId="10" xfId="0" applyFont="1" applyBorder="1"/>
    <xf numFmtId="170" fontId="35" fillId="0" borderId="0" xfId="0" applyNumberFormat="1" applyFont="1" applyBorder="1"/>
    <xf numFmtId="170" fontId="35" fillId="0" borderId="6" xfId="0" applyNumberFormat="1" applyFont="1" applyBorder="1"/>
    <xf numFmtId="175" fontId="35" fillId="0" borderId="0" xfId="0" applyNumberFormat="1" applyFont="1" applyBorder="1"/>
    <xf numFmtId="0" fontId="35" fillId="0" borderId="6" xfId="0" applyFont="1" applyBorder="1"/>
    <xf numFmtId="0" fontId="0" fillId="0" borderId="0" xfId="0"/>
    <xf numFmtId="0" fontId="2" fillId="0" borderId="0" xfId="0" applyFont="1"/>
    <xf numFmtId="0" fontId="2" fillId="0" borderId="0" xfId="0" applyFont="1"/>
    <xf numFmtId="0" fontId="0" fillId="0" borderId="0" xfId="0"/>
    <xf numFmtId="1" fontId="14" fillId="4" borderId="0" xfId="0" applyNumberFormat="1" applyFont="1" applyFill="1" applyAlignment="1">
      <alignment horizontal="left"/>
    </xf>
    <xf numFmtId="164" fontId="83" fillId="4" borderId="0" xfId="0" applyNumberFormat="1" applyFont="1" applyFill="1" applyAlignment="1">
      <alignment horizontal="right"/>
    </xf>
    <xf numFmtId="1" fontId="83" fillId="4" borderId="0" xfId="0" applyNumberFormat="1" applyFont="1" applyFill="1" applyAlignment="1">
      <alignment horizontal="left"/>
    </xf>
    <xf numFmtId="1" fontId="83" fillId="4" borderId="0" xfId="0" applyNumberFormat="1" applyFont="1" applyFill="1" applyAlignment="1">
      <alignment horizontal="right"/>
    </xf>
    <xf numFmtId="0" fontId="83" fillId="0" borderId="0" xfId="0" applyFont="1" applyAlignment="1">
      <alignment horizontal="right"/>
    </xf>
    <xf numFmtId="0" fontId="84" fillId="0" borderId="0" xfId="0" applyFont="1"/>
    <xf numFmtId="2" fontId="84" fillId="0" borderId="0" xfId="0" applyNumberFormat="1" applyFont="1"/>
    <xf numFmtId="2" fontId="84" fillId="15" borderId="0" xfId="0" applyNumberFormat="1" applyFont="1" applyFill="1"/>
    <xf numFmtId="2" fontId="83" fillId="0" borderId="0" xfId="0" applyNumberFormat="1" applyFont="1"/>
    <xf numFmtId="0" fontId="83" fillId="0" borderId="0" xfId="0" applyFont="1"/>
    <xf numFmtId="0" fontId="0" fillId="0" borderId="0" xfId="0" applyAlignment="1">
      <alignment horizontal="center"/>
    </xf>
    <xf numFmtId="0" fontId="0" fillId="0" borderId="0" xfId="0"/>
    <xf numFmtId="15" fontId="0" fillId="0" borderId="0" xfId="0" applyNumberFormat="1"/>
    <xf numFmtId="0" fontId="0" fillId="0" borderId="0" xfId="0"/>
    <xf numFmtId="0" fontId="0" fillId="4" borderId="10" xfId="0" applyFill="1" applyBorder="1"/>
    <xf numFmtId="0" fontId="0" fillId="18" borderId="0" xfId="0" applyFill="1" applyBorder="1"/>
    <xf numFmtId="0" fontId="61" fillId="18" borderId="0" xfId="0" applyFont="1" applyFill="1" applyBorder="1"/>
    <xf numFmtId="0" fontId="0" fillId="18" borderId="22" xfId="0" applyFill="1" applyBorder="1"/>
    <xf numFmtId="1" fontId="0" fillId="3" borderId="0" xfId="0" applyNumberFormat="1" applyFill="1" applyAlignment="1">
      <alignment horizontal="left"/>
    </xf>
    <xf numFmtId="0" fontId="0" fillId="3" borderId="0" xfId="0" applyFill="1" applyAlignment="1">
      <alignment horizontal="left"/>
    </xf>
    <xf numFmtId="0" fontId="52" fillId="3" borderId="0" xfId="0" applyFont="1" applyFill="1" applyAlignment="1">
      <alignment horizontal="left"/>
    </xf>
    <xf numFmtId="0" fontId="53" fillId="3" borderId="0" xfId="0" applyFont="1" applyFill="1" applyAlignment="1">
      <alignment horizontal="left"/>
    </xf>
    <xf numFmtId="0" fontId="0" fillId="0" borderId="0" xfId="0"/>
    <xf numFmtId="0" fontId="0" fillId="3" borderId="22" xfId="0" applyFill="1" applyBorder="1"/>
    <xf numFmtId="2" fontId="80" fillId="3" borderId="0" xfId="0" applyNumberFormat="1" applyFont="1" applyFill="1"/>
    <xf numFmtId="0" fontId="80" fillId="3" borderId="0" xfId="0" applyFont="1" applyFill="1"/>
    <xf numFmtId="0" fontId="0" fillId="19" borderId="0" xfId="0" applyFill="1"/>
    <xf numFmtId="1" fontId="0" fillId="19" borderId="0" xfId="0" applyNumberFormat="1" applyFill="1"/>
    <xf numFmtId="2" fontId="0" fillId="19" borderId="0" xfId="0" applyNumberFormat="1" applyFill="1"/>
    <xf numFmtId="14" fontId="0" fillId="19" borderId="0" xfId="0" applyNumberFormat="1" applyFill="1"/>
    <xf numFmtId="2" fontId="27" fillId="19" borderId="0" xfId="0" applyNumberFormat="1" applyFont="1" applyFill="1"/>
    <xf numFmtId="2" fontId="27" fillId="0" borderId="0" xfId="0" applyNumberFormat="1" applyFont="1" applyFill="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xf numFmtId="0" fontId="0" fillId="0" borderId="0" xfId="0" applyAlignment="1">
      <alignment horizontal="center" vertical="center"/>
    </xf>
    <xf numFmtId="170" fontId="0" fillId="0" borderId="0" xfId="33" applyNumberFormat="1" applyFont="1"/>
    <xf numFmtId="0" fontId="17" fillId="3" borderId="0" xfId="0" applyFont="1" applyFill="1" applyAlignment="1">
      <alignment horizontal="left" vertical="center"/>
    </xf>
    <xf numFmtId="173" fontId="0" fillId="3" borderId="0" xfId="0" applyNumberFormat="1" applyFill="1" applyAlignment="1">
      <alignment horizontal="left"/>
    </xf>
    <xf numFmtId="173" fontId="0" fillId="3" borderId="0" xfId="0" applyNumberFormat="1" applyFill="1"/>
    <xf numFmtId="0" fontId="27" fillId="3" borderId="0" xfId="0" applyFont="1" applyFill="1" applyAlignment="1">
      <alignment horizontal="left"/>
    </xf>
    <xf numFmtId="0" fontId="14" fillId="0" borderId="0" xfId="0" applyFont="1" applyAlignment="1">
      <alignment horizontal="left" vertical="center"/>
    </xf>
    <xf numFmtId="10" fontId="52" fillId="0" borderId="0" xfId="0" applyNumberFormat="1" applyFont="1" applyAlignment="1">
      <alignment horizontal="right"/>
    </xf>
    <xf numFmtId="14" fontId="14" fillId="0" borderId="0" xfId="0" applyNumberFormat="1" applyFont="1" applyAlignment="1">
      <alignment horizontal="left"/>
    </xf>
    <xf numFmtId="177" fontId="52" fillId="0" borderId="0" xfId="33" applyNumberFormat="1" applyFont="1" applyAlignment="1">
      <alignment horizontal="left"/>
    </xf>
    <xf numFmtId="0" fontId="1" fillId="0" borderId="0" xfId="0" applyFont="1"/>
    <xf numFmtId="164" fontId="27" fillId="3" borderId="0" xfId="0" applyNumberFormat="1" applyFont="1" applyFill="1"/>
    <xf numFmtId="0" fontId="27" fillId="0" borderId="0" xfId="0" applyFont="1" applyAlignment="1">
      <alignment horizontal="left"/>
    </xf>
    <xf numFmtId="1" fontId="52" fillId="0" borderId="0" xfId="0" applyNumberFormat="1" applyFont="1" applyAlignment="1">
      <alignment horizontal="left"/>
    </xf>
    <xf numFmtId="177" fontId="52" fillId="0" borderId="0" xfId="0" applyNumberFormat="1" applyFont="1" applyAlignment="1">
      <alignment horizontal="left"/>
    </xf>
    <xf numFmtId="0" fontId="35" fillId="0" borderId="0" xfId="35" applyFont="1"/>
    <xf numFmtId="0" fontId="85" fillId="0" borderId="0" xfId="36" applyFont="1" applyAlignment="1">
      <alignment horizontal="left"/>
    </xf>
    <xf numFmtId="0" fontId="67" fillId="0" borderId="0" xfId="0" applyFont="1" applyAlignment="1">
      <alignment horizontal="left"/>
    </xf>
    <xf numFmtId="0" fontId="86" fillId="0" borderId="0" xfId="35" applyFont="1"/>
    <xf numFmtId="0" fontId="52" fillId="0" borderId="0" xfId="0" quotePrefix="1" applyFont="1" applyAlignment="1">
      <alignment horizontal="left"/>
    </xf>
    <xf numFmtId="0" fontId="52" fillId="0" borderId="0" xfId="0" quotePrefix="1" applyFont="1" applyFill="1" applyAlignment="1">
      <alignment horizontal="left"/>
    </xf>
    <xf numFmtId="0" fontId="0" fillId="0" borderId="0" xfId="0"/>
    <xf numFmtId="0" fontId="0" fillId="0" borderId="0" xfId="0" applyAlignment="1">
      <alignment horizontal="center" vertical="center"/>
    </xf>
    <xf numFmtId="0" fontId="0" fillId="0" borderId="0" xfId="0"/>
    <xf numFmtId="0" fontId="0" fillId="0" borderId="0" xfId="0" applyAlignment="1">
      <alignment horizont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174" fontId="6" fillId="0" borderId="10" xfId="0" applyNumberFormat="1" applyFont="1" applyBorder="1" applyAlignment="1">
      <alignment horizontal="center" vertical="top" wrapText="1"/>
    </xf>
    <xf numFmtId="0" fontId="6" fillId="0" borderId="0" xfId="0" applyFont="1" applyAlignment="1">
      <alignment horizontal="center" vertical="center" wrapText="1"/>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14" fillId="0" borderId="0" xfId="0" applyFont="1" applyAlignment="1">
      <alignment vertical="top" wrapText="1"/>
    </xf>
    <xf numFmtId="0" fontId="0" fillId="0" borderId="0" xfId="0" applyAlignment="1">
      <alignment wrapText="1"/>
    </xf>
    <xf numFmtId="0" fontId="47" fillId="0" borderId="0" xfId="0" applyFont="1" applyAlignment="1">
      <alignment horizontal="center" vertical="center"/>
    </xf>
    <xf numFmtId="0" fontId="47" fillId="0" borderId="0" xfId="0" applyFont="1"/>
    <xf numFmtId="0" fontId="46" fillId="0" borderId="0" xfId="0" applyFont="1"/>
    <xf numFmtId="0" fontId="0" fillId="0" borderId="0" xfId="0"/>
    <xf numFmtId="0" fontId="26" fillId="0" borderId="0" xfId="0" applyFont="1" applyAlignment="1">
      <alignment horizontal="center" vertical="center"/>
    </xf>
    <xf numFmtId="0" fontId="0" fillId="0" borderId="14" xfId="0" applyBorder="1"/>
    <xf numFmtId="0" fontId="0" fillId="0" borderId="20" xfId="0" applyBorder="1"/>
    <xf numFmtId="0" fontId="0" fillId="0" borderId="21" xfId="0" applyBorder="1"/>
    <xf numFmtId="15" fontId="0" fillId="0" borderId="20" xfId="0" applyNumberFormat="1" applyBorder="1"/>
    <xf numFmtId="0" fontId="0" fillId="0" borderId="15" xfId="0" applyBorder="1"/>
    <xf numFmtId="0" fontId="0" fillId="0" borderId="17" xfId="0" applyBorder="1"/>
    <xf numFmtId="15" fontId="0" fillId="0" borderId="0" xfId="0" applyNumberFormat="1"/>
    <xf numFmtId="15" fontId="0" fillId="0" borderId="35" xfId="0" applyNumberFormat="1" applyBorder="1"/>
    <xf numFmtId="0" fontId="0" fillId="0" borderId="36" xfId="0" applyBorder="1"/>
    <xf numFmtId="0" fontId="0" fillId="0" borderId="34" xfId="0" applyBorder="1"/>
    <xf numFmtId="0" fontId="0" fillId="0" borderId="35" xfId="0" applyBorder="1"/>
    <xf numFmtId="0" fontId="0" fillId="10" borderId="14" xfId="0" applyFill="1" applyBorder="1"/>
    <xf numFmtId="0" fontId="0" fillId="10" borderId="20" xfId="0" applyFill="1" applyBorder="1"/>
    <xf numFmtId="0" fontId="0" fillId="10" borderId="21" xfId="0" applyFill="1" applyBorder="1"/>
    <xf numFmtId="0" fontId="0" fillId="10" borderId="15" xfId="0" applyFill="1" applyBorder="1"/>
    <xf numFmtId="0" fontId="0" fillId="10" borderId="17" xfId="0" applyFill="1" applyBorder="1"/>
    <xf numFmtId="0" fontId="2" fillId="0" borderId="0" xfId="0" applyFont="1"/>
    <xf numFmtId="0" fontId="2" fillId="0" borderId="0" xfId="0" applyFont="1" applyAlignment="1">
      <alignment horizontal="center"/>
    </xf>
    <xf numFmtId="164" fontId="0" fillId="0" borderId="0" xfId="0" applyNumberFormat="1" applyAlignment="1">
      <alignment horizontal="center"/>
    </xf>
    <xf numFmtId="0" fontId="22" fillId="0" borderId="0" xfId="0" applyFont="1" applyAlignment="1">
      <alignment horizontal="center"/>
    </xf>
    <xf numFmtId="0" fontId="0" fillId="10" borderId="34" xfId="0" applyFill="1" applyBorder="1"/>
    <xf numFmtId="0" fontId="0" fillId="10" borderId="35" xfId="0" applyFill="1" applyBorder="1"/>
    <xf numFmtId="0" fontId="0" fillId="10" borderId="36" xfId="0" applyFill="1" applyBorder="1"/>
    <xf numFmtId="0" fontId="44" fillId="10" borderId="14" xfId="36" applyFill="1" applyBorder="1" applyAlignment="1"/>
    <xf numFmtId="0" fontId="44" fillId="10" borderId="20" xfId="36" applyFill="1" applyBorder="1" applyAlignment="1"/>
    <xf numFmtId="0" fontId="44" fillId="10" borderId="21" xfId="36" applyFill="1" applyBorder="1" applyAlignment="1"/>
    <xf numFmtId="0" fontId="44" fillId="10" borderId="15" xfId="36" applyFill="1" applyBorder="1" applyAlignment="1"/>
    <xf numFmtId="0" fontId="44" fillId="0" borderId="0" xfId="36" applyAlignment="1"/>
    <xf numFmtId="0" fontId="44" fillId="10" borderId="17" xfId="36" applyFill="1" applyBorder="1" applyAlignment="1"/>
    <xf numFmtId="0" fontId="22" fillId="0" borderId="0" xfId="36" applyFont="1" applyAlignment="1">
      <alignment horizontal="center"/>
    </xf>
    <xf numFmtId="0" fontId="2" fillId="0" borderId="0" xfId="36" applyFont="1" applyAlignment="1">
      <alignment horizontal="center"/>
    </xf>
    <xf numFmtId="164" fontId="44" fillId="0" borderId="0" xfId="36" applyNumberFormat="1" applyAlignment="1">
      <alignment horizontal="center"/>
    </xf>
    <xf numFmtId="0" fontId="44" fillId="0" borderId="0" xfId="36" applyAlignment="1">
      <alignment horizontal="center"/>
    </xf>
    <xf numFmtId="0" fontId="44" fillId="3" borderId="16" xfId="36" applyFill="1" applyBorder="1" applyAlignment="1"/>
    <xf numFmtId="0" fontId="44" fillId="3" borderId="18" xfId="36" applyFill="1" applyBorder="1" applyAlignment="1"/>
    <xf numFmtId="0" fontId="44" fillId="3" borderId="19" xfId="36" applyFill="1" applyBorder="1" applyAlignment="1"/>
    <xf numFmtId="0" fontId="14" fillId="0" borderId="0" xfId="36" applyFont="1" applyAlignment="1">
      <alignment vertical="top" wrapText="1"/>
    </xf>
    <xf numFmtId="0" fontId="44" fillId="0" borderId="0" xfId="36" applyAlignment="1">
      <alignment wrapText="1"/>
    </xf>
    <xf numFmtId="0" fontId="47" fillId="0" borderId="0" xfId="36" applyFont="1" applyAlignment="1">
      <alignment horizontal="center" vertical="center"/>
    </xf>
    <xf numFmtId="0" fontId="47" fillId="0" borderId="0" xfId="36" applyFont="1" applyAlignment="1"/>
    <xf numFmtId="0" fontId="2" fillId="0" borderId="0" xfId="36" applyFont="1" applyAlignment="1"/>
    <xf numFmtId="0" fontId="46" fillId="0" borderId="0" xfId="36" applyFont="1" applyAlignment="1"/>
    <xf numFmtId="0" fontId="26" fillId="0" borderId="0" xfId="36" applyFont="1" applyAlignment="1">
      <alignment horizontal="center" vertical="center"/>
    </xf>
    <xf numFmtId="15" fontId="44" fillId="0" borderId="20" xfId="36" applyNumberFormat="1" applyBorder="1" applyAlignment="1"/>
    <xf numFmtId="0" fontId="44" fillId="0" borderId="21" xfId="36" applyBorder="1" applyAlignment="1"/>
    <xf numFmtId="15" fontId="44" fillId="0" borderId="0" xfId="36" applyNumberFormat="1" applyAlignment="1"/>
    <xf numFmtId="0" fontId="44" fillId="0" borderId="17" xfId="36" applyBorder="1" applyAlignment="1"/>
    <xf numFmtId="15" fontId="44" fillId="0" borderId="18" xfId="36" applyNumberFormat="1" applyBorder="1" applyAlignment="1"/>
    <xf numFmtId="0" fontId="44" fillId="0" borderId="19" xfId="36" applyBorder="1" applyAlignment="1"/>
    <xf numFmtId="0" fontId="44" fillId="0" borderId="14" xfId="36" applyBorder="1" applyAlignment="1"/>
    <xf numFmtId="0" fontId="44" fillId="0" borderId="20" xfId="36" applyBorder="1" applyAlignment="1"/>
    <xf numFmtId="0" fontId="44" fillId="0" borderId="15" xfId="36" applyBorder="1" applyAlignment="1"/>
    <xf numFmtId="0" fontId="44" fillId="0" borderId="16" xfId="36" applyBorder="1" applyAlignment="1"/>
    <xf numFmtId="0" fontId="44" fillId="0" borderId="18" xfId="36" applyBorder="1" applyAlignment="1"/>
    <xf numFmtId="0" fontId="6" fillId="3" borderId="0" xfId="0" applyFont="1" applyFill="1" applyAlignment="1">
      <alignment horizontal="center" wrapText="1"/>
    </xf>
    <xf numFmtId="0" fontId="0" fillId="9"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9" borderId="0" xfId="0" applyFill="1" applyAlignment="1">
      <alignment horizontal="center" wrapText="1"/>
    </xf>
    <xf numFmtId="0" fontId="0" fillId="9" borderId="0" xfId="0" applyFill="1" applyAlignment="1">
      <alignment horizontal="center" vertical="center"/>
    </xf>
  </cellXfs>
  <cellStyles count="86">
    <cellStyle name="Followed Hyperlink" xfId="24" builtinId="9" hidden="1"/>
    <cellStyle name="Followed Hyperlink" xfId="26" builtinId="9" hidden="1"/>
    <cellStyle name="Followed Hyperlink" xfId="28" builtinId="9" hidden="1"/>
    <cellStyle name="Followed Hyperlink" xfId="32"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17"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Hyperlink" xfId="35" builtinId="8"/>
    <cellStyle name="Normal" xfId="0" builtinId="0"/>
    <cellStyle name="Normal 2" xfId="36" xr:uid="{00000000-0005-0000-0000-000053000000}"/>
    <cellStyle name="Normal_CHN_saz_2004_2005_results2008" xfId="34" xr:uid="{00000000-0005-0000-0000-000054000000}"/>
    <cellStyle name="Percent" xfId="33" builtinId="5"/>
  </cellStyles>
  <dxfs count="7">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46S Mass flux &lt;1mm</a:t>
            </a:r>
          </a:p>
        </c:rich>
      </c:tx>
      <c:layout>
        <c:manualLayout>
          <c:xMode val="edge"/>
          <c:yMode val="edge"/>
          <c:x val="0.43285269128593001"/>
          <c:y val="2.4509495136637301E-2"/>
        </c:manualLayout>
      </c:layout>
      <c:overlay val="0"/>
      <c:spPr>
        <a:noFill/>
        <a:ln w="25400">
          <a:noFill/>
        </a:ln>
      </c:spPr>
    </c:title>
    <c:autoTitleDeleted val="0"/>
    <c:plotArea>
      <c:layout>
        <c:manualLayout>
          <c:layoutTarget val="inner"/>
          <c:xMode val="edge"/>
          <c:yMode val="edge"/>
          <c:x val="8.4350767133072199E-2"/>
          <c:y val="0.10784287912913799"/>
          <c:w val="0.88901269044198405"/>
          <c:h val="0.69117481623674903"/>
        </c:manualLayout>
      </c:layout>
      <c:scatterChart>
        <c:scatterStyle val="lineMarker"/>
        <c:varyColors val="0"/>
        <c:ser>
          <c:idx val="0"/>
          <c:order val="0"/>
          <c:tx>
            <c:v>46_1000m</c:v>
          </c:tx>
          <c:spPr>
            <a:ln w="28575">
              <a:noFill/>
            </a:ln>
          </c:spP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main!$J$7:$J$27</c:f>
              <c:numCache>
                <c:formatCode>0.00</c:formatCode>
                <c:ptCount val="21"/>
                <c:pt idx="0">
                  <c:v>13.568385267857145</c:v>
                </c:pt>
                <c:pt idx="1">
                  <c:v>10.588336607142855</c:v>
                </c:pt>
                <c:pt idx="2">
                  <c:v>4.2623370535714287</c:v>
                </c:pt>
                <c:pt idx="3">
                  <c:v>13.632304017857143</c:v>
                </c:pt>
                <c:pt idx="4">
                  <c:v>36.875248660714291</c:v>
                </c:pt>
                <c:pt idx="5">
                  <c:v>5.5257107142857134</c:v>
                </c:pt>
                <c:pt idx="6">
                  <c:v>2.4810910714285717</c:v>
                </c:pt>
                <c:pt idx="7">
                  <c:v>2.8913450892857147</c:v>
                </c:pt>
                <c:pt idx="8">
                  <c:v>4.5277955357142847</c:v>
                </c:pt>
                <c:pt idx="9">
                  <c:v>13.97994375</c:v>
                </c:pt>
                <c:pt idx="10">
                  <c:v>18.013999553571431</c:v>
                </c:pt>
                <c:pt idx="11">
                  <c:v>6.6806507812499998</c:v>
                </c:pt>
                <c:pt idx="12">
                  <c:v>3.1691959821428579</c:v>
                </c:pt>
                <c:pt idx="13">
                  <c:v>36.999172767857146</c:v>
                </c:pt>
                <c:pt idx="14">
                  <c:v>71.926856249999986</c:v>
                </c:pt>
                <c:pt idx="15">
                  <c:v>43.486925892857144</c:v>
                </c:pt>
                <c:pt idx="16">
                  <c:v>30.120080357142861</c:v>
                </c:pt>
                <c:pt idx="17">
                  <c:v>48.26191741071429</c:v>
                </c:pt>
                <c:pt idx="18">
                  <c:v>36.562177232142851</c:v>
                </c:pt>
                <c:pt idx="19">
                  <c:v>35.613831696428576</c:v>
                </c:pt>
                <c:pt idx="20">
                  <c:v>1.8282066964285713</c:v>
                </c:pt>
              </c:numCache>
            </c:numRef>
          </c:yVal>
          <c:smooth val="0"/>
          <c:extLst>
            <c:ext xmlns:c16="http://schemas.microsoft.com/office/drawing/2014/chart" uri="{C3380CC4-5D6E-409C-BE32-E72D297353CC}">
              <c16:uniqueId val="{00000000-2A33-4542-97C7-921D0FED569A}"/>
            </c:ext>
          </c:extLst>
        </c:ser>
        <c:ser>
          <c:idx val="1"/>
          <c:order val="1"/>
          <c:tx>
            <c:v>46_2000m</c:v>
          </c:tx>
          <c:spPr>
            <a:ln w="28575">
              <a:noFill/>
            </a:ln>
          </c:spP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main!$J$31:$J$51</c:f>
              <c:numCache>
                <c:formatCode>0.00</c:formatCode>
                <c:ptCount val="21"/>
                <c:pt idx="0">
                  <c:v>18.199885714285713</c:v>
                </c:pt>
                <c:pt idx="1">
                  <c:v>22.775294196428579</c:v>
                </c:pt>
                <c:pt idx="2">
                  <c:v>26.759128125000004</c:v>
                </c:pt>
                <c:pt idx="3">
                  <c:v>29.838968303571427</c:v>
                </c:pt>
                <c:pt idx="4">
                  <c:v>23.750381249999997</c:v>
                </c:pt>
                <c:pt idx="5">
                  <c:v>21.438218303571432</c:v>
                </c:pt>
                <c:pt idx="6">
                  <c:v>18.760805357142857</c:v>
                </c:pt>
                <c:pt idx="7">
                  <c:v>17.702884821428576</c:v>
                </c:pt>
                <c:pt idx="8">
                  <c:v>13.329668303571429</c:v>
                </c:pt>
                <c:pt idx="9">
                  <c:v>12.989203125000001</c:v>
                </c:pt>
                <c:pt idx="10">
                  <c:v>22.563318750000004</c:v>
                </c:pt>
                <c:pt idx="11">
                  <c:v>21.402345535714289</c:v>
                </c:pt>
                <c:pt idx="12">
                  <c:v>14.461291071428573</c:v>
                </c:pt>
                <c:pt idx="13">
                  <c:v>35.971254910714286</c:v>
                </c:pt>
                <c:pt idx="14">
                  <c:v>68.290662053571424</c:v>
                </c:pt>
                <c:pt idx="15">
                  <c:v>89.186223214285718</c:v>
                </c:pt>
                <c:pt idx="16">
                  <c:v>48.030375000000014</c:v>
                </c:pt>
                <c:pt idx="17">
                  <c:v>54.572915625</c:v>
                </c:pt>
                <c:pt idx="18">
                  <c:v>54.093525</c:v>
                </c:pt>
                <c:pt idx="19">
                  <c:v>50.650391517857152</c:v>
                </c:pt>
                <c:pt idx="20">
                  <c:v>7.7413433035714299</c:v>
                </c:pt>
              </c:numCache>
            </c:numRef>
          </c:yVal>
          <c:smooth val="0"/>
          <c:extLst>
            <c:ext xmlns:c16="http://schemas.microsoft.com/office/drawing/2014/chart" uri="{C3380CC4-5D6E-409C-BE32-E72D297353CC}">
              <c16:uniqueId val="{00000001-2A33-4542-97C7-921D0FED569A}"/>
            </c:ext>
          </c:extLst>
        </c:ser>
        <c:ser>
          <c:idx val="2"/>
          <c:order val="2"/>
          <c:tx>
            <c:v>46_3800m</c:v>
          </c:tx>
          <c:spPr>
            <a:ln w="28575">
              <a:noFill/>
            </a:ln>
          </c:spP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main!$J$55:$J$75</c:f>
              <c:numCache>
                <c:formatCode>0.00</c:formatCode>
                <c:ptCount val="21"/>
                <c:pt idx="0">
                  <c:v>17.259366964285714</c:v>
                </c:pt>
                <c:pt idx="1">
                  <c:v>19.914604017857148</c:v>
                </c:pt>
                <c:pt idx="2">
                  <c:v>22.987269642857143</c:v>
                </c:pt>
                <c:pt idx="3">
                  <c:v>24.001490625000002</c:v>
                </c:pt>
                <c:pt idx="4">
                  <c:v>24.596326339285714</c:v>
                </c:pt>
                <c:pt idx="5">
                  <c:v>19.267589732142859</c:v>
                </c:pt>
                <c:pt idx="6">
                  <c:v>20.892952232142854</c:v>
                </c:pt>
                <c:pt idx="7">
                  <c:v>19.902863839285715</c:v>
                </c:pt>
                <c:pt idx="8">
                  <c:v>18.977998660714288</c:v>
                </c:pt>
                <c:pt idx="9">
                  <c:v>18.424905803571427</c:v>
                </c:pt>
                <c:pt idx="10">
                  <c:v>16.946947767857147</c:v>
                </c:pt>
                <c:pt idx="11">
                  <c:v>21.474743303571429</c:v>
                </c:pt>
                <c:pt idx="12">
                  <c:v>20.067878571428576</c:v>
                </c:pt>
                <c:pt idx="13">
                  <c:v>28.807789285714286</c:v>
                </c:pt>
                <c:pt idx="14">
                  <c:v>47.461628571428577</c:v>
                </c:pt>
                <c:pt idx="15">
                  <c:v>69.202482589285722</c:v>
                </c:pt>
                <c:pt idx="16">
                  <c:v>56.28306830357144</c:v>
                </c:pt>
                <c:pt idx="17">
                  <c:v>43.666289732142864</c:v>
                </c:pt>
                <c:pt idx="18">
                  <c:v>51.774187500000004</c:v>
                </c:pt>
                <c:pt idx="19">
                  <c:v>92.297370535714279</c:v>
                </c:pt>
                <c:pt idx="20">
                  <c:v>27.041544642857147</c:v>
                </c:pt>
              </c:numCache>
            </c:numRef>
          </c:yVal>
          <c:smooth val="0"/>
          <c:extLst>
            <c:ext xmlns:c16="http://schemas.microsoft.com/office/drawing/2014/chart" uri="{C3380CC4-5D6E-409C-BE32-E72D297353CC}">
              <c16:uniqueId val="{00000002-2A33-4542-97C7-921D0FED569A}"/>
            </c:ext>
          </c:extLst>
        </c:ser>
        <c:dLbls>
          <c:showLegendKey val="0"/>
          <c:showVal val="0"/>
          <c:showCatName val="0"/>
          <c:showSerName val="0"/>
          <c:showPercent val="0"/>
          <c:showBubbleSize val="0"/>
        </c:dLbls>
        <c:axId val="-2091222376"/>
        <c:axId val="-2091215656"/>
      </c:scatterChart>
      <c:valAx>
        <c:axId val="-2091222376"/>
        <c:scaling>
          <c:orientation val="minMax"/>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000" b="1" i="0" u="none" strike="noStrike" baseline="0">
                    <a:solidFill>
                      <a:srgbClr val="000000"/>
                    </a:solidFill>
                    <a:latin typeface="Arial"/>
                    <a:ea typeface="Arial"/>
                    <a:cs typeface="Arial"/>
                  </a:defRPr>
                </a:pPr>
                <a:r>
                  <a:rPr lang="en-AU"/>
                  <a:t>Time, cup open midpoint</a:t>
                </a:r>
              </a:p>
            </c:rich>
          </c:tx>
          <c:layout>
            <c:manualLayout>
              <c:xMode val="edge"/>
              <c:yMode val="edge"/>
              <c:x val="0.48168728908886399"/>
              <c:y val="0.90686058360351995"/>
            </c:manualLayout>
          </c:layout>
          <c:overlay val="0"/>
          <c:spPr>
            <a:noFill/>
            <a:ln w="25400">
              <a:noFill/>
            </a:ln>
          </c:spPr>
        </c:title>
        <c:numFmt formatCode="d\-mmm\-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215656"/>
        <c:crosses val="autoZero"/>
        <c:crossBetween val="midCat"/>
      </c:valAx>
      <c:valAx>
        <c:axId val="-209121565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AU"/>
                  <a:t>Mass flux &lt;1mm, g</a:t>
                </a:r>
                <a:r>
                  <a:rPr lang="en-AU" baseline="0"/>
                  <a:t> </a:t>
                </a:r>
                <a:r>
                  <a:rPr lang="en-AU"/>
                  <a:t>m-2 yr-1</a:t>
                </a:r>
              </a:p>
            </c:rich>
          </c:tx>
          <c:layout>
            <c:manualLayout>
              <c:xMode val="edge"/>
              <c:yMode val="edge"/>
              <c:x val="2.4417298901467099E-2"/>
              <c:y val="0.1568626215840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222376"/>
        <c:crosses val="autoZero"/>
        <c:crossBetween val="midCat"/>
      </c:valAx>
      <c:spPr>
        <a:noFill/>
        <a:ln w="12700">
          <a:solidFill>
            <a:srgbClr val="808080"/>
          </a:solidFill>
          <a:prstDash val="solid"/>
        </a:ln>
      </c:spPr>
    </c:plotArea>
    <c:legend>
      <c:legendPos val="r"/>
      <c:layout>
        <c:manualLayout>
          <c:xMode val="edge"/>
          <c:yMode val="edge"/>
          <c:x val="0.85389033865146302"/>
          <c:y val="0.16263003255777"/>
          <c:w val="6.1264771481029698E-2"/>
          <c:h val="0.117866414239204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Footer>&amp;L&amp;F, &amp;A</c:oddFooter>
    </c:headerFooter>
    <c:pageMargins b="0.71" l="0.75" r="0.75" t="0.56000000000000005"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0.11791218673807906"/>
          <c:y val="6.0185185185185203E-2"/>
          <c:w val="0.82231004436628163"/>
          <c:h val="0.79166619024107132"/>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numRef>
              <c:f>report!$AL$6:$AL$26</c:f>
              <c:numCache>
                <c:formatCode>0.00</c:formatCode>
                <c:ptCount val="21"/>
                <c:pt idx="0">
                  <c:v>11.033705885380552</c:v>
                </c:pt>
                <c:pt idx="1">
                  <c:v>2.8935805212627352</c:v>
                </c:pt>
                <c:pt idx="2">
                  <c:v>5.8692464300089585E-2</c:v>
                </c:pt>
                <c:pt idx="3">
                  <c:v>3.0128960242583789</c:v>
                </c:pt>
                <c:pt idx="4">
                  <c:v>31.390583377972931</c:v>
                </c:pt>
                <c:pt idx="5">
                  <c:v>1.6073328895047112</c:v>
                </c:pt>
                <c:pt idx="6">
                  <c:v>1.7045981904719569</c:v>
                </c:pt>
                <c:pt idx="7">
                  <c:v>3.735510750792896</c:v>
                </c:pt>
                <c:pt idx="8">
                  <c:v>4.8983548508083423</c:v>
                </c:pt>
                <c:pt idx="9">
                  <c:v>20.594485404054414</c:v>
                </c:pt>
                <c:pt idx="10">
                  <c:v>27.533655254552791</c:v>
                </c:pt>
                <c:pt idx="11">
                  <c:v>5.6504861551124081</c:v>
                </c:pt>
                <c:pt idx="12">
                  <c:v>2.0191569082257175</c:v>
                </c:pt>
                <c:pt idx="13">
                  <c:v>39.42366887222245</c:v>
                </c:pt>
                <c:pt idx="14">
                  <c:v>167.14021043183865</c:v>
                </c:pt>
                <c:pt idx="15">
                  <c:v>80.921660431575248</c:v>
                </c:pt>
                <c:pt idx="16">
                  <c:v>72.978795228807556</c:v>
                </c:pt>
                <c:pt idx="17">
                  <c:v>193.43267207202138</c:v>
                </c:pt>
                <c:pt idx="18">
                  <c:v>97.766982539568986</c:v>
                </c:pt>
                <c:pt idx="19">
                  <c:v>52.851576718444235</c:v>
                </c:pt>
                <c:pt idx="20">
                  <c:v>0.17013558113220642</c:v>
                </c:pt>
              </c:numCache>
            </c:numRef>
          </c:xVal>
          <c:y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yVal>
          <c:smooth val="0"/>
          <c:extLst>
            <c:ext xmlns:c16="http://schemas.microsoft.com/office/drawing/2014/chart" uri="{C3380CC4-5D6E-409C-BE32-E72D297353CC}">
              <c16:uniqueId val="{00000001-035F-40CF-85B0-705ECCBEBC96}"/>
            </c:ext>
          </c:extLst>
        </c:ser>
        <c:ser>
          <c:idx val="1"/>
          <c:order val="1"/>
          <c:tx>
            <c:v>2000</c:v>
          </c:tx>
          <c:spPr>
            <a:ln w="47625">
              <a:noFill/>
            </a:ln>
          </c:spPr>
          <c:trendline>
            <c:spPr>
              <a:ln>
                <a:solidFill>
                  <a:schemeClr val="accent2"/>
                </a:solidFill>
              </a:ln>
            </c:spPr>
            <c:trendlineType val="linear"/>
            <c:dispRSqr val="0"/>
            <c:dispEq val="0"/>
          </c:trendline>
          <c:xVal>
            <c:numRef>
              <c:f>report!$AL$27:$AL$47</c:f>
              <c:numCache>
                <c:formatCode>0.00</c:formatCode>
                <c:ptCount val="21"/>
                <c:pt idx="0">
                  <c:v>27.351536747570517</c:v>
                </c:pt>
                <c:pt idx="1">
                  <c:v>23.473194539835173</c:v>
                </c:pt>
                <c:pt idx="2">
                  <c:v>23.884628705273631</c:v>
                </c:pt>
                <c:pt idx="3">
                  <c:v>24.951847774036086</c:v>
                </c:pt>
                <c:pt idx="4">
                  <c:v>22.530638351311335</c:v>
                </c:pt>
                <c:pt idx="5">
                  <c:v>21.892112295668888</c:v>
                </c:pt>
                <c:pt idx="6">
                  <c:v>18.579490185249213</c:v>
                </c:pt>
                <c:pt idx="7">
                  <c:v>20.414129076280634</c:v>
                </c:pt>
                <c:pt idx="8">
                  <c:v>17.281522349684042</c:v>
                </c:pt>
                <c:pt idx="9">
                  <c:v>19.313725952698231</c:v>
                </c:pt>
                <c:pt idx="10">
                  <c:v>36.098291840498689</c:v>
                </c:pt>
                <c:pt idx="11">
                  <c:v>33.522760139452316</c:v>
                </c:pt>
                <c:pt idx="12">
                  <c:v>19.128344099025973</c:v>
                </c:pt>
                <c:pt idx="13">
                  <c:v>43.377101509978985</c:v>
                </c:pt>
                <c:pt idx="14">
                  <c:v>144.91687826595299</c:v>
                </c:pt>
                <c:pt idx="15">
                  <c:v>248.31014945588299</c:v>
                </c:pt>
                <c:pt idx="16">
                  <c:v>137.37501324152547</c:v>
                </c:pt>
                <c:pt idx="17">
                  <c:v>200.47211456680404</c:v>
                </c:pt>
                <c:pt idx="18">
                  <c:v>175.38426337040349</c:v>
                </c:pt>
                <c:pt idx="19">
                  <c:v>95.932360753919667</c:v>
                </c:pt>
                <c:pt idx="20">
                  <c:v>10.160891725041679</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035F-40CF-85B0-705ECCBEBC96}"/>
            </c:ext>
          </c:extLst>
        </c:ser>
        <c:ser>
          <c:idx val="2"/>
          <c:order val="2"/>
          <c:tx>
            <c:v>3000</c:v>
          </c:tx>
          <c:spPr>
            <a:ln w="47625">
              <a:noFill/>
            </a:ln>
          </c:spPr>
          <c:trendline>
            <c:spPr>
              <a:ln>
                <a:solidFill>
                  <a:schemeClr val="accent3"/>
                </a:solidFill>
              </a:ln>
            </c:spPr>
            <c:trendlineType val="linear"/>
            <c:dispRSqr val="0"/>
            <c:dispEq val="0"/>
          </c:trendline>
          <c:xVal>
            <c:numRef>
              <c:f>report!$AL$48:$AL$68</c:f>
              <c:numCache>
                <c:formatCode>0.00</c:formatCode>
                <c:ptCount val="21"/>
                <c:pt idx="0">
                  <c:v>28.536814202015204</c:v>
                </c:pt>
                <c:pt idx="1">
                  <c:v>21.781259786104588</c:v>
                </c:pt>
                <c:pt idx="2">
                  <c:v>21.234179133090517</c:v>
                </c:pt>
                <c:pt idx="3">
                  <c:v>21.845179628844818</c:v>
                </c:pt>
                <c:pt idx="4">
                  <c:v>23.10200361906475</c:v>
                </c:pt>
                <c:pt idx="5">
                  <c:v>20.390899021429913</c:v>
                </c:pt>
                <c:pt idx="6">
                  <c:v>23.516790661126347</c:v>
                </c:pt>
                <c:pt idx="7">
                  <c:v>24.615513245340154</c:v>
                </c:pt>
                <c:pt idx="8">
                  <c:v>22.619422218565994</c:v>
                </c:pt>
                <c:pt idx="9">
                  <c:v>23.508636751455054</c:v>
                </c:pt>
                <c:pt idx="10">
                  <c:v>23.74623419906397</c:v>
                </c:pt>
                <c:pt idx="11">
                  <c:v>29.634980026778823</c:v>
                </c:pt>
                <c:pt idx="12">
                  <c:v>26.540833193097331</c:v>
                </c:pt>
                <c:pt idx="13">
                  <c:v>33.186711175942555</c:v>
                </c:pt>
                <c:pt idx="14">
                  <c:v>75.219490129870152</c:v>
                </c:pt>
                <c:pt idx="15">
                  <c:v>177.85184213674509</c:v>
                </c:pt>
                <c:pt idx="16">
                  <c:v>153.31112113096293</c:v>
                </c:pt>
                <c:pt idx="17">
                  <c:v>140.27371636155601</c:v>
                </c:pt>
                <c:pt idx="18">
                  <c:v>157.03651294315833</c:v>
                </c:pt>
                <c:pt idx="19">
                  <c:v>221.85457057573677</c:v>
                </c:pt>
                <c:pt idx="20">
                  <c:v>57.09352473217529</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035F-40CF-85B0-705ECCBEBC96}"/>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 mol m-2 yr-1</a:t>
                </a:r>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 m-2 yr-1</a:t>
                </a:r>
              </a:p>
            </c:rich>
          </c:tx>
          <c:overlay val="0"/>
        </c:title>
        <c:numFmt formatCode="0" sourceLinked="0"/>
        <c:majorTickMark val="out"/>
        <c:minorTickMark val="none"/>
        <c:tickLblPos val="nextTo"/>
        <c:crossAx val="-20925718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78273417809528778"/>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xVal>
          <c:yVal>
            <c:numRef>
              <c:f>report!$AK$6:$AK$26</c:f>
              <c:numCache>
                <c:formatCode>0.00</c:formatCode>
                <c:ptCount val="21"/>
                <c:pt idx="0">
                  <c:v>100.60529082613938</c:v>
                </c:pt>
                <c:pt idx="1">
                  <c:v>90.903332106084221</c:v>
                </c:pt>
                <c:pt idx="2">
                  <c:v>40.661770709194329</c:v>
                </c:pt>
                <c:pt idx="3">
                  <c:v>120.11674015691523</c:v>
                </c:pt>
                <c:pt idx="4">
                  <c:v>236.50976753576947</c:v>
                </c:pt>
                <c:pt idx="5">
                  <c:v>38.223455646301311</c:v>
                </c:pt>
                <c:pt idx="6">
                  <c:v>15.37227872547211</c:v>
                </c:pt>
                <c:pt idx="7">
                  <c:v>13.950286111103312</c:v>
                </c:pt>
                <c:pt idx="8">
                  <c:v>25.097920917674582</c:v>
                </c:pt>
                <c:pt idx="9">
                  <c:v>75.921703978356291</c:v>
                </c:pt>
                <c:pt idx="10">
                  <c:v>106.73732749243513</c:v>
                </c:pt>
                <c:pt idx="11">
                  <c:v>44.255440158133204</c:v>
                </c:pt>
                <c:pt idx="12">
                  <c:v>22.902185549364944</c:v>
                </c:pt>
                <c:pt idx="13">
                  <c:v>258.17496410947507</c:v>
                </c:pt>
                <c:pt idx="14">
                  <c:v>447.43605988729934</c:v>
                </c:pt>
                <c:pt idx="15">
                  <c:v>249.1931969175991</c:v>
                </c:pt>
                <c:pt idx="16">
                  <c:v>134.66024296956735</c:v>
                </c:pt>
                <c:pt idx="17">
                  <c:v>180.17910280793387</c:v>
                </c:pt>
                <c:pt idx="18">
                  <c:v>191.43329214799141</c:v>
                </c:pt>
                <c:pt idx="19">
                  <c:v>237.88519228607294</c:v>
                </c:pt>
                <c:pt idx="20">
                  <c:v>16.939390880562691</c:v>
                </c:pt>
              </c:numCache>
            </c:numRef>
          </c:yVal>
          <c:smooth val="0"/>
          <c:extLst>
            <c:ext xmlns:c16="http://schemas.microsoft.com/office/drawing/2014/chart" uri="{C3380CC4-5D6E-409C-BE32-E72D297353CC}">
              <c16:uniqueId val="{00000001-6008-424F-9F22-64C18A228E13}"/>
            </c:ext>
          </c:extLst>
        </c:ser>
        <c:ser>
          <c:idx val="1"/>
          <c:order val="1"/>
          <c:tx>
            <c:v>2000</c:v>
          </c:tx>
          <c:spPr>
            <a:ln w="47625">
              <a:noFill/>
            </a:ln>
          </c:spPr>
          <c:trendline>
            <c:trendlineType val="linear"/>
            <c:dispRSqr val="0"/>
            <c:dispEq val="0"/>
          </c:trendline>
          <c:xVal>
            <c:numRef>
              <c:f>report!$AK$27:$AK$47</c:f>
              <c:numCache>
                <c:formatCode>0.00</c:formatCode>
                <c:ptCount val="21"/>
                <c:pt idx="0">
                  <c:v>130.95395459721311</c:v>
                </c:pt>
                <c:pt idx="1">
                  <c:v>173.09873344944506</c:v>
                </c:pt>
                <c:pt idx="2">
                  <c:v>194.98998450113254</c:v>
                </c:pt>
                <c:pt idx="3">
                  <c:v>226.19312030961188</c:v>
                </c:pt>
                <c:pt idx="4">
                  <c:v>169.96759691819753</c:v>
                </c:pt>
                <c:pt idx="5">
                  <c:v>136.96099537643809</c:v>
                </c:pt>
                <c:pt idx="6">
                  <c:v>119.12197143150144</c:v>
                </c:pt>
                <c:pt idx="7">
                  <c:v>111.20700628740377</c:v>
                </c:pt>
                <c:pt idx="8">
                  <c:v>79.510998968969432</c:v>
                </c:pt>
                <c:pt idx="9">
                  <c:v>81.779706649896525</c:v>
                </c:pt>
                <c:pt idx="10">
                  <c:v>145.3190649068579</c:v>
                </c:pt>
                <c:pt idx="11">
                  <c:v>129.74003279245738</c:v>
                </c:pt>
                <c:pt idx="12">
                  <c:v>98.134602063646085</c:v>
                </c:pt>
                <c:pt idx="13">
                  <c:v>242.15133031910807</c:v>
                </c:pt>
                <c:pt idx="14">
                  <c:v>457.13930231457124</c:v>
                </c:pt>
                <c:pt idx="15">
                  <c:v>511.32780988134039</c:v>
                </c:pt>
                <c:pt idx="16">
                  <c:v>256.91920720710294</c:v>
                </c:pt>
                <c:pt idx="17">
                  <c:v>250.15425102548917</c:v>
                </c:pt>
                <c:pt idx="18">
                  <c:v>289.18151698292479</c:v>
                </c:pt>
                <c:pt idx="19">
                  <c:v>328.14871634495029</c:v>
                </c:pt>
                <c:pt idx="20">
                  <c:v>53.054164506212999</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6008-424F-9F22-64C18A228E13}"/>
            </c:ext>
          </c:extLst>
        </c:ser>
        <c:ser>
          <c:idx val="2"/>
          <c:order val="2"/>
          <c:tx>
            <c:v>3000</c:v>
          </c:tx>
          <c:spPr>
            <a:ln w="47625">
              <a:noFill/>
            </a:ln>
          </c:spPr>
          <c:trendline>
            <c:trendlineType val="linear"/>
            <c:dispRSqr val="0"/>
            <c:dispEq val="0"/>
          </c:trendline>
          <c:xVal>
            <c:numRef>
              <c:f>report!$AK$48:$AK$68</c:f>
              <c:numCache>
                <c:formatCode>0.00</c:formatCode>
                <c:ptCount val="21"/>
                <c:pt idx="0">
                  <c:v>115.1717152228029</c:v>
                </c:pt>
                <c:pt idx="1">
                  <c:v>153.59857942214248</c:v>
                </c:pt>
                <c:pt idx="2">
                  <c:v>179.08716223880143</c:v>
                </c:pt>
                <c:pt idx="3">
                  <c:v>187.5328606645709</c:v>
                </c:pt>
                <c:pt idx="4">
                  <c:v>188.24533540658379</c:v>
                </c:pt>
                <c:pt idx="5">
                  <c:v>135.60072940813868</c:v>
                </c:pt>
                <c:pt idx="6">
                  <c:v>141.07634054376197</c:v>
                </c:pt>
                <c:pt idx="7">
                  <c:v>135.29935926256564</c:v>
                </c:pt>
                <c:pt idx="8">
                  <c:v>125.33113758414055</c:v>
                </c:pt>
                <c:pt idx="9">
                  <c:v>121.9413403694744</c:v>
                </c:pt>
                <c:pt idx="10">
                  <c:v>114.69915321578863</c:v>
                </c:pt>
                <c:pt idx="11">
                  <c:v>144.19470174531671</c:v>
                </c:pt>
                <c:pt idx="12">
                  <c:v>141.20070523922791</c:v>
                </c:pt>
                <c:pt idx="13">
                  <c:v>207.61978022872685</c:v>
                </c:pt>
                <c:pt idx="14">
                  <c:v>336.23564084464664</c:v>
                </c:pt>
                <c:pt idx="15">
                  <c:v>433.53155480189179</c:v>
                </c:pt>
                <c:pt idx="16">
                  <c:v>321.98259374823994</c:v>
                </c:pt>
                <c:pt idx="17">
                  <c:v>229.45477249039999</c:v>
                </c:pt>
                <c:pt idx="18">
                  <c:v>299.60225553711132</c:v>
                </c:pt>
                <c:pt idx="19">
                  <c:v>586.95999268572973</c:v>
                </c:pt>
                <c:pt idx="20">
                  <c:v>187.0482735590227</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6008-424F-9F22-64C18A228E13}"/>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p>
            </c:rich>
          </c:tx>
          <c:overlay val="0"/>
        </c:title>
        <c:numFmt formatCode="0.00" sourceLinked="1"/>
        <c:majorTickMark val="out"/>
        <c:minorTickMark val="none"/>
        <c:tickLblPos val="nextTo"/>
        <c:crossAx val="-21364586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16467415730337079"/>
                  <c:y val="0.41571291999096138"/>
                </c:manualLayout>
              </c:layout>
              <c:numFmt formatCode="General" sourceLinked="0"/>
            </c:trendlineLbl>
          </c:trendline>
          <c:xVal>
            <c:numRef>
              <c:f>report!$AK$6:$AK$26</c:f>
              <c:numCache>
                <c:formatCode>0.00</c:formatCode>
                <c:ptCount val="21"/>
                <c:pt idx="0">
                  <c:v>100.60529082613938</c:v>
                </c:pt>
                <c:pt idx="1">
                  <c:v>90.903332106084221</c:v>
                </c:pt>
                <c:pt idx="2">
                  <c:v>40.661770709194329</c:v>
                </c:pt>
                <c:pt idx="3">
                  <c:v>120.11674015691523</c:v>
                </c:pt>
                <c:pt idx="4">
                  <c:v>236.50976753576947</c:v>
                </c:pt>
                <c:pt idx="5">
                  <c:v>38.223455646301311</c:v>
                </c:pt>
                <c:pt idx="6">
                  <c:v>15.37227872547211</c:v>
                </c:pt>
                <c:pt idx="7">
                  <c:v>13.950286111103312</c:v>
                </c:pt>
                <c:pt idx="8">
                  <c:v>25.097920917674582</c:v>
                </c:pt>
                <c:pt idx="9">
                  <c:v>75.921703978356291</c:v>
                </c:pt>
                <c:pt idx="10">
                  <c:v>106.73732749243513</c:v>
                </c:pt>
                <c:pt idx="11">
                  <c:v>44.255440158133204</c:v>
                </c:pt>
                <c:pt idx="12">
                  <c:v>22.902185549364944</c:v>
                </c:pt>
                <c:pt idx="13">
                  <c:v>258.17496410947507</c:v>
                </c:pt>
                <c:pt idx="14">
                  <c:v>447.43605988729934</c:v>
                </c:pt>
                <c:pt idx="15">
                  <c:v>249.1931969175991</c:v>
                </c:pt>
                <c:pt idx="16">
                  <c:v>134.66024296956735</c:v>
                </c:pt>
                <c:pt idx="17">
                  <c:v>180.17910280793387</c:v>
                </c:pt>
                <c:pt idx="18">
                  <c:v>191.43329214799141</c:v>
                </c:pt>
                <c:pt idx="19">
                  <c:v>237.88519228607294</c:v>
                </c:pt>
                <c:pt idx="20">
                  <c:v>16.939390880562691</c:v>
                </c:pt>
              </c:numCache>
            </c:numRef>
          </c:xVal>
          <c:yVal>
            <c:numRef>
              <c:f>report!$AI$6:$AI$26</c:f>
              <c:numCache>
                <c:formatCode>0.00</c:formatCode>
                <c:ptCount val="21"/>
                <c:pt idx="0">
                  <c:v>11.482369349690988</c:v>
                </c:pt>
                <c:pt idx="1">
                  <c:v>4.8579694826057889</c:v>
                </c:pt>
                <c:pt idx="2">
                  <c:v>0.36625363671636219</c:v>
                </c:pt>
                <c:pt idx="3">
                  <c:v>4.981714823170436</c:v>
                </c:pt>
                <c:pt idx="4">
                  <c:v>42.488059530110682</c:v>
                </c:pt>
                <c:pt idx="5">
                  <c:v>6.5255829942494428</c:v>
                </c:pt>
                <c:pt idx="6">
                  <c:v>3.077717350650341</c:v>
                </c:pt>
                <c:pt idx="7">
                  <c:v>5.2414680475979347</c:v>
                </c:pt>
                <c:pt idx="8">
                  <c:v>5.8645043988055434</c:v>
                </c:pt>
                <c:pt idx="9">
                  <c:v>18.617464496195314</c:v>
                </c:pt>
                <c:pt idx="10">
                  <c:v>19.796454572084578</c:v>
                </c:pt>
                <c:pt idx="11">
                  <c:v>7.1121756758086176</c:v>
                </c:pt>
                <c:pt idx="12">
                  <c:v>2.7422081600084938</c:v>
                </c:pt>
                <c:pt idx="13">
                  <c:v>28.733646493105056</c:v>
                </c:pt>
                <c:pt idx="14">
                  <c:v>53.967383743921481</c:v>
                </c:pt>
                <c:pt idx="15">
                  <c:v>51.065116824473854</c:v>
                </c:pt>
                <c:pt idx="16">
                  <c:v>43.963189471607627</c:v>
                </c:pt>
                <c:pt idx="17">
                  <c:v>65.03366204241901</c:v>
                </c:pt>
                <c:pt idx="18">
                  <c:v>42.363627211763564</c:v>
                </c:pt>
                <c:pt idx="19">
                  <c:v>34.244587452531675</c:v>
                </c:pt>
                <c:pt idx="20">
                  <c:v>0.20070353077373299</c:v>
                </c:pt>
              </c:numCache>
            </c:numRef>
          </c:yVal>
          <c:smooth val="0"/>
          <c:extLst>
            <c:ext xmlns:c16="http://schemas.microsoft.com/office/drawing/2014/chart" uri="{C3380CC4-5D6E-409C-BE32-E72D297353CC}">
              <c16:uniqueId val="{00000001-32DC-4059-BE7D-D69FE45813E1}"/>
            </c:ext>
          </c:extLst>
        </c:ser>
        <c:ser>
          <c:idx val="1"/>
          <c:order val="1"/>
          <c:tx>
            <c:v>2000</c:v>
          </c:tx>
          <c:spPr>
            <a:ln w="47625">
              <a:noFill/>
            </a:ln>
          </c:spPr>
          <c:trendline>
            <c:trendlineType val="linear"/>
            <c:dispRSqr val="0"/>
            <c:dispEq val="1"/>
            <c:trendlineLbl>
              <c:layout>
                <c:manualLayout>
                  <c:x val="9.0396531894187379E-2"/>
                  <c:y val="0.40271714380073353"/>
                </c:manualLayout>
              </c:layout>
              <c:numFmt formatCode="General" sourceLinked="0"/>
            </c:trendlineLbl>
          </c:trendline>
          <c:xVal>
            <c:numRef>
              <c:f>report!$AK$27:$AK$47</c:f>
              <c:numCache>
                <c:formatCode>0.00</c:formatCode>
                <c:ptCount val="21"/>
                <c:pt idx="0">
                  <c:v>130.95395459721311</c:v>
                </c:pt>
                <c:pt idx="1">
                  <c:v>173.09873344944506</c:v>
                </c:pt>
                <c:pt idx="2">
                  <c:v>194.98998450113254</c:v>
                </c:pt>
                <c:pt idx="3">
                  <c:v>226.19312030961188</c:v>
                </c:pt>
                <c:pt idx="4">
                  <c:v>169.96759691819753</c:v>
                </c:pt>
                <c:pt idx="5">
                  <c:v>136.96099537643809</c:v>
                </c:pt>
                <c:pt idx="6">
                  <c:v>119.12197143150144</c:v>
                </c:pt>
                <c:pt idx="7">
                  <c:v>111.20700628740377</c:v>
                </c:pt>
                <c:pt idx="8">
                  <c:v>79.510998968969432</c:v>
                </c:pt>
                <c:pt idx="9">
                  <c:v>81.779706649896525</c:v>
                </c:pt>
                <c:pt idx="10">
                  <c:v>145.3190649068579</c:v>
                </c:pt>
                <c:pt idx="11">
                  <c:v>129.74003279245738</c:v>
                </c:pt>
                <c:pt idx="12">
                  <c:v>98.134602063646085</c:v>
                </c:pt>
                <c:pt idx="13">
                  <c:v>242.15133031910807</c:v>
                </c:pt>
                <c:pt idx="14">
                  <c:v>457.13930231457124</c:v>
                </c:pt>
                <c:pt idx="15">
                  <c:v>511.32780988134039</c:v>
                </c:pt>
                <c:pt idx="16">
                  <c:v>256.91920720710294</c:v>
                </c:pt>
                <c:pt idx="17">
                  <c:v>250.15425102548917</c:v>
                </c:pt>
                <c:pt idx="18">
                  <c:v>289.18151698292479</c:v>
                </c:pt>
                <c:pt idx="19">
                  <c:v>328.14871634495029</c:v>
                </c:pt>
                <c:pt idx="20">
                  <c:v>53.054164506212999</c:v>
                </c:pt>
              </c:numCache>
            </c:numRef>
          </c:xVal>
          <c:yVal>
            <c:numRef>
              <c:f>report!$AI$27:$AI$47</c:f>
              <c:numCache>
                <c:formatCode>0.00</c:formatCode>
                <c:ptCount val="21"/>
                <c:pt idx="0">
                  <c:v>10.755897957281659</c:v>
                </c:pt>
                <c:pt idx="1">
                  <c:v>11.976975695360325</c:v>
                </c:pt>
                <c:pt idx="2">
                  <c:v>17.327899834685969</c:v>
                </c:pt>
                <c:pt idx="3">
                  <c:v>18.100522590837187</c:v>
                </c:pt>
                <c:pt idx="4">
                  <c:v>16.791308473458223</c:v>
                </c:pt>
                <c:pt idx="5">
                  <c:v>20.049961726825472</c:v>
                </c:pt>
                <c:pt idx="6">
                  <c:v>18.525554096249309</c:v>
                </c:pt>
                <c:pt idx="7">
                  <c:v>18.240487684498426</c:v>
                </c:pt>
                <c:pt idx="8">
                  <c:v>14.002455855159358</c:v>
                </c:pt>
                <c:pt idx="9">
                  <c:v>11.341811375584797</c:v>
                </c:pt>
                <c:pt idx="10">
                  <c:v>18.565297425346856</c:v>
                </c:pt>
                <c:pt idx="11">
                  <c:v>20.423933626965955</c:v>
                </c:pt>
                <c:pt idx="12">
                  <c:v>10.016193745052801</c:v>
                </c:pt>
                <c:pt idx="13">
                  <c:v>24.897400899130414</c:v>
                </c:pt>
                <c:pt idx="14">
                  <c:v>39.806692781371659</c:v>
                </c:pt>
                <c:pt idx="15">
                  <c:v>65.89171869143884</c:v>
                </c:pt>
                <c:pt idx="16">
                  <c:v>38.596450710545533</c:v>
                </c:pt>
                <c:pt idx="17">
                  <c:v>55.317001890790763</c:v>
                </c:pt>
                <c:pt idx="18">
                  <c:v>45.078734511934712</c:v>
                </c:pt>
                <c:pt idx="19">
                  <c:v>35.258026935584034</c:v>
                </c:pt>
                <c:pt idx="20">
                  <c:v>6.5306794022614225</c:v>
                </c:pt>
              </c:numCache>
            </c:numRef>
          </c:yVal>
          <c:smooth val="0"/>
          <c:extLst>
            <c:ext xmlns:c16="http://schemas.microsoft.com/office/drawing/2014/chart" uri="{C3380CC4-5D6E-409C-BE32-E72D297353CC}">
              <c16:uniqueId val="{00000003-32DC-4059-BE7D-D69FE45813E1}"/>
            </c:ext>
          </c:extLst>
        </c:ser>
        <c:ser>
          <c:idx val="2"/>
          <c:order val="2"/>
          <c:tx>
            <c:v>3000</c:v>
          </c:tx>
          <c:spPr>
            <a:ln w="47625">
              <a:noFill/>
            </a:ln>
          </c:spPr>
          <c:trendline>
            <c:trendlineType val="linear"/>
            <c:dispRSqr val="0"/>
            <c:dispEq val="1"/>
            <c:trendlineLbl>
              <c:layout>
                <c:manualLayout>
                  <c:x val="-1.2722286118729541E-4"/>
                  <c:y val="0.48338982461629382"/>
                </c:manualLayout>
              </c:layout>
              <c:numFmt formatCode="General" sourceLinked="0"/>
            </c:trendlineLbl>
          </c:trendline>
          <c:xVal>
            <c:numRef>
              <c:f>report!$AK$48:$AK$68</c:f>
              <c:numCache>
                <c:formatCode>0.00</c:formatCode>
                <c:ptCount val="21"/>
                <c:pt idx="0">
                  <c:v>115.1717152228029</c:v>
                </c:pt>
                <c:pt idx="1">
                  <c:v>153.59857942214248</c:v>
                </c:pt>
                <c:pt idx="2">
                  <c:v>179.08716223880143</c:v>
                </c:pt>
                <c:pt idx="3">
                  <c:v>187.5328606645709</c:v>
                </c:pt>
                <c:pt idx="4">
                  <c:v>188.24533540658379</c:v>
                </c:pt>
                <c:pt idx="5">
                  <c:v>135.60072940813868</c:v>
                </c:pt>
                <c:pt idx="6">
                  <c:v>141.07634054376197</c:v>
                </c:pt>
                <c:pt idx="7">
                  <c:v>135.29935926256564</c:v>
                </c:pt>
                <c:pt idx="8">
                  <c:v>125.33113758414055</c:v>
                </c:pt>
                <c:pt idx="9">
                  <c:v>121.9413403694744</c:v>
                </c:pt>
                <c:pt idx="10">
                  <c:v>114.69915321578863</c:v>
                </c:pt>
                <c:pt idx="11">
                  <c:v>144.19470174531671</c:v>
                </c:pt>
                <c:pt idx="12">
                  <c:v>141.20070523922791</c:v>
                </c:pt>
                <c:pt idx="13">
                  <c:v>207.61978022872685</c:v>
                </c:pt>
                <c:pt idx="14">
                  <c:v>336.23564084464664</c:v>
                </c:pt>
                <c:pt idx="15">
                  <c:v>433.53155480189179</c:v>
                </c:pt>
                <c:pt idx="16">
                  <c:v>321.98259374823994</c:v>
                </c:pt>
                <c:pt idx="17">
                  <c:v>229.45477249039999</c:v>
                </c:pt>
                <c:pt idx="18">
                  <c:v>299.60225553711132</c:v>
                </c:pt>
                <c:pt idx="19">
                  <c:v>586.95999268572973</c:v>
                </c:pt>
                <c:pt idx="20">
                  <c:v>187.0482735590227</c:v>
                </c:pt>
              </c:numCache>
            </c:numRef>
          </c:xVal>
          <c:yVal>
            <c:numRef>
              <c:f>report!$AI$48:$AI$68</c:f>
              <c:numCache>
                <c:formatCode>0.00</c:formatCode>
                <c:ptCount val="21"/>
                <c:pt idx="0">
                  <c:v>10.726773168311507</c:v>
                </c:pt>
                <c:pt idx="1">
                  <c:v>8.0627642094845111</c:v>
                </c:pt>
                <c:pt idx="2">
                  <c:v>9.4679488792630302</c:v>
                </c:pt>
                <c:pt idx="3">
                  <c:v>9.7195527127714616</c:v>
                </c:pt>
                <c:pt idx="4">
                  <c:v>10.748659078828233</c:v>
                </c:pt>
                <c:pt idx="5">
                  <c:v>12.536134350507696</c:v>
                </c:pt>
                <c:pt idx="6">
                  <c:v>15.222058080654143</c:v>
                </c:pt>
                <c:pt idx="7">
                  <c:v>13.433066649147634</c:v>
                </c:pt>
                <c:pt idx="8">
                  <c:v>14.709346016030105</c:v>
                </c:pt>
                <c:pt idx="9">
                  <c:v>13.857004832988958</c:v>
                </c:pt>
                <c:pt idx="10">
                  <c:v>11.138823299576426</c:v>
                </c:pt>
                <c:pt idx="11">
                  <c:v>15.289056746062075</c:v>
                </c:pt>
                <c:pt idx="12">
                  <c:v>11.132647981720076</c:v>
                </c:pt>
                <c:pt idx="13">
                  <c:v>15.125116682327937</c:v>
                </c:pt>
                <c:pt idx="14">
                  <c:v>23.279437230755779</c:v>
                </c:pt>
                <c:pt idx="15">
                  <c:v>39.573411968677249</c:v>
                </c:pt>
                <c:pt idx="16">
                  <c:v>40.078637104768127</c:v>
                </c:pt>
                <c:pt idx="17">
                  <c:v>35.993211829737199</c:v>
                </c:pt>
                <c:pt idx="18">
                  <c:v>37.543388054046048</c:v>
                </c:pt>
                <c:pt idx="19">
                  <c:v>60.928337109269755</c:v>
                </c:pt>
                <c:pt idx="20">
                  <c:v>12.10992837821596</c:v>
                </c:pt>
              </c:numCache>
            </c:numRef>
          </c:yVal>
          <c:smooth val="0"/>
          <c:extLst>
            <c:ext xmlns:c16="http://schemas.microsoft.com/office/drawing/2014/chart" uri="{C3380CC4-5D6E-409C-BE32-E72D297353CC}">
              <c16:uniqueId val="{00000005-32DC-4059-BE7D-D69FE45813E1}"/>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numFmt formatCode="0.00" sourceLinked="1"/>
        <c:majorTickMark val="out"/>
        <c:minorTickMark val="none"/>
        <c:tickLblPos val="nextTo"/>
        <c:crossAx val="-213650354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46717956002922301"/>
                  <c:y val="-4.2988116068824703E-2"/>
                </c:manualLayout>
              </c:layout>
              <c:numFmt formatCode="General" sourceLinked="0"/>
            </c:trendlineLbl>
          </c:trendline>
          <c:xVal>
            <c:numRef>
              <c:f>report!$AI$6:$AI$26</c:f>
              <c:numCache>
                <c:formatCode>0.00</c:formatCode>
                <c:ptCount val="21"/>
                <c:pt idx="0">
                  <c:v>11.482369349690988</c:v>
                </c:pt>
                <c:pt idx="1">
                  <c:v>4.8579694826057889</c:v>
                </c:pt>
                <c:pt idx="2">
                  <c:v>0.36625363671636219</c:v>
                </c:pt>
                <c:pt idx="3">
                  <c:v>4.981714823170436</c:v>
                </c:pt>
                <c:pt idx="4">
                  <c:v>42.488059530110682</c:v>
                </c:pt>
                <c:pt idx="5">
                  <c:v>6.5255829942494428</c:v>
                </c:pt>
                <c:pt idx="6">
                  <c:v>3.077717350650341</c:v>
                </c:pt>
                <c:pt idx="7">
                  <c:v>5.2414680475979347</c:v>
                </c:pt>
                <c:pt idx="8">
                  <c:v>5.8645043988055434</c:v>
                </c:pt>
                <c:pt idx="9">
                  <c:v>18.617464496195314</c:v>
                </c:pt>
                <c:pt idx="10">
                  <c:v>19.796454572084578</c:v>
                </c:pt>
                <c:pt idx="11">
                  <c:v>7.1121756758086176</c:v>
                </c:pt>
                <c:pt idx="12">
                  <c:v>2.7422081600084938</c:v>
                </c:pt>
                <c:pt idx="13">
                  <c:v>28.733646493105056</c:v>
                </c:pt>
                <c:pt idx="14">
                  <c:v>53.967383743921481</c:v>
                </c:pt>
                <c:pt idx="15">
                  <c:v>51.065116824473854</c:v>
                </c:pt>
                <c:pt idx="16">
                  <c:v>43.963189471607627</c:v>
                </c:pt>
                <c:pt idx="17">
                  <c:v>65.03366204241901</c:v>
                </c:pt>
                <c:pt idx="18">
                  <c:v>42.363627211763564</c:v>
                </c:pt>
                <c:pt idx="19">
                  <c:v>34.244587452531675</c:v>
                </c:pt>
                <c:pt idx="20">
                  <c:v>0.20070353077373299</c:v>
                </c:pt>
              </c:numCache>
            </c:numRef>
          </c:xVal>
          <c:y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yVal>
          <c:smooth val="0"/>
          <c:extLst>
            <c:ext xmlns:c16="http://schemas.microsoft.com/office/drawing/2014/chart" uri="{C3380CC4-5D6E-409C-BE32-E72D297353CC}">
              <c16:uniqueId val="{00000001-B6BE-4D84-8346-F8162B314B9E}"/>
            </c:ext>
          </c:extLst>
        </c:ser>
        <c:ser>
          <c:idx val="1"/>
          <c:order val="1"/>
          <c:tx>
            <c:v>2000</c:v>
          </c:tx>
          <c:spPr>
            <a:ln w="47625">
              <a:noFill/>
            </a:ln>
          </c:spPr>
          <c:trendline>
            <c:spPr>
              <a:ln>
                <a:solidFill>
                  <a:schemeClr val="accent2"/>
                </a:solidFill>
              </a:ln>
            </c:spPr>
            <c:trendlineType val="linear"/>
            <c:dispRSqr val="0"/>
            <c:dispEq val="1"/>
            <c:trendlineLbl>
              <c:layout>
                <c:manualLayout>
                  <c:x val="-0.478148591606462"/>
                  <c:y val="0.133856445027705"/>
                </c:manualLayout>
              </c:layout>
              <c:numFmt formatCode="General" sourceLinked="0"/>
            </c:trendlineLbl>
          </c:trendline>
          <c:xVal>
            <c:numRef>
              <c:f>report!$AI$27:$AI$47</c:f>
              <c:numCache>
                <c:formatCode>0.00</c:formatCode>
                <c:ptCount val="21"/>
                <c:pt idx="0">
                  <c:v>10.755897957281659</c:v>
                </c:pt>
                <c:pt idx="1">
                  <c:v>11.976975695360325</c:v>
                </c:pt>
                <c:pt idx="2">
                  <c:v>17.327899834685969</c:v>
                </c:pt>
                <c:pt idx="3">
                  <c:v>18.100522590837187</c:v>
                </c:pt>
                <c:pt idx="4">
                  <c:v>16.791308473458223</c:v>
                </c:pt>
                <c:pt idx="5">
                  <c:v>20.049961726825472</c:v>
                </c:pt>
                <c:pt idx="6">
                  <c:v>18.525554096249309</c:v>
                </c:pt>
                <c:pt idx="7">
                  <c:v>18.240487684498426</c:v>
                </c:pt>
                <c:pt idx="8">
                  <c:v>14.002455855159358</c:v>
                </c:pt>
                <c:pt idx="9">
                  <c:v>11.341811375584797</c:v>
                </c:pt>
                <c:pt idx="10">
                  <c:v>18.565297425346856</c:v>
                </c:pt>
                <c:pt idx="11">
                  <c:v>20.423933626965955</c:v>
                </c:pt>
                <c:pt idx="12">
                  <c:v>10.016193745052801</c:v>
                </c:pt>
                <c:pt idx="13">
                  <c:v>24.897400899130414</c:v>
                </c:pt>
                <c:pt idx="14">
                  <c:v>39.806692781371659</c:v>
                </c:pt>
                <c:pt idx="15">
                  <c:v>65.89171869143884</c:v>
                </c:pt>
                <c:pt idx="16">
                  <c:v>38.596450710545533</c:v>
                </c:pt>
                <c:pt idx="17">
                  <c:v>55.317001890790763</c:v>
                </c:pt>
                <c:pt idx="18">
                  <c:v>45.078734511934712</c:v>
                </c:pt>
                <c:pt idx="19">
                  <c:v>35.258026935584034</c:v>
                </c:pt>
                <c:pt idx="20">
                  <c:v>6.5306794022614225</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B6BE-4D84-8346-F8162B314B9E}"/>
            </c:ext>
          </c:extLst>
        </c:ser>
        <c:ser>
          <c:idx val="2"/>
          <c:order val="2"/>
          <c:tx>
            <c:v>3000</c:v>
          </c:tx>
          <c:spPr>
            <a:ln w="47625">
              <a:noFill/>
            </a:ln>
          </c:spPr>
          <c:trendline>
            <c:spPr>
              <a:ln>
                <a:solidFill>
                  <a:schemeClr val="accent3"/>
                </a:solidFill>
              </a:ln>
            </c:spPr>
            <c:trendlineType val="linear"/>
            <c:dispRSqr val="0"/>
            <c:dispEq val="1"/>
            <c:trendlineLbl>
              <c:layout>
                <c:manualLayout>
                  <c:x val="-0.42956002922315101"/>
                  <c:y val="0.18946230679498399"/>
                </c:manualLayout>
              </c:layout>
              <c:numFmt formatCode="General" sourceLinked="0"/>
            </c:trendlineLbl>
          </c:trendline>
          <c:xVal>
            <c:numRef>
              <c:f>report!$AI$48:$AI$68</c:f>
              <c:numCache>
                <c:formatCode>0.00</c:formatCode>
                <c:ptCount val="21"/>
                <c:pt idx="0">
                  <c:v>10.726773168311507</c:v>
                </c:pt>
                <c:pt idx="1">
                  <c:v>8.0627642094845111</c:v>
                </c:pt>
                <c:pt idx="2">
                  <c:v>9.4679488792630302</c:v>
                </c:pt>
                <c:pt idx="3">
                  <c:v>9.7195527127714616</c:v>
                </c:pt>
                <c:pt idx="4">
                  <c:v>10.748659078828233</c:v>
                </c:pt>
                <c:pt idx="5">
                  <c:v>12.536134350507696</c:v>
                </c:pt>
                <c:pt idx="6">
                  <c:v>15.222058080654143</c:v>
                </c:pt>
                <c:pt idx="7">
                  <c:v>13.433066649147634</c:v>
                </c:pt>
                <c:pt idx="8">
                  <c:v>14.709346016030105</c:v>
                </c:pt>
                <c:pt idx="9">
                  <c:v>13.857004832988958</c:v>
                </c:pt>
                <c:pt idx="10">
                  <c:v>11.138823299576426</c:v>
                </c:pt>
                <c:pt idx="11">
                  <c:v>15.289056746062075</c:v>
                </c:pt>
                <c:pt idx="12">
                  <c:v>11.132647981720076</c:v>
                </c:pt>
                <c:pt idx="13">
                  <c:v>15.125116682327937</c:v>
                </c:pt>
                <c:pt idx="14">
                  <c:v>23.279437230755779</c:v>
                </c:pt>
                <c:pt idx="15">
                  <c:v>39.573411968677249</c:v>
                </c:pt>
                <c:pt idx="16">
                  <c:v>40.078637104768127</c:v>
                </c:pt>
                <c:pt idx="17">
                  <c:v>35.993211829737199</c:v>
                </c:pt>
                <c:pt idx="18">
                  <c:v>37.543388054046048</c:v>
                </c:pt>
                <c:pt idx="19">
                  <c:v>60.928337109269755</c:v>
                </c:pt>
                <c:pt idx="20">
                  <c:v>12.10992837821596</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B6BE-4D84-8346-F8162B314B9E}"/>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0" sourceLinked="1"/>
        <c:majorTickMark val="out"/>
        <c:minorTickMark val="none"/>
        <c:tickLblPos val="nextTo"/>
        <c:crossAx val="-209149053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main!$AM$7:$AM$27</c:f>
              <c:numCache>
                <c:formatCode>0.00</c:formatCode>
                <c:ptCount val="21"/>
                <c:pt idx="0">
                  <c:v>6.6738090321115786</c:v>
                </c:pt>
                <c:pt idx="1">
                  <c:v>7.570989009070983</c:v>
                </c:pt>
                <c:pt idx="2">
                  <c:v>9.3623157746049213</c:v>
                </c:pt>
                <c:pt idx="3">
                  <c:v>7.7996775241594918</c:v>
                </c:pt>
                <c:pt idx="4">
                  <c:v>7.2446369828716914</c:v>
                </c:pt>
                <c:pt idx="5">
                  <c:v>8.5563264050026433</c:v>
                </c:pt>
                <c:pt idx="6">
                  <c:v>8.4682639187208686</c:v>
                </c:pt>
                <c:pt idx="7">
                  <c:v>8.0471254248125064</c:v>
                </c:pt>
                <c:pt idx="8">
                  <c:v>8.486932805753904</c:v>
                </c:pt>
                <c:pt idx="9">
                  <c:v>7.3195537108537367</c:v>
                </c:pt>
                <c:pt idx="10">
                  <c:v>7.4001608096179616</c:v>
                </c:pt>
                <c:pt idx="11">
                  <c:v>7.2397890069491169</c:v>
                </c:pt>
                <c:pt idx="12">
                  <c:v>8.9612228180664069</c:v>
                </c:pt>
                <c:pt idx="13">
                  <c:v>8.4801940680375978</c:v>
                </c:pt>
                <c:pt idx="14">
                  <c:v>8.2854080243224004</c:v>
                </c:pt>
                <c:pt idx="15">
                  <c:v>7.8269484475849094</c:v>
                </c:pt>
                <c:pt idx="16">
                  <c:v>7.5608335057506162</c:v>
                </c:pt>
                <c:pt idx="17">
                  <c:v>8.1950457839020121</c:v>
                </c:pt>
                <c:pt idx="18">
                  <c:v>7.9454601562187461</c:v>
                </c:pt>
                <c:pt idx="19">
                  <c:v>7.8413953766118745</c:v>
                </c:pt>
                <c:pt idx="20">
                  <c:v>9.1491922967931103</c:v>
                </c:pt>
              </c:numCache>
            </c:numRef>
          </c:xVal>
          <c:y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yVal>
          <c:smooth val="0"/>
          <c:extLst>
            <c:ext xmlns:c16="http://schemas.microsoft.com/office/drawing/2014/chart" uri="{C3380CC4-5D6E-409C-BE32-E72D297353CC}">
              <c16:uniqueId val="{00000000-EE67-4799-8FAF-DA6FA382AD9D}"/>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General"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numRef>
              <c:f>main!$AM$7:$AM$27</c:f>
              <c:numCache>
                <c:formatCode>0.00</c:formatCode>
                <c:ptCount val="21"/>
                <c:pt idx="0">
                  <c:v>6.6738090321115786</c:v>
                </c:pt>
                <c:pt idx="1">
                  <c:v>7.570989009070983</c:v>
                </c:pt>
                <c:pt idx="2">
                  <c:v>9.3623157746049213</c:v>
                </c:pt>
                <c:pt idx="3">
                  <c:v>7.7996775241594918</c:v>
                </c:pt>
                <c:pt idx="4">
                  <c:v>7.2446369828716914</c:v>
                </c:pt>
                <c:pt idx="5">
                  <c:v>8.5563264050026433</c:v>
                </c:pt>
                <c:pt idx="6">
                  <c:v>8.4682639187208686</c:v>
                </c:pt>
                <c:pt idx="7">
                  <c:v>8.0471254248125064</c:v>
                </c:pt>
                <c:pt idx="8">
                  <c:v>8.486932805753904</c:v>
                </c:pt>
                <c:pt idx="9">
                  <c:v>7.3195537108537367</c:v>
                </c:pt>
                <c:pt idx="10">
                  <c:v>7.4001608096179616</c:v>
                </c:pt>
                <c:pt idx="11">
                  <c:v>7.2397890069491169</c:v>
                </c:pt>
                <c:pt idx="12">
                  <c:v>8.9612228180664069</c:v>
                </c:pt>
                <c:pt idx="13">
                  <c:v>8.4801940680375978</c:v>
                </c:pt>
                <c:pt idx="14">
                  <c:v>8.2854080243224004</c:v>
                </c:pt>
                <c:pt idx="15">
                  <c:v>7.8269484475849094</c:v>
                </c:pt>
                <c:pt idx="16">
                  <c:v>7.5608335057506162</c:v>
                </c:pt>
                <c:pt idx="17">
                  <c:v>8.1950457839020121</c:v>
                </c:pt>
                <c:pt idx="18">
                  <c:v>7.9454601562187461</c:v>
                </c:pt>
                <c:pt idx="19">
                  <c:v>7.8413953766118745</c:v>
                </c:pt>
                <c:pt idx="20">
                  <c:v>9.1491922967931103</c:v>
                </c:pt>
              </c:numCache>
            </c:numRef>
          </c:xVal>
          <c:yVal>
            <c:numRef>
              <c:f>main!$S$7:$S$27</c:f>
              <c:numCache>
                <c:formatCode>0.00</c:formatCode>
                <c:ptCount val="21"/>
                <c:pt idx="0">
                  <c:v>8.2609999999999992</c:v>
                </c:pt>
                <c:pt idx="1">
                  <c:v>7.9279999999999999</c:v>
                </c:pt>
                <c:pt idx="2">
                  <c:v>8.0730000000000004</c:v>
                </c:pt>
                <c:pt idx="3">
                  <c:v>8.0500000000000007</c:v>
                </c:pt>
                <c:pt idx="4">
                  <c:v>7.9260000000000002</c:v>
                </c:pt>
                <c:pt idx="5">
                  <c:v>7.6440000000000001</c:v>
                </c:pt>
                <c:pt idx="6">
                  <c:v>8.0755000000000017</c:v>
                </c:pt>
                <c:pt idx="7">
                  <c:v>8.17</c:v>
                </c:pt>
                <c:pt idx="8">
                  <c:v>8.1000000000000014</c:v>
                </c:pt>
                <c:pt idx="9">
                  <c:v>8.2832499999999989</c:v>
                </c:pt>
                <c:pt idx="10">
                  <c:v>8.2564999999999991</c:v>
                </c:pt>
                <c:pt idx="11">
                  <c:v>8.1829999999999998</c:v>
                </c:pt>
                <c:pt idx="12">
                  <c:v>7.9909999999999997</c:v>
                </c:pt>
                <c:pt idx="13">
                  <c:v>8.0790000000000006</c:v>
                </c:pt>
                <c:pt idx="14">
                  <c:v>7.9675000000000002</c:v>
                </c:pt>
                <c:pt idx="15">
                  <c:v>7.915</c:v>
                </c:pt>
                <c:pt idx="16">
                  <c:v>8.08</c:v>
                </c:pt>
                <c:pt idx="17">
                  <c:v>7.9190000000000005</c:v>
                </c:pt>
                <c:pt idx="18">
                  <c:v>8.0459999999999994</c:v>
                </c:pt>
                <c:pt idx="19">
                  <c:v>8.0725000000000016</c:v>
                </c:pt>
                <c:pt idx="20">
                  <c:v>7.8979999999999997</c:v>
                </c:pt>
              </c:numCache>
            </c:numRef>
          </c:yVal>
          <c:smooth val="0"/>
          <c:extLst>
            <c:ext xmlns:c16="http://schemas.microsoft.com/office/drawing/2014/chart" uri="{C3380CC4-5D6E-409C-BE32-E72D297353CC}">
              <c16:uniqueId val="{00000000-3260-42D9-A5F3-EEF7B2ECE397}"/>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xVal>
          <c:y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yVal>
          <c:smooth val="0"/>
          <c:extLst>
            <c:ext xmlns:c16="http://schemas.microsoft.com/office/drawing/2014/chart" uri="{C3380CC4-5D6E-409C-BE32-E72D297353CC}">
              <c16:uniqueId val="{00000000-9668-4996-B5CB-D88A37CAF996}"/>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0.00"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General"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val>
          <c:smooth val="0"/>
          <c:extLst>
            <c:ext xmlns:c16="http://schemas.microsoft.com/office/drawing/2014/chart" uri="{C3380CC4-5D6E-409C-BE32-E72D297353CC}">
              <c16:uniqueId val="{00000000-006D-4A34-B23E-04A39362945D}"/>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8.2609999999999992</c:v>
                </c:pt>
                <c:pt idx="1">
                  <c:v>7.9279999999999999</c:v>
                </c:pt>
                <c:pt idx="2">
                  <c:v>8.0730000000000004</c:v>
                </c:pt>
                <c:pt idx="3">
                  <c:v>8.0500000000000007</c:v>
                </c:pt>
                <c:pt idx="4">
                  <c:v>7.9260000000000002</c:v>
                </c:pt>
                <c:pt idx="5">
                  <c:v>7.6440000000000001</c:v>
                </c:pt>
                <c:pt idx="6">
                  <c:v>8.0755000000000017</c:v>
                </c:pt>
                <c:pt idx="7">
                  <c:v>8.17</c:v>
                </c:pt>
                <c:pt idx="8">
                  <c:v>8.1000000000000014</c:v>
                </c:pt>
                <c:pt idx="9">
                  <c:v>8.2832499999999989</c:v>
                </c:pt>
                <c:pt idx="10">
                  <c:v>8.2564999999999991</c:v>
                </c:pt>
                <c:pt idx="11">
                  <c:v>8.1829999999999998</c:v>
                </c:pt>
                <c:pt idx="12">
                  <c:v>7.9909999999999997</c:v>
                </c:pt>
                <c:pt idx="13">
                  <c:v>8.0790000000000006</c:v>
                </c:pt>
                <c:pt idx="14">
                  <c:v>7.9675000000000002</c:v>
                </c:pt>
                <c:pt idx="15">
                  <c:v>7.915</c:v>
                </c:pt>
                <c:pt idx="16">
                  <c:v>8.08</c:v>
                </c:pt>
                <c:pt idx="17">
                  <c:v>7.9190000000000005</c:v>
                </c:pt>
                <c:pt idx="18">
                  <c:v>8.0459999999999994</c:v>
                </c:pt>
                <c:pt idx="19">
                  <c:v>8.0725000000000016</c:v>
                </c:pt>
                <c:pt idx="20">
                  <c:v>7.8979999999999997</c:v>
                </c:pt>
              </c:numCache>
            </c:numRef>
          </c:val>
          <c:smooth val="0"/>
          <c:extLst>
            <c:ext xmlns:c16="http://schemas.microsoft.com/office/drawing/2014/chart" uri="{C3380CC4-5D6E-409C-BE32-E72D297353CC}">
              <c16:uniqueId val="{00000001-006D-4A34-B23E-04A39362945D}"/>
            </c:ext>
          </c:extLst>
        </c:ser>
        <c:ser>
          <c:idx val="2"/>
          <c:order val="2"/>
          <c:tx>
            <c:v>POC/PN</c:v>
          </c:tx>
          <c:marker>
            <c:symbol val="none"/>
          </c:marker>
          <c:val>
            <c:numRef>
              <c:f>report!$AM$6:$AM$26</c:f>
              <c:numCache>
                <c:formatCode>0.00</c:formatCode>
                <c:ptCount val="21"/>
                <c:pt idx="0">
                  <c:v>6.6738090321115768</c:v>
                </c:pt>
                <c:pt idx="1">
                  <c:v>7.5709890090709839</c:v>
                </c:pt>
                <c:pt idx="2">
                  <c:v>9.3623157746049195</c:v>
                </c:pt>
                <c:pt idx="3">
                  <c:v>7.7996775241594927</c:v>
                </c:pt>
                <c:pt idx="4">
                  <c:v>7.2446369828716914</c:v>
                </c:pt>
                <c:pt idx="5">
                  <c:v>8.5563264050026451</c:v>
                </c:pt>
                <c:pt idx="6">
                  <c:v>8.4682639187208668</c:v>
                </c:pt>
                <c:pt idx="7">
                  <c:v>8.0471254248125064</c:v>
                </c:pt>
                <c:pt idx="8">
                  <c:v>8.4869328057539057</c:v>
                </c:pt>
                <c:pt idx="9">
                  <c:v>7.3195537108537359</c:v>
                </c:pt>
                <c:pt idx="10">
                  <c:v>7.4001608096179625</c:v>
                </c:pt>
                <c:pt idx="11">
                  <c:v>7.2397890069491142</c:v>
                </c:pt>
                <c:pt idx="12">
                  <c:v>8.9612228180664069</c:v>
                </c:pt>
                <c:pt idx="13">
                  <c:v>8.4801940680375996</c:v>
                </c:pt>
                <c:pt idx="14">
                  <c:v>8.2854080243224004</c:v>
                </c:pt>
                <c:pt idx="15">
                  <c:v>7.8269484475849085</c:v>
                </c:pt>
                <c:pt idx="16">
                  <c:v>7.5608335057506153</c:v>
                </c:pt>
                <c:pt idx="17">
                  <c:v>8.1950457839020139</c:v>
                </c:pt>
                <c:pt idx="18">
                  <c:v>7.9454601562187452</c:v>
                </c:pt>
                <c:pt idx="19">
                  <c:v>7.8413953766118754</c:v>
                </c:pt>
                <c:pt idx="20">
                  <c:v>9.1491922967931103</c:v>
                </c:pt>
              </c:numCache>
            </c:numRef>
          </c:val>
          <c:smooth val="0"/>
          <c:extLst>
            <c:ext xmlns:c16="http://schemas.microsoft.com/office/drawing/2014/chart" uri="{C3380CC4-5D6E-409C-BE32-E72D297353CC}">
              <c16:uniqueId val="{00000002-006D-4A34-B23E-04A39362945D}"/>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General" sourceLinked="1"/>
        <c:majorTickMark val="out"/>
        <c:minorTickMark val="none"/>
        <c:tickLblPos val="nextTo"/>
        <c:crossAx val="-2091567496"/>
        <c:crosses val="autoZero"/>
        <c:crossBetween val="between"/>
      </c:valAx>
      <c:valAx>
        <c:axId val="-2091573880"/>
        <c:scaling>
          <c:orientation val="minMax"/>
          <c:min val="6.5"/>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val>
          <c:smooth val="0"/>
          <c:extLst>
            <c:ext xmlns:c16="http://schemas.microsoft.com/office/drawing/2014/chart" uri="{C3380CC4-5D6E-409C-BE32-E72D297353CC}">
              <c16:uniqueId val="{00000000-7F0E-470D-B2A2-21D643EDC826}"/>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8.5489999999999995</c:v>
                </c:pt>
                <c:pt idx="1">
                  <c:v>8.6180000000000003</c:v>
                </c:pt>
                <c:pt idx="2">
                  <c:v>8.6289999999999996</c:v>
                </c:pt>
                <c:pt idx="3">
                  <c:v>8.625</c:v>
                </c:pt>
                <c:pt idx="4">
                  <c:v>8.625</c:v>
                </c:pt>
                <c:pt idx="5">
                  <c:v>8.5850000000000009</c:v>
                </c:pt>
                <c:pt idx="6">
                  <c:v>8.6180000000000003</c:v>
                </c:pt>
                <c:pt idx="7">
                  <c:v>8.5909999999999993</c:v>
                </c:pt>
                <c:pt idx="8">
                  <c:v>8.5909999999999993</c:v>
                </c:pt>
                <c:pt idx="9">
                  <c:v>8.5609999999999999</c:v>
                </c:pt>
                <c:pt idx="10">
                  <c:v>8.6029999999999998</c:v>
                </c:pt>
                <c:pt idx="11">
                  <c:v>8.5749999999999993</c:v>
                </c:pt>
                <c:pt idx="12">
                  <c:v>8.6270000000000007</c:v>
                </c:pt>
                <c:pt idx="13">
                  <c:v>8.5869999999999997</c:v>
                </c:pt>
                <c:pt idx="14">
                  <c:v>8.4830000000000005</c:v>
                </c:pt>
                <c:pt idx="15">
                  <c:v>8.4580000000000002</c:v>
                </c:pt>
                <c:pt idx="16">
                  <c:v>8.3999999999999986</c:v>
                </c:pt>
                <c:pt idx="17">
                  <c:v>8.5060000000000002</c:v>
                </c:pt>
                <c:pt idx="18">
                  <c:v>8.4870000000000001</c:v>
                </c:pt>
                <c:pt idx="19">
                  <c:v>8.3670000000000009</c:v>
                </c:pt>
                <c:pt idx="20">
                  <c:v>8.5549999999999997</c:v>
                </c:pt>
              </c:numCache>
            </c:numRef>
          </c:val>
          <c:smooth val="0"/>
          <c:extLst>
            <c:ext xmlns:c16="http://schemas.microsoft.com/office/drawing/2014/chart" uri="{C3380CC4-5D6E-409C-BE32-E72D297353CC}">
              <c16:uniqueId val="{00000001-7F0E-470D-B2A2-21D643EDC826}"/>
            </c:ext>
          </c:extLst>
        </c:ser>
        <c:ser>
          <c:idx val="2"/>
          <c:order val="2"/>
          <c:tx>
            <c:v>POC/PN</c:v>
          </c:tx>
          <c:marker>
            <c:symbol val="none"/>
          </c:marker>
          <c:val>
            <c:numRef>
              <c:f>report!$AM$48:$AM$68</c:f>
              <c:numCache>
                <c:formatCode>0.00</c:formatCode>
                <c:ptCount val="21"/>
                <c:pt idx="0">
                  <c:v>8.6214669897886758</c:v>
                </c:pt>
                <c:pt idx="1">
                  <c:v>7.9934392237095615</c:v>
                </c:pt>
                <c:pt idx="2">
                  <c:v>8.0494133343838552</c:v>
                </c:pt>
                <c:pt idx="3">
                  <c:v>7.6959084063042997</c:v>
                </c:pt>
                <c:pt idx="4">
                  <c:v>8.2180733528138994</c:v>
                </c:pt>
                <c:pt idx="5">
                  <c:v>8.0995530412485284</c:v>
                </c:pt>
                <c:pt idx="6">
                  <c:v>8.2131799383265278</c:v>
                </c:pt>
                <c:pt idx="7">
                  <c:v>8.185206593311781</c:v>
                </c:pt>
                <c:pt idx="8">
                  <c:v>8.2082962677661513</c:v>
                </c:pt>
                <c:pt idx="9">
                  <c:v>8.0643813873334622</c:v>
                </c:pt>
                <c:pt idx="10">
                  <c:v>8.1490344686507239</c:v>
                </c:pt>
                <c:pt idx="11">
                  <c:v>8.2342649896238314</c:v>
                </c:pt>
                <c:pt idx="12">
                  <c:v>8.3454919536215417</c:v>
                </c:pt>
                <c:pt idx="13">
                  <c:v>8.9772614479312001</c:v>
                </c:pt>
                <c:pt idx="14">
                  <c:v>9.147570998130913</c:v>
                </c:pt>
                <c:pt idx="15">
                  <c:v>9.0683731293809924</c:v>
                </c:pt>
                <c:pt idx="16">
                  <c:v>9.0442687908648374</c:v>
                </c:pt>
                <c:pt idx="17">
                  <c:v>8.6770339131314067</c:v>
                </c:pt>
                <c:pt idx="18">
                  <c:v>8.4673081976796745</c:v>
                </c:pt>
                <c:pt idx="19">
                  <c:v>8.2643050722218163</c:v>
                </c:pt>
                <c:pt idx="20">
                  <c:v>8.3012327291660224</c:v>
                </c:pt>
              </c:numCache>
            </c:numRef>
          </c:val>
          <c:smooth val="0"/>
          <c:extLst>
            <c:ext xmlns:c16="http://schemas.microsoft.com/office/drawing/2014/chart" uri="{C3380CC4-5D6E-409C-BE32-E72D297353CC}">
              <c16:uniqueId val="{00000002-7F0E-470D-B2A2-21D643EDC826}"/>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min val="6.5"/>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val>
          <c:smooth val="0"/>
          <c:extLst>
            <c:ext xmlns:c16="http://schemas.microsoft.com/office/drawing/2014/chart" uri="{C3380CC4-5D6E-409C-BE32-E72D297353CC}">
              <c16:uniqueId val="{00000000-8447-42F5-9A86-3EE7C6BA68B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8.6020000000000003</c:v>
                </c:pt>
                <c:pt idx="1">
                  <c:v>8.3230000000000004</c:v>
                </c:pt>
                <c:pt idx="2">
                  <c:v>8.4830000000000005</c:v>
                </c:pt>
                <c:pt idx="3">
                  <c:v>8.6020000000000003</c:v>
                </c:pt>
                <c:pt idx="4">
                  <c:v>8.39</c:v>
                </c:pt>
                <c:pt idx="5">
                  <c:v>8.4120000000000008</c:v>
                </c:pt>
                <c:pt idx="6">
                  <c:v>8.4570000000000007</c:v>
                </c:pt>
                <c:pt idx="7">
                  <c:v>8.327</c:v>
                </c:pt>
                <c:pt idx="8">
                  <c:v>8.5969999999999995</c:v>
                </c:pt>
                <c:pt idx="9">
                  <c:v>8.6314999999999991</c:v>
                </c:pt>
                <c:pt idx="10">
                  <c:v>8.5869999999999997</c:v>
                </c:pt>
                <c:pt idx="11">
                  <c:v>8.5250000000000004</c:v>
                </c:pt>
                <c:pt idx="12">
                  <c:v>8.6050000000000004</c:v>
                </c:pt>
                <c:pt idx="13">
                  <c:v>8.5269999999999992</c:v>
                </c:pt>
                <c:pt idx="14">
                  <c:v>8.5020000000000007</c:v>
                </c:pt>
                <c:pt idx="15">
                  <c:v>8.3000000000000007</c:v>
                </c:pt>
                <c:pt idx="16">
                  <c:v>8.4809999999999999</c:v>
                </c:pt>
                <c:pt idx="17">
                  <c:v>8.3770000000000007</c:v>
                </c:pt>
                <c:pt idx="18">
                  <c:v>8.4770000000000003</c:v>
                </c:pt>
                <c:pt idx="19">
                  <c:v>8.4629999999999992</c:v>
                </c:pt>
                <c:pt idx="20">
                  <c:v>8.532</c:v>
                </c:pt>
              </c:numCache>
            </c:numRef>
          </c:val>
          <c:smooth val="0"/>
          <c:extLst>
            <c:ext xmlns:c16="http://schemas.microsoft.com/office/drawing/2014/chart" uri="{C3380CC4-5D6E-409C-BE32-E72D297353CC}">
              <c16:uniqueId val="{00000001-8447-42F5-9A86-3EE7C6BA68B4}"/>
            </c:ext>
          </c:extLst>
        </c:ser>
        <c:ser>
          <c:idx val="2"/>
          <c:order val="2"/>
          <c:tx>
            <c:v>POC/PN</c:v>
          </c:tx>
          <c:marker>
            <c:symbol val="none"/>
          </c:marker>
          <c:val>
            <c:numRef>
              <c:f>report!$AM$27:$AM$47</c:f>
              <c:numCache>
                <c:formatCode>0.00</c:formatCode>
                <c:ptCount val="21"/>
                <c:pt idx="0">
                  <c:v>7.680389753469961</c:v>
                </c:pt>
                <c:pt idx="1">
                  <c:v>7.6959365813766212</c:v>
                </c:pt>
                <c:pt idx="2">
                  <c:v>7.6921535702819588</c:v>
                </c:pt>
                <c:pt idx="3">
                  <c:v>7.547259362302003</c:v>
                </c:pt>
                <c:pt idx="4">
                  <c:v>7.7589982882679678</c:v>
                </c:pt>
                <c:pt idx="5">
                  <c:v>8.0222323807608849</c:v>
                </c:pt>
                <c:pt idx="6">
                  <c:v>8.3922597421956784</c:v>
                </c:pt>
                <c:pt idx="7">
                  <c:v>7.2081452533771291</c:v>
                </c:pt>
                <c:pt idx="8">
                  <c:v>8.2354852669310308</c:v>
                </c:pt>
                <c:pt idx="9">
                  <c:v>7.9688140860215979</c:v>
                </c:pt>
                <c:pt idx="10">
                  <c:v>7.8594297590330662</c:v>
                </c:pt>
                <c:pt idx="11">
                  <c:v>7.9437708458629182</c:v>
                </c:pt>
                <c:pt idx="12">
                  <c:v>8.241091068917779</c:v>
                </c:pt>
                <c:pt idx="13">
                  <c:v>9.0134658617056367</c:v>
                </c:pt>
                <c:pt idx="14">
                  <c:v>8.8209511013148276</c:v>
                </c:pt>
                <c:pt idx="15">
                  <c:v>8.9120191890981264</c:v>
                </c:pt>
                <c:pt idx="16">
                  <c:v>9.2317162622378159</c:v>
                </c:pt>
                <c:pt idx="17">
                  <c:v>8.2967882342968888</c:v>
                </c:pt>
                <c:pt idx="18">
                  <c:v>8.3814331823679176</c:v>
                </c:pt>
                <c:pt idx="19">
                  <c:v>8.387023566797069</c:v>
                </c:pt>
                <c:pt idx="20">
                  <c:v>7.1501179098552061</c:v>
                </c:pt>
              </c:numCache>
            </c:numRef>
          </c:val>
          <c:smooth val="0"/>
          <c:extLst>
            <c:ext xmlns:c16="http://schemas.microsoft.com/office/drawing/2014/chart" uri="{C3380CC4-5D6E-409C-BE32-E72D297353CC}">
              <c16:uniqueId val="{00000002-8447-42F5-9A86-3EE7C6BA68B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min val="6.5"/>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SAZ19 %PIC</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main!$AG$7:$AG$27</c:f>
              <c:numCache>
                <c:formatCode>0.000</c:formatCode>
                <c:ptCount val="21"/>
                <c:pt idx="0">
                  <c:v>8.9050356322374373</c:v>
                </c:pt>
                <c:pt idx="1">
                  <c:v>10.310864294374449</c:v>
                </c:pt>
                <c:pt idx="2">
                  <c:v>11.457279423930947</c:v>
                </c:pt>
                <c:pt idx="3">
                  <c:v>10.582232081934702</c:v>
                </c:pt>
                <c:pt idx="4">
                  <c:v>7.7029509258082651</c:v>
                </c:pt>
                <c:pt idx="5">
                  <c:v>8.3077766109842415</c:v>
                </c:pt>
                <c:pt idx="6">
                  <c:v>7.4411241739150773</c:v>
                </c:pt>
                <c:pt idx="7">
                  <c:v>5.7946364415373539</c:v>
                </c:pt>
                <c:pt idx="8">
                  <c:v>6.6572359074893637</c:v>
                </c:pt>
                <c:pt idx="9">
                  <c:v>6.5223414420394858</c:v>
                </c:pt>
                <c:pt idx="10">
                  <c:v>7.1162170253856543</c:v>
                </c:pt>
                <c:pt idx="11">
                  <c:v>7.955929050967856</c:v>
                </c:pt>
                <c:pt idx="12">
                  <c:v>8.6790230076555197</c:v>
                </c:pt>
                <c:pt idx="13">
                  <c:v>8.3804071469632895</c:v>
                </c:pt>
                <c:pt idx="14">
                  <c:v>7.4710718074049929</c:v>
                </c:pt>
                <c:pt idx="15">
                  <c:v>6.882092108221296</c:v>
                </c:pt>
                <c:pt idx="16">
                  <c:v>5.3694063856671441</c:v>
                </c:pt>
                <c:pt idx="17">
                  <c:v>4.4837651316416238</c:v>
                </c:pt>
                <c:pt idx="18">
                  <c:v>6.2882301130474261</c:v>
                </c:pt>
                <c:pt idx="19">
                  <c:v>8.0221672964278135</c:v>
                </c:pt>
                <c:pt idx="20">
                  <c:v>11.127958609548092</c:v>
                </c:pt>
              </c:numCache>
            </c:numRef>
          </c:yVal>
          <c:smooth val="0"/>
          <c:extLst>
            <c:ext xmlns:c16="http://schemas.microsoft.com/office/drawing/2014/chart" uri="{C3380CC4-5D6E-409C-BE32-E72D297353CC}">
              <c16:uniqueId val="{00000000-DD2F-4059-BD53-5B3FC09D19E1}"/>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main!$AG$31:$AG$51</c:f>
              <c:numCache>
                <c:formatCode>0.000</c:formatCode>
                <c:ptCount val="21"/>
                <c:pt idx="0">
                  <c:v>8.6415762131847824</c:v>
                </c:pt>
                <c:pt idx="1">
                  <c:v>9.1279426329159463</c:v>
                </c:pt>
                <c:pt idx="2">
                  <c:v>8.7515172501854508</c:v>
                </c:pt>
                <c:pt idx="3">
                  <c:v>9.1041330493765482</c:v>
                </c:pt>
                <c:pt idx="4">
                  <c:v>8.5948550362220075</c:v>
                </c:pt>
                <c:pt idx="5">
                  <c:v>7.6727530766723957</c:v>
                </c:pt>
                <c:pt idx="6">
                  <c:v>7.6257647241547382</c:v>
                </c:pt>
                <c:pt idx="7">
                  <c:v>7.5445112984920852</c:v>
                </c:pt>
                <c:pt idx="8">
                  <c:v>7.163922431299123</c:v>
                </c:pt>
                <c:pt idx="9">
                  <c:v>7.5614667613819222</c:v>
                </c:pt>
                <c:pt idx="10">
                  <c:v>7.7350410587598644</c:v>
                </c:pt>
                <c:pt idx="11">
                  <c:v>7.2804066789654787</c:v>
                </c:pt>
                <c:pt idx="12">
                  <c:v>8.1500093246374341</c:v>
                </c:pt>
                <c:pt idx="13">
                  <c:v>8.084893019026282</c:v>
                </c:pt>
                <c:pt idx="14">
                  <c:v>8.0395223236979501</c:v>
                </c:pt>
                <c:pt idx="15">
                  <c:v>6.8856453108457618</c:v>
                </c:pt>
                <c:pt idx="16">
                  <c:v>6.424267307005838</c:v>
                </c:pt>
                <c:pt idx="17">
                  <c:v>5.5052080696231345</c:v>
                </c:pt>
                <c:pt idx="18">
                  <c:v>6.4204912121458646</c:v>
                </c:pt>
                <c:pt idx="19">
                  <c:v>7.7809192884785556</c:v>
                </c:pt>
                <c:pt idx="20">
                  <c:v>8.2308779075287628</c:v>
                </c:pt>
              </c:numCache>
            </c:numRef>
          </c:yVal>
          <c:smooth val="0"/>
          <c:extLst>
            <c:ext xmlns:c16="http://schemas.microsoft.com/office/drawing/2014/chart" uri="{C3380CC4-5D6E-409C-BE32-E72D297353CC}">
              <c16:uniqueId val="{00000001-DD2F-4059-BD53-5B3FC09D19E1}"/>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main!$AG$55:$AG$75</c:f>
              <c:numCache>
                <c:formatCode>0.000</c:formatCode>
                <c:ptCount val="21"/>
                <c:pt idx="0">
                  <c:v>8.0142701797122804</c:v>
                </c:pt>
                <c:pt idx="1">
                  <c:v>9.2631464688215601</c:v>
                </c:pt>
                <c:pt idx="2">
                  <c:v>9.3566432721440513</c:v>
                </c:pt>
                <c:pt idx="3">
                  <c:v>9.3838740758689703</c:v>
                </c:pt>
                <c:pt idx="4">
                  <c:v>9.1917241910310672</c:v>
                </c:pt>
                <c:pt idx="5">
                  <c:v>8.4523533188736995</c:v>
                </c:pt>
                <c:pt idx="6">
                  <c:v>8.1095616890557807</c:v>
                </c:pt>
                <c:pt idx="7">
                  <c:v>8.1643793469358847</c:v>
                </c:pt>
                <c:pt idx="8">
                  <c:v>7.9314314923071807</c:v>
                </c:pt>
                <c:pt idx="9">
                  <c:v>7.9485643696127362</c:v>
                </c:pt>
                <c:pt idx="10">
                  <c:v>8.1285246699960982</c:v>
                </c:pt>
                <c:pt idx="11">
                  <c:v>8.0642564312898877</c:v>
                </c:pt>
                <c:pt idx="12">
                  <c:v>8.4504222202018564</c:v>
                </c:pt>
                <c:pt idx="13">
                  <c:v>8.6556921665055953</c:v>
                </c:pt>
                <c:pt idx="14">
                  <c:v>8.5083259215743716</c:v>
                </c:pt>
                <c:pt idx="15">
                  <c:v>7.523883216838307</c:v>
                </c:pt>
                <c:pt idx="16">
                  <c:v>6.870647012453265</c:v>
                </c:pt>
                <c:pt idx="17">
                  <c:v>6.3109365016217263</c:v>
                </c:pt>
                <c:pt idx="18">
                  <c:v>6.9498397999982267</c:v>
                </c:pt>
                <c:pt idx="19">
                  <c:v>7.6376926788264985</c:v>
                </c:pt>
                <c:pt idx="20">
                  <c:v>8.3074017964326909</c:v>
                </c:pt>
              </c:numCache>
            </c:numRef>
          </c:yVal>
          <c:smooth val="0"/>
          <c:extLst>
            <c:ext xmlns:c16="http://schemas.microsoft.com/office/drawing/2014/chart" uri="{C3380CC4-5D6E-409C-BE32-E72D297353CC}">
              <c16:uniqueId val="{00000002-DD2F-4059-BD53-5B3FC09D19E1}"/>
            </c:ext>
          </c:extLst>
        </c:ser>
        <c:dLbls>
          <c:showLegendKey val="0"/>
          <c:showVal val="0"/>
          <c:showCatName val="0"/>
          <c:showSerName val="0"/>
          <c:showPercent val="0"/>
          <c:showBubbleSize val="0"/>
        </c:dLbls>
        <c:axId val="-2091142344"/>
        <c:axId val="-2091133512"/>
      </c:scatterChart>
      <c:valAx>
        <c:axId val="-2091142344"/>
        <c:scaling>
          <c:orientation val="minMax"/>
          <c:min val="42810"/>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a:t>
                </a:r>
              </a:p>
            </c:rich>
          </c:tx>
          <c:overlay val="0"/>
          <c:spPr>
            <a:noFill/>
            <a:ln w="25400">
              <a:noFill/>
            </a:ln>
          </c:spPr>
        </c:title>
        <c:numFmt formatCode="0.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89445049591924741"/>
          <c:y val="0.54778677140881904"/>
          <c:w val="9.1109485553656708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main!$AM$31:$AM$51</c:f>
              <c:numCache>
                <c:formatCode>0.00</c:formatCode>
                <c:ptCount val="21"/>
                <c:pt idx="0">
                  <c:v>7.680389753469961</c:v>
                </c:pt>
                <c:pt idx="1">
                  <c:v>7.6959365813766212</c:v>
                </c:pt>
                <c:pt idx="2">
                  <c:v>7.692153570281957</c:v>
                </c:pt>
                <c:pt idx="3">
                  <c:v>7.5472593623020039</c:v>
                </c:pt>
                <c:pt idx="4">
                  <c:v>7.7589982882679678</c:v>
                </c:pt>
                <c:pt idx="5">
                  <c:v>8.0222323807608849</c:v>
                </c:pt>
                <c:pt idx="6">
                  <c:v>8.3922597421956766</c:v>
                </c:pt>
                <c:pt idx="7">
                  <c:v>7.2081452533771282</c:v>
                </c:pt>
                <c:pt idx="8">
                  <c:v>8.2354852669310326</c:v>
                </c:pt>
                <c:pt idx="9">
                  <c:v>7.9688140860215979</c:v>
                </c:pt>
                <c:pt idx="10">
                  <c:v>7.8594297590330662</c:v>
                </c:pt>
                <c:pt idx="11">
                  <c:v>7.9437708458629182</c:v>
                </c:pt>
                <c:pt idx="12">
                  <c:v>8.2410910689177808</c:v>
                </c:pt>
                <c:pt idx="13">
                  <c:v>9.0134658617056385</c:v>
                </c:pt>
                <c:pt idx="14">
                  <c:v>8.8209511013148294</c:v>
                </c:pt>
                <c:pt idx="15">
                  <c:v>8.9120191890981246</c:v>
                </c:pt>
                <c:pt idx="16">
                  <c:v>9.2317162622378177</c:v>
                </c:pt>
                <c:pt idx="17">
                  <c:v>8.2967882342968888</c:v>
                </c:pt>
                <c:pt idx="18">
                  <c:v>8.3814331823679158</c:v>
                </c:pt>
                <c:pt idx="19">
                  <c:v>8.387023566797069</c:v>
                </c:pt>
                <c:pt idx="20">
                  <c:v>7.150117909855207</c:v>
                </c:pt>
              </c:numCache>
            </c:numRef>
          </c:xVal>
          <c:yVal>
            <c:numRef>
              <c:f>main!$S$31:$S$51</c:f>
              <c:numCache>
                <c:formatCode>0.00</c:formatCode>
                <c:ptCount val="21"/>
                <c:pt idx="0">
                  <c:v>8.6020000000000003</c:v>
                </c:pt>
                <c:pt idx="1">
                  <c:v>8.3230000000000004</c:v>
                </c:pt>
                <c:pt idx="2">
                  <c:v>8.4830000000000005</c:v>
                </c:pt>
                <c:pt idx="3">
                  <c:v>8.6020000000000003</c:v>
                </c:pt>
                <c:pt idx="4">
                  <c:v>8.39</c:v>
                </c:pt>
                <c:pt idx="5">
                  <c:v>8.4120000000000008</c:v>
                </c:pt>
                <c:pt idx="6">
                  <c:v>8.4570000000000007</c:v>
                </c:pt>
                <c:pt idx="7">
                  <c:v>8.327</c:v>
                </c:pt>
                <c:pt idx="8">
                  <c:v>8.5969999999999995</c:v>
                </c:pt>
                <c:pt idx="9">
                  <c:v>8.6314999999999991</c:v>
                </c:pt>
                <c:pt idx="10">
                  <c:v>8.5869999999999997</c:v>
                </c:pt>
                <c:pt idx="11">
                  <c:v>8.5250000000000004</c:v>
                </c:pt>
                <c:pt idx="12">
                  <c:v>8.6050000000000004</c:v>
                </c:pt>
                <c:pt idx="13">
                  <c:v>8.5269999999999992</c:v>
                </c:pt>
                <c:pt idx="14">
                  <c:v>8.5020000000000007</c:v>
                </c:pt>
                <c:pt idx="15">
                  <c:v>8.3000000000000007</c:v>
                </c:pt>
                <c:pt idx="16">
                  <c:v>8.4809999999999999</c:v>
                </c:pt>
                <c:pt idx="17">
                  <c:v>8.3770000000000007</c:v>
                </c:pt>
                <c:pt idx="18">
                  <c:v>8.4770000000000003</c:v>
                </c:pt>
                <c:pt idx="19">
                  <c:v>8.4629999999999992</c:v>
                </c:pt>
                <c:pt idx="20">
                  <c:v>8.532</c:v>
                </c:pt>
              </c:numCache>
            </c:numRef>
          </c:yVal>
          <c:smooth val="0"/>
          <c:extLst>
            <c:ext xmlns:c16="http://schemas.microsoft.com/office/drawing/2014/chart" uri="{C3380CC4-5D6E-409C-BE32-E72D297353CC}">
              <c16:uniqueId val="{00000001-E077-4F6E-85B0-7A8FD5D0D349}"/>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main!$AM$55:$AM$75</c:f>
              <c:numCache>
                <c:formatCode>0.00</c:formatCode>
                <c:ptCount val="21"/>
                <c:pt idx="0">
                  <c:v>8.621466989788674</c:v>
                </c:pt>
                <c:pt idx="1">
                  <c:v>7.9934392237095633</c:v>
                </c:pt>
                <c:pt idx="2">
                  <c:v>8.0494133343838552</c:v>
                </c:pt>
                <c:pt idx="3">
                  <c:v>7.6959084063042997</c:v>
                </c:pt>
                <c:pt idx="4">
                  <c:v>8.2180733528139012</c:v>
                </c:pt>
                <c:pt idx="5">
                  <c:v>8.0995530412485266</c:v>
                </c:pt>
                <c:pt idx="6">
                  <c:v>8.2131799383265296</c:v>
                </c:pt>
                <c:pt idx="7">
                  <c:v>8.1852065933117792</c:v>
                </c:pt>
                <c:pt idx="8">
                  <c:v>8.2082962677661513</c:v>
                </c:pt>
                <c:pt idx="9">
                  <c:v>8.0643813873334622</c:v>
                </c:pt>
                <c:pt idx="10">
                  <c:v>8.1490344686507221</c:v>
                </c:pt>
                <c:pt idx="11">
                  <c:v>8.2342649896238314</c:v>
                </c:pt>
                <c:pt idx="12">
                  <c:v>8.3454919536215399</c:v>
                </c:pt>
                <c:pt idx="13">
                  <c:v>8.9772614479312001</c:v>
                </c:pt>
                <c:pt idx="14">
                  <c:v>9.1475709981309148</c:v>
                </c:pt>
                <c:pt idx="15">
                  <c:v>9.0683731293809924</c:v>
                </c:pt>
                <c:pt idx="16">
                  <c:v>9.0442687908648374</c:v>
                </c:pt>
                <c:pt idx="17">
                  <c:v>8.6770339131314085</c:v>
                </c:pt>
                <c:pt idx="18">
                  <c:v>8.4673081976796727</c:v>
                </c:pt>
                <c:pt idx="19">
                  <c:v>8.2643050722218163</c:v>
                </c:pt>
                <c:pt idx="20">
                  <c:v>8.3012327291660242</c:v>
                </c:pt>
              </c:numCache>
            </c:numRef>
          </c:xVal>
          <c:yVal>
            <c:numRef>
              <c:f>main!$S$55:$S$75</c:f>
              <c:numCache>
                <c:formatCode>0.00</c:formatCode>
                <c:ptCount val="21"/>
                <c:pt idx="0">
                  <c:v>8.5489999999999995</c:v>
                </c:pt>
                <c:pt idx="1">
                  <c:v>8.6180000000000003</c:v>
                </c:pt>
                <c:pt idx="2">
                  <c:v>8.6289999999999996</c:v>
                </c:pt>
                <c:pt idx="3">
                  <c:v>8.625</c:v>
                </c:pt>
                <c:pt idx="4">
                  <c:v>8.625</c:v>
                </c:pt>
                <c:pt idx="5">
                  <c:v>8.5850000000000009</c:v>
                </c:pt>
                <c:pt idx="6">
                  <c:v>8.6180000000000003</c:v>
                </c:pt>
                <c:pt idx="7">
                  <c:v>8.5909999999999993</c:v>
                </c:pt>
                <c:pt idx="8">
                  <c:v>8.5909999999999993</c:v>
                </c:pt>
                <c:pt idx="9">
                  <c:v>8.5609999999999999</c:v>
                </c:pt>
                <c:pt idx="10">
                  <c:v>8.6029999999999998</c:v>
                </c:pt>
                <c:pt idx="11">
                  <c:v>8.5749999999999993</c:v>
                </c:pt>
                <c:pt idx="12">
                  <c:v>8.6270000000000007</c:v>
                </c:pt>
                <c:pt idx="13">
                  <c:v>8.5869999999999997</c:v>
                </c:pt>
                <c:pt idx="14">
                  <c:v>8.4830000000000005</c:v>
                </c:pt>
                <c:pt idx="15">
                  <c:v>8.4580000000000002</c:v>
                </c:pt>
                <c:pt idx="16">
                  <c:v>8.3999999999999986</c:v>
                </c:pt>
                <c:pt idx="17">
                  <c:v>8.5060000000000002</c:v>
                </c:pt>
                <c:pt idx="18">
                  <c:v>8.4870000000000001</c:v>
                </c:pt>
                <c:pt idx="19">
                  <c:v>8.3670000000000009</c:v>
                </c:pt>
                <c:pt idx="20">
                  <c:v>8.5549999999999997</c:v>
                </c:pt>
              </c:numCache>
            </c:numRef>
          </c:yVal>
          <c:smooth val="0"/>
          <c:extLst>
            <c:ext xmlns:c16="http://schemas.microsoft.com/office/drawing/2014/chart" uri="{C3380CC4-5D6E-409C-BE32-E72D297353CC}">
              <c16:uniqueId val="{00000001-CF71-470B-9451-86A1D38C9D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main!$AM$31:$AM$51</c:f>
              <c:numCache>
                <c:formatCode>0.00</c:formatCode>
                <c:ptCount val="21"/>
                <c:pt idx="0">
                  <c:v>7.680389753469961</c:v>
                </c:pt>
                <c:pt idx="1">
                  <c:v>7.6959365813766212</c:v>
                </c:pt>
                <c:pt idx="2">
                  <c:v>7.692153570281957</c:v>
                </c:pt>
                <c:pt idx="3">
                  <c:v>7.5472593623020039</c:v>
                </c:pt>
                <c:pt idx="4">
                  <c:v>7.7589982882679678</c:v>
                </c:pt>
                <c:pt idx="5">
                  <c:v>8.0222323807608849</c:v>
                </c:pt>
                <c:pt idx="6">
                  <c:v>8.3922597421956766</c:v>
                </c:pt>
                <c:pt idx="7">
                  <c:v>7.2081452533771282</c:v>
                </c:pt>
                <c:pt idx="8">
                  <c:v>8.2354852669310326</c:v>
                </c:pt>
                <c:pt idx="9">
                  <c:v>7.9688140860215979</c:v>
                </c:pt>
                <c:pt idx="10">
                  <c:v>7.8594297590330662</c:v>
                </c:pt>
                <c:pt idx="11">
                  <c:v>7.9437708458629182</c:v>
                </c:pt>
                <c:pt idx="12">
                  <c:v>8.2410910689177808</c:v>
                </c:pt>
                <c:pt idx="13">
                  <c:v>9.0134658617056385</c:v>
                </c:pt>
                <c:pt idx="14">
                  <c:v>8.8209511013148294</c:v>
                </c:pt>
                <c:pt idx="15">
                  <c:v>8.9120191890981246</c:v>
                </c:pt>
                <c:pt idx="16">
                  <c:v>9.2317162622378177</c:v>
                </c:pt>
                <c:pt idx="17">
                  <c:v>8.2967882342968888</c:v>
                </c:pt>
                <c:pt idx="18">
                  <c:v>8.3814331823679158</c:v>
                </c:pt>
                <c:pt idx="19">
                  <c:v>8.387023566797069</c:v>
                </c:pt>
                <c:pt idx="20">
                  <c:v>7.150117909855207</c:v>
                </c:pt>
              </c:numCache>
            </c:numRef>
          </c:xVal>
          <c:y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yVal>
          <c:smooth val="0"/>
          <c:extLst>
            <c:ext xmlns:c16="http://schemas.microsoft.com/office/drawing/2014/chart" uri="{C3380CC4-5D6E-409C-BE32-E72D297353CC}">
              <c16:uniqueId val="{00000001-76CF-4E0E-9A5F-986B400DC0D9}"/>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main!$AM$55:$AM$75</c:f>
              <c:numCache>
                <c:formatCode>0.00</c:formatCode>
                <c:ptCount val="21"/>
                <c:pt idx="0">
                  <c:v>8.621466989788674</c:v>
                </c:pt>
                <c:pt idx="1">
                  <c:v>7.9934392237095633</c:v>
                </c:pt>
                <c:pt idx="2">
                  <c:v>8.0494133343838552</c:v>
                </c:pt>
                <c:pt idx="3">
                  <c:v>7.6959084063042997</c:v>
                </c:pt>
                <c:pt idx="4">
                  <c:v>8.2180733528139012</c:v>
                </c:pt>
                <c:pt idx="5">
                  <c:v>8.0995530412485266</c:v>
                </c:pt>
                <c:pt idx="6">
                  <c:v>8.2131799383265296</c:v>
                </c:pt>
                <c:pt idx="7">
                  <c:v>8.1852065933117792</c:v>
                </c:pt>
                <c:pt idx="8">
                  <c:v>8.2082962677661513</c:v>
                </c:pt>
                <c:pt idx="9">
                  <c:v>8.0643813873334622</c:v>
                </c:pt>
                <c:pt idx="10">
                  <c:v>8.1490344686507221</c:v>
                </c:pt>
                <c:pt idx="11">
                  <c:v>8.2342649896238314</c:v>
                </c:pt>
                <c:pt idx="12">
                  <c:v>8.3454919536215399</c:v>
                </c:pt>
                <c:pt idx="13">
                  <c:v>8.9772614479312001</c:v>
                </c:pt>
                <c:pt idx="14">
                  <c:v>9.1475709981309148</c:v>
                </c:pt>
                <c:pt idx="15">
                  <c:v>9.0683731293809924</c:v>
                </c:pt>
                <c:pt idx="16">
                  <c:v>9.0442687908648374</c:v>
                </c:pt>
                <c:pt idx="17">
                  <c:v>8.6770339131314085</c:v>
                </c:pt>
                <c:pt idx="18">
                  <c:v>8.4673081976796727</c:v>
                </c:pt>
                <c:pt idx="19">
                  <c:v>8.2643050722218163</c:v>
                </c:pt>
                <c:pt idx="20">
                  <c:v>8.3012327291660242</c:v>
                </c:pt>
              </c:numCache>
            </c:numRef>
          </c:xVal>
          <c:y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yVal>
          <c:smooth val="0"/>
          <c:extLst>
            <c:ext xmlns:c16="http://schemas.microsoft.com/office/drawing/2014/chart" uri="{C3380CC4-5D6E-409C-BE32-E72D297353CC}">
              <c16:uniqueId val="{00000001-C08D-4AC8-9ADA-4E4961D002B9}"/>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xVal>
          <c:y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yVal>
          <c:smooth val="0"/>
          <c:extLst>
            <c:ext xmlns:c16="http://schemas.microsoft.com/office/drawing/2014/chart" uri="{C3380CC4-5D6E-409C-BE32-E72D297353CC}">
              <c16:uniqueId val="{00000000-14F5-4BBD-847E-51B9E6F73858}"/>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xVal>
          <c:y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yVal>
          <c:smooth val="0"/>
          <c:extLst>
            <c:ext xmlns:c16="http://schemas.microsoft.com/office/drawing/2014/chart" uri="{C3380CC4-5D6E-409C-BE32-E72D297353CC}">
              <c16:uniqueId val="{00000000-EB02-42C4-BE51-FF3750843607}"/>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main!$AL$7:$AL$27</c:f>
              <c:numCache>
                <c:formatCode>General</c:formatCode>
                <c:ptCount val="21"/>
                <c:pt idx="0">
                  <c:v>0.74552035550458728</c:v>
                </c:pt>
                <c:pt idx="1">
                  <c:v>0.46490449325582039</c:v>
                </c:pt>
                <c:pt idx="2">
                  <c:v>0.15928534867282521</c:v>
                </c:pt>
                <c:pt idx="3">
                  <c:v>0.45686244508076684</c:v>
                </c:pt>
                <c:pt idx="4">
                  <c:v>1.5526171252814853</c:v>
                </c:pt>
                <c:pt idx="5">
                  <c:v>0.25775046396300461</c:v>
                </c:pt>
                <c:pt idx="6">
                  <c:v>0.13224864413850645</c:v>
                </c:pt>
                <c:pt idx="7">
                  <c:v>0.16332621030137795</c:v>
                </c:pt>
                <c:pt idx="8">
                  <c:v>0.33967803493663445</c:v>
                </c:pt>
                <c:pt idx="9">
                  <c:v>1.0762741652021088</c:v>
                </c:pt>
                <c:pt idx="10">
                  <c:v>0.79837544082788925</c:v>
                </c:pt>
                <c:pt idx="11">
                  <c:v>0.31214573048089228</c:v>
                </c:pt>
                <c:pt idx="12">
                  <c:v>0.21915027963196829</c:v>
                </c:pt>
                <c:pt idx="13">
                  <c:v>1.0285760910953565</c:v>
                </c:pt>
                <c:pt idx="14">
                  <c:v>1.0532458477789555</c:v>
                </c:pt>
                <c:pt idx="15">
                  <c:v>0.4875968992248062</c:v>
                </c:pt>
                <c:pt idx="16">
                  <c:v>0.62710483432916886</c:v>
                </c:pt>
                <c:pt idx="17">
                  <c:v>0.88435658710903431</c:v>
                </c:pt>
                <c:pt idx="18">
                  <c:v>0.67590672325648682</c:v>
                </c:pt>
                <c:pt idx="19">
                  <c:v>0.70313043254310625</c:v>
                </c:pt>
                <c:pt idx="20">
                  <c:v>0.23616142893251321</c:v>
                </c:pt>
              </c:numCache>
            </c:numRef>
          </c:yVal>
          <c:smooth val="0"/>
          <c:extLst>
            <c:ext xmlns:c16="http://schemas.microsoft.com/office/drawing/2014/chart" uri="{C3380CC4-5D6E-409C-BE32-E72D297353CC}">
              <c16:uniqueId val="{00000000-26BF-445D-BDEC-9A2C65ADE479}"/>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main!$AL$55:$AL$75</c:f>
              <c:numCache>
                <c:formatCode>General</c:formatCode>
                <c:ptCount val="21"/>
                <c:pt idx="0">
                  <c:v>0.78614617186909541</c:v>
                </c:pt>
                <c:pt idx="1">
                  <c:v>0.53168702715095117</c:v>
                </c:pt>
                <c:pt idx="2">
                  <c:v>0.18542163205084555</c:v>
                </c:pt>
                <c:pt idx="3">
                  <c:v>0.56797739068996433</c:v>
                </c:pt>
                <c:pt idx="4">
                  <c:v>1.4992177348784175</c:v>
                </c:pt>
                <c:pt idx="5">
                  <c:v>0.28678785416878233</c:v>
                </c:pt>
                <c:pt idx="6">
                  <c:v>0.11875253644678926</c:v>
                </c:pt>
                <c:pt idx="7">
                  <c:v>0.1452728166475504</c:v>
                </c:pt>
                <c:pt idx="8">
                  <c:v>0.23858129704093198</c:v>
                </c:pt>
                <c:pt idx="9">
                  <c:v>0.75875252221317568</c:v>
                </c:pt>
                <c:pt idx="10">
                  <c:v>1.0629642458530577</c:v>
                </c:pt>
                <c:pt idx="11">
                  <c:v>0.31109339407744874</c:v>
                </c:pt>
                <c:pt idx="12">
                  <c:v>0.1579238169526781</c:v>
                </c:pt>
                <c:pt idx="13">
                  <c:v>1.2843461329469301</c:v>
                </c:pt>
                <c:pt idx="14">
                  <c:v>1.5154738346525942</c:v>
                </c:pt>
                <c:pt idx="15">
                  <c:v>0.62840124032761235</c:v>
                </c:pt>
                <c:pt idx="16">
                  <c:v>0.53515348869549095</c:v>
                </c:pt>
                <c:pt idx="17">
                  <c:v>1.1052442904300288</c:v>
                </c:pt>
                <c:pt idx="18">
                  <c:v>0.70618543713781801</c:v>
                </c:pt>
                <c:pt idx="19">
                  <c:v>0.38585965656137383</c:v>
                </c:pt>
                <c:pt idx="20">
                  <c:v>6.760733236854799E-2</c:v>
                </c:pt>
              </c:numCache>
            </c:numRef>
          </c:yVal>
          <c:smooth val="0"/>
          <c:extLst>
            <c:ext xmlns:c16="http://schemas.microsoft.com/office/drawing/2014/chart" uri="{C3380CC4-5D6E-409C-BE32-E72D297353CC}">
              <c16:uniqueId val="{00000001-26BF-445D-BDEC-9A2C65ADE479}"/>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main!$AL$31:$AL$51</c:f>
              <c:numCache>
                <c:formatCode>General</c:formatCode>
                <c:ptCount val="21"/>
                <c:pt idx="0">
                  <c:v>1.0544932355831003</c:v>
                </c:pt>
                <c:pt idx="1">
                  <c:v>1.1436478564176467</c:v>
                </c:pt>
                <c:pt idx="2">
                  <c:v>1.1640846668936558</c:v>
                </c:pt>
                <c:pt idx="3">
                  <c:v>1.2432131307915975</c:v>
                </c:pt>
                <c:pt idx="4">
                  <c:v>0.96560685211211572</c:v>
                </c:pt>
                <c:pt idx="5">
                  <c:v>1.1126569852070005</c:v>
                </c:pt>
                <c:pt idx="6">
                  <c:v>0.89794899010395546</c:v>
                </c:pt>
                <c:pt idx="7">
                  <c:v>0.88946419793544163</c:v>
                </c:pt>
                <c:pt idx="8">
                  <c:v>0.70237481527305212</c:v>
                </c:pt>
                <c:pt idx="9">
                  <c:v>0.70498070728167372</c:v>
                </c:pt>
                <c:pt idx="10">
                  <c:v>1.331408998191125</c:v>
                </c:pt>
                <c:pt idx="11">
                  <c:v>0.9966287015945331</c:v>
                </c:pt>
                <c:pt idx="12">
                  <c:v>0.72061882475298999</c:v>
                </c:pt>
                <c:pt idx="13">
                  <c:v>1.2486641912696974</c:v>
                </c:pt>
                <c:pt idx="14">
                  <c:v>1.4388604881266489</c:v>
                </c:pt>
                <c:pt idx="15">
                  <c:v>1.288772019113863</c:v>
                </c:pt>
                <c:pt idx="16">
                  <c:v>0.85337165239358936</c:v>
                </c:pt>
                <c:pt idx="17">
                  <c:v>1.2497722146708687</c:v>
                </c:pt>
                <c:pt idx="18">
                  <c:v>1.0447971781305114</c:v>
                </c:pt>
                <c:pt idx="19">
                  <c:v>0.54877393823758047</c:v>
                </c:pt>
                <c:pt idx="20">
                  <c:v>0.28627592860588519</c:v>
                </c:pt>
              </c:numCache>
            </c:numRef>
          </c:yVal>
          <c:smooth val="0"/>
          <c:extLst>
            <c:ext xmlns:c16="http://schemas.microsoft.com/office/drawing/2014/chart" uri="{C3380CC4-5D6E-409C-BE32-E72D297353CC}">
              <c16:uniqueId val="{00000002-26BF-445D-BDEC-9A2C65ADE479}"/>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SAZ19 %BSi</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main!$AB$7:$AB$27</c:f>
              <c:numCache>
                <c:formatCode>General</c:formatCode>
                <c:ptCount val="21"/>
                <c:pt idx="0">
                  <c:v>2.2842570593463698</c:v>
                </c:pt>
                <c:pt idx="1">
                  <c:v>0.76764349168346779</c:v>
                </c:pt>
                <c:pt idx="2">
                  <c:v>3.8679984747055335E-2</c:v>
                </c:pt>
                <c:pt idx="3">
                  <c:v>0.62082131685558728</c:v>
                </c:pt>
                <c:pt idx="4">
                  <c:v>2.3912014674131816</c:v>
                </c:pt>
                <c:pt idx="5">
                  <c:v>0.81708911668973772</c:v>
                </c:pt>
                <c:pt idx="6">
                  <c:v>1.9298833372846529</c:v>
                </c:pt>
                <c:pt idx="7">
                  <c:v>3.6291239457582267</c:v>
                </c:pt>
                <c:pt idx="8">
                  <c:v>3.0388913694067679</c:v>
                </c:pt>
                <c:pt idx="9">
                  <c:v>4.138064539779629</c:v>
                </c:pt>
                <c:pt idx="10">
                  <c:v>4.293440630995522</c:v>
                </c:pt>
                <c:pt idx="11">
                  <c:v>2.3758487203459158</c:v>
                </c:pt>
                <c:pt idx="12">
                  <c:v>1.7896689845514175</c:v>
                </c:pt>
                <c:pt idx="13">
                  <c:v>2.9930692385176418</c:v>
                </c:pt>
                <c:pt idx="14">
                  <c:v>6.5274207101611639</c:v>
                </c:pt>
                <c:pt idx="15">
                  <c:v>5.2270639849856826</c:v>
                </c:pt>
                <c:pt idx="16">
                  <c:v>6.8060056071233568</c:v>
                </c:pt>
                <c:pt idx="17">
                  <c:v>11.258408389089038</c:v>
                </c:pt>
                <c:pt idx="18">
                  <c:v>7.5112445358482773</c:v>
                </c:pt>
                <c:pt idx="19">
                  <c:v>4.1686073059360726</c:v>
                </c:pt>
                <c:pt idx="20">
                  <c:v>0.26140963619374863</c:v>
                </c:pt>
              </c:numCache>
            </c:numRef>
          </c:yVal>
          <c:smooth val="0"/>
          <c:extLst>
            <c:ext xmlns:c16="http://schemas.microsoft.com/office/drawing/2014/chart" uri="{C3380CC4-5D6E-409C-BE32-E72D297353CC}">
              <c16:uniqueId val="{00000000-EAEA-40F0-A808-467C9911302B}"/>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main!$AB$31:$AB$51</c:f>
              <c:numCache>
                <c:formatCode>General</c:formatCode>
                <c:ptCount val="21"/>
                <c:pt idx="0">
                  <c:v>4.221480724113488</c:v>
                </c:pt>
                <c:pt idx="1">
                  <c:v>2.8950758174064131</c:v>
                </c:pt>
                <c:pt idx="2">
                  <c:v>2.5072536638603062</c:v>
                </c:pt>
                <c:pt idx="3">
                  <c:v>2.348933102652826</c:v>
                </c:pt>
                <c:pt idx="4">
                  <c:v>2.6647388293538889</c:v>
                </c:pt>
                <c:pt idx="5">
                  <c:v>2.8684726765884898</c:v>
                </c:pt>
                <c:pt idx="6">
                  <c:v>2.7818522145956095</c:v>
                </c:pt>
                <c:pt idx="7">
                  <c:v>3.2392058782340789</c:v>
                </c:pt>
                <c:pt idx="8">
                  <c:v>3.641785765010829</c:v>
                </c:pt>
                <c:pt idx="9">
                  <c:v>4.1767193629231443</c:v>
                </c:pt>
                <c:pt idx="10">
                  <c:v>4.494024256957359</c:v>
                </c:pt>
                <c:pt idx="11">
                  <c:v>4.3997716546808778</c:v>
                </c:pt>
                <c:pt idx="12">
                  <c:v>3.7155409090909086</c:v>
                </c:pt>
                <c:pt idx="13">
                  <c:v>3.3873235294117641</c:v>
                </c:pt>
                <c:pt idx="14">
                  <c:v>5.9608663733517453</c:v>
                </c:pt>
                <c:pt idx="15">
                  <c:v>7.8207506124090509</c:v>
                </c:pt>
                <c:pt idx="16">
                  <c:v>8.0342161016949145</c:v>
                </c:pt>
                <c:pt idx="17">
                  <c:v>10.318784755568069</c:v>
                </c:pt>
                <c:pt idx="18">
                  <c:v>9.1074559442643732</c:v>
                </c:pt>
                <c:pt idx="19">
                  <c:v>5.3202747951662994</c:v>
                </c:pt>
                <c:pt idx="20">
                  <c:v>3.6869498918197303</c:v>
                </c:pt>
              </c:numCache>
            </c:numRef>
          </c:yVal>
          <c:smooth val="0"/>
          <c:extLst>
            <c:ext xmlns:c16="http://schemas.microsoft.com/office/drawing/2014/chart" uri="{C3380CC4-5D6E-409C-BE32-E72D297353CC}">
              <c16:uniqueId val="{00000001-EAEA-40F0-A808-467C9911302B}"/>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main!$AB$55:$AB$75</c:f>
              <c:numCache>
                <c:formatCode>General</c:formatCode>
                <c:ptCount val="21"/>
                <c:pt idx="0">
                  <c:v>4.6444293848860845</c:v>
                </c:pt>
                <c:pt idx="1">
                  <c:v>3.0722960237775929</c:v>
                </c:pt>
                <c:pt idx="2">
                  <c:v>2.594775722021661</c:v>
                </c:pt>
                <c:pt idx="3">
                  <c:v>2.5566374412391353</c:v>
                </c:pt>
                <c:pt idx="4">
                  <c:v>2.6383422983904601</c:v>
                </c:pt>
                <c:pt idx="5">
                  <c:v>2.9727659840941825</c:v>
                </c:pt>
                <c:pt idx="6">
                  <c:v>3.16176786473841</c:v>
                </c:pt>
                <c:pt idx="7">
                  <c:v>3.4741219788519642</c:v>
                </c:pt>
                <c:pt idx="8">
                  <c:v>3.3479798448652889</c:v>
                </c:pt>
                <c:pt idx="9">
                  <c:v>3.5840487511223573</c:v>
                </c:pt>
                <c:pt idx="10">
                  <c:v>3.9359991414905364</c:v>
                </c:pt>
                <c:pt idx="11">
                  <c:v>3.8763983214354618</c:v>
                </c:pt>
                <c:pt idx="12">
                  <c:v>3.7150514028699928</c:v>
                </c:pt>
                <c:pt idx="13">
                  <c:v>3.2359814482345901</c:v>
                </c:pt>
                <c:pt idx="14">
                  <c:v>4.4518393939393945</c:v>
                </c:pt>
                <c:pt idx="15">
                  <c:v>7.219189339306527</c:v>
                </c:pt>
                <c:pt idx="16">
                  <c:v>7.6515185159077026</c:v>
                </c:pt>
                <c:pt idx="17">
                  <c:v>9.0236397842971563</c:v>
                </c:pt>
                <c:pt idx="18">
                  <c:v>8.5199900984893606</c:v>
                </c:pt>
                <c:pt idx="19">
                  <c:v>6.751974461787106</c:v>
                </c:pt>
                <c:pt idx="20">
                  <c:v>5.9307156115078881</c:v>
                </c:pt>
              </c:numCache>
            </c:numRef>
          </c:yVal>
          <c:smooth val="0"/>
          <c:extLst>
            <c:ext xmlns:c16="http://schemas.microsoft.com/office/drawing/2014/chart" uri="{C3380CC4-5D6E-409C-BE32-E72D297353CC}">
              <c16:uniqueId val="{00000002-EAEA-40F0-A808-467C9911302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SAZ19 %PIC</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main!$AG$7:$AG$27</c:f>
              <c:numCache>
                <c:formatCode>0.000</c:formatCode>
                <c:ptCount val="21"/>
                <c:pt idx="0">
                  <c:v>8.9050356322374373</c:v>
                </c:pt>
                <c:pt idx="1">
                  <c:v>10.310864294374449</c:v>
                </c:pt>
                <c:pt idx="2">
                  <c:v>11.457279423930947</c:v>
                </c:pt>
                <c:pt idx="3">
                  <c:v>10.582232081934702</c:v>
                </c:pt>
                <c:pt idx="4">
                  <c:v>7.7029509258082651</c:v>
                </c:pt>
                <c:pt idx="5">
                  <c:v>8.3077766109842415</c:v>
                </c:pt>
                <c:pt idx="6">
                  <c:v>7.4411241739150773</c:v>
                </c:pt>
                <c:pt idx="7">
                  <c:v>5.7946364415373539</c:v>
                </c:pt>
                <c:pt idx="8">
                  <c:v>6.6572359074893637</c:v>
                </c:pt>
                <c:pt idx="9">
                  <c:v>6.5223414420394858</c:v>
                </c:pt>
                <c:pt idx="10">
                  <c:v>7.1162170253856543</c:v>
                </c:pt>
                <c:pt idx="11">
                  <c:v>7.955929050967856</c:v>
                </c:pt>
                <c:pt idx="12">
                  <c:v>8.6790230076555197</c:v>
                </c:pt>
                <c:pt idx="13">
                  <c:v>8.3804071469632895</c:v>
                </c:pt>
                <c:pt idx="14">
                  <c:v>7.4710718074049929</c:v>
                </c:pt>
                <c:pt idx="15">
                  <c:v>6.882092108221296</c:v>
                </c:pt>
                <c:pt idx="16">
                  <c:v>5.3694063856671441</c:v>
                </c:pt>
                <c:pt idx="17">
                  <c:v>4.4837651316416238</c:v>
                </c:pt>
                <c:pt idx="18">
                  <c:v>6.2882301130474261</c:v>
                </c:pt>
                <c:pt idx="19">
                  <c:v>8.0221672964278135</c:v>
                </c:pt>
                <c:pt idx="20">
                  <c:v>11.127958609548092</c:v>
                </c:pt>
              </c:numCache>
            </c:numRef>
          </c:yVal>
          <c:smooth val="0"/>
          <c:extLst>
            <c:ext xmlns:c16="http://schemas.microsoft.com/office/drawing/2014/chart" uri="{C3380CC4-5D6E-409C-BE32-E72D297353CC}">
              <c16:uniqueId val="{00000000-3A32-487D-807D-0B3975A204AF}"/>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main!$AG$31:$AG$51</c:f>
              <c:numCache>
                <c:formatCode>0.000</c:formatCode>
                <c:ptCount val="21"/>
                <c:pt idx="0">
                  <c:v>8.6415762131847824</c:v>
                </c:pt>
                <c:pt idx="1">
                  <c:v>9.1279426329159463</c:v>
                </c:pt>
                <c:pt idx="2">
                  <c:v>8.7515172501854508</c:v>
                </c:pt>
                <c:pt idx="3">
                  <c:v>9.1041330493765482</c:v>
                </c:pt>
                <c:pt idx="4">
                  <c:v>8.5948550362220075</c:v>
                </c:pt>
                <c:pt idx="5">
                  <c:v>7.6727530766723957</c:v>
                </c:pt>
                <c:pt idx="6">
                  <c:v>7.6257647241547382</c:v>
                </c:pt>
                <c:pt idx="7">
                  <c:v>7.5445112984920852</c:v>
                </c:pt>
                <c:pt idx="8">
                  <c:v>7.163922431299123</c:v>
                </c:pt>
                <c:pt idx="9">
                  <c:v>7.5614667613819222</c:v>
                </c:pt>
                <c:pt idx="10">
                  <c:v>7.7350410587598644</c:v>
                </c:pt>
                <c:pt idx="11">
                  <c:v>7.2804066789654787</c:v>
                </c:pt>
                <c:pt idx="12">
                  <c:v>8.1500093246374341</c:v>
                </c:pt>
                <c:pt idx="13">
                  <c:v>8.084893019026282</c:v>
                </c:pt>
                <c:pt idx="14">
                  <c:v>8.0395223236979501</c:v>
                </c:pt>
                <c:pt idx="15">
                  <c:v>6.8856453108457618</c:v>
                </c:pt>
                <c:pt idx="16">
                  <c:v>6.424267307005838</c:v>
                </c:pt>
                <c:pt idx="17">
                  <c:v>5.5052080696231345</c:v>
                </c:pt>
                <c:pt idx="18">
                  <c:v>6.4204912121458646</c:v>
                </c:pt>
                <c:pt idx="19">
                  <c:v>7.7809192884785556</c:v>
                </c:pt>
                <c:pt idx="20">
                  <c:v>8.2308779075287628</c:v>
                </c:pt>
              </c:numCache>
            </c:numRef>
          </c:yVal>
          <c:smooth val="0"/>
          <c:extLst>
            <c:ext xmlns:c16="http://schemas.microsoft.com/office/drawing/2014/chart" uri="{C3380CC4-5D6E-409C-BE32-E72D297353CC}">
              <c16:uniqueId val="{00000001-3A32-487D-807D-0B3975A204AF}"/>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main!$AG$55:$AG$75</c:f>
              <c:numCache>
                <c:formatCode>0.000</c:formatCode>
                <c:ptCount val="21"/>
                <c:pt idx="0">
                  <c:v>8.0142701797122804</c:v>
                </c:pt>
                <c:pt idx="1">
                  <c:v>9.2631464688215601</c:v>
                </c:pt>
                <c:pt idx="2">
                  <c:v>9.3566432721440513</c:v>
                </c:pt>
                <c:pt idx="3">
                  <c:v>9.3838740758689703</c:v>
                </c:pt>
                <c:pt idx="4">
                  <c:v>9.1917241910310672</c:v>
                </c:pt>
                <c:pt idx="5">
                  <c:v>8.4523533188736995</c:v>
                </c:pt>
                <c:pt idx="6">
                  <c:v>8.1095616890557807</c:v>
                </c:pt>
                <c:pt idx="7">
                  <c:v>8.1643793469358847</c:v>
                </c:pt>
                <c:pt idx="8">
                  <c:v>7.9314314923071807</c:v>
                </c:pt>
                <c:pt idx="9">
                  <c:v>7.9485643696127362</c:v>
                </c:pt>
                <c:pt idx="10">
                  <c:v>8.1285246699960982</c:v>
                </c:pt>
                <c:pt idx="11">
                  <c:v>8.0642564312898877</c:v>
                </c:pt>
                <c:pt idx="12">
                  <c:v>8.4504222202018564</c:v>
                </c:pt>
                <c:pt idx="13">
                  <c:v>8.6556921665055953</c:v>
                </c:pt>
                <c:pt idx="14">
                  <c:v>8.5083259215743716</c:v>
                </c:pt>
                <c:pt idx="15">
                  <c:v>7.523883216838307</c:v>
                </c:pt>
                <c:pt idx="16">
                  <c:v>6.870647012453265</c:v>
                </c:pt>
                <c:pt idx="17">
                  <c:v>6.3109365016217263</c:v>
                </c:pt>
                <c:pt idx="18">
                  <c:v>6.9498397999982267</c:v>
                </c:pt>
                <c:pt idx="19">
                  <c:v>7.6376926788264985</c:v>
                </c:pt>
                <c:pt idx="20">
                  <c:v>8.3074017964326909</c:v>
                </c:pt>
              </c:numCache>
            </c:numRef>
          </c:yVal>
          <c:smooth val="0"/>
          <c:extLst>
            <c:ext xmlns:c16="http://schemas.microsoft.com/office/drawing/2014/chart" uri="{C3380CC4-5D6E-409C-BE32-E72D297353CC}">
              <c16:uniqueId val="{00000002-3A32-487D-807D-0B3975A204AF}"/>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SAZ19 %BSi</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main!$AB$7:$AB$27</c:f>
              <c:numCache>
                <c:formatCode>General</c:formatCode>
                <c:ptCount val="21"/>
                <c:pt idx="0">
                  <c:v>2.2842570593463698</c:v>
                </c:pt>
                <c:pt idx="1">
                  <c:v>0.76764349168346779</c:v>
                </c:pt>
                <c:pt idx="2">
                  <c:v>3.8679984747055335E-2</c:v>
                </c:pt>
                <c:pt idx="3">
                  <c:v>0.62082131685558728</c:v>
                </c:pt>
                <c:pt idx="4">
                  <c:v>2.3912014674131816</c:v>
                </c:pt>
                <c:pt idx="5">
                  <c:v>0.81708911668973772</c:v>
                </c:pt>
                <c:pt idx="6">
                  <c:v>1.9298833372846529</c:v>
                </c:pt>
                <c:pt idx="7">
                  <c:v>3.6291239457582267</c:v>
                </c:pt>
                <c:pt idx="8">
                  <c:v>3.0388913694067679</c:v>
                </c:pt>
                <c:pt idx="9">
                  <c:v>4.138064539779629</c:v>
                </c:pt>
                <c:pt idx="10">
                  <c:v>4.293440630995522</c:v>
                </c:pt>
                <c:pt idx="11">
                  <c:v>2.3758487203459158</c:v>
                </c:pt>
                <c:pt idx="12">
                  <c:v>1.7896689845514175</c:v>
                </c:pt>
                <c:pt idx="13">
                  <c:v>2.9930692385176418</c:v>
                </c:pt>
                <c:pt idx="14">
                  <c:v>6.5274207101611639</c:v>
                </c:pt>
                <c:pt idx="15">
                  <c:v>5.2270639849856826</c:v>
                </c:pt>
                <c:pt idx="16">
                  <c:v>6.8060056071233568</c:v>
                </c:pt>
                <c:pt idx="17">
                  <c:v>11.258408389089038</c:v>
                </c:pt>
                <c:pt idx="18">
                  <c:v>7.5112445358482773</c:v>
                </c:pt>
                <c:pt idx="19">
                  <c:v>4.1686073059360726</c:v>
                </c:pt>
                <c:pt idx="20">
                  <c:v>0.26140963619374863</c:v>
                </c:pt>
              </c:numCache>
            </c:numRef>
          </c:yVal>
          <c:smooth val="0"/>
          <c:extLst>
            <c:ext xmlns:c16="http://schemas.microsoft.com/office/drawing/2014/chart" uri="{C3380CC4-5D6E-409C-BE32-E72D297353CC}">
              <c16:uniqueId val="{00000000-DDC8-4888-99D4-E63825BF1761}"/>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main!$AB$31:$AB$51</c:f>
              <c:numCache>
                <c:formatCode>General</c:formatCode>
                <c:ptCount val="21"/>
                <c:pt idx="0">
                  <c:v>4.221480724113488</c:v>
                </c:pt>
                <c:pt idx="1">
                  <c:v>2.8950758174064131</c:v>
                </c:pt>
                <c:pt idx="2">
                  <c:v>2.5072536638603062</c:v>
                </c:pt>
                <c:pt idx="3">
                  <c:v>2.348933102652826</c:v>
                </c:pt>
                <c:pt idx="4">
                  <c:v>2.6647388293538889</c:v>
                </c:pt>
                <c:pt idx="5">
                  <c:v>2.8684726765884898</c:v>
                </c:pt>
                <c:pt idx="6">
                  <c:v>2.7818522145956095</c:v>
                </c:pt>
                <c:pt idx="7">
                  <c:v>3.2392058782340789</c:v>
                </c:pt>
                <c:pt idx="8">
                  <c:v>3.641785765010829</c:v>
                </c:pt>
                <c:pt idx="9">
                  <c:v>4.1767193629231443</c:v>
                </c:pt>
                <c:pt idx="10">
                  <c:v>4.494024256957359</c:v>
                </c:pt>
                <c:pt idx="11">
                  <c:v>4.3997716546808778</c:v>
                </c:pt>
                <c:pt idx="12">
                  <c:v>3.7155409090909086</c:v>
                </c:pt>
                <c:pt idx="13">
                  <c:v>3.3873235294117641</c:v>
                </c:pt>
                <c:pt idx="14">
                  <c:v>5.9608663733517453</c:v>
                </c:pt>
                <c:pt idx="15">
                  <c:v>7.8207506124090509</c:v>
                </c:pt>
                <c:pt idx="16">
                  <c:v>8.0342161016949145</c:v>
                </c:pt>
                <c:pt idx="17">
                  <c:v>10.318784755568069</c:v>
                </c:pt>
                <c:pt idx="18">
                  <c:v>9.1074559442643732</c:v>
                </c:pt>
                <c:pt idx="19">
                  <c:v>5.3202747951662994</c:v>
                </c:pt>
                <c:pt idx="20">
                  <c:v>3.6869498918197303</c:v>
                </c:pt>
              </c:numCache>
            </c:numRef>
          </c:yVal>
          <c:smooth val="0"/>
          <c:extLst>
            <c:ext xmlns:c16="http://schemas.microsoft.com/office/drawing/2014/chart" uri="{C3380CC4-5D6E-409C-BE32-E72D297353CC}">
              <c16:uniqueId val="{00000001-DDC8-4888-99D4-E63825BF1761}"/>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main!$AB$55:$AB$75</c:f>
              <c:numCache>
                <c:formatCode>General</c:formatCode>
                <c:ptCount val="21"/>
                <c:pt idx="0">
                  <c:v>4.6444293848860845</c:v>
                </c:pt>
                <c:pt idx="1">
                  <c:v>3.0722960237775929</c:v>
                </c:pt>
                <c:pt idx="2">
                  <c:v>2.594775722021661</c:v>
                </c:pt>
                <c:pt idx="3">
                  <c:v>2.5566374412391353</c:v>
                </c:pt>
                <c:pt idx="4">
                  <c:v>2.6383422983904601</c:v>
                </c:pt>
                <c:pt idx="5">
                  <c:v>2.9727659840941825</c:v>
                </c:pt>
                <c:pt idx="6">
                  <c:v>3.16176786473841</c:v>
                </c:pt>
                <c:pt idx="7">
                  <c:v>3.4741219788519642</c:v>
                </c:pt>
                <c:pt idx="8">
                  <c:v>3.3479798448652889</c:v>
                </c:pt>
                <c:pt idx="9">
                  <c:v>3.5840487511223573</c:v>
                </c:pt>
                <c:pt idx="10">
                  <c:v>3.9359991414905364</c:v>
                </c:pt>
                <c:pt idx="11">
                  <c:v>3.8763983214354618</c:v>
                </c:pt>
                <c:pt idx="12">
                  <c:v>3.7150514028699928</c:v>
                </c:pt>
                <c:pt idx="13">
                  <c:v>3.2359814482345901</c:v>
                </c:pt>
                <c:pt idx="14">
                  <c:v>4.4518393939393945</c:v>
                </c:pt>
                <c:pt idx="15">
                  <c:v>7.219189339306527</c:v>
                </c:pt>
                <c:pt idx="16">
                  <c:v>7.6515185159077026</c:v>
                </c:pt>
                <c:pt idx="17">
                  <c:v>9.0236397842971563</c:v>
                </c:pt>
                <c:pt idx="18">
                  <c:v>8.5199900984893606</c:v>
                </c:pt>
                <c:pt idx="19">
                  <c:v>6.751974461787106</c:v>
                </c:pt>
                <c:pt idx="20">
                  <c:v>5.9307156115078881</c:v>
                </c:pt>
              </c:numCache>
            </c:numRef>
          </c:yVal>
          <c:smooth val="0"/>
          <c:extLst>
            <c:ext xmlns:c16="http://schemas.microsoft.com/office/drawing/2014/chart" uri="{C3380CC4-5D6E-409C-BE32-E72D297353CC}">
              <c16:uniqueId val="{00000002-DDC8-4888-99D4-E63825BF1761}"/>
            </c:ext>
          </c:extLst>
        </c:ser>
        <c:dLbls>
          <c:showLegendKey val="0"/>
          <c:showVal val="0"/>
          <c:showCatName val="0"/>
          <c:showSerName val="0"/>
          <c:showPercent val="0"/>
          <c:showBubbleSize val="0"/>
        </c:dLbls>
        <c:axId val="-2091142344"/>
        <c:axId val="-2091133512"/>
      </c:scatterChart>
      <c:valAx>
        <c:axId val="-2091142344"/>
        <c:scaling>
          <c:orientation val="minMax"/>
          <c:min val="42810"/>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3501842955551095"/>
          <c:y val="0.54778677140881904"/>
          <c:w val="5.0541516245487403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'sample processing comments'!$D$55:$D$75</c:f>
              <c:numCache>
                <c:formatCode>General</c:formatCode>
                <c:ptCount val="21"/>
                <c:pt idx="0">
                  <c:v>4</c:v>
                </c:pt>
                <c:pt idx="1">
                  <c:v>4</c:v>
                </c:pt>
                <c:pt idx="2">
                  <c:v>4</c:v>
                </c:pt>
                <c:pt idx="3">
                  <c:v>4</c:v>
                </c:pt>
                <c:pt idx="4">
                  <c:v>4</c:v>
                </c:pt>
                <c:pt idx="5">
                  <c:v>4</c:v>
                </c:pt>
                <c:pt idx="6">
                  <c:v>3</c:v>
                </c:pt>
                <c:pt idx="7">
                  <c:v>3</c:v>
                </c:pt>
                <c:pt idx="8">
                  <c:v>3</c:v>
                </c:pt>
                <c:pt idx="9">
                  <c:v>3</c:v>
                </c:pt>
                <c:pt idx="10">
                  <c:v>2</c:v>
                </c:pt>
                <c:pt idx="11">
                  <c:v>3</c:v>
                </c:pt>
                <c:pt idx="12">
                  <c:v>2</c:v>
                </c:pt>
                <c:pt idx="13">
                  <c:v>3</c:v>
                </c:pt>
                <c:pt idx="14">
                  <c:v>7</c:v>
                </c:pt>
                <c:pt idx="15">
                  <c:v>20</c:v>
                </c:pt>
                <c:pt idx="16">
                  <c:v>16</c:v>
                </c:pt>
                <c:pt idx="17">
                  <c:v>14</c:v>
                </c:pt>
                <c:pt idx="18">
                  <c:v>30</c:v>
                </c:pt>
                <c:pt idx="19">
                  <c:v>45</c:v>
                </c:pt>
                <c:pt idx="20">
                  <c:v>10</c:v>
                </c:pt>
              </c:numCache>
            </c:numRef>
          </c:xVal>
          <c:yVal>
            <c:numRef>
              <c:f>'sample processing comments'!$E$55:$E$75</c:f>
              <c:numCache>
                <c:formatCode>General</c:formatCode>
                <c:ptCount val="21"/>
                <c:pt idx="0">
                  <c:v>378.02857142857141</c:v>
                </c:pt>
                <c:pt idx="1">
                  <c:v>436.18571428571437</c:v>
                </c:pt>
                <c:pt idx="2">
                  <c:v>503.48571428571427</c:v>
                </c:pt>
                <c:pt idx="3">
                  <c:v>525.70000000000005</c:v>
                </c:pt>
                <c:pt idx="4">
                  <c:v>538.7285714285714</c:v>
                </c:pt>
                <c:pt idx="5">
                  <c:v>422.01428571428573</c:v>
                </c:pt>
                <c:pt idx="6">
                  <c:v>457.61428571428564</c:v>
                </c:pt>
                <c:pt idx="7">
                  <c:v>435.92857142857144</c:v>
                </c:pt>
                <c:pt idx="8">
                  <c:v>415.67142857142863</c:v>
                </c:pt>
                <c:pt idx="9">
                  <c:v>403.55714285714282</c:v>
                </c:pt>
                <c:pt idx="10">
                  <c:v>371.18571428571431</c:v>
                </c:pt>
                <c:pt idx="11">
                  <c:v>470.35714285714283</c:v>
                </c:pt>
                <c:pt idx="12">
                  <c:v>439.5428571428572</c:v>
                </c:pt>
                <c:pt idx="13">
                  <c:v>630.97142857142853</c:v>
                </c:pt>
                <c:pt idx="14">
                  <c:v>1039.5428571428572</c:v>
                </c:pt>
                <c:pt idx="15">
                  <c:v>1515.7285714285715</c:v>
                </c:pt>
                <c:pt idx="16">
                  <c:v>1232.757142857143</c:v>
                </c:pt>
                <c:pt idx="17">
                  <c:v>956.41428571428582</c:v>
                </c:pt>
                <c:pt idx="18">
                  <c:v>1134</c:v>
                </c:pt>
                <c:pt idx="19">
                  <c:v>2021.5714285714284</c:v>
                </c:pt>
                <c:pt idx="20">
                  <c:v>592.28571428571433</c:v>
                </c:pt>
              </c:numCache>
            </c:numRef>
          </c:yVal>
          <c:smooth val="0"/>
          <c:extLst>
            <c:ext xmlns:c16="http://schemas.microsoft.com/office/drawing/2014/chart" uri="{C3380CC4-5D6E-409C-BE32-E72D297353CC}">
              <c16:uniqueId val="{00000000-DE1F-4FA0-9069-3822EFA4D90F}"/>
            </c:ext>
          </c:extLst>
        </c:ser>
        <c:ser>
          <c:idx val="1"/>
          <c:order val="1"/>
          <c:tx>
            <c:v>2000</c:v>
          </c:tx>
          <c:spPr>
            <a:ln w="47625">
              <a:noFill/>
            </a:ln>
          </c:spPr>
          <c:xVal>
            <c:numRef>
              <c:f>'sample processing comments'!$D$31:$D$51</c:f>
              <c:numCache>
                <c:formatCode>General</c:formatCode>
                <c:ptCount val="21"/>
                <c:pt idx="0">
                  <c:v>4</c:v>
                </c:pt>
                <c:pt idx="1">
                  <c:v>4</c:v>
                </c:pt>
                <c:pt idx="2">
                  <c:v>4</c:v>
                </c:pt>
                <c:pt idx="3">
                  <c:v>3</c:v>
                </c:pt>
                <c:pt idx="4">
                  <c:v>3</c:v>
                </c:pt>
                <c:pt idx="5">
                  <c:v>3</c:v>
                </c:pt>
                <c:pt idx="6">
                  <c:v>2</c:v>
                </c:pt>
                <c:pt idx="7">
                  <c:v>3</c:v>
                </c:pt>
                <c:pt idx="8">
                  <c:v>2</c:v>
                </c:pt>
                <c:pt idx="9">
                  <c:v>2</c:v>
                </c:pt>
                <c:pt idx="10">
                  <c:v>3</c:v>
                </c:pt>
                <c:pt idx="11">
                  <c:v>2</c:v>
                </c:pt>
                <c:pt idx="12">
                  <c:v>2</c:v>
                </c:pt>
                <c:pt idx="13">
                  <c:v>6</c:v>
                </c:pt>
                <c:pt idx="14">
                  <c:v>15</c:v>
                </c:pt>
                <c:pt idx="15">
                  <c:v>29</c:v>
                </c:pt>
                <c:pt idx="16">
                  <c:v>15</c:v>
                </c:pt>
                <c:pt idx="17">
                  <c:v>29</c:v>
                </c:pt>
                <c:pt idx="18">
                  <c:v>30</c:v>
                </c:pt>
                <c:pt idx="19">
                  <c:v>19</c:v>
                </c:pt>
                <c:pt idx="20">
                  <c:v>2</c:v>
                </c:pt>
              </c:numCache>
            </c:numRef>
          </c:xVal>
          <c:yVal>
            <c:numRef>
              <c:f>'sample processing comments'!$E$31:$E$51</c:f>
              <c:numCache>
                <c:formatCode>General</c:formatCode>
                <c:ptCount val="21"/>
                <c:pt idx="0">
                  <c:v>398.62857142857138</c:v>
                </c:pt>
                <c:pt idx="1">
                  <c:v>498.84285714285727</c:v>
                </c:pt>
                <c:pt idx="2">
                  <c:v>586.1</c:v>
                </c:pt>
                <c:pt idx="3">
                  <c:v>653.55714285714282</c:v>
                </c:pt>
                <c:pt idx="4">
                  <c:v>520.19999999999993</c:v>
                </c:pt>
                <c:pt idx="5">
                  <c:v>469.55714285714288</c:v>
                </c:pt>
                <c:pt idx="6">
                  <c:v>410.91428571428571</c:v>
                </c:pt>
                <c:pt idx="7">
                  <c:v>387.74285714285719</c:v>
                </c:pt>
                <c:pt idx="8">
                  <c:v>291.95714285714286</c:v>
                </c:pt>
                <c:pt idx="9">
                  <c:v>284.5</c:v>
                </c:pt>
                <c:pt idx="10">
                  <c:v>494.20000000000005</c:v>
                </c:pt>
                <c:pt idx="11">
                  <c:v>468.7714285714286</c:v>
                </c:pt>
                <c:pt idx="12">
                  <c:v>316.74285714285713</c:v>
                </c:pt>
                <c:pt idx="13">
                  <c:v>787.87142857142851</c:v>
                </c:pt>
                <c:pt idx="14">
                  <c:v>1495.7571428571428</c:v>
                </c:pt>
                <c:pt idx="15">
                  <c:v>1953.4285714285713</c:v>
                </c:pt>
                <c:pt idx="16">
                  <c:v>1052.0000000000002</c:v>
                </c:pt>
                <c:pt idx="17">
                  <c:v>1195.3</c:v>
                </c:pt>
                <c:pt idx="18">
                  <c:v>1184.8</c:v>
                </c:pt>
                <c:pt idx="19">
                  <c:v>1109.3857142857144</c:v>
                </c:pt>
                <c:pt idx="20">
                  <c:v>169.55714285714288</c:v>
                </c:pt>
              </c:numCache>
            </c:numRef>
          </c:yVal>
          <c:smooth val="0"/>
          <c:extLst>
            <c:ext xmlns:c16="http://schemas.microsoft.com/office/drawing/2014/chart" uri="{C3380CC4-5D6E-409C-BE32-E72D297353CC}">
              <c16:uniqueId val="{00000001-DE1F-4FA0-9069-3822EFA4D90F}"/>
            </c:ext>
          </c:extLst>
        </c:ser>
        <c:ser>
          <c:idx val="2"/>
          <c:order val="2"/>
          <c:tx>
            <c:v>1000</c:v>
          </c:tx>
          <c:spPr>
            <a:ln w="47625">
              <a:noFill/>
            </a:ln>
          </c:spPr>
          <c:xVal>
            <c:numRef>
              <c:f>'sample processing comments'!$Q$80:$Q$100</c:f>
              <c:numCache>
                <c:formatCode>General</c:formatCode>
                <c:ptCount val="21"/>
                <c:pt idx="0">
                  <c:v>5</c:v>
                </c:pt>
                <c:pt idx="1">
                  <c:v>3</c:v>
                </c:pt>
                <c:pt idx="2">
                  <c:v>1</c:v>
                </c:pt>
                <c:pt idx="3">
                  <c:v>2</c:v>
                </c:pt>
                <c:pt idx="4">
                  <c:v>7</c:v>
                </c:pt>
                <c:pt idx="5">
                  <c:v>1</c:v>
                </c:pt>
                <c:pt idx="6">
                  <c:v>1</c:v>
                </c:pt>
                <c:pt idx="7">
                  <c:v>1</c:v>
                </c:pt>
                <c:pt idx="8">
                  <c:v>1</c:v>
                </c:pt>
                <c:pt idx="9">
                  <c:v>3</c:v>
                </c:pt>
                <c:pt idx="10">
                  <c:v>3</c:v>
                </c:pt>
                <c:pt idx="11">
                  <c:v>1</c:v>
                </c:pt>
                <c:pt idx="12">
                  <c:v>1</c:v>
                </c:pt>
                <c:pt idx="13">
                  <c:v>3</c:v>
                </c:pt>
                <c:pt idx="14">
                  <c:v>19</c:v>
                </c:pt>
                <c:pt idx="15">
                  <c:v>10</c:v>
                </c:pt>
                <c:pt idx="16">
                  <c:v>13</c:v>
                </c:pt>
                <c:pt idx="17">
                  <c:v>30</c:v>
                </c:pt>
                <c:pt idx="18">
                  <c:v>15</c:v>
                </c:pt>
                <c:pt idx="19">
                  <c:v>10</c:v>
                </c:pt>
                <c:pt idx="20">
                  <c:v>1</c:v>
                </c:pt>
              </c:numCache>
            </c:numRef>
          </c:xVal>
          <c:yVal>
            <c:numRef>
              <c:f>'sample processing comments'!$R$80:$R$100</c:f>
              <c:numCache>
                <c:formatCode>General</c:formatCode>
                <c:ptCount val="21"/>
                <c:pt idx="0">
                  <c:v>297.18571428571431</c:v>
                </c:pt>
                <c:pt idx="1">
                  <c:v>231.91428571428565</c:v>
                </c:pt>
                <c:pt idx="2">
                  <c:v>93.357142857142861</c:v>
                </c:pt>
                <c:pt idx="3">
                  <c:v>298.58571428571429</c:v>
                </c:pt>
                <c:pt idx="4">
                  <c:v>807.67142857142858</c:v>
                </c:pt>
                <c:pt idx="5">
                  <c:v>121.02857142857141</c:v>
                </c:pt>
                <c:pt idx="6">
                  <c:v>54.342857142857142</c:v>
                </c:pt>
                <c:pt idx="7">
                  <c:v>63.328571428571436</c:v>
                </c:pt>
                <c:pt idx="8">
                  <c:v>99.17142857142855</c:v>
                </c:pt>
                <c:pt idx="9">
                  <c:v>306.2</c:v>
                </c:pt>
                <c:pt idx="10">
                  <c:v>394.55714285714288</c:v>
                </c:pt>
                <c:pt idx="11">
                  <c:v>146.32499999999999</c:v>
                </c:pt>
                <c:pt idx="12">
                  <c:v>69.414285714285725</c:v>
                </c:pt>
                <c:pt idx="13">
                  <c:v>810.38571428571436</c:v>
                </c:pt>
                <c:pt idx="14">
                  <c:v>1575.3999999999996</c:v>
                </c:pt>
                <c:pt idx="15">
                  <c:v>952.48571428571427</c:v>
                </c:pt>
                <c:pt idx="16">
                  <c:v>659.71428571428578</c:v>
                </c:pt>
                <c:pt idx="17">
                  <c:v>1057.0714285714287</c:v>
                </c:pt>
                <c:pt idx="18">
                  <c:v>800.81428571428557</c:v>
                </c:pt>
                <c:pt idx="19">
                  <c:v>780.0428571428572</c:v>
                </c:pt>
                <c:pt idx="20">
                  <c:v>40.042857142857137</c:v>
                </c:pt>
              </c:numCache>
            </c:numRef>
          </c:yVal>
          <c:smooth val="0"/>
          <c:extLst>
            <c:ext xmlns:c16="http://schemas.microsoft.com/office/drawing/2014/chart" uri="{C3380CC4-5D6E-409C-BE32-E72D297353CC}">
              <c16:uniqueId val="{00000002-DE1F-4FA0-9069-3822EFA4D90F}"/>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comments'!$E$55:$E$75</c:f>
              <c:numCache>
                <c:formatCode>General</c:formatCode>
                <c:ptCount val="21"/>
                <c:pt idx="0">
                  <c:v>378.02857142857141</c:v>
                </c:pt>
                <c:pt idx="1">
                  <c:v>436.18571428571437</c:v>
                </c:pt>
                <c:pt idx="2">
                  <c:v>503.48571428571427</c:v>
                </c:pt>
                <c:pt idx="3">
                  <c:v>525.70000000000005</c:v>
                </c:pt>
                <c:pt idx="4">
                  <c:v>538.7285714285714</c:v>
                </c:pt>
                <c:pt idx="5">
                  <c:v>422.01428571428573</c:v>
                </c:pt>
                <c:pt idx="6">
                  <c:v>457.61428571428564</c:v>
                </c:pt>
                <c:pt idx="7">
                  <c:v>435.92857142857144</c:v>
                </c:pt>
                <c:pt idx="8">
                  <c:v>415.67142857142863</c:v>
                </c:pt>
                <c:pt idx="9">
                  <c:v>403.55714285714282</c:v>
                </c:pt>
                <c:pt idx="10">
                  <c:v>371.18571428571431</c:v>
                </c:pt>
                <c:pt idx="11">
                  <c:v>470.35714285714283</c:v>
                </c:pt>
                <c:pt idx="12">
                  <c:v>439.5428571428572</c:v>
                </c:pt>
                <c:pt idx="13">
                  <c:v>630.97142857142853</c:v>
                </c:pt>
                <c:pt idx="14">
                  <c:v>1039.5428571428572</c:v>
                </c:pt>
                <c:pt idx="15">
                  <c:v>1515.7285714285715</c:v>
                </c:pt>
                <c:pt idx="16">
                  <c:v>1232.757142857143</c:v>
                </c:pt>
                <c:pt idx="17">
                  <c:v>956.41428571428582</c:v>
                </c:pt>
                <c:pt idx="18">
                  <c:v>1134</c:v>
                </c:pt>
                <c:pt idx="19">
                  <c:v>2021.5714285714284</c:v>
                </c:pt>
                <c:pt idx="20">
                  <c:v>592.28571428571433</c:v>
                </c:pt>
              </c:numCache>
            </c:numRef>
          </c:val>
          <c:smooth val="0"/>
          <c:extLst>
            <c:ext xmlns:c16="http://schemas.microsoft.com/office/drawing/2014/chart" uri="{C3380CC4-5D6E-409C-BE32-E72D297353CC}">
              <c16:uniqueId val="{00000000-C408-49AC-8AF3-30488BE10066}"/>
            </c:ext>
          </c:extLst>
        </c:ser>
        <c:ser>
          <c:idx val="1"/>
          <c:order val="1"/>
          <c:tx>
            <c:v>2000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comments'!$E$31:$E$51</c:f>
              <c:numCache>
                <c:formatCode>General</c:formatCode>
                <c:ptCount val="21"/>
                <c:pt idx="0">
                  <c:v>398.62857142857138</c:v>
                </c:pt>
                <c:pt idx="1">
                  <c:v>498.84285714285727</c:v>
                </c:pt>
                <c:pt idx="2">
                  <c:v>586.1</c:v>
                </c:pt>
                <c:pt idx="3">
                  <c:v>653.55714285714282</c:v>
                </c:pt>
                <c:pt idx="4">
                  <c:v>520.19999999999993</c:v>
                </c:pt>
                <c:pt idx="5">
                  <c:v>469.55714285714288</c:v>
                </c:pt>
                <c:pt idx="6">
                  <c:v>410.91428571428571</c:v>
                </c:pt>
                <c:pt idx="7">
                  <c:v>387.74285714285719</c:v>
                </c:pt>
                <c:pt idx="8">
                  <c:v>291.95714285714286</c:v>
                </c:pt>
                <c:pt idx="9">
                  <c:v>284.5</c:v>
                </c:pt>
                <c:pt idx="10">
                  <c:v>494.20000000000005</c:v>
                </c:pt>
                <c:pt idx="11">
                  <c:v>468.7714285714286</c:v>
                </c:pt>
                <c:pt idx="12">
                  <c:v>316.74285714285713</c:v>
                </c:pt>
                <c:pt idx="13">
                  <c:v>787.87142857142851</c:v>
                </c:pt>
                <c:pt idx="14">
                  <c:v>1495.7571428571428</c:v>
                </c:pt>
                <c:pt idx="15">
                  <c:v>1953.4285714285713</c:v>
                </c:pt>
                <c:pt idx="16">
                  <c:v>1052.0000000000002</c:v>
                </c:pt>
                <c:pt idx="17">
                  <c:v>1195.3</c:v>
                </c:pt>
                <c:pt idx="18">
                  <c:v>1184.8</c:v>
                </c:pt>
                <c:pt idx="19">
                  <c:v>1109.3857142857144</c:v>
                </c:pt>
                <c:pt idx="20">
                  <c:v>169.55714285714288</c:v>
                </c:pt>
              </c:numCache>
            </c:numRef>
          </c:val>
          <c:smooth val="0"/>
          <c:extLst>
            <c:ext xmlns:c16="http://schemas.microsoft.com/office/drawing/2014/chart" uri="{C3380CC4-5D6E-409C-BE32-E72D297353CC}">
              <c16:uniqueId val="{00000001-C408-49AC-8AF3-30488BE10066}"/>
            </c:ext>
          </c:extLst>
        </c:ser>
        <c:ser>
          <c:idx val="2"/>
          <c:order val="2"/>
          <c:tx>
            <c:v>1000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comments'!$E$7:$E$27</c:f>
              <c:numCache>
                <c:formatCode>General</c:formatCode>
                <c:ptCount val="21"/>
                <c:pt idx="0">
                  <c:v>297.18571428571431</c:v>
                </c:pt>
                <c:pt idx="1">
                  <c:v>231.91428571428565</c:v>
                </c:pt>
                <c:pt idx="2">
                  <c:v>93.357142857142861</c:v>
                </c:pt>
                <c:pt idx="3">
                  <c:v>298.58571428571429</c:v>
                </c:pt>
                <c:pt idx="4">
                  <c:v>807.67142857142858</c:v>
                </c:pt>
                <c:pt idx="5">
                  <c:v>121.02857142857141</c:v>
                </c:pt>
                <c:pt idx="6">
                  <c:v>54.342857142857142</c:v>
                </c:pt>
                <c:pt idx="7">
                  <c:v>63.328571428571436</c:v>
                </c:pt>
                <c:pt idx="8">
                  <c:v>99.17142857142855</c:v>
                </c:pt>
                <c:pt idx="9">
                  <c:v>306.2</c:v>
                </c:pt>
                <c:pt idx="10">
                  <c:v>394.55714285714288</c:v>
                </c:pt>
                <c:pt idx="11">
                  <c:v>146.32499999999999</c:v>
                </c:pt>
                <c:pt idx="12">
                  <c:v>69.414285714285725</c:v>
                </c:pt>
                <c:pt idx="13">
                  <c:v>810.38571428571436</c:v>
                </c:pt>
                <c:pt idx="14">
                  <c:v>1575.3999999999996</c:v>
                </c:pt>
                <c:pt idx="15">
                  <c:v>952.48571428571427</c:v>
                </c:pt>
                <c:pt idx="16">
                  <c:v>659.71428571428578</c:v>
                </c:pt>
                <c:pt idx="17">
                  <c:v>1057.0714285714287</c:v>
                </c:pt>
                <c:pt idx="18">
                  <c:v>800.81428571428557</c:v>
                </c:pt>
                <c:pt idx="19">
                  <c:v>780.0428571428572</c:v>
                </c:pt>
                <c:pt idx="20">
                  <c:v>40.042857142857137</c:v>
                </c:pt>
              </c:numCache>
            </c:numRef>
          </c:val>
          <c:smooth val="0"/>
          <c:extLst>
            <c:ext xmlns:c16="http://schemas.microsoft.com/office/drawing/2014/chart" uri="{C3380CC4-5D6E-409C-BE32-E72D297353CC}">
              <c16:uniqueId val="{00000002-C408-49AC-8AF3-30488BE10066}"/>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numFmt formatCode="m/d/yyyy" sourceLinked="1"/>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numFmt formatCode="General"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report!$Q$48:$Q$68</c:f>
              <c:numCache>
                <c:formatCode>0.00</c:formatCode>
                <c:ptCount val="21"/>
                <c:pt idx="0">
                  <c:v>1.3832122998258627</c:v>
                </c:pt>
                <c:pt idx="1">
                  <c:v>1.844718938859931</c:v>
                </c:pt>
                <c:pt idx="2">
                  <c:v>2.1508368184880049</c:v>
                </c:pt>
                <c:pt idx="3">
                  <c:v>2.2522696565814964</c:v>
                </c:pt>
                <c:pt idx="4">
                  <c:v>2.2608264782330711</c:v>
                </c:pt>
                <c:pt idx="5">
                  <c:v>1.6285647601917452</c:v>
                </c:pt>
                <c:pt idx="6">
                  <c:v>1.6943268499305812</c:v>
                </c:pt>
                <c:pt idx="7">
                  <c:v>1.6249453047434135</c:v>
                </c:pt>
                <c:pt idx="8">
                  <c:v>1.5052269623855281</c:v>
                </c:pt>
                <c:pt idx="9">
                  <c:v>1.4645154978373875</c:v>
                </c:pt>
                <c:pt idx="10">
                  <c:v>1.3775368301216213</c:v>
                </c:pt>
                <c:pt idx="11">
                  <c:v>1.7317783679612535</c:v>
                </c:pt>
                <c:pt idx="12">
                  <c:v>1.6958204699231272</c:v>
                </c:pt>
                <c:pt idx="13">
                  <c:v>2.4935135605470093</c:v>
                </c:pt>
                <c:pt idx="14">
                  <c:v>4.038190046544206</c:v>
                </c:pt>
                <c:pt idx="15">
                  <c:v>5.2067139731707197</c:v>
                </c:pt>
                <c:pt idx="16">
                  <c:v>3.8670109509163617</c:v>
                </c:pt>
                <c:pt idx="17">
                  <c:v>2.755751817609704</c:v>
                </c:pt>
                <c:pt idx="18">
                  <c:v>3.5982230890007072</c:v>
                </c:pt>
                <c:pt idx="19">
                  <c:v>7.0493895121556145</c:v>
                </c:pt>
                <c:pt idx="20">
                  <c:v>2.2464497654438627</c:v>
                </c:pt>
              </c:numCache>
            </c:numRef>
          </c:val>
          <c:smooth val="0"/>
          <c:extLst>
            <c:ext xmlns:c16="http://schemas.microsoft.com/office/drawing/2014/chart" uri="{C3380CC4-5D6E-409C-BE32-E72D297353CC}">
              <c16:uniqueId val="{00000000-7B8F-4FAC-9671-FC5FE3647ADD}"/>
            </c:ext>
          </c:extLst>
        </c:ser>
        <c:ser>
          <c:idx val="1"/>
          <c:order val="1"/>
          <c:tx>
            <c:v>2000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report!$Q$27:$Q$47</c:f>
              <c:numCache>
                <c:formatCode>0.00</c:formatCode>
                <c:ptCount val="21"/>
                <c:pt idx="0">
                  <c:v>1.5727569947125295</c:v>
                </c:pt>
                <c:pt idx="1">
                  <c:v>2.0789157887278353</c:v>
                </c:pt>
                <c:pt idx="2">
                  <c:v>2.3418297138586017</c:v>
                </c:pt>
                <c:pt idx="3">
                  <c:v>2.7165793749184388</c:v>
                </c:pt>
                <c:pt idx="4">
                  <c:v>2.0413108389875521</c:v>
                </c:pt>
                <c:pt idx="5">
                  <c:v>1.6449015544710215</c:v>
                </c:pt>
                <c:pt idx="6">
                  <c:v>1.4306548768923322</c:v>
                </c:pt>
                <c:pt idx="7">
                  <c:v>1.3355961455117193</c:v>
                </c:pt>
                <c:pt idx="8">
                  <c:v>0.95492709761732286</c:v>
                </c:pt>
                <c:pt idx="9">
                  <c:v>0.98217427686525716</c:v>
                </c:pt>
                <c:pt idx="10">
                  <c:v>1.7452819695313633</c:v>
                </c:pt>
                <c:pt idx="11">
                  <c:v>1.5581777938374131</c:v>
                </c:pt>
                <c:pt idx="12">
                  <c:v>1.1785965707843895</c:v>
                </c:pt>
                <c:pt idx="13">
                  <c:v>2.9082374771324879</c:v>
                </c:pt>
                <c:pt idx="14">
                  <c:v>5.4902430207980002</c:v>
                </c:pt>
                <c:pt idx="15">
                  <c:v>6.1410469966748984</c:v>
                </c:pt>
                <c:pt idx="16">
                  <c:v>3.0855996785573061</c:v>
                </c:pt>
                <c:pt idx="17">
                  <c:v>3.0043525548161245</c:v>
                </c:pt>
                <c:pt idx="18">
                  <c:v>3.4730700189649264</c:v>
                </c:pt>
                <c:pt idx="19">
                  <c:v>3.9410660833028532</c:v>
                </c:pt>
                <c:pt idx="20">
                  <c:v>0.63718051571961809</c:v>
                </c:pt>
              </c:numCache>
            </c:numRef>
          </c:val>
          <c:smooth val="0"/>
          <c:extLst>
            <c:ext xmlns:c16="http://schemas.microsoft.com/office/drawing/2014/chart" uri="{C3380CC4-5D6E-409C-BE32-E72D297353CC}">
              <c16:uniqueId val="{00000001-7B8F-4FAC-9671-FC5FE3647ADD}"/>
            </c:ext>
          </c:extLst>
        </c:ser>
        <c:ser>
          <c:idx val="2"/>
          <c:order val="2"/>
          <c:tx>
            <c:v>1000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report!$Q$6:$Q$26</c:f>
              <c:numCache>
                <c:formatCode>0.00</c:formatCode>
                <c:ptCount val="21"/>
                <c:pt idx="0">
                  <c:v>1.2082695428219339</c:v>
                </c:pt>
                <c:pt idx="1">
                  <c:v>1.0917490185940715</c:v>
                </c:pt>
                <c:pt idx="2">
                  <c:v>0.48834786621742388</c:v>
                </c:pt>
                <c:pt idx="3">
                  <c:v>1.4426020492845519</c:v>
                </c:pt>
                <c:pt idx="4">
                  <c:v>2.8404823081045913</c:v>
                </c:pt>
                <c:pt idx="5">
                  <c:v>0.45906370231207871</c:v>
                </c:pt>
                <c:pt idx="6">
                  <c:v>0.18462106749292004</c:v>
                </c:pt>
                <c:pt idx="7">
                  <c:v>0.16754293619435076</c:v>
                </c:pt>
                <c:pt idx="8">
                  <c:v>0.30142603022127173</c:v>
                </c:pt>
                <c:pt idx="9">
                  <c:v>0.91181966478005905</c:v>
                </c:pt>
                <c:pt idx="10">
                  <c:v>1.2819153031841459</c:v>
                </c:pt>
                <c:pt idx="11">
                  <c:v>0.53150783629917975</c:v>
                </c:pt>
                <c:pt idx="12">
                  <c:v>0.27505524844787299</c:v>
                </c:pt>
                <c:pt idx="13">
                  <c:v>3.1006813189547953</c:v>
                </c:pt>
                <c:pt idx="14">
                  <c:v>5.373707079246465</c:v>
                </c:pt>
                <c:pt idx="15">
                  <c:v>2.992810294980365</c:v>
                </c:pt>
                <c:pt idx="16">
                  <c:v>1.617269518064504</c:v>
                </c:pt>
                <c:pt idx="17">
                  <c:v>2.1639510247232856</c:v>
                </c:pt>
                <c:pt idx="18">
                  <c:v>2.2991138386973766</c:v>
                </c:pt>
                <c:pt idx="19">
                  <c:v>2.8570011593557361</c:v>
                </c:pt>
                <c:pt idx="20">
                  <c:v>0.20344208447555792</c:v>
                </c:pt>
              </c:numCache>
            </c:numRef>
          </c:val>
          <c:smooth val="0"/>
          <c:extLst>
            <c:ext xmlns:c16="http://schemas.microsoft.com/office/drawing/2014/chart" uri="{C3380CC4-5D6E-409C-BE32-E72D297353CC}">
              <c16:uniqueId val="{00000002-7B8F-4FAC-9671-FC5FE3647ADD}"/>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report!$T$48:$T$68</c:f>
              <c:numCache>
                <c:formatCode>0.00</c:formatCode>
                <c:ptCount val="21"/>
                <c:pt idx="0">
                  <c:v>1.1106910545383579</c:v>
                </c:pt>
                <c:pt idx="1">
                  <c:v>0.77403508036021751</c:v>
                </c:pt>
                <c:pt idx="2">
                  <c:v>0.91529932183563412</c:v>
                </c:pt>
                <c:pt idx="3">
                  <c:v>0.89835745700710523</c:v>
                </c:pt>
                <c:pt idx="4">
                  <c:v>1.0608825577379359</c:v>
                </c:pt>
                <c:pt idx="5">
                  <c:v>1.2194603921008986</c:v>
                </c:pt>
                <c:pt idx="6">
                  <c:v>1.5015082395973187</c:v>
                </c:pt>
                <c:pt idx="7">
                  <c:v>1.3205286327170476</c:v>
                </c:pt>
                <c:pt idx="8">
                  <c:v>1.4500714267559767</c:v>
                </c:pt>
                <c:pt idx="9">
                  <c:v>1.3420955440307452</c:v>
                </c:pt>
                <c:pt idx="10">
                  <c:v>1.0901555666515814</c:v>
                </c:pt>
                <c:pt idx="11">
                  <c:v>1.5119886777085365</c:v>
                </c:pt>
                <c:pt idx="12">
                  <c:v>1.1158181640888913</c:v>
                </c:pt>
                <c:pt idx="13">
                  <c:v>1.6307433439215608</c:v>
                </c:pt>
                <c:pt idx="14">
                  <c:v>2.5575331614270955</c:v>
                </c:pt>
                <c:pt idx="15">
                  <c:v>4.3099862534734692</c:v>
                </c:pt>
                <c:pt idx="16">
                  <c:v>4.3534084206320927</c:v>
                </c:pt>
                <c:pt idx="17">
                  <c:v>3.7508949794667186</c:v>
                </c:pt>
                <c:pt idx="18">
                  <c:v>3.8178761636387062</c:v>
                </c:pt>
                <c:pt idx="19">
                  <c:v>6.047399688624286</c:v>
                </c:pt>
                <c:pt idx="20">
                  <c:v>1.2073332789512439</c:v>
                </c:pt>
              </c:numCache>
            </c:numRef>
          </c:val>
          <c:smooth val="0"/>
          <c:extLst>
            <c:ext xmlns:c16="http://schemas.microsoft.com/office/drawing/2014/chart" uri="{C3380CC4-5D6E-409C-BE32-E72D297353CC}">
              <c16:uniqueId val="{00000000-D8B7-4B4E-B76C-0577FFA4FDB7}"/>
            </c:ext>
          </c:extLst>
        </c:ser>
        <c:ser>
          <c:idx val="1"/>
          <c:order val="1"/>
          <c:tx>
            <c:v>2000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report!$T$27:$T$47</c:f>
              <c:numCache>
                <c:formatCode>0.00</c:formatCode>
                <c:ptCount val="21"/>
                <c:pt idx="0">
                  <c:v>0.99213995641029917</c:v>
                </c:pt>
                <c:pt idx="1">
                  <c:v>1.1070102851120684</c:v>
                </c:pt>
                <c:pt idx="2">
                  <c:v>1.6007992876122028</c:v>
                </c:pt>
                <c:pt idx="3">
                  <c:v>1.640678156420921</c:v>
                </c:pt>
                <c:pt idx="4">
                  <c:v>1.5647076417771344</c:v>
                </c:pt>
                <c:pt idx="5">
                  <c:v>1.9317538808974484</c:v>
                </c:pt>
                <c:pt idx="6">
                  <c:v>1.8672098547442939</c:v>
                </c:pt>
                <c:pt idx="7">
                  <c:v>1.5790758175148389</c:v>
                </c:pt>
                <c:pt idx="8">
                  <c:v>1.3849573969411646</c:v>
                </c:pt>
                <c:pt idx="9">
                  <c:v>1.0854732428716292</c:v>
                </c:pt>
                <c:pt idx="10">
                  <c:v>1.7524109393515532</c:v>
                </c:pt>
                <c:pt idx="11">
                  <c:v>1.9485390125298145</c:v>
                </c:pt>
                <c:pt idx="12">
                  <c:v>0.99135782145102624</c:v>
                </c:pt>
                <c:pt idx="13">
                  <c:v>2.6951865953246297</c:v>
                </c:pt>
                <c:pt idx="14">
                  <c:v>4.217106015259791</c:v>
                </c:pt>
                <c:pt idx="15">
                  <c:v>7.0526114191829103</c:v>
                </c:pt>
                <c:pt idx="16">
                  <c:v>4.2793008950873341</c:v>
                </c:pt>
                <c:pt idx="17">
                  <c:v>5.5120309398335401</c:v>
                </c:pt>
                <c:pt idx="18">
                  <c:v>4.5376710591023759</c:v>
                </c:pt>
                <c:pt idx="19">
                  <c:v>3.5514759329583847</c:v>
                </c:pt>
                <c:pt idx="20">
                  <c:v>0.56080848436915898</c:v>
                </c:pt>
              </c:numCache>
            </c:numRef>
          </c:val>
          <c:smooth val="0"/>
          <c:extLst>
            <c:ext xmlns:c16="http://schemas.microsoft.com/office/drawing/2014/chart" uri="{C3380CC4-5D6E-409C-BE32-E72D297353CC}">
              <c16:uniqueId val="{00000001-D8B7-4B4E-B76C-0577FFA4FDB7}"/>
            </c:ext>
          </c:extLst>
        </c:ser>
        <c:ser>
          <c:idx val="2"/>
          <c:order val="2"/>
          <c:tx>
            <c:v>1000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report!$T$6:$T$26</c:f>
              <c:numCache>
                <c:formatCode>0.00</c:formatCode>
                <c:ptCount val="21"/>
                <c:pt idx="0">
                  <c:v>0.92033999471486638</c:v>
                </c:pt>
                <c:pt idx="1">
                  <c:v>0.44172339904612024</c:v>
                </c:pt>
                <c:pt idx="2">
                  <c:v>4.1182076228437565E-2</c:v>
                </c:pt>
                <c:pt idx="3">
                  <c:v>0.46665778734803615</c:v>
                </c:pt>
                <c:pt idx="4">
                  <c:v>3.6968049145015494</c:v>
                </c:pt>
                <c:pt idx="5">
                  <c:v>0.67057856716161002</c:v>
                </c:pt>
                <c:pt idx="6">
                  <c:v>0.31301570273832691</c:v>
                </c:pt>
                <c:pt idx="7">
                  <c:v>0.50656679697790419</c:v>
                </c:pt>
                <c:pt idx="8">
                  <c:v>0.59775757380824723</c:v>
                </c:pt>
                <c:pt idx="9">
                  <c:v>1.6366210913911674</c:v>
                </c:pt>
                <c:pt idx="10">
                  <c:v>1.7594283369976087</c:v>
                </c:pt>
                <c:pt idx="11">
                  <c:v>0.61840272179125355</c:v>
                </c:pt>
                <c:pt idx="12">
                  <c:v>0.29512819540762569</c:v>
                </c:pt>
                <c:pt idx="13">
                  <c:v>2.9264394515124654</c:v>
                </c:pt>
                <c:pt idx="14">
                  <c:v>5.3701729498261157</c:v>
                </c:pt>
                <c:pt idx="15">
                  <c:v>4.8002052826292418</c:v>
                </c:pt>
                <c:pt idx="16">
                  <c:v>3.9921042552788895</c:v>
                </c:pt>
                <c:pt idx="17">
                  <c:v>6.400775593568536</c:v>
                </c:pt>
                <c:pt idx="18">
                  <c:v>4.0425481301284991</c:v>
                </c:pt>
                <c:pt idx="19">
                  <c:v>3.2249894501883971</c:v>
                </c:pt>
                <c:pt idx="20">
                  <c:v>2.2053665124307543E-2</c:v>
                </c:pt>
              </c:numCache>
            </c:numRef>
          </c:val>
          <c:smooth val="0"/>
          <c:extLst>
            <c:ext xmlns:c16="http://schemas.microsoft.com/office/drawing/2014/chart" uri="{C3380CC4-5D6E-409C-BE32-E72D297353CC}">
              <c16:uniqueId val="{00000002-D8B7-4B4E-B76C-0577FFA4FDB7}"/>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report!$S$48:$S$68</c:f>
              <c:numCache>
                <c:formatCode>0.00</c:formatCode>
                <c:ptCount val="21"/>
                <c:pt idx="0">
                  <c:v>0.15028209208804422</c:v>
                </c:pt>
                <c:pt idx="1">
                  <c:v>0.11295932657487799</c:v>
                </c:pt>
                <c:pt idx="2">
                  <c:v>0.13264596379847507</c:v>
                </c:pt>
                <c:pt idx="3">
                  <c:v>0.13617093350592815</c:v>
                </c:pt>
                <c:pt idx="4">
                  <c:v>0.15058871369438354</c:v>
                </c:pt>
                <c:pt idx="5">
                  <c:v>0.17563124225061283</c:v>
                </c:pt>
                <c:pt idx="6">
                  <c:v>0.21326103370996455</c:v>
                </c:pt>
                <c:pt idx="7">
                  <c:v>0.18819726375455834</c:v>
                </c:pt>
                <c:pt idx="8">
                  <c:v>0.20607793768458177</c:v>
                </c:pt>
                <c:pt idx="9">
                  <c:v>0.19413663771017531</c:v>
                </c:pt>
                <c:pt idx="10">
                  <c:v>0.15605491442706573</c:v>
                </c:pt>
                <c:pt idx="11">
                  <c:v>0.21419968501232967</c:v>
                </c:pt>
                <c:pt idx="12">
                  <c:v>0.15596839822389827</c:v>
                </c:pt>
                <c:pt idx="13">
                  <c:v>0.21190288471941437</c:v>
                </c:pt>
                <c:pt idx="14">
                  <c:v>0.32614491560288844</c:v>
                </c:pt>
                <c:pt idx="15">
                  <c:v>0.55442350168116827</c:v>
                </c:pt>
                <c:pt idx="16">
                  <c:v>0.56150170583780146</c:v>
                </c:pt>
                <c:pt idx="17">
                  <c:v>0.50426489773461813</c:v>
                </c:pt>
                <c:pt idx="18">
                  <c:v>0.52598286663718519</c:v>
                </c:pt>
                <c:pt idx="19">
                  <c:v>0.85360600290086919</c:v>
                </c:pt>
                <c:pt idx="20">
                  <c:v>0.1696600965788056</c:v>
                </c:pt>
              </c:numCache>
            </c:numRef>
          </c:val>
          <c:smooth val="0"/>
          <c:extLst>
            <c:ext xmlns:c16="http://schemas.microsoft.com/office/drawing/2014/chart" uri="{C3380CC4-5D6E-409C-BE32-E72D297353CC}">
              <c16:uniqueId val="{00000000-19D9-4302-91C1-8902E6B1F21C}"/>
            </c:ext>
          </c:extLst>
        </c:ser>
        <c:ser>
          <c:idx val="1"/>
          <c:order val="1"/>
          <c:tx>
            <c:v>2000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report!$S$27:$S$47</c:f>
              <c:numCache>
                <c:formatCode>0.00</c:formatCode>
                <c:ptCount val="21"/>
                <c:pt idx="0">
                  <c:v>0.15069013038151605</c:v>
                </c:pt>
                <c:pt idx="1">
                  <c:v>0.16779742949199816</c:v>
                </c:pt>
                <c:pt idx="2">
                  <c:v>0.24276387668395044</c:v>
                </c:pt>
                <c:pt idx="3">
                  <c:v>0.25358832149762894</c:v>
                </c:pt>
                <c:pt idx="4">
                  <c:v>0.23524623171314968</c:v>
                </c:pt>
                <c:pt idx="5">
                  <c:v>0.28089996379282489</c:v>
                </c:pt>
                <c:pt idx="6">
                  <c:v>0.25954301288845283</c:v>
                </c:pt>
                <c:pt idx="7">
                  <c:v>0.25554923245982297</c:v>
                </c:pt>
                <c:pt idx="8">
                  <c:v>0.19617440653078258</c:v>
                </c:pt>
                <c:pt idx="9">
                  <c:v>0.158898777371943</c:v>
                </c:pt>
                <c:pt idx="10">
                  <c:v>0.26009981692910944</c:v>
                </c:pt>
                <c:pt idx="11">
                  <c:v>0.28613931011379301</c:v>
                </c:pt>
                <c:pt idx="12">
                  <c:v>0.14032687436818972</c:v>
                </c:pt>
                <c:pt idx="13">
                  <c:v>0.34881258659681708</c:v>
                </c:pt>
                <c:pt idx="14">
                  <c:v>0.55769176586701696</c:v>
                </c:pt>
                <c:pt idx="15">
                  <c:v>0.92314297886705821</c:v>
                </c:pt>
                <c:pt idx="16">
                  <c:v>0.54073627445474282</c:v>
                </c:pt>
                <c:pt idx="17">
                  <c:v>0.77499119648997861</c:v>
                </c:pt>
                <c:pt idx="18">
                  <c:v>0.63155307051220533</c:v>
                </c:pt>
                <c:pt idx="19">
                  <c:v>0.49396495736753232</c:v>
                </c:pt>
                <c:pt idx="20">
                  <c:v>9.1494818425682523E-2</c:v>
                </c:pt>
              </c:numCache>
            </c:numRef>
          </c:val>
          <c:smooth val="0"/>
          <c:extLst>
            <c:ext xmlns:c16="http://schemas.microsoft.com/office/drawing/2014/chart" uri="{C3380CC4-5D6E-409C-BE32-E72D297353CC}">
              <c16:uniqueId val="{00000001-19D9-4302-91C1-8902E6B1F21C}"/>
            </c:ext>
          </c:extLst>
        </c:ser>
        <c:ser>
          <c:idx val="2"/>
          <c:order val="2"/>
          <c:tx>
            <c:v>1000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report!$S$6:$S$26</c:f>
              <c:numCache>
                <c:formatCode>0.00</c:formatCode>
                <c:ptCount val="21"/>
                <c:pt idx="0">
                  <c:v>0.16086799458917073</c:v>
                </c:pt>
                <c:pt idx="1">
                  <c:v>6.8060152451307102E-2</c:v>
                </c:pt>
                <c:pt idx="2">
                  <c:v>5.1312134503962341E-3</c:v>
                </c:pt>
                <c:pt idx="3">
                  <c:v>6.9793824672617813E-2</c:v>
                </c:pt>
                <c:pt idx="4">
                  <c:v>0.59525771401685057</c:v>
                </c:pt>
                <c:pt idx="5">
                  <c:v>9.1423417749434688E-2</c:v>
                </c:pt>
                <c:pt idx="6">
                  <c:v>4.3118820082611274E-2</c:v>
                </c:pt>
                <c:pt idx="7">
                  <c:v>7.3432967346847067E-2</c:v>
                </c:pt>
                <c:pt idx="8">
                  <c:v>8.2161706627265671E-2</c:v>
                </c:pt>
                <c:pt idx="9">
                  <c:v>0.26083067759169637</c:v>
                </c:pt>
                <c:pt idx="10">
                  <c:v>0.27734832855490493</c:v>
                </c:pt>
                <c:pt idx="11">
                  <c:v>9.9641581218078729E-2</c:v>
                </c:pt>
                <c:pt idx="12">
                  <c:v>3.8418336321718996E-2</c:v>
                </c:pt>
                <c:pt idx="13">
                  <c:v>0.40255838736840183</c:v>
                </c:pt>
                <c:pt idx="14">
                  <c:v>0.75608304625233991</c:v>
                </c:pt>
                <c:pt idx="15">
                  <c:v>0.7154222867108786</c:v>
                </c:pt>
                <c:pt idx="16">
                  <c:v>0.61592428449722281</c:v>
                </c:pt>
                <c:pt idx="17">
                  <c:v>0.91112160521429031</c:v>
                </c:pt>
                <c:pt idx="18">
                  <c:v>0.59351441723680753</c:v>
                </c:pt>
                <c:pt idx="19">
                  <c:v>0.47976667020996883</c:v>
                </c:pt>
                <c:pt idx="20">
                  <c:v>2.8118564661399992E-3</c:v>
                </c:pt>
              </c:numCache>
            </c:numRef>
          </c:val>
          <c:smooth val="0"/>
          <c:extLst>
            <c:ext xmlns:c16="http://schemas.microsoft.com/office/drawing/2014/chart" uri="{C3380CC4-5D6E-409C-BE32-E72D297353CC}">
              <c16:uniqueId val="{00000002-19D9-4302-91C1-8902E6B1F21C}"/>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report!$U$48:$U$68</c:f>
              <c:numCache>
                <c:formatCode>0.00</c:formatCode>
                <c:ptCount val="21"/>
                <c:pt idx="0">
                  <c:v>1.714777165399094</c:v>
                </c:pt>
                <c:pt idx="1">
                  <c:v>1.3088359005470247</c:v>
                </c:pt>
                <c:pt idx="2">
                  <c:v>1.2759618241074091</c:v>
                </c:pt>
                <c:pt idx="3">
                  <c:v>1.3126768438972856</c:v>
                </c:pt>
                <c:pt idx="4">
                  <c:v>1.3881993974696007</c:v>
                </c:pt>
                <c:pt idx="5">
                  <c:v>1.2252891221977233</c:v>
                </c:pt>
                <c:pt idx="6">
                  <c:v>1.4131239508270823</c:v>
                </c:pt>
                <c:pt idx="7">
                  <c:v>1.4791461909124899</c:v>
                </c:pt>
                <c:pt idx="8">
                  <c:v>1.3592010811136306</c:v>
                </c:pt>
                <c:pt idx="9">
                  <c:v>1.4126339823949343</c:v>
                </c:pt>
                <c:pt idx="10">
                  <c:v>1.4269112130217538</c:v>
                </c:pt>
                <c:pt idx="11">
                  <c:v>1.7807659498091395</c:v>
                </c:pt>
                <c:pt idx="12">
                  <c:v>1.5948386665732184</c:v>
                </c:pt>
                <c:pt idx="13">
                  <c:v>1.9941894745623878</c:v>
                </c:pt>
                <c:pt idx="14">
                  <c:v>4.5199391619038973</c:v>
                </c:pt>
                <c:pt idx="15">
                  <c:v>10.687117193997013</c:v>
                </c:pt>
                <c:pt idx="16">
                  <c:v>9.2124652687595603</c:v>
                </c:pt>
                <c:pt idx="17">
                  <c:v>8.4290476161658994</c:v>
                </c:pt>
                <c:pt idx="18">
                  <c:v>9.4363240627543821</c:v>
                </c:pt>
                <c:pt idx="19">
                  <c:v>13.331241145896021</c:v>
                </c:pt>
                <c:pt idx="20">
                  <c:v>3.4307499011564127</c:v>
                </c:pt>
              </c:numCache>
            </c:numRef>
          </c:val>
          <c:smooth val="0"/>
          <c:extLst>
            <c:ext xmlns:c16="http://schemas.microsoft.com/office/drawing/2014/chart" uri="{C3380CC4-5D6E-409C-BE32-E72D297353CC}">
              <c16:uniqueId val="{00000000-BABD-4026-80EB-9BDE3695F15E}"/>
            </c:ext>
          </c:extLst>
        </c:ser>
        <c:ser>
          <c:idx val="1"/>
          <c:order val="1"/>
          <c:tx>
            <c:v>2000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report!$U$27:$U$47</c:f>
              <c:numCache>
                <c:formatCode>0.00</c:formatCode>
                <c:ptCount val="21"/>
                <c:pt idx="0">
                  <c:v>1.6435538431615127</c:v>
                </c:pt>
                <c:pt idx="1">
                  <c:v>1.4105042598986957</c:v>
                </c:pt>
                <c:pt idx="2">
                  <c:v>1.4352273388998924</c:v>
                </c:pt>
                <c:pt idx="3">
                  <c:v>1.4993565327418281</c:v>
                </c:pt>
                <c:pt idx="4">
                  <c:v>1.3538660585302982</c:v>
                </c:pt>
                <c:pt idx="5">
                  <c:v>1.3154970278467433</c:v>
                </c:pt>
                <c:pt idx="6">
                  <c:v>1.1164415652316251</c:v>
                </c:pt>
                <c:pt idx="7">
                  <c:v>1.2266850161937033</c:v>
                </c:pt>
                <c:pt idx="8">
                  <c:v>1.0384466779925141</c:v>
                </c:pt>
                <c:pt idx="9">
                  <c:v>1.1605617924976366</c:v>
                </c:pt>
                <c:pt idx="10">
                  <c:v>2.1691463566955664</c:v>
                </c:pt>
                <c:pt idx="11">
                  <c:v>2.0143826567796896</c:v>
                </c:pt>
                <c:pt idx="12">
                  <c:v>1.1494221969104708</c:v>
                </c:pt>
                <c:pt idx="13">
                  <c:v>2.6065300297346381</c:v>
                </c:pt>
                <c:pt idx="14">
                  <c:v>8.7080552150011155</c:v>
                </c:pt>
                <c:pt idx="15">
                  <c:v>14.920956880804015</c:v>
                </c:pt>
                <c:pt idx="16">
                  <c:v>8.2548645456832652</c:v>
                </c:pt>
                <c:pt idx="17">
                  <c:v>12.046369364319256</c:v>
                </c:pt>
                <c:pt idx="18">
                  <c:v>10.538840385927548</c:v>
                </c:pt>
                <c:pt idx="19">
                  <c:v>5.7645755577030329</c:v>
                </c:pt>
                <c:pt idx="20">
                  <c:v>0.61056798375775456</c:v>
                </c:pt>
              </c:numCache>
            </c:numRef>
          </c:val>
          <c:smooth val="0"/>
          <c:extLst>
            <c:ext xmlns:c16="http://schemas.microsoft.com/office/drawing/2014/chart" uri="{C3380CC4-5D6E-409C-BE32-E72D297353CC}">
              <c16:uniqueId val="{00000001-BABD-4026-80EB-9BDE3695F15E}"/>
            </c:ext>
          </c:extLst>
        </c:ser>
        <c:ser>
          <c:idx val="2"/>
          <c:order val="2"/>
          <c:tx>
            <c:v>1000</c:v>
          </c:tx>
          <c:cat>
            <c:numRef>
              <c:f>main!$U$7:$U$27</c:f>
              <c:numCache>
                <c:formatCode>m/d/yyyy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report!$U$6:$U$26</c:f>
              <c:numCache>
                <c:formatCode>0.00</c:formatCode>
                <c:ptCount val="21"/>
                <c:pt idx="0">
                  <c:v>0.66301538665251747</c:v>
                </c:pt>
                <c:pt idx="1">
                  <c:v>0.17387525352267777</c:v>
                </c:pt>
                <c:pt idx="2">
                  <c:v>3.5268301797923831E-3</c:v>
                </c:pt>
                <c:pt idx="3">
                  <c:v>0.18104492209768597</c:v>
                </c:pt>
                <c:pt idx="4">
                  <c:v>1.8862601551823936</c:v>
                </c:pt>
                <c:pt idx="5">
                  <c:v>9.6584633330338079E-2</c:v>
                </c:pt>
                <c:pt idx="6">
                  <c:v>0.10242930526545989</c:v>
                </c:pt>
                <c:pt idx="7">
                  <c:v>0.22446684101514514</c:v>
                </c:pt>
                <c:pt idx="8">
                  <c:v>0.29434214298507327</c:v>
                </c:pt>
                <c:pt idx="9">
                  <c:v>1.2375226279296299</c:v>
                </c:pt>
                <c:pt idx="10">
                  <c:v>1.6544973442460769</c:v>
                </c:pt>
                <c:pt idx="11">
                  <c:v>0.33953771306070463</c:v>
                </c:pt>
                <c:pt idx="12">
                  <c:v>0.1213311386152834</c:v>
                </c:pt>
                <c:pt idx="13">
                  <c:v>2.3689682625318471</c:v>
                </c:pt>
                <c:pt idx="14">
                  <c:v>10.043455244849188</c:v>
                </c:pt>
                <c:pt idx="15">
                  <c:v>4.8625825753333576</c:v>
                </c:pt>
                <c:pt idx="16">
                  <c:v>4.3852958052990463</c:v>
                </c:pt>
                <c:pt idx="17">
                  <c:v>11.623369264807765</c:v>
                </c:pt>
                <c:pt idx="18">
                  <c:v>5.8748179808027006</c:v>
                </c:pt>
                <c:pt idx="19">
                  <c:v>3.1758512450113141</c:v>
                </c:pt>
                <c:pt idx="20">
                  <c:v>1.0223447070234287E-2</c:v>
                </c:pt>
              </c:numCache>
            </c:numRef>
          </c:val>
          <c:smooth val="0"/>
          <c:extLst>
            <c:ext xmlns:c16="http://schemas.microsoft.com/office/drawing/2014/chart" uri="{C3380CC4-5D6E-409C-BE32-E72D297353CC}">
              <c16:uniqueId val="{00000002-BABD-4026-80EB-9BDE3695F15E}"/>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21" Type="http://schemas.openxmlformats.org/officeDocument/2006/relationships/chart" Target="../charts/chart24.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5" Type="http://schemas.openxmlformats.org/officeDocument/2006/relationships/chart" Target="../charts/chart28.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24" Type="http://schemas.openxmlformats.org/officeDocument/2006/relationships/chart" Target="../charts/chart27.xml"/><Relationship Id="rId5" Type="http://schemas.openxmlformats.org/officeDocument/2006/relationships/chart" Target="../charts/chart8.xml"/><Relationship Id="rId15" Type="http://schemas.openxmlformats.org/officeDocument/2006/relationships/chart" Target="../charts/chart18.xml"/><Relationship Id="rId23" Type="http://schemas.openxmlformats.org/officeDocument/2006/relationships/chart" Target="../charts/chart26.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 Id="rId22"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514350</xdr:colOff>
      <xdr:row>26</xdr:row>
      <xdr:rowOff>28575</xdr:rowOff>
    </xdr:to>
    <xdr:graphicFrame macro="">
      <xdr:nvGraphicFramePr>
        <xdr:cNvPr id="2" name="Chart 6">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85725</xdr:colOff>
      <xdr:row>23</xdr:row>
      <xdr:rowOff>142875</xdr:rowOff>
    </xdr:from>
    <xdr:to>
      <xdr:col>42</xdr:col>
      <xdr:colOff>473075</xdr:colOff>
      <xdr:row>44</xdr:row>
      <xdr:rowOff>25400</xdr:rowOff>
    </xdr:to>
    <xdr:graphicFrame macro="">
      <xdr:nvGraphicFramePr>
        <xdr:cNvPr id="2" name="Chart 1">
          <a:extLst>
            <a:ext uri="{FF2B5EF4-FFF2-40B4-BE49-F238E27FC236}">
              <a16:creationId xmlns:a16="http://schemas.microsoft.com/office/drawing/2014/main" id="{381AA013-5DA4-485A-89DC-13144544D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266700</xdr:colOff>
      <xdr:row>5</xdr:row>
      <xdr:rowOff>66675</xdr:rowOff>
    </xdr:from>
    <xdr:to>
      <xdr:col>15</xdr:col>
      <xdr:colOff>1447800</xdr:colOff>
      <xdr:row>25</xdr:row>
      <xdr:rowOff>149225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596900</xdr:colOff>
      <xdr:row>13</xdr:row>
      <xdr:rowOff>177800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12</xdr:col>
      <xdr:colOff>596900</xdr:colOff>
      <xdr:row>28</xdr:row>
      <xdr:rowOff>25400</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29</xdr:row>
      <xdr:rowOff>0</xdr:rowOff>
    </xdr:from>
    <xdr:to>
      <xdr:col>12</xdr:col>
      <xdr:colOff>635000</xdr:colOff>
      <xdr:row>42</xdr:row>
      <xdr:rowOff>25400</xdr:rowOff>
    </xdr:to>
    <xdr:graphicFrame macro="">
      <xdr:nvGraphicFramePr>
        <xdr:cNvPr id="4" name="Chart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12</xdr:col>
      <xdr:colOff>596900</xdr:colOff>
      <xdr:row>56</xdr:row>
      <xdr:rowOff>25400</xdr:rowOff>
    </xdr:to>
    <xdr:graphicFrame macro="">
      <xdr:nvGraphicFramePr>
        <xdr:cNvPr id="5" name="Chart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0</xdr:rowOff>
    </xdr:from>
    <xdr:to>
      <xdr:col>12</xdr:col>
      <xdr:colOff>596900</xdr:colOff>
      <xdr:row>70</xdr:row>
      <xdr:rowOff>25400</xdr:rowOff>
    </xdr:to>
    <xdr:graphicFrame macro="">
      <xdr:nvGraphicFramePr>
        <xdr:cNvPr id="6" name="Chart 5">
          <a:extLst>
            <a:ext uri="{FF2B5EF4-FFF2-40B4-BE49-F238E27FC236}">
              <a16:creationId xmlns:a16="http://schemas.microsoft.com/office/drawing/2014/main" id="{00000000-0008-0000-1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71</xdr:row>
      <xdr:rowOff>0</xdr:rowOff>
    </xdr:from>
    <xdr:to>
      <xdr:col>12</xdr:col>
      <xdr:colOff>596900</xdr:colOff>
      <xdr:row>84</xdr:row>
      <xdr:rowOff>25400</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84</xdr:row>
      <xdr:rowOff>177800</xdr:rowOff>
    </xdr:from>
    <xdr:to>
      <xdr:col>6</xdr:col>
      <xdr:colOff>0</xdr:colOff>
      <xdr:row>99</xdr:row>
      <xdr:rowOff>63500</xdr:rowOff>
    </xdr:to>
    <xdr:graphicFrame macro="">
      <xdr:nvGraphicFramePr>
        <xdr:cNvPr id="9" name="Chart 8">
          <a:extLst>
            <a:ext uri="{FF2B5EF4-FFF2-40B4-BE49-F238E27FC236}">
              <a16:creationId xmlns:a16="http://schemas.microsoft.com/office/drawing/2014/main" id="{00000000-0008-0000-1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85</xdr:row>
      <xdr:rowOff>0</xdr:rowOff>
    </xdr:from>
    <xdr:to>
      <xdr:col>12</xdr:col>
      <xdr:colOff>622300</xdr:colOff>
      <xdr:row>99</xdr:row>
      <xdr:rowOff>76200</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63500</xdr:colOff>
      <xdr:row>99</xdr:row>
      <xdr:rowOff>76200</xdr:rowOff>
    </xdr:from>
    <xdr:to>
      <xdr:col>12</xdr:col>
      <xdr:colOff>685800</xdr:colOff>
      <xdr:row>113</xdr:row>
      <xdr:rowOff>152400</xdr:rowOff>
    </xdr:to>
    <xdr:graphicFrame macro="">
      <xdr:nvGraphicFramePr>
        <xdr:cNvPr id="11" name="Chart 10">
          <a:extLst>
            <a:ext uri="{FF2B5EF4-FFF2-40B4-BE49-F238E27FC236}">
              <a16:creationId xmlns:a16="http://schemas.microsoft.com/office/drawing/2014/main" id="{00000000-0008-0000-1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38100</xdr:colOff>
      <xdr:row>99</xdr:row>
      <xdr:rowOff>88900</xdr:rowOff>
    </xdr:from>
    <xdr:to>
      <xdr:col>6</xdr:col>
      <xdr:colOff>12700</xdr:colOff>
      <xdr:row>113</xdr:row>
      <xdr:rowOff>165100</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131</xdr:row>
      <xdr:rowOff>57150</xdr:rowOff>
    </xdr:from>
    <xdr:to>
      <xdr:col>5</xdr:col>
      <xdr:colOff>473075</xdr:colOff>
      <xdr:row>145</xdr:row>
      <xdr:rowOff>133350</xdr:rowOff>
    </xdr:to>
    <xdr:graphicFrame macro="">
      <xdr:nvGraphicFramePr>
        <xdr:cNvPr id="13" name="Chart 12">
          <a:extLst>
            <a:ext uri="{FF2B5EF4-FFF2-40B4-BE49-F238E27FC236}">
              <a16:creationId xmlns:a16="http://schemas.microsoft.com/office/drawing/2014/main" id="{00000000-0008-0000-1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115</xdr:row>
      <xdr:rowOff>28575</xdr:rowOff>
    </xdr:from>
    <xdr:to>
      <xdr:col>5</xdr:col>
      <xdr:colOff>511175</xdr:colOff>
      <xdr:row>129</xdr:row>
      <xdr:rowOff>104775</xdr:rowOff>
    </xdr:to>
    <xdr:graphicFrame macro="">
      <xdr:nvGraphicFramePr>
        <xdr:cNvPr id="14" name="Chart 13">
          <a:extLst>
            <a:ext uri="{FF2B5EF4-FFF2-40B4-BE49-F238E27FC236}">
              <a16:creationId xmlns:a16="http://schemas.microsoft.com/office/drawing/2014/main" id="{00000000-0008-0000-1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151</xdr:row>
      <xdr:rowOff>130175</xdr:rowOff>
    </xdr:from>
    <xdr:to>
      <xdr:col>5</xdr:col>
      <xdr:colOff>444500</xdr:colOff>
      <xdr:row>166</xdr:row>
      <xdr:rowOff>6350</xdr:rowOff>
    </xdr:to>
    <xdr:graphicFrame macro="">
      <xdr:nvGraphicFramePr>
        <xdr:cNvPr id="17" name="Chart 16">
          <a:extLst>
            <a:ext uri="{FF2B5EF4-FFF2-40B4-BE49-F238E27FC236}">
              <a16:creationId xmlns:a16="http://schemas.microsoft.com/office/drawing/2014/main" id="{00000000-0008-0000-1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133350</xdr:rowOff>
    </xdr:from>
    <xdr:to>
      <xdr:col>7</xdr:col>
      <xdr:colOff>673100</xdr:colOff>
      <xdr:row>183</xdr:row>
      <xdr:rowOff>98425</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152400</xdr:colOff>
      <xdr:row>167</xdr:row>
      <xdr:rowOff>47625</xdr:rowOff>
    </xdr:from>
    <xdr:to>
      <xdr:col>22</xdr:col>
      <xdr:colOff>825500</xdr:colOff>
      <xdr:row>183</xdr:row>
      <xdr:rowOff>12700</xdr:rowOff>
    </xdr:to>
    <xdr:graphicFrame macro="">
      <xdr:nvGraphicFramePr>
        <xdr:cNvPr id="16" name="Chart 15">
          <a:extLst>
            <a:ext uri="{FF2B5EF4-FFF2-40B4-BE49-F238E27FC236}">
              <a16:creationId xmlns:a16="http://schemas.microsoft.com/office/drawing/2014/main" id="{6D1D8526-8E57-4474-9FE8-3066BDAAD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638175</xdr:colOff>
      <xdr:row>167</xdr:row>
      <xdr:rowOff>47625</xdr:rowOff>
    </xdr:from>
    <xdr:to>
      <xdr:col>15</xdr:col>
      <xdr:colOff>473075</xdr:colOff>
      <xdr:row>183</xdr:row>
      <xdr:rowOff>12700</xdr:rowOff>
    </xdr:to>
    <xdr:graphicFrame macro="">
      <xdr:nvGraphicFramePr>
        <xdr:cNvPr id="18" name="Chart 17">
          <a:extLst>
            <a:ext uri="{FF2B5EF4-FFF2-40B4-BE49-F238E27FC236}">
              <a16:creationId xmlns:a16="http://schemas.microsoft.com/office/drawing/2014/main" id="{0B2497DC-6AF7-48BF-804D-40D16F2F6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733425</xdr:colOff>
      <xdr:row>115</xdr:row>
      <xdr:rowOff>57150</xdr:rowOff>
    </xdr:from>
    <xdr:to>
      <xdr:col>11</xdr:col>
      <xdr:colOff>339725</xdr:colOff>
      <xdr:row>129</xdr:row>
      <xdr:rowOff>133350</xdr:rowOff>
    </xdr:to>
    <xdr:graphicFrame macro="">
      <xdr:nvGraphicFramePr>
        <xdr:cNvPr id="19" name="Chart 18">
          <a:extLst>
            <a:ext uri="{FF2B5EF4-FFF2-40B4-BE49-F238E27FC236}">
              <a16:creationId xmlns:a16="http://schemas.microsoft.com/office/drawing/2014/main" id="{157BA0D2-2169-4F1B-97C8-93B8F9A66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476250</xdr:colOff>
      <xdr:row>115</xdr:row>
      <xdr:rowOff>85725</xdr:rowOff>
    </xdr:from>
    <xdr:to>
      <xdr:col>17</xdr:col>
      <xdr:colOff>82550</xdr:colOff>
      <xdr:row>129</xdr:row>
      <xdr:rowOff>161925</xdr:rowOff>
    </xdr:to>
    <xdr:graphicFrame macro="">
      <xdr:nvGraphicFramePr>
        <xdr:cNvPr id="20" name="Chart 19">
          <a:extLst>
            <a:ext uri="{FF2B5EF4-FFF2-40B4-BE49-F238E27FC236}">
              <a16:creationId xmlns:a16="http://schemas.microsoft.com/office/drawing/2014/main" id="{424B837D-8C1B-407C-8DBE-9290E62B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131</xdr:row>
      <xdr:rowOff>0</xdr:rowOff>
    </xdr:from>
    <xdr:to>
      <xdr:col>11</xdr:col>
      <xdr:colOff>444500</xdr:colOff>
      <xdr:row>145</xdr:row>
      <xdr:rowOff>76200</xdr:rowOff>
    </xdr:to>
    <xdr:graphicFrame macro="">
      <xdr:nvGraphicFramePr>
        <xdr:cNvPr id="21" name="Chart 20">
          <a:extLst>
            <a:ext uri="{FF2B5EF4-FFF2-40B4-BE49-F238E27FC236}">
              <a16:creationId xmlns:a16="http://schemas.microsoft.com/office/drawing/2014/main" id="{C1D499C1-CA78-4365-A0D1-B803E8040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131</xdr:row>
      <xdr:rowOff>0</xdr:rowOff>
    </xdr:from>
    <xdr:to>
      <xdr:col>17</xdr:col>
      <xdr:colOff>444500</xdr:colOff>
      <xdr:row>145</xdr:row>
      <xdr:rowOff>76200</xdr:rowOff>
    </xdr:to>
    <xdr:graphicFrame macro="">
      <xdr:nvGraphicFramePr>
        <xdr:cNvPr id="22" name="Chart 21">
          <a:extLst>
            <a:ext uri="{FF2B5EF4-FFF2-40B4-BE49-F238E27FC236}">
              <a16:creationId xmlns:a16="http://schemas.microsoft.com/office/drawing/2014/main" id="{08FF3CCE-613D-4DE8-A1AC-1E6DB0EDD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0</xdr:colOff>
      <xdr:row>152</xdr:row>
      <xdr:rowOff>0</xdr:rowOff>
    </xdr:from>
    <xdr:to>
      <xdr:col>11</xdr:col>
      <xdr:colOff>444500</xdr:colOff>
      <xdr:row>166</xdr:row>
      <xdr:rowOff>76200</xdr:rowOff>
    </xdr:to>
    <xdr:graphicFrame macro="">
      <xdr:nvGraphicFramePr>
        <xdr:cNvPr id="23" name="Chart 22">
          <a:extLst>
            <a:ext uri="{FF2B5EF4-FFF2-40B4-BE49-F238E27FC236}">
              <a16:creationId xmlns:a16="http://schemas.microsoft.com/office/drawing/2014/main" id="{F23DE380-3AF3-4849-866F-FADE90369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0</xdr:colOff>
      <xdr:row>152</xdr:row>
      <xdr:rowOff>0</xdr:rowOff>
    </xdr:from>
    <xdr:to>
      <xdr:col>17</xdr:col>
      <xdr:colOff>444500</xdr:colOff>
      <xdr:row>166</xdr:row>
      <xdr:rowOff>76200</xdr:rowOff>
    </xdr:to>
    <xdr:graphicFrame macro="">
      <xdr:nvGraphicFramePr>
        <xdr:cNvPr id="24" name="Chart 23">
          <a:extLst>
            <a:ext uri="{FF2B5EF4-FFF2-40B4-BE49-F238E27FC236}">
              <a16:creationId xmlns:a16="http://schemas.microsoft.com/office/drawing/2014/main" id="{A7FFB06B-577B-4BC0-8A78-920B9A78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185</xdr:row>
      <xdr:rowOff>0</xdr:rowOff>
    </xdr:from>
    <xdr:to>
      <xdr:col>7</xdr:col>
      <xdr:colOff>355600</xdr:colOff>
      <xdr:row>198</xdr:row>
      <xdr:rowOff>187325</xdr:rowOff>
    </xdr:to>
    <xdr:graphicFrame macro="">
      <xdr:nvGraphicFramePr>
        <xdr:cNvPr id="25" name="Chart 24">
          <a:extLst>
            <a:ext uri="{FF2B5EF4-FFF2-40B4-BE49-F238E27FC236}">
              <a16:creationId xmlns:a16="http://schemas.microsoft.com/office/drawing/2014/main" id="{0A71FA3C-8F52-4669-A8C6-3963D33C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16</xdr:col>
      <xdr:colOff>0</xdr:colOff>
      <xdr:row>6</xdr:row>
      <xdr:rowOff>0</xdr:rowOff>
    </xdr:from>
    <xdr:to>
      <xdr:col>25</xdr:col>
      <xdr:colOff>600075</xdr:colOff>
      <xdr:row>26</xdr:row>
      <xdr:rowOff>85725</xdr:rowOff>
    </xdr:to>
    <xdr:graphicFrame macro="">
      <xdr:nvGraphicFramePr>
        <xdr:cNvPr id="26" name="Chart 25">
          <a:extLst>
            <a:ext uri="{FF2B5EF4-FFF2-40B4-BE49-F238E27FC236}">
              <a16:creationId xmlns:a16="http://schemas.microsoft.com/office/drawing/2014/main" id="{A6318820-CF42-4215-9B5F-AC816A1EF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28</xdr:row>
      <xdr:rowOff>0</xdr:rowOff>
    </xdr:from>
    <xdr:to>
      <xdr:col>25</xdr:col>
      <xdr:colOff>596900</xdr:colOff>
      <xdr:row>48</xdr:row>
      <xdr:rowOff>82550</xdr:rowOff>
    </xdr:to>
    <xdr:graphicFrame macro="">
      <xdr:nvGraphicFramePr>
        <xdr:cNvPr id="27" name="Chart 26">
          <a:extLst>
            <a:ext uri="{FF2B5EF4-FFF2-40B4-BE49-F238E27FC236}">
              <a16:creationId xmlns:a16="http://schemas.microsoft.com/office/drawing/2014/main" id="{43F7CC15-CBAD-437F-B3B2-8D783071D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52"/>
  <sheetViews>
    <sheetView workbookViewId="0">
      <selection activeCell="G18" sqref="G18"/>
    </sheetView>
  </sheetViews>
  <sheetFormatPr defaultColWidth="11" defaultRowHeight="15.5"/>
  <cols>
    <col min="1" max="1" width="54.83203125" customWidth="1"/>
    <col min="2" max="2" width="31" customWidth="1"/>
    <col min="3" max="3" width="32" customWidth="1"/>
    <col min="4" max="4" width="12.5" customWidth="1"/>
    <col min="5" max="5" width="19.5" customWidth="1"/>
    <col min="6" max="6" width="10" customWidth="1"/>
    <col min="7" max="7" width="11" customWidth="1"/>
  </cols>
  <sheetData>
    <row r="1" spans="1:7">
      <c r="A1" s="1" t="s">
        <v>0</v>
      </c>
    </row>
    <row r="3" spans="1:7">
      <c r="A3" t="s">
        <v>1</v>
      </c>
    </row>
    <row r="4" spans="1:7">
      <c r="A4" t="s">
        <v>2</v>
      </c>
      <c r="C4">
        <v>250</v>
      </c>
    </row>
    <row r="5" spans="1:7">
      <c r="A5" t="s">
        <v>3</v>
      </c>
    </row>
    <row r="7" spans="1:7">
      <c r="B7" s="2" t="s">
        <v>4</v>
      </c>
      <c r="C7" s="2" t="s">
        <v>5</v>
      </c>
      <c r="D7" s="2" t="s">
        <v>6</v>
      </c>
      <c r="E7" s="1" t="s">
        <v>7</v>
      </c>
      <c r="F7" s="3" t="s">
        <v>8</v>
      </c>
      <c r="G7" s="17"/>
    </row>
    <row r="8" spans="1:7">
      <c r="A8" s="4" t="s">
        <v>9</v>
      </c>
      <c r="B8" s="4">
        <v>40</v>
      </c>
      <c r="C8" s="18">
        <f>6.67*20</f>
        <v>133.4</v>
      </c>
      <c r="D8" s="5">
        <f>C8/20</f>
        <v>6.67</v>
      </c>
      <c r="E8" s="6">
        <f>((C8/20)+35)/4-(((C8/20)+35)/4)*10/250</f>
        <v>10.0008</v>
      </c>
      <c r="F8" s="6">
        <f>E8*4</f>
        <v>40.0032</v>
      </c>
    </row>
    <row r="9" spans="1:7">
      <c r="A9" s="8" t="s">
        <v>10</v>
      </c>
      <c r="B9" s="8">
        <v>2</v>
      </c>
      <c r="C9" s="9">
        <f>(B9/100*4+B9)*20</f>
        <v>41.6</v>
      </c>
      <c r="D9" s="10">
        <f t="shared" ref="D9:D11" si="0">C9/20</f>
        <v>2.08</v>
      </c>
      <c r="E9" s="11">
        <f>(((C9)/20)*0.25)-(((C9)/20)*0.25)*(10/250)</f>
        <v>0.49920000000000003</v>
      </c>
      <c r="F9" s="11">
        <f>E9*4</f>
        <v>1.9968000000000001</v>
      </c>
      <c r="G9" t="s">
        <v>11</v>
      </c>
    </row>
    <row r="10" spans="1:7">
      <c r="A10" s="8" t="s">
        <v>12</v>
      </c>
      <c r="B10" s="8">
        <v>0.22</v>
      </c>
      <c r="C10" s="9">
        <f>(B10/100*4+B10)*20</f>
        <v>4.5760000000000005</v>
      </c>
      <c r="D10" s="10">
        <f t="shared" si="0"/>
        <v>0.22880000000000003</v>
      </c>
      <c r="E10" s="11">
        <f>(((C10)/20)*0.25)-(((C10)/20)*0.25)*(10/250)</f>
        <v>5.4912000000000009E-2</v>
      </c>
      <c r="F10" s="11">
        <f>E10*4</f>
        <v>0.21964800000000004</v>
      </c>
    </row>
    <row r="11" spans="1:7">
      <c r="A11" s="8" t="s">
        <v>13</v>
      </c>
      <c r="B11" s="8">
        <v>3</v>
      </c>
      <c r="C11" s="19">
        <v>0</v>
      </c>
      <c r="D11" s="10">
        <f t="shared" si="0"/>
        <v>0</v>
      </c>
      <c r="E11" s="11">
        <f>0.73</f>
        <v>0.73</v>
      </c>
      <c r="F11" s="11">
        <f>E11*4</f>
        <v>2.92</v>
      </c>
    </row>
    <row r="12" spans="1:7">
      <c r="A12" s="8" t="s">
        <v>14</v>
      </c>
      <c r="B12" s="12" t="s">
        <v>15</v>
      </c>
      <c r="C12" s="9">
        <v>0</v>
      </c>
      <c r="D12" s="10"/>
      <c r="E12" s="11">
        <v>0</v>
      </c>
      <c r="F12" s="11"/>
    </row>
    <row r="13" spans="1:7">
      <c r="A13" s="13"/>
      <c r="B13" s="13"/>
      <c r="C13" s="20"/>
      <c r="D13" s="14"/>
      <c r="E13" s="15"/>
      <c r="F13" s="21"/>
    </row>
    <row r="14" spans="1:7">
      <c r="A14" t="s">
        <v>16</v>
      </c>
      <c r="C14" s="7">
        <f>3/4</f>
        <v>0.75</v>
      </c>
      <c r="D14" s="7"/>
      <c r="E14" t="s">
        <v>17</v>
      </c>
    </row>
    <row r="15" spans="1:7">
      <c r="A15" s="16" t="s">
        <v>18</v>
      </c>
      <c r="B15" s="16">
        <f>10*21*3</f>
        <v>630</v>
      </c>
      <c r="C15" s="16">
        <f>7.3*6.3</f>
        <v>45.989999999999995</v>
      </c>
      <c r="D15" s="16" t="s">
        <v>19</v>
      </c>
    </row>
    <row r="16" spans="1:7">
      <c r="A16" s="16" t="s">
        <v>20</v>
      </c>
      <c r="B16" s="16">
        <f>0.25*3*21</f>
        <v>15.75</v>
      </c>
      <c r="C16" s="16" t="s">
        <v>21</v>
      </c>
      <c r="D16" s="16"/>
    </row>
    <row r="17" spans="1:7">
      <c r="A17" t="s">
        <v>22</v>
      </c>
    </row>
    <row r="19" spans="1:7">
      <c r="A19" s="22" t="s">
        <v>23</v>
      </c>
      <c r="B19" s="30"/>
      <c r="C19" s="31"/>
    </row>
    <row r="20" spans="1:7">
      <c r="A20" s="8" t="s">
        <v>24</v>
      </c>
      <c r="C20" s="32"/>
    </row>
    <row r="21" spans="1:7">
      <c r="A21" s="33" t="s">
        <v>25</v>
      </c>
      <c r="B21" s="17" t="s">
        <v>26</v>
      </c>
      <c r="C21" s="34" t="s">
        <v>27</v>
      </c>
    </row>
    <row r="22" spans="1:7">
      <c r="A22" s="23" t="s">
        <v>9</v>
      </c>
      <c r="B22" s="24">
        <v>66.7</v>
      </c>
      <c r="C22" s="25" t="s">
        <v>28</v>
      </c>
      <c r="D22" s="2"/>
      <c r="E22" s="1"/>
    </row>
    <row r="23" spans="1:7">
      <c r="A23" s="26" t="s">
        <v>10</v>
      </c>
      <c r="B23" s="26">
        <v>20.8</v>
      </c>
      <c r="C23" s="27" t="s">
        <v>29</v>
      </c>
      <c r="D23" s="7"/>
      <c r="E23" s="7"/>
      <c r="F23" s="7"/>
      <c r="G23" s="7"/>
    </row>
    <row r="24" spans="1:7">
      <c r="A24" s="28" t="s">
        <v>12</v>
      </c>
      <c r="B24" s="28">
        <v>2.29</v>
      </c>
      <c r="C24" s="29" t="s">
        <v>30</v>
      </c>
      <c r="D24" s="7"/>
      <c r="E24" s="7"/>
      <c r="F24" s="7"/>
      <c r="G24" s="7"/>
    </row>
    <row r="25" spans="1:7">
      <c r="C25" s="7"/>
      <c r="D25" s="7"/>
      <c r="E25" s="7"/>
      <c r="F25" s="7"/>
      <c r="G25" s="7"/>
    </row>
    <row r="26" spans="1:7" s="42" customFormat="1" ht="18.5">
      <c r="A26" s="42" t="s">
        <v>31</v>
      </c>
    </row>
    <row r="27" spans="1:7">
      <c r="A27" s="35" t="s">
        <v>32</v>
      </c>
    </row>
    <row r="28" spans="1:7">
      <c r="A28" s="35" t="s">
        <v>33</v>
      </c>
    </row>
    <row r="29" spans="1:7">
      <c r="A29" s="35" t="s">
        <v>34</v>
      </c>
    </row>
    <row r="30" spans="1:7">
      <c r="A30" s="35" t="s">
        <v>35</v>
      </c>
    </row>
    <row r="31" spans="1:7">
      <c r="A31" s="35" t="s">
        <v>36</v>
      </c>
    </row>
    <row r="32" spans="1:7">
      <c r="A32" s="35" t="s">
        <v>37</v>
      </c>
    </row>
    <row r="33" spans="1:7">
      <c r="A33" s="35" t="s">
        <v>38</v>
      </c>
    </row>
    <row r="35" spans="1:7">
      <c r="A35" s="36" t="s">
        <v>39</v>
      </c>
      <c r="B35" s="36" t="s">
        <v>40</v>
      </c>
      <c r="C35" s="36" t="s">
        <v>41</v>
      </c>
      <c r="D35" s="36" t="s">
        <v>42</v>
      </c>
      <c r="E35" s="36" t="s">
        <v>43</v>
      </c>
      <c r="F35" s="36" t="s">
        <v>44</v>
      </c>
      <c r="G35" s="37" t="s">
        <v>45</v>
      </c>
    </row>
    <row r="36" spans="1:7">
      <c r="A36" s="36" t="s">
        <v>46</v>
      </c>
      <c r="B36" s="38">
        <v>33.409999999999997</v>
      </c>
      <c r="C36" s="38">
        <v>2.2799999999999998</v>
      </c>
      <c r="D36" s="38">
        <v>96.1</v>
      </c>
      <c r="E36" s="38">
        <v>0.01</v>
      </c>
      <c r="F36" s="38">
        <v>6.0000000000000001E-3</v>
      </c>
      <c r="G36" s="39">
        <v>1</v>
      </c>
    </row>
    <row r="37" spans="1:7">
      <c r="A37" s="36" t="s">
        <v>47</v>
      </c>
      <c r="B37" s="38">
        <v>33.43</v>
      </c>
      <c r="C37" s="38">
        <v>2.29</v>
      </c>
      <c r="D37" s="38">
        <v>96.1</v>
      </c>
      <c r="E37" s="38">
        <v>0.01</v>
      </c>
      <c r="F37" s="38">
        <v>7.0000000000000001E-3</v>
      </c>
      <c r="G37" s="39">
        <v>1</v>
      </c>
    </row>
    <row r="38" spans="1:7">
      <c r="A38" s="36" t="s">
        <v>48</v>
      </c>
      <c r="B38" s="38">
        <v>32.950000000000003</v>
      </c>
      <c r="C38" s="38">
        <v>2.2599999999999998</v>
      </c>
      <c r="D38" s="38">
        <v>113.6</v>
      </c>
      <c r="E38" s="38">
        <v>0</v>
      </c>
      <c r="F38" s="38">
        <v>4.0000000000000001E-3</v>
      </c>
      <c r="G38" s="39">
        <v>2</v>
      </c>
    </row>
    <row r="39" spans="1:7">
      <c r="A39" s="36" t="s">
        <v>49</v>
      </c>
      <c r="B39" s="38">
        <v>32.99</v>
      </c>
      <c r="C39" s="38">
        <v>2.2599999999999998</v>
      </c>
      <c r="D39" s="38">
        <v>113.5</v>
      </c>
      <c r="E39" s="38">
        <v>0.01</v>
      </c>
      <c r="F39" s="38">
        <v>8.0000000000000002E-3</v>
      </c>
      <c r="G39" s="39">
        <v>2</v>
      </c>
    </row>
    <row r="40" spans="1:7">
      <c r="A40" s="36" t="s">
        <v>50</v>
      </c>
      <c r="B40" s="38">
        <v>32.93</v>
      </c>
      <c r="C40" s="38">
        <v>2.2599999999999998</v>
      </c>
      <c r="D40" s="38">
        <v>114</v>
      </c>
      <c r="E40" s="38">
        <v>0</v>
      </c>
      <c r="F40" s="38">
        <v>4.0000000000000001E-3</v>
      </c>
      <c r="G40" s="39">
        <v>3</v>
      </c>
    </row>
    <row r="41" spans="1:7">
      <c r="A41" s="36" t="s">
        <v>51</v>
      </c>
      <c r="B41" s="38">
        <v>32.96</v>
      </c>
      <c r="C41" s="38">
        <v>2.2599999999999998</v>
      </c>
      <c r="D41" s="38">
        <v>114</v>
      </c>
      <c r="E41" s="38">
        <v>0.01</v>
      </c>
      <c r="F41" s="38">
        <v>8.9999999999999993E-3</v>
      </c>
      <c r="G41" s="39">
        <v>3</v>
      </c>
    </row>
    <row r="42" spans="1:7">
      <c r="A42" s="41" t="s">
        <v>52</v>
      </c>
    </row>
    <row r="43" spans="1:7">
      <c r="A43" s="40"/>
    </row>
    <row r="44" spans="1:7">
      <c r="A44" s="40"/>
    </row>
    <row r="45" spans="1:7">
      <c r="A45" s="40"/>
    </row>
    <row r="46" spans="1:7">
      <c r="A46" s="198" t="s">
        <v>53</v>
      </c>
    </row>
    <row r="47" spans="1:7">
      <c r="A47" s="40"/>
    </row>
    <row r="48" spans="1:7">
      <c r="A48" t="s">
        <v>54</v>
      </c>
      <c r="B48" t="s">
        <v>55</v>
      </c>
      <c r="C48" t="s">
        <v>56</v>
      </c>
      <c r="D48" t="s">
        <v>57</v>
      </c>
      <c r="E48" t="s">
        <v>58</v>
      </c>
      <c r="F48" t="s">
        <v>59</v>
      </c>
    </row>
    <row r="49" spans="1:7">
      <c r="A49" t="s">
        <v>60</v>
      </c>
      <c r="B49">
        <v>1.27</v>
      </c>
      <c r="C49">
        <v>0.27</v>
      </c>
      <c r="D49">
        <v>0.6</v>
      </c>
      <c r="E49">
        <v>0.22</v>
      </c>
      <c r="F49">
        <v>0.13600000000000001</v>
      </c>
    </row>
    <row r="50" spans="1:7">
      <c r="A50" t="s">
        <v>61</v>
      </c>
      <c r="B50">
        <v>1.27</v>
      </c>
      <c r="C50">
        <v>0.27</v>
      </c>
      <c r="D50">
        <v>0.7</v>
      </c>
      <c r="E50">
        <v>0.2</v>
      </c>
      <c r="F50">
        <v>0.127</v>
      </c>
    </row>
    <row r="51" spans="1:7">
      <c r="A51" t="s">
        <v>62</v>
      </c>
      <c r="B51">
        <v>2.17</v>
      </c>
      <c r="C51">
        <v>0.34</v>
      </c>
      <c r="D51">
        <v>0.9</v>
      </c>
      <c r="E51">
        <v>0.25</v>
      </c>
      <c r="F51">
        <v>0.13600000000000001</v>
      </c>
    </row>
    <row r="52" spans="1:7">
      <c r="A52" s="133" t="s">
        <v>63</v>
      </c>
      <c r="B52" s="133">
        <v>8.86</v>
      </c>
      <c r="C52" s="133">
        <v>0.79</v>
      </c>
      <c r="D52" s="133">
        <v>2.1</v>
      </c>
      <c r="E52" s="133">
        <v>0.15</v>
      </c>
      <c r="F52" s="133">
        <v>0.14199999999999999</v>
      </c>
      <c r="G52" t="s">
        <v>2740</v>
      </c>
    </row>
  </sheetData>
  <phoneticPr fontId="5" type="noConversion"/>
  <pageMargins left="0.75" right="0.75" top="1" bottom="1" header="0.5" footer="0.5"/>
  <pageSetup paperSize="9" scale="86" orientation="landscape"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R88"/>
  <sheetViews>
    <sheetView topLeftCell="A22" workbookViewId="0">
      <selection activeCell="N7" sqref="N7"/>
    </sheetView>
  </sheetViews>
  <sheetFormatPr defaultColWidth="8.83203125" defaultRowHeight="15.5"/>
  <cols>
    <col min="1" max="1" width="16.5" bestFit="1" customWidth="1"/>
    <col min="3" max="3" width="13" customWidth="1"/>
    <col min="4" max="4" width="11" customWidth="1"/>
  </cols>
  <sheetData>
    <row r="1" spans="1:18">
      <c r="D1" s="332"/>
      <c r="E1" s="332"/>
      <c r="F1" s="332"/>
      <c r="G1" s="4" t="s">
        <v>1804</v>
      </c>
      <c r="H1" s="30" t="s">
        <v>39</v>
      </c>
      <c r="I1" s="30" t="s">
        <v>39</v>
      </c>
      <c r="J1" s="30" t="s">
        <v>1695</v>
      </c>
      <c r="K1" s="259" t="s">
        <v>1805</v>
      </c>
      <c r="M1" s="193" t="s">
        <v>2374</v>
      </c>
    </row>
    <row r="2" spans="1:18">
      <c r="A2" s="333" t="s">
        <v>54</v>
      </c>
      <c r="B2" s="428"/>
      <c r="C2" s="333"/>
      <c r="D2" s="334" t="s">
        <v>2088</v>
      </c>
      <c r="E2" s="334" t="s">
        <v>2086</v>
      </c>
      <c r="F2" s="335" t="s">
        <v>2087</v>
      </c>
      <c r="G2" s="336"/>
      <c r="H2" s="310" t="s">
        <v>1809</v>
      </c>
      <c r="I2" s="310" t="s">
        <v>67</v>
      </c>
      <c r="J2" s="310" t="s">
        <v>1675</v>
      </c>
      <c r="K2" s="318" t="s">
        <v>1810</v>
      </c>
    </row>
    <row r="3" spans="1:18">
      <c r="A3" s="350" t="s">
        <v>2310</v>
      </c>
      <c r="B3" s="429" t="s">
        <v>2568</v>
      </c>
      <c r="C3" s="429" t="s">
        <v>2569</v>
      </c>
      <c r="D3" s="430"/>
      <c r="E3" s="430"/>
      <c r="F3" s="431"/>
      <c r="G3" s="341"/>
      <c r="H3" s="341"/>
      <c r="I3" s="341"/>
      <c r="J3" s="341"/>
      <c r="K3" s="432"/>
    </row>
    <row r="4" spans="1:18">
      <c r="A4" s="337" t="s">
        <v>2293</v>
      </c>
      <c r="B4" s="429" t="s">
        <v>2568</v>
      </c>
      <c r="C4" s="429" t="s">
        <v>2570</v>
      </c>
      <c r="D4" s="338" t="s">
        <v>2294</v>
      </c>
      <c r="E4" s="338" t="s">
        <v>2294</v>
      </c>
      <c r="F4" s="339" t="s">
        <v>2294</v>
      </c>
      <c r="G4" s="340" t="s">
        <v>1811</v>
      </c>
      <c r="H4" s="341" t="s">
        <v>1812</v>
      </c>
      <c r="I4" s="341"/>
      <c r="J4" s="341"/>
      <c r="K4">
        <v>0</v>
      </c>
    </row>
    <row r="5" spans="1:18">
      <c r="A5" s="337" t="s">
        <v>2295</v>
      </c>
      <c r="B5" s="429" t="s">
        <v>2568</v>
      </c>
      <c r="C5" s="429" t="s">
        <v>2571</v>
      </c>
      <c r="D5" s="338">
        <v>1.185608983039856</v>
      </c>
      <c r="E5" s="338">
        <v>15.688009262084961</v>
      </c>
      <c r="F5" s="339">
        <v>0.9077301025390625</v>
      </c>
      <c r="G5" s="340" t="s">
        <v>1815</v>
      </c>
      <c r="H5">
        <v>2017</v>
      </c>
      <c r="I5" t="s">
        <v>1557</v>
      </c>
      <c r="J5">
        <v>1</v>
      </c>
      <c r="K5">
        <v>2616.6</v>
      </c>
      <c r="M5" s="332" t="s">
        <v>2296</v>
      </c>
      <c r="N5" s="332"/>
      <c r="O5" s="332"/>
    </row>
    <row r="6" spans="1:18">
      <c r="A6" s="337" t="s">
        <v>2297</v>
      </c>
      <c r="B6" s="429" t="s">
        <v>2568</v>
      </c>
      <c r="C6" s="429" t="s">
        <v>2572</v>
      </c>
      <c r="D6" s="338">
        <v>0.64278417825698853</v>
      </c>
      <c r="E6" s="338">
        <v>14.482656478881836</v>
      </c>
      <c r="F6" s="339">
        <v>0.49787583947181702</v>
      </c>
      <c r="G6" s="340" t="s">
        <v>1816</v>
      </c>
      <c r="H6">
        <v>2017</v>
      </c>
      <c r="I6" t="s">
        <v>1557</v>
      </c>
      <c r="J6">
        <v>2</v>
      </c>
      <c r="K6">
        <v>2576.9</v>
      </c>
      <c r="M6" s="332" t="s">
        <v>2298</v>
      </c>
      <c r="N6" s="332" t="s">
        <v>2299</v>
      </c>
      <c r="O6" s="332"/>
    </row>
    <row r="7" spans="1:18">
      <c r="A7" s="342" t="s">
        <v>2300</v>
      </c>
      <c r="B7" s="429" t="s">
        <v>2568</v>
      </c>
      <c r="C7" s="429" t="s">
        <v>2573</v>
      </c>
      <c r="D7" s="538">
        <v>0.12244263291358948</v>
      </c>
      <c r="E7" s="343">
        <v>12.435699462890625</v>
      </c>
      <c r="F7" s="344">
        <v>0.13229027390480042</v>
      </c>
      <c r="G7" s="345" t="s">
        <v>1817</v>
      </c>
      <c r="H7" s="346">
        <v>2017</v>
      </c>
      <c r="I7" s="346" t="s">
        <v>1557</v>
      </c>
      <c r="J7" s="346" t="s">
        <v>1818</v>
      </c>
      <c r="K7" s="346">
        <v>5354.9</v>
      </c>
      <c r="L7" s="346"/>
      <c r="M7" s="347">
        <f>((D7-D8)/AVERAGE(D7:D8))*100</f>
        <v>3.4184608571044146</v>
      </c>
      <c r="N7" s="347">
        <f>((E7-E8)/AVERAGE(E7:E8))*100</f>
        <v>0.19696096099876664</v>
      </c>
      <c r="O7" s="348"/>
      <c r="P7" s="346"/>
      <c r="Q7" s="346"/>
    </row>
    <row r="8" spans="1:18">
      <c r="A8" s="342" t="s">
        <v>2301</v>
      </c>
      <c r="B8" s="429" t="s">
        <v>2568</v>
      </c>
      <c r="C8" s="429" t="s">
        <v>2574</v>
      </c>
      <c r="D8" s="538">
        <v>0.11832731962203979</v>
      </c>
      <c r="E8" s="343">
        <v>12.411230087280273</v>
      </c>
      <c r="F8" s="344">
        <v>0.10442021489143372</v>
      </c>
      <c r="G8" s="345" t="s">
        <v>1819</v>
      </c>
      <c r="H8" s="346">
        <v>2017</v>
      </c>
      <c r="I8" s="346" t="s">
        <v>1557</v>
      </c>
      <c r="J8" s="346" t="s">
        <v>1820</v>
      </c>
      <c r="K8" s="346">
        <v>4081.2</v>
      </c>
      <c r="L8" s="346"/>
      <c r="M8" s="346"/>
      <c r="N8" s="346"/>
      <c r="O8" s="346"/>
      <c r="P8" s="346"/>
      <c r="Q8" s="346"/>
    </row>
    <row r="9" spans="1:18">
      <c r="A9" s="337" t="s">
        <v>2302</v>
      </c>
      <c r="B9" s="429" t="s">
        <v>2568</v>
      </c>
      <c r="C9" s="429" t="s">
        <v>2575</v>
      </c>
      <c r="D9" s="338">
        <v>0.5119737982749939</v>
      </c>
      <c r="E9" s="338">
        <v>14.00540828704834</v>
      </c>
      <c r="F9" s="339">
        <v>0.43924158811569214</v>
      </c>
      <c r="G9" s="340" t="s">
        <v>1821</v>
      </c>
      <c r="H9">
        <v>2017</v>
      </c>
      <c r="I9" t="s">
        <v>1557</v>
      </c>
      <c r="J9">
        <v>4</v>
      </c>
      <c r="K9">
        <v>3845.2</v>
      </c>
    </row>
    <row r="10" spans="1:18">
      <c r="A10" s="337" t="s">
        <v>2303</v>
      </c>
      <c r="B10" s="429" t="s">
        <v>2568</v>
      </c>
      <c r="C10" s="429" t="s">
        <v>2576</v>
      </c>
      <c r="D10" s="338">
        <v>1.6142473220825195</v>
      </c>
      <c r="E10" s="338">
        <v>17.728116989135742</v>
      </c>
      <c r="F10" s="339">
        <v>1.3283381462097168</v>
      </c>
      <c r="G10" s="340" t="s">
        <v>1822</v>
      </c>
      <c r="H10">
        <v>2017</v>
      </c>
      <c r="I10" t="s">
        <v>1557</v>
      </c>
      <c r="J10">
        <v>5</v>
      </c>
      <c r="K10">
        <v>2608.1999999999998</v>
      </c>
      <c r="M10" s="332" t="s">
        <v>2304</v>
      </c>
      <c r="N10" s="332" t="s">
        <v>104</v>
      </c>
      <c r="O10" s="576" t="s">
        <v>2820</v>
      </c>
      <c r="R10" s="332"/>
    </row>
    <row r="11" spans="1:18">
      <c r="A11" s="337" t="s">
        <v>2305</v>
      </c>
      <c r="B11" s="429" t="s">
        <v>2568</v>
      </c>
      <c r="C11" s="429" t="s">
        <v>2577</v>
      </c>
      <c r="D11" s="338">
        <v>1.6545096635818481</v>
      </c>
      <c r="E11" s="338">
        <v>20.443384170532227</v>
      </c>
      <c r="F11" s="339">
        <v>1.7048006057739258</v>
      </c>
      <c r="G11" s="340" t="s">
        <v>1823</v>
      </c>
      <c r="H11">
        <v>2017</v>
      </c>
      <c r="I11" t="s">
        <v>1557</v>
      </c>
      <c r="J11">
        <v>6</v>
      </c>
      <c r="K11">
        <v>3526.7</v>
      </c>
      <c r="M11" s="332" t="s">
        <v>2298</v>
      </c>
      <c r="N11" s="332" t="s">
        <v>2299</v>
      </c>
    </row>
    <row r="12" spans="1:18">
      <c r="A12" s="337" t="s">
        <v>2306</v>
      </c>
      <c r="B12" s="429" t="s">
        <v>2568</v>
      </c>
      <c r="C12" s="429" t="s">
        <v>2578</v>
      </c>
      <c r="D12" s="338">
        <v>1.737897515296936</v>
      </c>
      <c r="E12" s="338">
        <v>20.057174682617188</v>
      </c>
      <c r="F12" s="339">
        <v>1.7310969829559326</v>
      </c>
      <c r="G12" s="340" t="s">
        <v>1824</v>
      </c>
      <c r="H12">
        <v>2017</v>
      </c>
      <c r="I12" t="s">
        <v>1557</v>
      </c>
      <c r="J12">
        <v>7</v>
      </c>
      <c r="K12">
        <v>2422.5</v>
      </c>
      <c r="M12" s="349">
        <f>AVERAGE(D5:D15)</f>
        <v>1.2552635317498988</v>
      </c>
      <c r="N12" s="349">
        <f>AVERAGE(E5:E15)</f>
        <v>17.150443597273394</v>
      </c>
    </row>
    <row r="13" spans="1:18">
      <c r="A13" s="337" t="s">
        <v>2307</v>
      </c>
      <c r="B13" s="429" t="s">
        <v>2568</v>
      </c>
      <c r="C13" s="429" t="s">
        <v>2579</v>
      </c>
      <c r="D13" s="338">
        <v>2.5397510528564453</v>
      </c>
      <c r="E13" s="338">
        <v>23.31474494934082</v>
      </c>
      <c r="F13" s="339">
        <v>2.5063073635101318</v>
      </c>
      <c r="G13" s="340" t="s">
        <v>1825</v>
      </c>
      <c r="H13">
        <v>2017</v>
      </c>
      <c r="I13" t="s">
        <v>1557</v>
      </c>
      <c r="J13">
        <v>8</v>
      </c>
      <c r="K13">
        <v>2558.4</v>
      </c>
    </row>
    <row r="14" spans="1:18">
      <c r="A14" s="337" t="s">
        <v>2308</v>
      </c>
      <c r="B14" s="429" t="s">
        <v>2568</v>
      </c>
      <c r="C14" s="429" t="s">
        <v>2580</v>
      </c>
      <c r="D14" s="338">
        <v>1.8146072626113892</v>
      </c>
      <c r="E14" s="338">
        <v>19.85919189453125</v>
      </c>
      <c r="F14" s="339">
        <v>1.8855147361755371</v>
      </c>
      <c r="G14" s="340" t="s">
        <v>1826</v>
      </c>
      <c r="H14">
        <v>2017</v>
      </c>
      <c r="I14" t="s">
        <v>1557</v>
      </c>
      <c r="J14">
        <v>9</v>
      </c>
      <c r="K14">
        <v>3552.4</v>
      </c>
    </row>
    <row r="15" spans="1:18">
      <c r="A15" s="337" t="s">
        <v>2309</v>
      </c>
      <c r="B15" s="429" t="s">
        <v>2568</v>
      </c>
      <c r="C15" s="429" t="s">
        <v>2581</v>
      </c>
      <c r="D15" s="338">
        <v>1.8657491207122803</v>
      </c>
      <c r="E15" s="338">
        <v>18.229263305664063</v>
      </c>
      <c r="F15" s="339">
        <v>1.7120310068130493</v>
      </c>
      <c r="G15" s="340" t="s">
        <v>1827</v>
      </c>
      <c r="H15">
        <v>2017</v>
      </c>
      <c r="I15" t="s">
        <v>1557</v>
      </c>
      <c r="J15">
        <v>10</v>
      </c>
      <c r="K15">
        <v>3352.7</v>
      </c>
    </row>
    <row r="16" spans="1:18">
      <c r="A16" s="350" t="s">
        <v>2310</v>
      </c>
      <c r="B16" s="429" t="s">
        <v>2568</v>
      </c>
      <c r="C16" s="429" t="s">
        <v>2582</v>
      </c>
      <c r="D16" s="577" t="s">
        <v>2821</v>
      </c>
      <c r="E16" s="351"/>
      <c r="F16" s="352"/>
      <c r="G16" s="353"/>
      <c r="H16" s="354"/>
      <c r="I16" s="354"/>
      <c r="J16" s="354"/>
      <c r="K16" s="354"/>
      <c r="L16" s="354"/>
      <c r="M16" s="354"/>
      <c r="N16" s="354"/>
      <c r="O16" s="354"/>
      <c r="P16" s="354"/>
      <c r="Q16" s="354"/>
    </row>
    <row r="17" spans="1:17">
      <c r="A17" s="337" t="s">
        <v>2311</v>
      </c>
      <c r="B17" s="429" t="s">
        <v>2568</v>
      </c>
      <c r="C17" s="429" t="s">
        <v>2583</v>
      </c>
      <c r="D17" s="338">
        <v>1.5396265983581543</v>
      </c>
      <c r="E17" s="338">
        <v>16.883222579956055</v>
      </c>
      <c r="F17" s="339">
        <v>1.3915606737136841</v>
      </c>
      <c r="G17" s="355" t="s">
        <v>1828</v>
      </c>
      <c r="H17">
        <v>2017</v>
      </c>
      <c r="I17" t="s">
        <v>1557</v>
      </c>
      <c r="J17">
        <v>11</v>
      </c>
      <c r="K17">
        <v>2643.3</v>
      </c>
    </row>
    <row r="18" spans="1:17">
      <c r="A18" s="337" t="s">
        <v>2312</v>
      </c>
      <c r="B18" s="429" t="s">
        <v>2568</v>
      </c>
      <c r="C18" s="429" t="s">
        <v>2584</v>
      </c>
      <c r="D18" s="338">
        <v>1.4914951324462891</v>
      </c>
      <c r="E18" s="338">
        <v>17.212553024291992</v>
      </c>
      <c r="F18" s="339">
        <v>1.284784197807312</v>
      </c>
      <c r="G18" s="355" t="s">
        <v>1829</v>
      </c>
      <c r="H18">
        <v>2017</v>
      </c>
      <c r="I18" t="s">
        <v>1557</v>
      </c>
      <c r="J18">
        <v>12</v>
      </c>
      <c r="K18">
        <v>2607</v>
      </c>
      <c r="M18" s="332" t="s">
        <v>2296</v>
      </c>
      <c r="N18" s="332"/>
      <c r="O18" s="332"/>
    </row>
    <row r="19" spans="1:17">
      <c r="A19" s="337" t="s">
        <v>2313</v>
      </c>
      <c r="B19" s="429" t="s">
        <v>2568</v>
      </c>
      <c r="C19" s="429" t="s">
        <v>2585</v>
      </c>
      <c r="D19" s="338">
        <v>1.2122423648834229</v>
      </c>
      <c r="E19" s="338">
        <v>17.991422653198242</v>
      </c>
      <c r="F19" s="339">
        <v>1.3374840021133423</v>
      </c>
      <c r="G19" s="355" t="s">
        <v>1830</v>
      </c>
      <c r="H19">
        <v>2017</v>
      </c>
      <c r="I19" t="s">
        <v>1557</v>
      </c>
      <c r="J19">
        <v>13</v>
      </c>
      <c r="K19">
        <v>3711.7</v>
      </c>
      <c r="M19" s="332" t="s">
        <v>2298</v>
      </c>
      <c r="N19" s="332" t="s">
        <v>2299</v>
      </c>
      <c r="O19" s="332"/>
    </row>
    <row r="20" spans="1:17">
      <c r="A20" s="342" t="s">
        <v>2314</v>
      </c>
      <c r="B20" s="429" t="s">
        <v>2568</v>
      </c>
      <c r="C20" s="429" t="s">
        <v>2586</v>
      </c>
      <c r="D20" s="343">
        <v>1.0870068073272705</v>
      </c>
      <c r="E20" s="343">
        <v>16.332986831665039</v>
      </c>
      <c r="F20" s="344">
        <v>1.150073766708374</v>
      </c>
      <c r="G20" s="356" t="s">
        <v>1831</v>
      </c>
      <c r="H20" s="346">
        <v>2017</v>
      </c>
      <c r="I20" s="346" t="s">
        <v>1557</v>
      </c>
      <c r="J20" s="346" t="s">
        <v>1832</v>
      </c>
      <c r="K20" s="346">
        <v>2821.5</v>
      </c>
      <c r="L20" s="346"/>
      <c r="M20" s="347">
        <f>((D20-D21)/AVERAGE(D20:D21))*100</f>
        <v>-0.18623918357159597</v>
      </c>
      <c r="N20" s="347">
        <f>((E20-E21)/AVERAGE(E20:E21))*100</f>
        <v>0.52924924318739863</v>
      </c>
      <c r="O20" s="348"/>
      <c r="P20" s="346"/>
      <c r="Q20" s="346"/>
    </row>
    <row r="21" spans="1:17">
      <c r="A21" s="342" t="s">
        <v>2315</v>
      </c>
      <c r="B21" s="429" t="s">
        <v>2568</v>
      </c>
      <c r="C21" s="429" t="s">
        <v>2587</v>
      </c>
      <c r="D21" s="343">
        <v>1.0890331268310547</v>
      </c>
      <c r="E21" s="343">
        <v>16.246772766113281</v>
      </c>
      <c r="F21" s="344">
        <v>1.1427594423294067</v>
      </c>
      <c r="G21" s="356" t="s">
        <v>1833</v>
      </c>
      <c r="H21" s="346">
        <v>2017</v>
      </c>
      <c r="I21" s="346" t="s">
        <v>1557</v>
      </c>
      <c r="J21" s="346" t="s">
        <v>1834</v>
      </c>
      <c r="K21" s="346">
        <v>3127.2</v>
      </c>
      <c r="L21" s="346"/>
      <c r="M21" s="346"/>
      <c r="N21" s="346"/>
      <c r="O21" s="346"/>
      <c r="P21" s="346"/>
      <c r="Q21" s="346"/>
    </row>
    <row r="22" spans="1:17">
      <c r="A22" s="337" t="s">
        <v>2316</v>
      </c>
      <c r="B22" s="429" t="s">
        <v>2568</v>
      </c>
      <c r="C22" s="429" t="s">
        <v>2588</v>
      </c>
      <c r="D22" s="338">
        <v>1.0511832237243652</v>
      </c>
      <c r="E22" s="338">
        <v>14.937230110168457</v>
      </c>
      <c r="F22" s="339">
        <v>1.1445505619049072</v>
      </c>
      <c r="G22" s="355" t="s">
        <v>1835</v>
      </c>
      <c r="H22">
        <v>2017</v>
      </c>
      <c r="I22" t="s">
        <v>1557</v>
      </c>
      <c r="J22">
        <v>15</v>
      </c>
      <c r="K22">
        <v>2650.1</v>
      </c>
    </row>
    <row r="23" spans="1:17">
      <c r="A23" s="337" t="s">
        <v>2317</v>
      </c>
      <c r="B23" s="429" t="s">
        <v>2568</v>
      </c>
      <c r="C23" s="429" t="s">
        <v>2589</v>
      </c>
      <c r="D23" s="338">
        <v>1.6451433897018433</v>
      </c>
      <c r="E23" s="338">
        <v>17.920364379882813</v>
      </c>
      <c r="F23" s="339">
        <v>1.6635230779647827</v>
      </c>
      <c r="G23" s="355" t="s">
        <v>1836</v>
      </c>
      <c r="H23">
        <v>2017</v>
      </c>
      <c r="I23" t="s">
        <v>1557</v>
      </c>
      <c r="J23">
        <v>16</v>
      </c>
      <c r="K23">
        <v>3058.3</v>
      </c>
      <c r="M23" s="332" t="s">
        <v>2304</v>
      </c>
      <c r="N23" s="332" t="s">
        <v>104</v>
      </c>
      <c r="O23" s="576" t="s">
        <v>2820</v>
      </c>
    </row>
    <row r="24" spans="1:17">
      <c r="A24" s="337" t="s">
        <v>2318</v>
      </c>
      <c r="B24" s="429" t="s">
        <v>2568</v>
      </c>
      <c r="C24" s="429" t="s">
        <v>2590</v>
      </c>
      <c r="D24" s="338">
        <v>2.0448958873748779</v>
      </c>
      <c r="E24" s="338">
        <v>18.623369216918945</v>
      </c>
      <c r="F24" s="339">
        <v>2.2002506256103516</v>
      </c>
      <c r="G24" s="355" t="s">
        <v>1837</v>
      </c>
      <c r="H24">
        <v>2017</v>
      </c>
      <c r="I24" t="s">
        <v>1557</v>
      </c>
      <c r="J24">
        <v>17</v>
      </c>
      <c r="K24">
        <v>3092.9</v>
      </c>
      <c r="M24" s="332" t="s">
        <v>2298</v>
      </c>
      <c r="N24" s="332" t="s">
        <v>2299</v>
      </c>
    </row>
    <row r="25" spans="1:17">
      <c r="A25" s="337" t="s">
        <v>2319</v>
      </c>
      <c r="B25" s="429" t="s">
        <v>2568</v>
      </c>
      <c r="C25" s="429" t="s">
        <v>2591</v>
      </c>
      <c r="D25" s="338">
        <v>1.8878686428070068</v>
      </c>
      <c r="E25" s="338">
        <v>17.746345520019531</v>
      </c>
      <c r="F25" s="339">
        <v>2.189673900604248</v>
      </c>
      <c r="G25" s="355" t="s">
        <v>1838</v>
      </c>
      <c r="H25">
        <v>2017</v>
      </c>
      <c r="I25" t="s">
        <v>1557</v>
      </c>
      <c r="J25">
        <v>18</v>
      </c>
      <c r="K25">
        <v>3898.8</v>
      </c>
      <c r="M25" s="349">
        <f>AVERAGE(D17:D28)</f>
        <v>1.3477280549705029</v>
      </c>
      <c r="N25" s="349">
        <f>AVERAGE(E17:E28)</f>
        <v>16.720916986465454</v>
      </c>
    </row>
    <row r="26" spans="1:17">
      <c r="A26" s="337" t="s">
        <v>2320</v>
      </c>
      <c r="B26" s="429" t="s">
        <v>2568</v>
      </c>
      <c r="C26" s="429" t="s">
        <v>2592</v>
      </c>
      <c r="D26" s="338">
        <v>1.62330162525177</v>
      </c>
      <c r="E26" s="338">
        <v>17.344869613647461</v>
      </c>
      <c r="F26" s="339">
        <v>1.8615785837173462</v>
      </c>
      <c r="G26" s="355" t="s">
        <v>1839</v>
      </c>
      <c r="H26">
        <v>2017</v>
      </c>
      <c r="I26" t="s">
        <v>1557</v>
      </c>
      <c r="J26">
        <v>19</v>
      </c>
      <c r="K26">
        <v>4193.7</v>
      </c>
    </row>
    <row r="27" spans="1:17">
      <c r="A27" s="337" t="s">
        <v>2321</v>
      </c>
      <c r="B27" s="429" t="s">
        <v>2568</v>
      </c>
      <c r="C27" s="429" t="s">
        <v>2593</v>
      </c>
      <c r="D27" s="338">
        <v>1.3471357822418213</v>
      </c>
      <c r="E27" s="338">
        <v>17.077608108520508</v>
      </c>
      <c r="F27" s="339">
        <v>1.401877760887146</v>
      </c>
      <c r="G27" s="355" t="s">
        <v>1840</v>
      </c>
      <c r="H27">
        <v>2017</v>
      </c>
      <c r="I27" t="s">
        <v>1557</v>
      </c>
      <c r="J27">
        <v>20</v>
      </c>
      <c r="K27">
        <v>2782.7</v>
      </c>
    </row>
    <row r="28" spans="1:17">
      <c r="A28" s="337" t="s">
        <v>2322</v>
      </c>
      <c r="B28" s="429" t="s">
        <v>2568</v>
      </c>
      <c r="C28" s="429" t="s">
        <v>2594</v>
      </c>
      <c r="D28" s="338">
        <v>0.15380407869815826</v>
      </c>
      <c r="E28" s="338">
        <v>12.334259033203125</v>
      </c>
      <c r="F28" s="339">
        <v>0.18917267024517059</v>
      </c>
      <c r="G28" s="355" t="s">
        <v>1841</v>
      </c>
      <c r="H28">
        <v>2017</v>
      </c>
      <c r="I28" t="s">
        <v>1557</v>
      </c>
      <c r="J28">
        <v>21</v>
      </c>
      <c r="K28">
        <v>3497.1</v>
      </c>
      <c r="M28" s="332" t="s">
        <v>2296</v>
      </c>
      <c r="N28" s="332"/>
      <c r="O28" s="332"/>
    </row>
    <row r="29" spans="1:17">
      <c r="A29" s="350" t="s">
        <v>2310</v>
      </c>
      <c r="B29" s="429" t="s">
        <v>2568</v>
      </c>
      <c r="C29" s="429" t="s">
        <v>2595</v>
      </c>
      <c r="D29" s="577" t="s">
        <v>2821</v>
      </c>
      <c r="E29" s="351"/>
      <c r="F29" s="352"/>
      <c r="G29" s="357"/>
      <c r="H29" s="354"/>
      <c r="I29" s="354"/>
      <c r="J29" s="354"/>
      <c r="K29" s="354"/>
      <c r="L29" s="354"/>
      <c r="M29" s="358" t="s">
        <v>2298</v>
      </c>
      <c r="N29" s="358" t="s">
        <v>2299</v>
      </c>
      <c r="O29" s="358"/>
      <c r="P29" s="354"/>
      <c r="Q29" s="354"/>
    </row>
    <row r="30" spans="1:17">
      <c r="A30" s="359" t="s">
        <v>2323</v>
      </c>
      <c r="B30" s="429" t="s">
        <v>2568</v>
      </c>
      <c r="C30" s="429" t="s">
        <v>2596</v>
      </c>
      <c r="D30" s="360">
        <v>0.2750873863697052</v>
      </c>
      <c r="E30" s="360">
        <v>3.3084630775451598</v>
      </c>
      <c r="F30" s="361">
        <v>0.73437005281448364</v>
      </c>
      <c r="G30" s="362" t="s">
        <v>1842</v>
      </c>
      <c r="H30" s="363" t="s">
        <v>1843</v>
      </c>
      <c r="I30" s="133"/>
      <c r="J30" s="133"/>
      <c r="K30" s="133">
        <v>4242.8999999999996</v>
      </c>
      <c r="L30" s="133"/>
      <c r="M30" s="364">
        <f>((D30-D31)/AVERAGE(D30:D31))*100</f>
        <v>5.9569281999627712</v>
      </c>
      <c r="N30" s="364">
        <f>((E30-E31)/AVERAGE(E30:E31))*100</f>
        <v>3.0022723594697096</v>
      </c>
      <c r="O30" s="365"/>
      <c r="P30" s="133"/>
      <c r="Q30" s="133"/>
    </row>
    <row r="31" spans="1:17">
      <c r="A31" s="359" t="s">
        <v>2324</v>
      </c>
      <c r="B31" s="429" t="s">
        <v>2568</v>
      </c>
      <c r="C31" s="429" t="s">
        <v>2597</v>
      </c>
      <c r="D31" s="360">
        <v>0.25917458534240723</v>
      </c>
      <c r="E31" s="360">
        <v>3.2106030178070002</v>
      </c>
      <c r="F31" s="361">
        <v>0.67670279741287231</v>
      </c>
      <c r="G31" s="362" t="s">
        <v>1844</v>
      </c>
      <c r="H31" s="363" t="s">
        <v>1845</v>
      </c>
      <c r="I31" s="133"/>
      <c r="J31" s="133"/>
      <c r="K31" s="133">
        <v>3469</v>
      </c>
      <c r="L31" s="133"/>
      <c r="M31" s="365"/>
      <c r="N31" s="365"/>
      <c r="O31" s="365"/>
      <c r="P31" s="133"/>
      <c r="Q31" s="133"/>
    </row>
    <row r="32" spans="1:17">
      <c r="A32" s="342" t="s">
        <v>2325</v>
      </c>
      <c r="B32" s="429" t="s">
        <v>2568</v>
      </c>
      <c r="C32" s="429" t="s">
        <v>2598</v>
      </c>
      <c r="D32" s="343">
        <v>0.82545453310012817</v>
      </c>
      <c r="E32" s="343">
        <v>14.123616218566895</v>
      </c>
      <c r="F32" s="344">
        <v>0.82422113418579102</v>
      </c>
      <c r="G32" s="356" t="s">
        <v>1846</v>
      </c>
      <c r="H32" s="346">
        <v>2017</v>
      </c>
      <c r="I32" s="346" t="s">
        <v>1561</v>
      </c>
      <c r="J32" s="346" t="s">
        <v>1847</v>
      </c>
      <c r="K32" s="346">
        <v>3151.9</v>
      </c>
      <c r="L32" s="346"/>
      <c r="M32" s="347">
        <f>((D32-D33)/AVERAGE(D32:D33))*100</f>
        <v>-0.6083327856197801</v>
      </c>
      <c r="N32" s="347">
        <f>((E32-E33)/AVERAGE(E32:E33))*100</f>
        <v>0.43549970911873026</v>
      </c>
      <c r="O32" s="348"/>
      <c r="P32" s="346"/>
      <c r="Q32" s="346"/>
    </row>
    <row r="33" spans="1:17">
      <c r="A33" s="342" t="s">
        <v>2326</v>
      </c>
      <c r="B33" s="429" t="s">
        <v>2568</v>
      </c>
      <c r="C33" s="429" t="s">
        <v>2599</v>
      </c>
      <c r="D33" s="343">
        <v>0.83049136400222778</v>
      </c>
      <c r="E33" s="343">
        <v>14.062241554260254</v>
      </c>
      <c r="F33" s="344">
        <v>0.87611603736877441</v>
      </c>
      <c r="G33" s="356" t="s">
        <v>1848</v>
      </c>
      <c r="H33" s="346">
        <v>2017</v>
      </c>
      <c r="I33" s="346" t="s">
        <v>1561</v>
      </c>
      <c r="J33" s="346" t="s">
        <v>1849</v>
      </c>
      <c r="K33" s="346">
        <v>4290.2</v>
      </c>
      <c r="L33" s="346"/>
      <c r="M33" s="346"/>
      <c r="N33" s="346"/>
      <c r="O33" s="346"/>
      <c r="P33" s="346"/>
      <c r="Q33" s="346"/>
    </row>
    <row r="34" spans="1:17">
      <c r="A34" s="337" t="s">
        <v>2327</v>
      </c>
      <c r="B34" s="429" t="s">
        <v>2568</v>
      </c>
      <c r="C34" s="429" t="s">
        <v>2600</v>
      </c>
      <c r="D34" s="338">
        <v>0.7367519736289978</v>
      </c>
      <c r="E34" s="338">
        <v>13.988517761230469</v>
      </c>
      <c r="F34" s="339">
        <v>0.73768854141235352</v>
      </c>
      <c r="G34" s="355" t="s">
        <v>1850</v>
      </c>
      <c r="H34">
        <v>2017</v>
      </c>
      <c r="I34" t="s">
        <v>1561</v>
      </c>
      <c r="J34">
        <v>2</v>
      </c>
      <c r="K34">
        <v>3635.9</v>
      </c>
    </row>
    <row r="35" spans="1:17">
      <c r="A35" s="337" t="s">
        <v>2328</v>
      </c>
      <c r="B35" s="429" t="s">
        <v>2568</v>
      </c>
      <c r="C35" s="429" t="s">
        <v>2601</v>
      </c>
      <c r="D35" s="338">
        <v>0.90721893310546875</v>
      </c>
      <c r="E35" s="338">
        <v>14.733772277832031</v>
      </c>
      <c r="F35" s="339">
        <v>0.83880996704101563</v>
      </c>
      <c r="G35" s="355" t="s">
        <v>1851</v>
      </c>
      <c r="H35">
        <v>2017</v>
      </c>
      <c r="I35" t="s">
        <v>1561</v>
      </c>
      <c r="J35">
        <v>3</v>
      </c>
      <c r="K35">
        <v>3376.9</v>
      </c>
      <c r="M35" s="332" t="s">
        <v>2304</v>
      </c>
      <c r="N35" s="332" t="s">
        <v>106</v>
      </c>
      <c r="O35" s="576" t="s">
        <v>2820</v>
      </c>
    </row>
    <row r="36" spans="1:17">
      <c r="A36" s="337" t="s">
        <v>2329</v>
      </c>
      <c r="B36" s="429" t="s">
        <v>2568</v>
      </c>
      <c r="C36" s="429" t="s">
        <v>2602</v>
      </c>
      <c r="D36" s="338">
        <v>0.84985619783401489</v>
      </c>
      <c r="E36" s="338">
        <v>14.602574348449707</v>
      </c>
      <c r="F36" s="339">
        <v>0.89557188749313354</v>
      </c>
      <c r="G36" s="355" t="s">
        <v>1852</v>
      </c>
      <c r="H36">
        <v>2017</v>
      </c>
      <c r="I36" t="s">
        <v>1561</v>
      </c>
      <c r="J36">
        <v>4</v>
      </c>
      <c r="K36">
        <v>3894</v>
      </c>
      <c r="M36" s="332" t="s">
        <v>2298</v>
      </c>
      <c r="N36" s="332" t="s">
        <v>2299</v>
      </c>
    </row>
    <row r="37" spans="1:17">
      <c r="A37" s="337" t="s">
        <v>2330</v>
      </c>
      <c r="B37" s="429" t="s">
        <v>2568</v>
      </c>
      <c r="C37" s="429" t="s">
        <v>2603</v>
      </c>
      <c r="D37" s="338">
        <v>0.99049454927444458</v>
      </c>
      <c r="E37" s="338">
        <v>15.182991981506348</v>
      </c>
      <c r="F37" s="339">
        <v>1.0053979158401489</v>
      </c>
      <c r="G37" s="355" t="s">
        <v>1853</v>
      </c>
      <c r="H37">
        <v>2017</v>
      </c>
      <c r="I37" t="s">
        <v>1561</v>
      </c>
      <c r="J37">
        <v>5</v>
      </c>
      <c r="K37">
        <v>4231.8</v>
      </c>
      <c r="M37" s="349">
        <f>AVERAGE(D32:D41)</f>
        <v>1.074923461675644</v>
      </c>
      <c r="N37" s="349">
        <f>AVERAGE(E32:E41)</f>
        <v>15.497409248352051</v>
      </c>
    </row>
    <row r="38" spans="1:17">
      <c r="A38" s="337" t="s">
        <v>2331</v>
      </c>
      <c r="B38" s="429" t="s">
        <v>2568</v>
      </c>
      <c r="C38" s="429" t="s">
        <v>2604</v>
      </c>
      <c r="D38" s="338">
        <v>1.3102766275405884</v>
      </c>
      <c r="E38" s="338">
        <v>16.683547973632813</v>
      </c>
      <c r="F38" s="339">
        <v>1.3293291330337524</v>
      </c>
      <c r="G38" s="355" t="s">
        <v>1854</v>
      </c>
      <c r="H38">
        <v>2017</v>
      </c>
      <c r="I38" t="s">
        <v>1561</v>
      </c>
      <c r="J38">
        <v>6</v>
      </c>
      <c r="K38">
        <v>3465.5</v>
      </c>
    </row>
    <row r="39" spans="1:17">
      <c r="A39" s="337" t="s">
        <v>2332</v>
      </c>
      <c r="B39" s="429" t="s">
        <v>2568</v>
      </c>
      <c r="C39" s="429" t="s">
        <v>2605</v>
      </c>
      <c r="D39" s="338">
        <v>1.383432149887085</v>
      </c>
      <c r="E39" s="338">
        <v>17.578481674194336</v>
      </c>
      <c r="F39" s="339">
        <v>1.4968260526657104</v>
      </c>
      <c r="G39" s="355" t="s">
        <v>1855</v>
      </c>
      <c r="H39">
        <v>2017</v>
      </c>
      <c r="I39" t="s">
        <v>1561</v>
      </c>
      <c r="J39">
        <v>7</v>
      </c>
      <c r="K39">
        <v>2526.8000000000002</v>
      </c>
    </row>
    <row r="40" spans="1:17">
      <c r="A40" s="337" t="s">
        <v>2333</v>
      </c>
      <c r="B40" s="429" t="s">
        <v>2568</v>
      </c>
      <c r="C40" s="429" t="s">
        <v>2606</v>
      </c>
      <c r="D40" s="338">
        <v>1.4435456991195679</v>
      </c>
      <c r="E40" s="338">
        <v>16.464389801025391</v>
      </c>
      <c r="F40" s="339">
        <v>1.3344879150390625</v>
      </c>
      <c r="G40" s="355" t="s">
        <v>1856</v>
      </c>
      <c r="H40">
        <v>2017</v>
      </c>
      <c r="I40" t="s">
        <v>1561</v>
      </c>
      <c r="J40">
        <v>8</v>
      </c>
      <c r="K40">
        <v>2702.7</v>
      </c>
    </row>
    <row r="41" spans="1:17">
      <c r="A41" s="337" t="s">
        <v>2334</v>
      </c>
      <c r="B41" s="429" t="s">
        <v>2607</v>
      </c>
      <c r="C41" s="429" t="s">
        <v>2608</v>
      </c>
      <c r="D41" s="338">
        <v>1.471712589263916</v>
      </c>
      <c r="E41" s="338">
        <v>17.553958892822266</v>
      </c>
      <c r="F41" s="339">
        <v>1.594617486000061</v>
      </c>
      <c r="G41" s="355" t="s">
        <v>1857</v>
      </c>
      <c r="H41">
        <v>2017</v>
      </c>
      <c r="I41" t="s">
        <v>1561</v>
      </c>
      <c r="J41">
        <v>9</v>
      </c>
      <c r="K41">
        <v>3698.5</v>
      </c>
    </row>
    <row r="42" spans="1:17">
      <c r="A42" s="350" t="s">
        <v>2310</v>
      </c>
      <c r="B42" s="429" t="s">
        <v>2607</v>
      </c>
      <c r="C42" s="429" t="s">
        <v>2609</v>
      </c>
      <c r="D42" s="577" t="s">
        <v>2821</v>
      </c>
      <c r="E42" s="351"/>
      <c r="F42" s="352"/>
      <c r="G42" s="357"/>
      <c r="H42" s="354"/>
      <c r="I42" s="354"/>
      <c r="J42" s="354"/>
      <c r="K42" s="354"/>
      <c r="L42" s="354"/>
      <c r="M42" s="354"/>
      <c r="N42" s="354"/>
      <c r="O42" s="354"/>
      <c r="P42" s="354"/>
      <c r="Q42" s="354"/>
    </row>
    <row r="43" spans="1:17">
      <c r="A43" s="337" t="s">
        <v>2335</v>
      </c>
      <c r="B43" s="429" t="s">
        <v>2607</v>
      </c>
      <c r="C43" s="429" t="s">
        <v>2610</v>
      </c>
      <c r="D43" s="338">
        <v>1.2233142852783203</v>
      </c>
      <c r="E43" s="338">
        <v>15.918201446533203</v>
      </c>
      <c r="F43" s="339">
        <v>1.218288779258728</v>
      </c>
      <c r="G43" s="355" t="s">
        <v>1858</v>
      </c>
      <c r="H43">
        <v>2017</v>
      </c>
      <c r="I43" t="s">
        <v>1561</v>
      </c>
      <c r="J43">
        <v>10</v>
      </c>
      <c r="K43">
        <v>2618.4</v>
      </c>
      <c r="M43" s="332" t="s">
        <v>2304</v>
      </c>
      <c r="N43" s="332" t="s">
        <v>106</v>
      </c>
      <c r="O43" s="576" t="s">
        <v>2820</v>
      </c>
    </row>
    <row r="44" spans="1:17">
      <c r="A44" s="337" t="s">
        <v>2336</v>
      </c>
      <c r="B44" s="429" t="s">
        <v>2607</v>
      </c>
      <c r="C44" s="429" t="s">
        <v>2611</v>
      </c>
      <c r="D44" s="338">
        <v>1.1527551412582397</v>
      </c>
      <c r="E44" s="338">
        <v>15.501677513122559</v>
      </c>
      <c r="F44" s="339">
        <v>1.1711772680282593</v>
      </c>
      <c r="G44" s="355" t="s">
        <v>1861</v>
      </c>
      <c r="H44">
        <v>2017</v>
      </c>
      <c r="I44" t="s">
        <v>1561</v>
      </c>
      <c r="J44">
        <v>11</v>
      </c>
      <c r="K44">
        <v>3189.7</v>
      </c>
      <c r="M44" s="332" t="s">
        <v>2298</v>
      </c>
      <c r="N44" s="332" t="s">
        <v>2299</v>
      </c>
    </row>
    <row r="45" spans="1:17">
      <c r="A45" s="337" t="s">
        <v>2337</v>
      </c>
      <c r="B45" s="429" t="s">
        <v>2607</v>
      </c>
      <c r="C45" s="429" t="s">
        <v>2612</v>
      </c>
      <c r="D45" s="338">
        <v>1.3369530439376831</v>
      </c>
      <c r="E45" s="338">
        <v>16.384731292724609</v>
      </c>
      <c r="F45" s="339">
        <v>1.334746241569519</v>
      </c>
      <c r="G45" s="355" t="s">
        <v>1862</v>
      </c>
      <c r="H45">
        <v>2017</v>
      </c>
      <c r="I45" t="s">
        <v>1561</v>
      </c>
      <c r="J45">
        <v>12</v>
      </c>
      <c r="K45">
        <v>3201.8</v>
      </c>
      <c r="M45" s="349">
        <f>AVERAGE(D43:D54)</f>
        <v>1.1344659229119618</v>
      </c>
      <c r="N45" s="349">
        <f>AVERAGE(E43:E54)</f>
        <v>15.295174757639566</v>
      </c>
    </row>
    <row r="46" spans="1:17">
      <c r="A46" s="337" t="s">
        <v>2338</v>
      </c>
      <c r="B46" s="429" t="s">
        <v>2607</v>
      </c>
      <c r="C46" s="429" t="s">
        <v>2613</v>
      </c>
      <c r="D46" s="338">
        <v>0.97036200761795044</v>
      </c>
      <c r="E46" s="338">
        <v>15.005260467529297</v>
      </c>
      <c r="F46" s="339">
        <v>0.98068386316299438</v>
      </c>
      <c r="G46" s="355" t="s">
        <v>1863</v>
      </c>
      <c r="H46">
        <v>2017</v>
      </c>
      <c r="I46" t="s">
        <v>1561</v>
      </c>
      <c r="J46">
        <v>13</v>
      </c>
      <c r="K46">
        <v>2487.3000000000002</v>
      </c>
    </row>
    <row r="47" spans="1:17">
      <c r="A47" s="337" t="s">
        <v>2339</v>
      </c>
      <c r="B47" s="429" t="s">
        <v>2607</v>
      </c>
      <c r="C47" s="429" t="s">
        <v>2614</v>
      </c>
      <c r="D47" s="338">
        <v>0.96969813108444214</v>
      </c>
      <c r="E47" s="338">
        <v>15.577505111694336</v>
      </c>
      <c r="F47" s="339">
        <v>1.0398762226104736</v>
      </c>
      <c r="G47" s="355" t="s">
        <v>1864</v>
      </c>
      <c r="H47">
        <v>2017</v>
      </c>
      <c r="I47" t="s">
        <v>1561</v>
      </c>
      <c r="J47">
        <v>14</v>
      </c>
      <c r="K47">
        <v>3158.5</v>
      </c>
    </row>
    <row r="48" spans="1:17">
      <c r="A48" s="337" t="s">
        <v>2340</v>
      </c>
      <c r="B48" s="429" t="s">
        <v>2607</v>
      </c>
      <c r="C48" s="429" t="s">
        <v>2615</v>
      </c>
      <c r="D48" s="338">
        <v>0.81664425134658813</v>
      </c>
      <c r="E48" s="338">
        <v>14.214753150939941</v>
      </c>
      <c r="F48" s="339">
        <v>1.0195066928863525</v>
      </c>
      <c r="G48" s="355" t="s">
        <v>1865</v>
      </c>
      <c r="H48">
        <v>2017</v>
      </c>
      <c r="I48" t="s">
        <v>1561</v>
      </c>
      <c r="J48">
        <v>15</v>
      </c>
      <c r="K48">
        <v>4084.3</v>
      </c>
    </row>
    <row r="49" spans="1:17">
      <c r="A49" s="337" t="s">
        <v>2341</v>
      </c>
      <c r="B49" s="429" t="s">
        <v>2607</v>
      </c>
      <c r="C49" s="429" t="s">
        <v>2616</v>
      </c>
      <c r="D49" s="338">
        <v>1.0350735187530518</v>
      </c>
      <c r="E49" s="338">
        <v>14.793381690979004</v>
      </c>
      <c r="F49" s="339">
        <v>1.2745882272720337</v>
      </c>
      <c r="G49" s="355" t="s">
        <v>1866</v>
      </c>
      <c r="H49">
        <v>2017</v>
      </c>
      <c r="I49" t="s">
        <v>1561</v>
      </c>
      <c r="J49">
        <v>16</v>
      </c>
      <c r="K49">
        <v>2782.9</v>
      </c>
      <c r="M49" s="332" t="s">
        <v>2296</v>
      </c>
      <c r="N49" s="332"/>
      <c r="O49" s="332"/>
    </row>
    <row r="50" spans="1:17">
      <c r="A50" s="337" t="s">
        <v>2342</v>
      </c>
      <c r="B50" s="429" t="s">
        <v>2607</v>
      </c>
      <c r="C50" s="429" t="s">
        <v>2617</v>
      </c>
      <c r="D50" s="338">
        <v>1.1258214712142944</v>
      </c>
      <c r="E50" s="338">
        <v>15.333839416503906</v>
      </c>
      <c r="F50" s="339">
        <v>1.3438026905059814</v>
      </c>
      <c r="G50" s="355" t="s">
        <v>1867</v>
      </c>
      <c r="H50">
        <v>2017</v>
      </c>
      <c r="I50" t="s">
        <v>1561</v>
      </c>
      <c r="J50">
        <v>17</v>
      </c>
      <c r="K50">
        <v>2450.1</v>
      </c>
      <c r="M50" s="332" t="s">
        <v>2298</v>
      </c>
      <c r="N50" s="332" t="s">
        <v>2299</v>
      </c>
      <c r="O50" s="332"/>
    </row>
    <row r="51" spans="1:17">
      <c r="A51" s="342" t="s">
        <v>2343</v>
      </c>
      <c r="B51" s="429" t="s">
        <v>2607</v>
      </c>
      <c r="C51" s="429" t="s">
        <v>2618</v>
      </c>
      <c r="D51" s="343">
        <v>1.4152899980545044</v>
      </c>
      <c r="E51" s="343">
        <v>15.594099998474121</v>
      </c>
      <c r="F51" s="344">
        <v>1.7059683799743652</v>
      </c>
      <c r="G51" s="356" t="s">
        <v>1868</v>
      </c>
      <c r="H51" s="346">
        <v>2017</v>
      </c>
      <c r="I51" s="346" t="s">
        <v>1561</v>
      </c>
      <c r="J51" s="346" t="s">
        <v>1869</v>
      </c>
      <c r="K51" s="346">
        <v>4327.3</v>
      </c>
      <c r="L51" s="346"/>
      <c r="M51" s="347">
        <f>((D51-D52)/AVERAGE(D51:D52))*100</f>
        <v>-0.67773157024854436</v>
      </c>
      <c r="N51" s="347">
        <f>((E51-E52)/AVERAGE(E51:E52))*100</f>
        <v>-0.14627006893637765</v>
      </c>
      <c r="O51" s="348"/>
      <c r="P51" s="346"/>
      <c r="Q51" s="346"/>
    </row>
    <row r="52" spans="1:17">
      <c r="A52" s="342" t="s">
        <v>2344</v>
      </c>
      <c r="B52" s="429" t="s">
        <v>2607</v>
      </c>
      <c r="C52" s="429" t="s">
        <v>2619</v>
      </c>
      <c r="D52" s="343">
        <v>1.4249144792556763</v>
      </c>
      <c r="E52" s="343">
        <v>15.616926193237305</v>
      </c>
      <c r="F52" s="344">
        <v>1.7104675769805908</v>
      </c>
      <c r="G52" s="356" t="s">
        <v>1870</v>
      </c>
      <c r="H52" s="346">
        <v>2017</v>
      </c>
      <c r="I52" s="346" t="s">
        <v>1561</v>
      </c>
      <c r="J52" s="346" t="s">
        <v>1871</v>
      </c>
      <c r="K52" s="346">
        <v>2802.2</v>
      </c>
      <c r="L52" s="346"/>
      <c r="M52" s="346"/>
      <c r="N52" s="346"/>
      <c r="O52" s="346"/>
      <c r="P52" s="346"/>
      <c r="Q52" s="346"/>
    </row>
    <row r="53" spans="1:17">
      <c r="A53" s="337" t="s">
        <v>2345</v>
      </c>
      <c r="B53" s="429" t="s">
        <v>2607</v>
      </c>
      <c r="C53" s="429" t="s">
        <v>2620</v>
      </c>
      <c r="D53" s="338">
        <v>1.1675206422805786</v>
      </c>
      <c r="E53" s="338">
        <v>14.809057235717773</v>
      </c>
      <c r="F53" s="339">
        <v>1.3881611824035645</v>
      </c>
      <c r="G53" s="355" t="s">
        <v>1872</v>
      </c>
      <c r="H53">
        <v>2017</v>
      </c>
      <c r="I53" t="s">
        <v>1561</v>
      </c>
      <c r="J53">
        <v>19</v>
      </c>
      <c r="K53">
        <v>3293</v>
      </c>
    </row>
    <row r="54" spans="1:17">
      <c r="A54" s="337" t="s">
        <v>2346</v>
      </c>
      <c r="B54" s="429" t="s">
        <v>2607</v>
      </c>
      <c r="C54" s="429" t="s">
        <v>2621</v>
      </c>
      <c r="D54" s="338">
        <v>0.97524410486221313</v>
      </c>
      <c r="E54" s="338">
        <v>14.79266357421875</v>
      </c>
      <c r="F54" s="339">
        <v>1.0979647636413574</v>
      </c>
      <c r="G54" s="355" t="s">
        <v>1873</v>
      </c>
      <c r="H54">
        <v>2017</v>
      </c>
      <c r="I54" t="s">
        <v>1561</v>
      </c>
      <c r="J54">
        <v>20</v>
      </c>
      <c r="K54">
        <v>3589</v>
      </c>
    </row>
    <row r="55" spans="1:17">
      <c r="A55" s="350" t="s">
        <v>2310</v>
      </c>
      <c r="B55" s="429" t="s">
        <v>2607</v>
      </c>
      <c r="C55" s="429" t="s">
        <v>2622</v>
      </c>
      <c r="D55" s="577" t="s">
        <v>2821</v>
      </c>
      <c r="E55" s="351"/>
      <c r="F55" s="352"/>
      <c r="G55" s="357"/>
      <c r="H55" s="354"/>
      <c r="I55" s="354"/>
      <c r="J55" s="354"/>
      <c r="K55" s="354"/>
      <c r="L55" s="354"/>
      <c r="M55" s="358" t="s">
        <v>2296</v>
      </c>
      <c r="N55" s="358"/>
      <c r="O55" s="358"/>
      <c r="P55" s="354"/>
      <c r="Q55" s="354"/>
    </row>
    <row r="56" spans="1:17">
      <c r="A56" s="337" t="s">
        <v>2347</v>
      </c>
      <c r="B56" s="429" t="s">
        <v>2607</v>
      </c>
      <c r="C56" s="429" t="s">
        <v>2623</v>
      </c>
      <c r="D56" s="338">
        <v>1.1818984746932983</v>
      </c>
      <c r="E56" s="338">
        <v>15.475208282470703</v>
      </c>
      <c r="F56" s="339">
        <v>1.0893306732177734</v>
      </c>
      <c r="G56" s="366" t="s">
        <v>1874</v>
      </c>
      <c r="H56">
        <v>2017</v>
      </c>
      <c r="I56" t="s">
        <v>1561</v>
      </c>
      <c r="J56">
        <v>21</v>
      </c>
      <c r="K56">
        <v>3386.4</v>
      </c>
      <c r="M56" s="332" t="s">
        <v>2298</v>
      </c>
      <c r="N56" s="332" t="s">
        <v>2299</v>
      </c>
      <c r="O56" s="332"/>
    </row>
    <row r="57" spans="1:17">
      <c r="A57" s="342" t="s">
        <v>2348</v>
      </c>
      <c r="B57" s="429" t="s">
        <v>2607</v>
      </c>
      <c r="C57" s="429" t="s">
        <v>2624</v>
      </c>
      <c r="D57" s="343">
        <v>0.87569493055343628</v>
      </c>
      <c r="E57" s="343">
        <v>14.491562843322754</v>
      </c>
      <c r="F57" s="344">
        <v>0.97474229335784912</v>
      </c>
      <c r="G57" s="367" t="s">
        <v>1875</v>
      </c>
      <c r="H57" s="346">
        <v>2017</v>
      </c>
      <c r="I57" s="346" t="s">
        <v>1562</v>
      </c>
      <c r="J57" s="346" t="s">
        <v>1847</v>
      </c>
      <c r="K57" s="346">
        <v>2913.6</v>
      </c>
      <c r="L57" s="346"/>
      <c r="M57" s="347">
        <f>((D57-D58)/AVERAGE(D57:D58))*100</f>
        <v>1.1409336294280812</v>
      </c>
      <c r="N57" s="347">
        <f>((E57-E58)/AVERAGE(E57:E58))*100</f>
        <v>0.58131006658662376</v>
      </c>
      <c r="O57" s="348"/>
      <c r="P57" s="346"/>
      <c r="Q57" s="346"/>
    </row>
    <row r="58" spans="1:17">
      <c r="A58" s="342" t="s">
        <v>2349</v>
      </c>
      <c r="B58" s="429" t="s">
        <v>2607</v>
      </c>
      <c r="C58" s="429" t="s">
        <v>2625</v>
      </c>
      <c r="D58" s="343">
        <v>0.86576050519943237</v>
      </c>
      <c r="E58" s="343">
        <v>14.407566070556641</v>
      </c>
      <c r="F58" s="344">
        <v>0.92070329189300537</v>
      </c>
      <c r="G58" s="367" t="s">
        <v>1876</v>
      </c>
      <c r="H58" s="346">
        <v>2017</v>
      </c>
      <c r="I58" s="346" t="s">
        <v>1562</v>
      </c>
      <c r="J58" s="346" t="s">
        <v>1849</v>
      </c>
      <c r="K58" s="346">
        <v>3059.2</v>
      </c>
      <c r="L58" s="346"/>
      <c r="M58" s="346"/>
      <c r="N58" s="346"/>
      <c r="O58" s="346"/>
      <c r="P58" s="346"/>
      <c r="Q58" s="346"/>
    </row>
    <row r="59" spans="1:17">
      <c r="A59" s="337" t="s">
        <v>2350</v>
      </c>
      <c r="B59" s="429" t="s">
        <v>2607</v>
      </c>
      <c r="C59" s="429" t="s">
        <v>2626</v>
      </c>
      <c r="D59" s="338">
        <v>0.56721854209899902</v>
      </c>
      <c r="E59" s="338">
        <v>13.149917602539063</v>
      </c>
      <c r="F59" s="339">
        <v>0.60131376981735229</v>
      </c>
      <c r="G59" s="366" t="s">
        <v>1877</v>
      </c>
      <c r="H59">
        <v>2017</v>
      </c>
      <c r="I59" t="s">
        <v>1562</v>
      </c>
      <c r="J59">
        <v>2</v>
      </c>
      <c r="K59">
        <v>4492.3</v>
      </c>
    </row>
    <row r="60" spans="1:17">
      <c r="A60" s="337" t="s">
        <v>2351</v>
      </c>
      <c r="B60" s="429" t="s">
        <v>2607</v>
      </c>
      <c r="C60" s="429" t="s">
        <v>2627</v>
      </c>
      <c r="D60" s="338">
        <v>0.57704097032546997</v>
      </c>
      <c r="E60" s="338">
        <v>13.338409423828125</v>
      </c>
      <c r="F60" s="339">
        <v>0.62602132558822632</v>
      </c>
      <c r="G60" s="366" t="s">
        <v>1878</v>
      </c>
      <c r="H60">
        <v>2017</v>
      </c>
      <c r="I60" t="s">
        <v>1562</v>
      </c>
      <c r="J60">
        <v>3</v>
      </c>
      <c r="K60">
        <v>4683.6000000000004</v>
      </c>
      <c r="M60" s="332" t="s">
        <v>2304</v>
      </c>
      <c r="N60" s="332" t="s">
        <v>108</v>
      </c>
      <c r="O60" s="576" t="s">
        <v>2820</v>
      </c>
    </row>
    <row r="61" spans="1:17">
      <c r="A61" s="337" t="s">
        <v>2352</v>
      </c>
      <c r="B61" s="429" t="s">
        <v>2607</v>
      </c>
      <c r="C61" s="429" t="s">
        <v>2628</v>
      </c>
      <c r="D61" s="338">
        <v>0.56734365224838257</v>
      </c>
      <c r="E61" s="338">
        <v>13.126797676086426</v>
      </c>
      <c r="F61" s="339">
        <v>0.60353296995162964</v>
      </c>
      <c r="G61" s="366" t="s">
        <v>1879</v>
      </c>
      <c r="H61">
        <v>2017</v>
      </c>
      <c r="I61" t="s">
        <v>1562</v>
      </c>
      <c r="J61">
        <v>4</v>
      </c>
      <c r="K61">
        <v>4600</v>
      </c>
      <c r="M61" s="332" t="s">
        <v>2298</v>
      </c>
      <c r="N61" s="332" t="s">
        <v>2299</v>
      </c>
    </row>
    <row r="62" spans="1:17">
      <c r="A62" s="337" t="s">
        <v>2353</v>
      </c>
      <c r="B62" s="429" t="s">
        <v>2607</v>
      </c>
      <c r="C62" s="429" t="s">
        <v>2629</v>
      </c>
      <c r="D62" s="338">
        <v>0.61224067211151123</v>
      </c>
      <c r="E62" s="338">
        <v>13.504899024963379</v>
      </c>
      <c r="F62" s="339">
        <v>0.66479098796844482</v>
      </c>
      <c r="G62" s="366" t="s">
        <v>1880</v>
      </c>
      <c r="H62">
        <v>2017</v>
      </c>
      <c r="I62" t="s">
        <v>1562</v>
      </c>
      <c r="J62">
        <v>5</v>
      </c>
      <c r="K62">
        <v>3958.3</v>
      </c>
      <c r="M62" s="349">
        <f>AVERAGE(D57:D67)</f>
        <v>0.82569904760880908</v>
      </c>
      <c r="N62" s="349">
        <f>AVERAGE(E57:E67)</f>
        <v>14.336454564874822</v>
      </c>
    </row>
    <row r="63" spans="1:17">
      <c r="A63" s="337" t="s">
        <v>2354</v>
      </c>
      <c r="B63" s="429" t="s">
        <v>2607</v>
      </c>
      <c r="C63" s="429" t="s">
        <v>2630</v>
      </c>
      <c r="D63" s="338">
        <v>0.91153717041015625</v>
      </c>
      <c r="E63" s="338">
        <v>14.781429290771484</v>
      </c>
      <c r="F63" s="339">
        <v>0.90088808536529541</v>
      </c>
      <c r="G63" s="366" t="s">
        <v>1881</v>
      </c>
      <c r="H63">
        <v>2017</v>
      </c>
      <c r="I63" t="s">
        <v>1562</v>
      </c>
      <c r="J63">
        <v>6</v>
      </c>
      <c r="K63">
        <v>2838.8</v>
      </c>
    </row>
    <row r="64" spans="1:17">
      <c r="A64" s="337" t="s">
        <v>2355</v>
      </c>
      <c r="B64" s="429" t="s">
        <v>2607</v>
      </c>
      <c r="C64" s="429" t="s">
        <v>2631</v>
      </c>
      <c r="D64" s="338">
        <v>1.0207319259643555</v>
      </c>
      <c r="E64" s="338">
        <v>15.296235084533691</v>
      </c>
      <c r="F64" s="339">
        <v>1.0355334281921387</v>
      </c>
      <c r="G64" s="366" t="s">
        <v>1882</v>
      </c>
      <c r="H64">
        <v>2017</v>
      </c>
      <c r="I64" t="s">
        <v>1562</v>
      </c>
      <c r="J64">
        <v>7</v>
      </c>
      <c r="K64">
        <v>2755.3</v>
      </c>
    </row>
    <row r="65" spans="1:17">
      <c r="A65" s="337" t="s">
        <v>2356</v>
      </c>
      <c r="B65" s="429" t="s">
        <v>2607</v>
      </c>
      <c r="C65" s="429" t="s">
        <v>2632</v>
      </c>
      <c r="D65" s="338">
        <v>0.94557881355285645</v>
      </c>
      <c r="E65" s="338">
        <v>14.799246788024902</v>
      </c>
      <c r="F65" s="339">
        <v>0.98585665225982666</v>
      </c>
      <c r="G65" s="366" t="s">
        <v>1883</v>
      </c>
      <c r="H65">
        <v>2017</v>
      </c>
      <c r="I65" t="s">
        <v>1562</v>
      </c>
      <c r="J65">
        <v>8</v>
      </c>
      <c r="K65">
        <v>3496.9</v>
      </c>
    </row>
    <row r="66" spans="1:17">
      <c r="A66" s="337" t="s">
        <v>2357</v>
      </c>
      <c r="B66" s="429" t="s">
        <v>2607</v>
      </c>
      <c r="C66" s="429" t="s">
        <v>2633</v>
      </c>
      <c r="D66" s="338">
        <v>1.0858781337738037</v>
      </c>
      <c r="E66" s="338">
        <v>15.572234153747559</v>
      </c>
      <c r="F66" s="339">
        <v>1.1287246942520142</v>
      </c>
      <c r="G66" s="366" t="s">
        <v>1884</v>
      </c>
      <c r="H66">
        <v>2017</v>
      </c>
      <c r="I66" t="s">
        <v>1562</v>
      </c>
      <c r="J66">
        <v>9</v>
      </c>
      <c r="K66">
        <v>2780.1</v>
      </c>
    </row>
    <row r="67" spans="1:17">
      <c r="A67" s="337" t="s">
        <v>2358</v>
      </c>
      <c r="B67" s="429" t="s">
        <v>2607</v>
      </c>
      <c r="C67" s="429" t="s">
        <v>2634</v>
      </c>
      <c r="D67" s="338">
        <v>1.0536642074584961</v>
      </c>
      <c r="E67" s="338">
        <v>15.232702255249023</v>
      </c>
      <c r="F67" s="339">
        <v>1.1118001937866211</v>
      </c>
      <c r="G67" s="366" t="s">
        <v>1885</v>
      </c>
      <c r="H67">
        <v>2017</v>
      </c>
      <c r="I67" t="s">
        <v>1562</v>
      </c>
      <c r="J67">
        <v>10</v>
      </c>
      <c r="K67">
        <v>3647.3</v>
      </c>
    </row>
    <row r="68" spans="1:17">
      <c r="A68" s="350" t="s">
        <v>2310</v>
      </c>
      <c r="B68" s="429" t="s">
        <v>2607</v>
      </c>
      <c r="C68" s="429" t="s">
        <v>2635</v>
      </c>
      <c r="D68" s="577" t="s">
        <v>2821</v>
      </c>
      <c r="E68" s="351"/>
      <c r="F68" s="352"/>
      <c r="G68" s="368"/>
      <c r="H68" s="354"/>
      <c r="I68" s="354"/>
      <c r="J68" s="354"/>
      <c r="K68" s="354"/>
      <c r="L68" s="354"/>
      <c r="M68" s="354"/>
      <c r="N68" s="354"/>
      <c r="O68" s="354"/>
      <c r="P68" s="354"/>
      <c r="Q68" s="354"/>
    </row>
    <row r="69" spans="1:17">
      <c r="A69" s="337" t="s">
        <v>2359</v>
      </c>
      <c r="B69" s="429" t="s">
        <v>2607</v>
      </c>
      <c r="C69" s="429" t="s">
        <v>2636</v>
      </c>
      <c r="D69" s="338">
        <v>0.92084378004074097</v>
      </c>
      <c r="E69" s="338">
        <v>14.561279296875</v>
      </c>
      <c r="F69" s="339">
        <v>0.92492008209228516</v>
      </c>
      <c r="G69" s="366" t="s">
        <v>1886</v>
      </c>
      <c r="H69">
        <v>2017</v>
      </c>
      <c r="I69" t="s">
        <v>1562</v>
      </c>
      <c r="J69">
        <v>11</v>
      </c>
      <c r="K69">
        <v>3307.1</v>
      </c>
    </row>
    <row r="70" spans="1:17">
      <c r="A70" s="337" t="s">
        <v>2360</v>
      </c>
      <c r="B70" s="429" t="s">
        <v>2607</v>
      </c>
      <c r="C70" s="429" t="s">
        <v>2637</v>
      </c>
      <c r="D70" s="338">
        <v>0.99744933843612671</v>
      </c>
      <c r="E70" s="338">
        <v>15.105032920837402</v>
      </c>
      <c r="F70" s="339">
        <v>1.0547530651092529</v>
      </c>
      <c r="G70" s="366" t="s">
        <v>1887</v>
      </c>
      <c r="H70">
        <v>2017</v>
      </c>
      <c r="I70" t="s">
        <v>1562</v>
      </c>
      <c r="J70">
        <v>12</v>
      </c>
      <c r="K70">
        <v>3257.2</v>
      </c>
      <c r="M70" s="332" t="s">
        <v>2304</v>
      </c>
      <c r="N70" s="332" t="s">
        <v>108</v>
      </c>
      <c r="O70" s="576" t="s">
        <v>2820</v>
      </c>
    </row>
    <row r="71" spans="1:17">
      <c r="A71" s="337" t="s">
        <v>2361</v>
      </c>
      <c r="B71" s="429" t="s">
        <v>2607</v>
      </c>
      <c r="C71" s="429" t="s">
        <v>2638</v>
      </c>
      <c r="D71" s="338">
        <v>0.77720421552658081</v>
      </c>
      <c r="E71" s="338">
        <v>14.010642051696777</v>
      </c>
      <c r="F71" s="339">
        <v>0.86354482173919678</v>
      </c>
      <c r="G71" s="366" t="s">
        <v>1888</v>
      </c>
      <c r="H71">
        <v>2017</v>
      </c>
      <c r="I71" t="s">
        <v>1562</v>
      </c>
      <c r="J71">
        <v>13</v>
      </c>
      <c r="K71">
        <v>3505.4</v>
      </c>
      <c r="M71" s="332" t="s">
        <v>2298</v>
      </c>
      <c r="N71" s="332" t="s">
        <v>2299</v>
      </c>
    </row>
    <row r="72" spans="1:17">
      <c r="A72" s="337" t="s">
        <v>2362</v>
      </c>
      <c r="B72" s="429" t="s">
        <v>2607</v>
      </c>
      <c r="C72" s="429" t="s">
        <v>2639</v>
      </c>
      <c r="D72" s="338">
        <v>0.73557496070861816</v>
      </c>
      <c r="E72" s="338">
        <v>14.316464424133301</v>
      </c>
      <c r="F72" s="339">
        <v>0.83633482456207275</v>
      </c>
      <c r="G72" s="366" t="s">
        <v>1889</v>
      </c>
      <c r="H72">
        <v>2017</v>
      </c>
      <c r="I72" t="s">
        <v>1562</v>
      </c>
      <c r="J72">
        <v>14</v>
      </c>
      <c r="K72">
        <v>3688.8</v>
      </c>
      <c r="M72" s="349">
        <f>AVERAGE(D69:D80)</f>
        <v>0.88040603697299957</v>
      </c>
      <c r="N72" s="349">
        <f>AVERAGE(E69:E80)</f>
        <v>14.21869158744812</v>
      </c>
    </row>
    <row r="73" spans="1:17">
      <c r="A73" s="337" t="s">
        <v>2363</v>
      </c>
      <c r="B73" s="429" t="s">
        <v>2607</v>
      </c>
      <c r="C73" s="429" t="s">
        <v>2640</v>
      </c>
      <c r="D73" s="338">
        <v>0.68717598915100098</v>
      </c>
      <c r="E73" s="338">
        <v>13.89695930480957</v>
      </c>
      <c r="F73" s="339">
        <v>0.85087579488754272</v>
      </c>
      <c r="G73" s="366" t="s">
        <v>1890</v>
      </c>
      <c r="H73">
        <v>2017</v>
      </c>
      <c r="I73" t="s">
        <v>1562</v>
      </c>
      <c r="J73">
        <v>15</v>
      </c>
      <c r="K73">
        <v>3981.2</v>
      </c>
    </row>
    <row r="74" spans="1:17">
      <c r="A74" s="337" t="s">
        <v>2364</v>
      </c>
      <c r="B74" s="429" t="s">
        <v>2607</v>
      </c>
      <c r="C74" s="429" t="s">
        <v>2641</v>
      </c>
      <c r="D74" s="338">
        <v>0.80116128921508789</v>
      </c>
      <c r="E74" s="338">
        <v>13.75196361541748</v>
      </c>
      <c r="F74" s="339">
        <v>1.0415389537811279</v>
      </c>
      <c r="G74" s="366" t="s">
        <v>1891</v>
      </c>
      <c r="H74">
        <v>2017</v>
      </c>
      <c r="I74" t="s">
        <v>1562</v>
      </c>
      <c r="J74">
        <v>16</v>
      </c>
      <c r="K74">
        <v>3006.9</v>
      </c>
    </row>
    <row r="75" spans="1:17">
      <c r="A75" s="337" t="s">
        <v>2365</v>
      </c>
      <c r="B75" s="429" t="s">
        <v>2607</v>
      </c>
      <c r="C75" s="429" t="s">
        <v>2642</v>
      </c>
      <c r="D75" s="338">
        <v>0.9976387619972229</v>
      </c>
      <c r="E75" s="338">
        <v>14.60549259185791</v>
      </c>
      <c r="F75" s="339">
        <v>1.2121556997299194</v>
      </c>
      <c r="G75" s="366" t="s">
        <v>1892</v>
      </c>
      <c r="H75">
        <v>2017</v>
      </c>
      <c r="I75" t="s">
        <v>1562</v>
      </c>
      <c r="J75">
        <v>17</v>
      </c>
      <c r="K75">
        <v>2909.8</v>
      </c>
    </row>
    <row r="76" spans="1:17">
      <c r="A76" s="337" t="s">
        <v>2366</v>
      </c>
      <c r="B76" s="429" t="s">
        <v>2607</v>
      </c>
      <c r="C76" s="429" t="s">
        <v>2643</v>
      </c>
      <c r="D76" s="338">
        <v>1.1548150777816772</v>
      </c>
      <c r="E76" s="338">
        <v>14.900846481323242</v>
      </c>
      <c r="F76" s="339">
        <v>1.4393258094787598</v>
      </c>
      <c r="G76" s="366" t="s">
        <v>1893</v>
      </c>
      <c r="H76">
        <v>2017</v>
      </c>
      <c r="I76" t="s">
        <v>1562</v>
      </c>
      <c r="J76">
        <v>18</v>
      </c>
      <c r="K76">
        <v>2881.2</v>
      </c>
      <c r="M76" s="332" t="s">
        <v>2296</v>
      </c>
      <c r="N76" s="332"/>
      <c r="O76" s="332"/>
    </row>
    <row r="77" spans="1:17">
      <c r="A77" s="337" t="s">
        <v>2367</v>
      </c>
      <c r="B77" s="429" t="s">
        <v>2607</v>
      </c>
      <c r="C77" s="429" t="s">
        <v>2644</v>
      </c>
      <c r="D77" s="338">
        <v>1.015917181968689</v>
      </c>
      <c r="E77" s="338">
        <v>14.323931694030762</v>
      </c>
      <c r="F77" s="339">
        <v>1.3337329626083374</v>
      </c>
      <c r="G77" s="366" t="s">
        <v>1894</v>
      </c>
      <c r="H77">
        <v>2017</v>
      </c>
      <c r="I77" t="s">
        <v>1562</v>
      </c>
      <c r="J77">
        <v>19</v>
      </c>
      <c r="K77">
        <v>3996.5</v>
      </c>
      <c r="M77" s="332" t="s">
        <v>2298</v>
      </c>
      <c r="N77" s="332" t="s">
        <v>2299</v>
      </c>
      <c r="O77" s="332"/>
    </row>
    <row r="78" spans="1:17">
      <c r="A78" s="342" t="s">
        <v>2368</v>
      </c>
      <c r="B78" s="429" t="s">
        <v>2607</v>
      </c>
      <c r="C78" s="429" t="s">
        <v>2645</v>
      </c>
      <c r="D78" s="343">
        <v>0.93008625507354736</v>
      </c>
      <c r="E78" s="343">
        <v>14.218512535095215</v>
      </c>
      <c r="F78" s="344">
        <v>1.0588885545730591</v>
      </c>
      <c r="G78" s="367" t="s">
        <v>1895</v>
      </c>
      <c r="H78" s="346">
        <v>2017</v>
      </c>
      <c r="I78" s="346" t="s">
        <v>1562</v>
      </c>
      <c r="J78" s="346" t="s">
        <v>1896</v>
      </c>
      <c r="K78" s="346">
        <v>2610</v>
      </c>
      <c r="L78" s="346"/>
      <c r="M78" s="347">
        <f>((D78-D79)/AVERAGE(D78:D79))*100</f>
        <v>1.1338144834188832</v>
      </c>
      <c r="N78" s="347">
        <f>((E78-E79)/AVERAGE(E78:E79))*100</f>
        <v>0.40504581691414254</v>
      </c>
      <c r="O78" s="348"/>
      <c r="P78" s="346"/>
      <c r="Q78" s="346"/>
    </row>
    <row r="79" spans="1:17">
      <c r="A79" s="342" t="s">
        <v>2369</v>
      </c>
      <c r="B79" s="429" t="s">
        <v>2607</v>
      </c>
      <c r="C79" s="429" t="s">
        <v>2646</v>
      </c>
      <c r="D79" s="343">
        <v>0.91960024833679199</v>
      </c>
      <c r="E79" s="343">
        <v>14.161037445068359</v>
      </c>
      <c r="F79" s="344">
        <v>1.0794098377227783</v>
      </c>
      <c r="G79" s="367" t="s">
        <v>1897</v>
      </c>
      <c r="H79" s="346">
        <v>2017</v>
      </c>
      <c r="I79" s="346" t="s">
        <v>1562</v>
      </c>
      <c r="J79" s="346" t="s">
        <v>1898</v>
      </c>
      <c r="K79" s="346">
        <v>3038.5</v>
      </c>
      <c r="L79" s="346"/>
      <c r="M79" s="346"/>
      <c r="N79" s="346"/>
      <c r="O79" s="346"/>
      <c r="P79" s="346"/>
      <c r="Q79" s="346"/>
    </row>
    <row r="80" spans="1:17">
      <c r="A80" s="337" t="s">
        <v>2370</v>
      </c>
      <c r="B80" s="429" t="s">
        <v>2607</v>
      </c>
      <c r="C80" s="429" t="s">
        <v>2647</v>
      </c>
      <c r="D80" s="338">
        <v>0.62740534543991089</v>
      </c>
      <c r="E80" s="338">
        <v>12.772136688232422</v>
      </c>
      <c r="F80" s="339">
        <v>0.76996004581451416</v>
      </c>
      <c r="G80" s="366" t="s">
        <v>1899</v>
      </c>
      <c r="H80">
        <v>2017</v>
      </c>
      <c r="I80" t="s">
        <v>1562</v>
      </c>
      <c r="J80">
        <v>21</v>
      </c>
      <c r="K80">
        <v>4020.6</v>
      </c>
    </row>
    <row r="81" spans="1:17">
      <c r="A81" s="350" t="s">
        <v>2310</v>
      </c>
      <c r="B81" s="429" t="s">
        <v>2607</v>
      </c>
      <c r="C81" s="429" t="s">
        <v>2648</v>
      </c>
      <c r="D81" s="577" t="s">
        <v>2821</v>
      </c>
      <c r="E81" s="351"/>
      <c r="F81" s="352"/>
      <c r="G81" s="368"/>
      <c r="H81" s="354"/>
      <c r="I81" s="354"/>
      <c r="J81" s="354"/>
      <c r="K81" s="354"/>
      <c r="L81" s="354"/>
      <c r="M81" s="354"/>
      <c r="N81" s="354"/>
      <c r="O81" s="354"/>
      <c r="P81" s="354"/>
      <c r="Q81" s="354"/>
    </row>
    <row r="82" spans="1:17">
      <c r="A82" s="337" t="s">
        <v>2371</v>
      </c>
      <c r="B82" s="429" t="s">
        <v>2607</v>
      </c>
      <c r="C82" s="429" t="s">
        <v>2649</v>
      </c>
      <c r="D82" s="338">
        <v>0.80695700645446777</v>
      </c>
      <c r="E82" s="338">
        <v>10.966717720031738</v>
      </c>
      <c r="F82" s="339">
        <v>0.88091164827346802</v>
      </c>
      <c r="G82" s="366" t="s">
        <v>1900</v>
      </c>
      <c r="H82">
        <v>2016</v>
      </c>
      <c r="I82" t="s">
        <v>1557</v>
      </c>
      <c r="J82">
        <v>14</v>
      </c>
      <c r="K82">
        <v>2636.7</v>
      </c>
    </row>
    <row r="83" spans="1:17">
      <c r="A83" s="359" t="s">
        <v>2372</v>
      </c>
      <c r="B83" s="429" t="s">
        <v>2607</v>
      </c>
      <c r="C83" s="429" t="s">
        <v>2650</v>
      </c>
      <c r="D83" s="360">
        <v>0.2723446786403656</v>
      </c>
      <c r="E83" s="360">
        <v>3.2086973190307617</v>
      </c>
      <c r="F83" s="361">
        <v>0.74493204832076998</v>
      </c>
      <c r="G83" s="369" t="s">
        <v>1901</v>
      </c>
      <c r="H83" s="363" t="s">
        <v>1902</v>
      </c>
      <c r="I83" s="133"/>
      <c r="J83" s="133"/>
      <c r="K83" s="133">
        <v>4921.7</v>
      </c>
      <c r="L83" s="133"/>
      <c r="M83" s="370"/>
      <c r="N83" s="370"/>
      <c r="O83" s="133"/>
      <c r="P83" s="133"/>
      <c r="Q83" s="133"/>
    </row>
    <row r="84" spans="1:17">
      <c r="A84" s="359" t="s">
        <v>2373</v>
      </c>
      <c r="B84" s="429" t="s">
        <v>2607</v>
      </c>
      <c r="C84" s="429" t="s">
        <v>2651</v>
      </c>
      <c r="D84" s="360">
        <v>10.378957748413086</v>
      </c>
      <c r="E84" s="360">
        <v>71.105172729492097</v>
      </c>
      <c r="F84" s="361">
        <v>6.8631825447082502</v>
      </c>
      <c r="G84" s="369" t="s">
        <v>1903</v>
      </c>
      <c r="H84" s="371" t="s">
        <v>1904</v>
      </c>
      <c r="I84" s="133"/>
      <c r="J84" s="133"/>
      <c r="K84" s="133">
        <v>621</v>
      </c>
      <c r="L84" s="133"/>
      <c r="M84" s="133"/>
      <c r="N84" s="133"/>
      <c r="O84" s="133"/>
      <c r="P84" s="133"/>
      <c r="Q84" s="133"/>
    </row>
    <row r="85" spans="1:17">
      <c r="D85" s="332" t="s">
        <v>1946</v>
      </c>
      <c r="E85" s="332"/>
      <c r="F85" s="332"/>
    </row>
    <row r="86" spans="1:17">
      <c r="C86" s="580" t="s">
        <v>2304</v>
      </c>
      <c r="D86" s="468">
        <f>AVERAGE(D83,D31,D30)</f>
        <v>0.26886888345082599</v>
      </c>
      <c r="E86" s="468">
        <f>AVERAGE(E83,E31,E30)</f>
        <v>3.2425878047943075</v>
      </c>
    </row>
    <row r="87" spans="1:17">
      <c r="D87" s="181" t="s">
        <v>2808</v>
      </c>
      <c r="E87" s="181"/>
    </row>
    <row r="88" spans="1:17">
      <c r="C88" s="557" t="s">
        <v>2809</v>
      </c>
      <c r="D88" s="557">
        <v>2.5000000000000001E-3</v>
      </c>
      <c r="E88" s="557">
        <v>1.4999999999999999E-2</v>
      </c>
      <c r="F88" t="s">
        <v>2810</v>
      </c>
    </row>
  </sheetData>
  <pageMargins left="0.7" right="0.7" top="0.75" bottom="0.75" header="0.3" footer="0.3"/>
  <pageSetup paperSize="9" orientation="portrait" r:id="rId1"/>
  <ignoredErrors>
    <ignoredError sqref="M7" formulaRange="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99"/>
  <sheetViews>
    <sheetView topLeftCell="A25" workbookViewId="0">
      <selection activeCell="A3" sqref="A3"/>
    </sheetView>
  </sheetViews>
  <sheetFormatPr defaultColWidth="8.83203125" defaultRowHeight="15.5"/>
  <cols>
    <col min="1" max="1" width="23" customWidth="1"/>
    <col min="5" max="5" width="10" bestFit="1" customWidth="1"/>
    <col min="6" max="6" width="12" bestFit="1" customWidth="1"/>
  </cols>
  <sheetData>
    <row r="1" spans="1:7">
      <c r="A1" s="1" t="s">
        <v>1906</v>
      </c>
      <c r="G1" t="s">
        <v>1907</v>
      </c>
    </row>
    <row r="2" spans="1:7">
      <c r="A2" s="99" t="s">
        <v>2652</v>
      </c>
    </row>
    <row r="3" spans="1:7">
      <c r="A3" s="99" t="s">
        <v>1908</v>
      </c>
      <c r="B3" s="99"/>
      <c r="C3" s="99"/>
      <c r="D3" s="62"/>
      <c r="E3" s="99" t="s">
        <v>1715</v>
      </c>
      <c r="F3" s="117"/>
    </row>
    <row r="4" spans="1:7">
      <c r="A4" s="99" t="s">
        <v>1909</v>
      </c>
      <c r="B4" s="99" t="s">
        <v>1809</v>
      </c>
      <c r="C4" s="99" t="s">
        <v>66</v>
      </c>
      <c r="D4" s="62" t="s">
        <v>1675</v>
      </c>
      <c r="E4" s="99" t="s">
        <v>1910</v>
      </c>
      <c r="F4" s="260" t="s">
        <v>1806</v>
      </c>
      <c r="G4" s="99" t="s">
        <v>1911</v>
      </c>
    </row>
    <row r="5" spans="1:7" ht="27" customHeight="1">
      <c r="A5" s="275" t="s">
        <v>1912</v>
      </c>
      <c r="B5" s="275">
        <v>2017</v>
      </c>
      <c r="C5" s="275" t="s">
        <v>1708</v>
      </c>
      <c r="D5" s="275">
        <v>1</v>
      </c>
      <c r="E5" s="275">
        <v>3340.8</v>
      </c>
      <c r="F5" s="276">
        <v>43272</v>
      </c>
      <c r="G5" t="s">
        <v>1913</v>
      </c>
    </row>
    <row r="6" spans="1:7" ht="27" customHeight="1">
      <c r="A6" s="275" t="s">
        <v>1912</v>
      </c>
      <c r="B6" s="275">
        <v>2017</v>
      </c>
      <c r="C6" s="275" t="s">
        <v>1708</v>
      </c>
      <c r="D6" s="275">
        <v>2</v>
      </c>
      <c r="E6" s="275">
        <v>3141.5</v>
      </c>
      <c r="F6" s="276">
        <v>43272</v>
      </c>
      <c r="G6" t="s">
        <v>1913</v>
      </c>
    </row>
    <row r="7" spans="1:7" ht="27" customHeight="1">
      <c r="A7" s="275" t="s">
        <v>1912</v>
      </c>
      <c r="B7" s="275">
        <v>2017</v>
      </c>
      <c r="C7" s="275" t="s">
        <v>1708</v>
      </c>
      <c r="D7" s="275">
        <v>3</v>
      </c>
      <c r="E7" s="275">
        <v>2197.9</v>
      </c>
      <c r="F7" s="276">
        <v>43272</v>
      </c>
      <c r="G7" t="s">
        <v>1913</v>
      </c>
    </row>
    <row r="8" spans="1:7" ht="27" customHeight="1">
      <c r="A8" s="275" t="s">
        <v>1912</v>
      </c>
      <c r="B8" s="275">
        <v>2017</v>
      </c>
      <c r="C8" s="275" t="s">
        <v>1708</v>
      </c>
      <c r="D8" s="275" t="s">
        <v>1914</v>
      </c>
      <c r="E8" s="275">
        <v>2225.1</v>
      </c>
      <c r="F8" s="276">
        <v>43272</v>
      </c>
      <c r="G8" t="s">
        <v>1913</v>
      </c>
    </row>
    <row r="9" spans="1:7" ht="27" customHeight="1">
      <c r="A9" s="275" t="s">
        <v>1912</v>
      </c>
      <c r="B9" s="275">
        <v>2017</v>
      </c>
      <c r="C9" s="275" t="s">
        <v>1708</v>
      </c>
      <c r="D9" s="275" t="s">
        <v>1915</v>
      </c>
      <c r="E9" s="275">
        <v>2171.5</v>
      </c>
      <c r="F9" s="276">
        <v>43272</v>
      </c>
      <c r="G9" t="s">
        <v>1913</v>
      </c>
    </row>
    <row r="10" spans="1:7" ht="27" customHeight="1">
      <c r="A10" s="275" t="s">
        <v>1912</v>
      </c>
      <c r="B10" s="275">
        <v>2017</v>
      </c>
      <c r="C10" s="275" t="s">
        <v>1708</v>
      </c>
      <c r="D10" s="275">
        <v>5</v>
      </c>
      <c r="E10" s="275">
        <v>2285.5</v>
      </c>
      <c r="F10" s="276">
        <v>43272</v>
      </c>
      <c r="G10" t="s">
        <v>1913</v>
      </c>
    </row>
    <row r="11" spans="1:7" ht="27" customHeight="1">
      <c r="A11" s="275" t="s">
        <v>1912</v>
      </c>
      <c r="B11" s="275">
        <v>2017</v>
      </c>
      <c r="C11" s="275" t="s">
        <v>1708</v>
      </c>
      <c r="D11" s="275">
        <v>6</v>
      </c>
      <c r="E11" s="275">
        <v>2243.6999999999998</v>
      </c>
      <c r="F11" s="276">
        <v>43272</v>
      </c>
      <c r="G11" t="s">
        <v>1913</v>
      </c>
    </row>
    <row r="12" spans="1:7" ht="27" customHeight="1">
      <c r="A12" s="275" t="s">
        <v>1912</v>
      </c>
      <c r="B12" s="275">
        <v>2017</v>
      </c>
      <c r="C12" s="275" t="s">
        <v>1708</v>
      </c>
      <c r="D12" s="275">
        <v>7</v>
      </c>
      <c r="E12" s="275">
        <v>2907.9</v>
      </c>
      <c r="F12" s="276">
        <v>43272</v>
      </c>
      <c r="G12" t="s">
        <v>1913</v>
      </c>
    </row>
    <row r="13" spans="1:7" ht="27" customHeight="1">
      <c r="A13" s="275" t="s">
        <v>1912</v>
      </c>
      <c r="B13" s="275">
        <v>2017</v>
      </c>
      <c r="C13" s="275" t="s">
        <v>1708</v>
      </c>
      <c r="D13" s="275">
        <v>8</v>
      </c>
      <c r="E13" s="275">
        <v>2010.1</v>
      </c>
      <c r="F13" s="276">
        <v>43272</v>
      </c>
      <c r="G13" t="s">
        <v>1913</v>
      </c>
    </row>
    <row r="14" spans="1:7" ht="27" customHeight="1">
      <c r="A14" s="275" t="s">
        <v>1912</v>
      </c>
      <c r="B14" s="275">
        <v>2017</v>
      </c>
      <c r="C14" s="275" t="s">
        <v>1708</v>
      </c>
      <c r="D14" s="275">
        <v>9</v>
      </c>
      <c r="E14" s="275">
        <v>2130.6999999999998</v>
      </c>
      <c r="F14" s="276">
        <v>43272</v>
      </c>
      <c r="G14" t="s">
        <v>1913</v>
      </c>
    </row>
    <row r="15" spans="1:7" ht="27" customHeight="1">
      <c r="A15" s="275" t="s">
        <v>1912</v>
      </c>
      <c r="B15" s="275">
        <v>2017</v>
      </c>
      <c r="C15" s="275" t="s">
        <v>1708</v>
      </c>
      <c r="D15" s="275">
        <v>10</v>
      </c>
      <c r="E15" s="275">
        <v>2544.4</v>
      </c>
      <c r="F15" s="276">
        <v>43272</v>
      </c>
      <c r="G15" t="s">
        <v>1913</v>
      </c>
    </row>
    <row r="16" spans="1:7" ht="27" customHeight="1">
      <c r="A16" s="275" t="s">
        <v>1912</v>
      </c>
      <c r="B16" s="275">
        <v>2017</v>
      </c>
      <c r="C16" s="275" t="s">
        <v>1708</v>
      </c>
      <c r="D16" s="275">
        <v>11</v>
      </c>
      <c r="E16" s="275">
        <v>1989.7</v>
      </c>
      <c r="F16" s="276">
        <v>43272</v>
      </c>
      <c r="G16" t="s">
        <v>1913</v>
      </c>
    </row>
    <row r="17" spans="1:7" ht="27" customHeight="1">
      <c r="A17" s="275" t="s">
        <v>1912</v>
      </c>
      <c r="B17" s="275">
        <v>2017</v>
      </c>
      <c r="C17" s="275" t="s">
        <v>1708</v>
      </c>
      <c r="D17" s="275">
        <v>12</v>
      </c>
      <c r="E17" s="275">
        <v>3359.2</v>
      </c>
      <c r="F17" s="276">
        <v>43272</v>
      </c>
      <c r="G17" t="s">
        <v>1913</v>
      </c>
    </row>
    <row r="18" spans="1:7" ht="27" customHeight="1">
      <c r="A18" s="275" t="s">
        <v>1912</v>
      </c>
      <c r="B18" s="275">
        <v>2017</v>
      </c>
      <c r="C18" s="275" t="s">
        <v>1708</v>
      </c>
      <c r="D18" s="275">
        <v>13</v>
      </c>
      <c r="E18" s="275">
        <v>2276.9</v>
      </c>
      <c r="F18" s="276">
        <v>43272</v>
      </c>
      <c r="G18" t="s">
        <v>1916</v>
      </c>
    </row>
    <row r="19" spans="1:7" ht="27" customHeight="1">
      <c r="A19" s="275" t="s">
        <v>1912</v>
      </c>
      <c r="B19" s="275">
        <v>2017</v>
      </c>
      <c r="C19" s="275" t="s">
        <v>1708</v>
      </c>
      <c r="D19" s="275" t="s">
        <v>1832</v>
      </c>
      <c r="E19" s="275">
        <v>2355.6999999999998</v>
      </c>
      <c r="F19" s="276">
        <v>43272</v>
      </c>
      <c r="G19" t="s">
        <v>1916</v>
      </c>
    </row>
    <row r="20" spans="1:7" ht="27" customHeight="1">
      <c r="A20" s="275" t="s">
        <v>1912</v>
      </c>
      <c r="B20" s="275">
        <v>2017</v>
      </c>
      <c r="C20" s="275" t="s">
        <v>1708</v>
      </c>
      <c r="D20" s="275" t="s">
        <v>1834</v>
      </c>
      <c r="E20" s="275">
        <v>2703.5</v>
      </c>
      <c r="F20" s="276">
        <v>43272</v>
      </c>
      <c r="G20" t="s">
        <v>1916</v>
      </c>
    </row>
    <row r="21" spans="1:7" ht="27" customHeight="1">
      <c r="A21" s="275" t="s">
        <v>1912</v>
      </c>
      <c r="B21" s="275">
        <v>2017</v>
      </c>
      <c r="C21" s="275" t="s">
        <v>1708</v>
      </c>
      <c r="D21" s="275">
        <v>15</v>
      </c>
      <c r="E21" s="275">
        <v>2138.1</v>
      </c>
      <c r="F21" s="276">
        <v>43272</v>
      </c>
      <c r="G21" t="s">
        <v>1916</v>
      </c>
    </row>
    <row r="22" spans="1:7" ht="27" customHeight="1">
      <c r="A22" s="275" t="s">
        <v>1912</v>
      </c>
      <c r="B22" s="275">
        <v>2017</v>
      </c>
      <c r="C22" s="275" t="s">
        <v>1708</v>
      </c>
      <c r="D22" s="275">
        <v>16</v>
      </c>
      <c r="E22" s="275">
        <v>2138.6</v>
      </c>
      <c r="F22" s="276">
        <v>43272</v>
      </c>
      <c r="G22" t="s">
        <v>1916</v>
      </c>
    </row>
    <row r="23" spans="1:7" ht="27" customHeight="1">
      <c r="A23" s="275" t="s">
        <v>1912</v>
      </c>
      <c r="B23" s="275">
        <v>2017</v>
      </c>
      <c r="C23" s="275" t="s">
        <v>1708</v>
      </c>
      <c r="D23" s="275">
        <v>17</v>
      </c>
      <c r="E23" s="275">
        <v>2879.3</v>
      </c>
      <c r="F23" s="276">
        <v>43272</v>
      </c>
      <c r="G23" t="s">
        <v>1916</v>
      </c>
    </row>
    <row r="24" spans="1:7" ht="27" customHeight="1">
      <c r="A24" s="275" t="s">
        <v>1912</v>
      </c>
      <c r="B24" s="275">
        <v>2017</v>
      </c>
      <c r="C24" s="275" t="s">
        <v>1708</v>
      </c>
      <c r="D24" s="275">
        <v>18</v>
      </c>
      <c r="E24" s="275">
        <v>2925.4</v>
      </c>
      <c r="F24" s="276">
        <v>43272</v>
      </c>
      <c r="G24" t="s">
        <v>1916</v>
      </c>
    </row>
    <row r="25" spans="1:7" ht="27" customHeight="1">
      <c r="A25" s="275" t="s">
        <v>1912</v>
      </c>
      <c r="B25" s="275">
        <v>2017</v>
      </c>
      <c r="C25" s="275" t="s">
        <v>1708</v>
      </c>
      <c r="D25" s="275">
        <v>19</v>
      </c>
      <c r="E25" s="275">
        <v>2906.3</v>
      </c>
      <c r="F25" s="276">
        <v>43272</v>
      </c>
      <c r="G25" t="s">
        <v>1916</v>
      </c>
    </row>
    <row r="26" spans="1:7" ht="27" customHeight="1">
      <c r="A26" s="275" t="s">
        <v>1912</v>
      </c>
      <c r="B26" s="275">
        <v>2017</v>
      </c>
      <c r="C26" s="275" t="s">
        <v>1708</v>
      </c>
      <c r="D26" s="275">
        <v>20</v>
      </c>
      <c r="E26" s="275">
        <v>3165.9</v>
      </c>
      <c r="F26" s="276">
        <v>43272</v>
      </c>
      <c r="G26" t="s">
        <v>1916</v>
      </c>
    </row>
    <row r="27" spans="1:7" ht="27" customHeight="1">
      <c r="A27" s="275" t="s">
        <v>1912</v>
      </c>
      <c r="B27" s="275">
        <v>2017</v>
      </c>
      <c r="C27" s="275" t="s">
        <v>1708</v>
      </c>
      <c r="D27" s="275">
        <v>21</v>
      </c>
      <c r="E27" s="275">
        <v>2747.7</v>
      </c>
      <c r="F27" s="276">
        <v>43272</v>
      </c>
      <c r="G27" t="s">
        <v>1916</v>
      </c>
    </row>
    <row r="28" spans="1:7" ht="27" customHeight="1">
      <c r="A28" s="275" t="s">
        <v>1917</v>
      </c>
      <c r="B28" s="275">
        <v>2017</v>
      </c>
      <c r="C28" s="275" t="s">
        <v>1750</v>
      </c>
      <c r="D28" s="275" t="s">
        <v>1847</v>
      </c>
      <c r="E28" s="275">
        <v>2304.3000000000002</v>
      </c>
      <c r="F28" s="276">
        <v>43276</v>
      </c>
      <c r="G28" t="s">
        <v>1918</v>
      </c>
    </row>
    <row r="29" spans="1:7" ht="27" customHeight="1">
      <c r="A29" s="275" t="s">
        <v>1917</v>
      </c>
      <c r="B29" s="275">
        <v>2017</v>
      </c>
      <c r="C29" s="275" t="s">
        <v>1750</v>
      </c>
      <c r="D29" s="275" t="s">
        <v>1849</v>
      </c>
      <c r="E29" s="275">
        <v>3785.8</v>
      </c>
      <c r="F29" s="276">
        <v>43276</v>
      </c>
      <c r="G29" t="s">
        <v>1918</v>
      </c>
    </row>
    <row r="30" spans="1:7" ht="27" customHeight="1">
      <c r="A30" s="275" t="s">
        <v>1917</v>
      </c>
      <c r="B30" s="275">
        <v>2017</v>
      </c>
      <c r="C30" s="275" t="s">
        <v>1750</v>
      </c>
      <c r="D30" s="275">
        <v>2</v>
      </c>
      <c r="E30" s="275">
        <v>2549.9</v>
      </c>
      <c r="F30" s="276">
        <v>43276</v>
      </c>
      <c r="G30" t="s">
        <v>1918</v>
      </c>
    </row>
    <row r="31" spans="1:7" ht="27" customHeight="1">
      <c r="A31" s="275" t="s">
        <v>1917</v>
      </c>
      <c r="B31" s="275">
        <v>2017</v>
      </c>
      <c r="C31" s="275" t="s">
        <v>1750</v>
      </c>
      <c r="D31" s="275">
        <v>3</v>
      </c>
      <c r="E31" s="275">
        <v>2455.5</v>
      </c>
      <c r="F31" s="276">
        <v>43276</v>
      </c>
      <c r="G31" t="s">
        <v>1918</v>
      </c>
    </row>
    <row r="32" spans="1:7" ht="27" customHeight="1">
      <c r="A32" s="275" t="s">
        <v>1917</v>
      </c>
      <c r="B32" s="275">
        <v>2017</v>
      </c>
      <c r="C32" s="275" t="s">
        <v>1750</v>
      </c>
      <c r="D32" s="275">
        <v>4</v>
      </c>
      <c r="E32" s="275">
        <v>3140.9</v>
      </c>
      <c r="F32" s="276">
        <v>43276</v>
      </c>
      <c r="G32" t="s">
        <v>1918</v>
      </c>
    </row>
    <row r="33" spans="1:7" ht="27" customHeight="1">
      <c r="A33" s="275" t="s">
        <v>1917</v>
      </c>
      <c r="B33" s="275">
        <v>2017</v>
      </c>
      <c r="C33" s="275" t="s">
        <v>1750</v>
      </c>
      <c r="D33" s="275">
        <v>5</v>
      </c>
      <c r="E33" s="275">
        <v>2061</v>
      </c>
      <c r="F33" s="276">
        <v>43276</v>
      </c>
      <c r="G33" t="s">
        <v>1918</v>
      </c>
    </row>
    <row r="34" spans="1:7" ht="27" customHeight="1">
      <c r="A34" s="275" t="s">
        <v>1917</v>
      </c>
      <c r="B34" s="275">
        <v>2017</v>
      </c>
      <c r="C34" s="275" t="s">
        <v>1750</v>
      </c>
      <c r="D34" s="275">
        <v>6</v>
      </c>
      <c r="E34" s="275">
        <v>2668.9</v>
      </c>
      <c r="F34" s="276">
        <v>43276</v>
      </c>
      <c r="G34" t="s">
        <v>1918</v>
      </c>
    </row>
    <row r="35" spans="1:7" ht="27" customHeight="1">
      <c r="A35" s="275" t="s">
        <v>1917</v>
      </c>
      <c r="B35" s="275">
        <v>2017</v>
      </c>
      <c r="C35" s="275" t="s">
        <v>1750</v>
      </c>
      <c r="D35" s="275">
        <v>7</v>
      </c>
      <c r="E35" s="275">
        <v>3057.5</v>
      </c>
      <c r="F35" s="276">
        <v>43276</v>
      </c>
      <c r="G35" t="s">
        <v>1918</v>
      </c>
    </row>
    <row r="36" spans="1:7" ht="27" customHeight="1">
      <c r="A36" s="275" t="s">
        <v>1917</v>
      </c>
      <c r="B36" s="275">
        <v>2017</v>
      </c>
      <c r="C36" s="275" t="s">
        <v>1750</v>
      </c>
      <c r="D36" s="275">
        <v>8</v>
      </c>
      <c r="E36" s="275">
        <v>2611.6</v>
      </c>
      <c r="F36" s="276">
        <v>43276</v>
      </c>
      <c r="G36" t="s">
        <v>1918</v>
      </c>
    </row>
    <row r="37" spans="1:7" ht="27" customHeight="1">
      <c r="A37" s="275" t="s">
        <v>1917</v>
      </c>
      <c r="B37" s="275">
        <v>2017</v>
      </c>
      <c r="C37" s="275" t="s">
        <v>1750</v>
      </c>
      <c r="D37" s="275">
        <v>9</v>
      </c>
      <c r="E37" s="275">
        <v>2030.8</v>
      </c>
      <c r="F37" s="276">
        <v>43276</v>
      </c>
      <c r="G37" t="s">
        <v>1918</v>
      </c>
    </row>
    <row r="38" spans="1:7" ht="27" customHeight="1">
      <c r="A38" s="275" t="s">
        <v>1917</v>
      </c>
      <c r="B38" s="275">
        <v>2017</v>
      </c>
      <c r="C38" s="275" t="s">
        <v>1750</v>
      </c>
      <c r="D38" s="275">
        <v>10</v>
      </c>
      <c r="E38" s="275">
        <v>2194.5</v>
      </c>
      <c r="F38" s="276">
        <v>43276</v>
      </c>
      <c r="G38" t="s">
        <v>1918</v>
      </c>
    </row>
    <row r="39" spans="1:7" ht="27" customHeight="1">
      <c r="A39" s="275" t="s">
        <v>1917</v>
      </c>
      <c r="B39" s="275">
        <v>2017</v>
      </c>
      <c r="C39" s="275" t="s">
        <v>1750</v>
      </c>
      <c r="D39" s="275">
        <v>11</v>
      </c>
      <c r="E39" s="275">
        <v>2719.3</v>
      </c>
      <c r="F39" s="276">
        <v>43276</v>
      </c>
      <c r="G39" t="s">
        <v>1918</v>
      </c>
    </row>
    <row r="40" spans="1:7" ht="27" customHeight="1">
      <c r="A40" s="275" t="s">
        <v>1917</v>
      </c>
      <c r="B40" s="275">
        <v>2017</v>
      </c>
      <c r="C40" s="275" t="s">
        <v>1750</v>
      </c>
      <c r="D40" s="275">
        <v>12</v>
      </c>
      <c r="E40" s="275">
        <v>2135.4</v>
      </c>
      <c r="F40" s="276">
        <v>43276</v>
      </c>
      <c r="G40" t="s">
        <v>1918</v>
      </c>
    </row>
    <row r="41" spans="1:7" ht="27" customHeight="1">
      <c r="A41" s="275" t="s">
        <v>1917</v>
      </c>
      <c r="B41" s="275">
        <v>2017</v>
      </c>
      <c r="C41" s="275" t="s">
        <v>1750</v>
      </c>
      <c r="D41" s="275">
        <v>13</v>
      </c>
      <c r="E41" s="275">
        <v>2171.3000000000002</v>
      </c>
      <c r="F41" s="276">
        <v>43276</v>
      </c>
      <c r="G41" t="s">
        <v>1918</v>
      </c>
    </row>
    <row r="42" spans="1:7" ht="27" customHeight="1">
      <c r="A42" s="275" t="s">
        <v>1917</v>
      </c>
      <c r="B42" s="275">
        <v>2017</v>
      </c>
      <c r="C42" s="275" t="s">
        <v>1750</v>
      </c>
      <c r="D42" s="275">
        <v>14</v>
      </c>
      <c r="E42" s="275">
        <v>2865.7</v>
      </c>
      <c r="F42" s="276">
        <v>43276</v>
      </c>
      <c r="G42" t="s">
        <v>1918</v>
      </c>
    </row>
    <row r="43" spans="1:7" ht="27" customHeight="1">
      <c r="A43" s="275" t="s">
        <v>1917</v>
      </c>
      <c r="B43" s="275">
        <v>2017</v>
      </c>
      <c r="C43" s="275" t="s">
        <v>1750</v>
      </c>
      <c r="D43" s="275">
        <v>15</v>
      </c>
      <c r="E43" s="275">
        <v>3261.7</v>
      </c>
      <c r="F43" s="276">
        <v>43276</v>
      </c>
      <c r="G43" t="s">
        <v>1918</v>
      </c>
    </row>
    <row r="44" spans="1:7" ht="27" customHeight="1">
      <c r="A44" s="275" t="s">
        <v>1917</v>
      </c>
      <c r="B44" s="275">
        <v>2017</v>
      </c>
      <c r="C44" s="275" t="s">
        <v>1750</v>
      </c>
      <c r="D44" s="275">
        <v>16</v>
      </c>
      <c r="E44" s="275">
        <v>2424.4</v>
      </c>
      <c r="F44" s="276">
        <v>43276</v>
      </c>
      <c r="G44" t="s">
        <v>1918</v>
      </c>
    </row>
    <row r="45" spans="1:7" ht="27" customHeight="1">
      <c r="A45" s="275" t="s">
        <v>1917</v>
      </c>
      <c r="B45" s="275">
        <v>2017</v>
      </c>
      <c r="C45" s="275" t="s">
        <v>1750</v>
      </c>
      <c r="D45" s="275">
        <v>17</v>
      </c>
      <c r="E45" s="275">
        <v>2310.4</v>
      </c>
      <c r="F45" s="276">
        <v>43276</v>
      </c>
      <c r="G45" t="s">
        <v>1918</v>
      </c>
    </row>
    <row r="46" spans="1:7" ht="27" customHeight="1">
      <c r="A46" s="275" t="s">
        <v>1917</v>
      </c>
      <c r="B46" s="275">
        <v>2017</v>
      </c>
      <c r="C46" s="275" t="s">
        <v>1750</v>
      </c>
      <c r="D46" s="275" t="s">
        <v>1869</v>
      </c>
      <c r="E46" s="275">
        <v>2676.5</v>
      </c>
      <c r="F46" s="276">
        <v>43276</v>
      </c>
      <c r="G46" t="s">
        <v>1918</v>
      </c>
    </row>
    <row r="47" spans="1:7" ht="27" customHeight="1">
      <c r="A47" s="275" t="s">
        <v>1917</v>
      </c>
      <c r="B47" s="275">
        <v>2017</v>
      </c>
      <c r="C47" s="275" t="s">
        <v>1750</v>
      </c>
      <c r="D47" s="275" t="s">
        <v>1871</v>
      </c>
      <c r="E47" s="275">
        <v>3382.6</v>
      </c>
      <c r="F47" s="276">
        <v>43276</v>
      </c>
      <c r="G47" t="s">
        <v>1918</v>
      </c>
    </row>
    <row r="48" spans="1:7" ht="27" customHeight="1">
      <c r="A48" s="275" t="s">
        <v>1917</v>
      </c>
      <c r="B48" s="275">
        <v>2017</v>
      </c>
      <c r="C48" s="275" t="s">
        <v>1750</v>
      </c>
      <c r="D48" s="275">
        <v>19</v>
      </c>
      <c r="E48" s="275">
        <v>3524.9</v>
      </c>
      <c r="F48" s="276">
        <v>43276</v>
      </c>
      <c r="G48" t="s">
        <v>1918</v>
      </c>
    </row>
    <row r="49" spans="1:7" ht="27" customHeight="1">
      <c r="A49" s="275" t="s">
        <v>1917</v>
      </c>
      <c r="B49" s="275">
        <v>2017</v>
      </c>
      <c r="C49" s="275" t="s">
        <v>1750</v>
      </c>
      <c r="D49" s="275">
        <v>20</v>
      </c>
      <c r="E49" s="275">
        <v>2789.9</v>
      </c>
      <c r="F49" s="276">
        <v>43276</v>
      </c>
      <c r="G49" t="s">
        <v>1918</v>
      </c>
    </row>
    <row r="50" spans="1:7" ht="27" customHeight="1">
      <c r="A50" s="275" t="s">
        <v>1917</v>
      </c>
      <c r="B50" s="275">
        <v>2017</v>
      </c>
      <c r="C50" s="275" t="s">
        <v>1750</v>
      </c>
      <c r="D50" s="275">
        <v>21</v>
      </c>
      <c r="E50" s="275">
        <v>2928</v>
      </c>
      <c r="F50" s="276">
        <v>43276</v>
      </c>
      <c r="G50" t="s">
        <v>1918</v>
      </c>
    </row>
    <row r="51" spans="1:7" ht="27" customHeight="1">
      <c r="A51" s="275" t="s">
        <v>1919</v>
      </c>
      <c r="B51" s="275">
        <v>2017</v>
      </c>
      <c r="C51" s="275" t="s">
        <v>1776</v>
      </c>
      <c r="D51" s="275" t="s">
        <v>1847</v>
      </c>
      <c r="E51" s="275">
        <v>2085.9</v>
      </c>
      <c r="F51" s="276">
        <v>43280</v>
      </c>
      <c r="G51" t="s">
        <v>1918</v>
      </c>
    </row>
    <row r="52" spans="1:7" ht="27" customHeight="1">
      <c r="A52" s="275" t="s">
        <v>1919</v>
      </c>
      <c r="B52" s="275">
        <v>2017</v>
      </c>
      <c r="C52" s="275" t="s">
        <v>1776</v>
      </c>
      <c r="D52" s="275" t="s">
        <v>1849</v>
      </c>
      <c r="E52" s="275">
        <v>2316.9</v>
      </c>
      <c r="F52" s="276">
        <v>43280</v>
      </c>
      <c r="G52" t="s">
        <v>1918</v>
      </c>
    </row>
    <row r="53" spans="1:7" ht="27" customHeight="1">
      <c r="A53" s="275" t="s">
        <v>1919</v>
      </c>
      <c r="B53" s="275">
        <v>2017</v>
      </c>
      <c r="C53" s="275" t="s">
        <v>1776</v>
      </c>
      <c r="D53" s="275">
        <v>2</v>
      </c>
      <c r="E53" s="275">
        <v>3001.2</v>
      </c>
      <c r="F53" s="276">
        <v>43280</v>
      </c>
      <c r="G53" t="s">
        <v>1918</v>
      </c>
    </row>
    <row r="54" spans="1:7" ht="27" customHeight="1">
      <c r="A54" s="275" t="s">
        <v>1919</v>
      </c>
      <c r="B54" s="275">
        <v>2017</v>
      </c>
      <c r="C54" s="275" t="s">
        <v>1776</v>
      </c>
      <c r="D54" s="275">
        <v>3</v>
      </c>
      <c r="E54" s="275">
        <v>2628.2</v>
      </c>
      <c r="F54" s="276">
        <v>43280</v>
      </c>
      <c r="G54" t="s">
        <v>1918</v>
      </c>
    </row>
    <row r="55" spans="1:7" ht="27" customHeight="1">
      <c r="A55" s="275" t="s">
        <v>1919</v>
      </c>
      <c r="B55" s="275">
        <v>2017</v>
      </c>
      <c r="C55" s="275" t="s">
        <v>1776</v>
      </c>
      <c r="D55" s="275">
        <v>4</v>
      </c>
      <c r="E55" s="275">
        <v>3254</v>
      </c>
      <c r="F55" s="276">
        <v>43280</v>
      </c>
      <c r="G55" t="s">
        <v>1918</v>
      </c>
    </row>
    <row r="56" spans="1:7" ht="27" customHeight="1">
      <c r="A56" s="275" t="s">
        <v>1919</v>
      </c>
      <c r="B56" s="275">
        <v>2017</v>
      </c>
      <c r="C56" s="275" t="s">
        <v>1776</v>
      </c>
      <c r="D56" s="275">
        <v>5</v>
      </c>
      <c r="E56" s="275">
        <v>2821.3</v>
      </c>
      <c r="F56" s="276">
        <v>43280</v>
      </c>
      <c r="G56" t="s">
        <v>1918</v>
      </c>
    </row>
    <row r="57" spans="1:7" ht="27" customHeight="1">
      <c r="A57" s="275" t="s">
        <v>1919</v>
      </c>
      <c r="B57" s="275">
        <v>2017</v>
      </c>
      <c r="C57" s="275" t="s">
        <v>1776</v>
      </c>
      <c r="D57" s="275">
        <v>6</v>
      </c>
      <c r="E57" s="275">
        <v>2861.6</v>
      </c>
      <c r="F57" s="276">
        <v>43280</v>
      </c>
      <c r="G57" t="s">
        <v>1918</v>
      </c>
    </row>
    <row r="58" spans="1:7" ht="27" customHeight="1">
      <c r="A58" s="275" t="s">
        <v>1919</v>
      </c>
      <c r="B58" s="275">
        <v>2017</v>
      </c>
      <c r="C58" s="275" t="s">
        <v>1776</v>
      </c>
      <c r="D58" s="275">
        <v>7</v>
      </c>
      <c r="E58" s="275">
        <v>2860.1</v>
      </c>
      <c r="F58" s="276">
        <v>43280</v>
      </c>
      <c r="G58" t="s">
        <v>1918</v>
      </c>
    </row>
    <row r="59" spans="1:7" ht="27" customHeight="1">
      <c r="A59" s="275" t="s">
        <v>1919</v>
      </c>
      <c r="B59" s="275">
        <v>2017</v>
      </c>
      <c r="C59" s="275" t="s">
        <v>1776</v>
      </c>
      <c r="D59" s="275">
        <v>8</v>
      </c>
      <c r="E59" s="275">
        <v>2734.1</v>
      </c>
      <c r="F59" s="276">
        <v>43280</v>
      </c>
      <c r="G59" t="s">
        <v>1918</v>
      </c>
    </row>
    <row r="60" spans="1:7" ht="27" customHeight="1">
      <c r="A60" s="275" t="s">
        <v>1919</v>
      </c>
      <c r="B60" s="275">
        <v>2017</v>
      </c>
      <c r="C60" s="275" t="s">
        <v>1776</v>
      </c>
      <c r="D60" s="275">
        <v>9</v>
      </c>
      <c r="E60" s="275">
        <v>2115.1</v>
      </c>
      <c r="F60" s="276">
        <v>43280</v>
      </c>
      <c r="G60" t="s">
        <v>1918</v>
      </c>
    </row>
    <row r="61" spans="1:7" ht="27" customHeight="1">
      <c r="A61" s="275" t="s">
        <v>1919</v>
      </c>
      <c r="B61" s="275">
        <v>2017</v>
      </c>
      <c r="C61" s="275" t="s">
        <v>1776</v>
      </c>
      <c r="D61" s="275">
        <v>10</v>
      </c>
      <c r="E61" s="275">
        <v>2340.5</v>
      </c>
      <c r="F61" s="276">
        <v>43280</v>
      </c>
      <c r="G61" t="s">
        <v>1918</v>
      </c>
    </row>
    <row r="62" spans="1:7" ht="27" customHeight="1">
      <c r="A62" s="275" t="s">
        <v>1919</v>
      </c>
      <c r="B62" s="275">
        <v>2017</v>
      </c>
      <c r="C62" s="275" t="s">
        <v>1776</v>
      </c>
      <c r="D62" s="275">
        <v>11</v>
      </c>
      <c r="E62" s="275">
        <v>2229.3000000000002</v>
      </c>
      <c r="F62" s="276">
        <v>43280</v>
      </c>
      <c r="G62" t="s">
        <v>1918</v>
      </c>
    </row>
    <row r="63" spans="1:7" ht="27" customHeight="1">
      <c r="A63" s="275" t="s">
        <v>1919</v>
      </c>
      <c r="B63" s="275">
        <v>2017</v>
      </c>
      <c r="C63" s="275" t="s">
        <v>1776</v>
      </c>
      <c r="D63" s="275">
        <v>12</v>
      </c>
      <c r="E63" s="275">
        <v>2620.5</v>
      </c>
      <c r="F63" s="276">
        <v>43280</v>
      </c>
      <c r="G63" t="s">
        <v>1918</v>
      </c>
    </row>
    <row r="64" spans="1:7" ht="27" customHeight="1">
      <c r="A64" s="275" t="s">
        <v>1919</v>
      </c>
      <c r="B64" s="275">
        <v>2017</v>
      </c>
      <c r="C64" s="275" t="s">
        <v>1776</v>
      </c>
      <c r="D64" s="275">
        <v>13</v>
      </c>
      <c r="E64" s="275">
        <v>3171.6</v>
      </c>
      <c r="F64" s="276">
        <v>43280</v>
      </c>
      <c r="G64" t="s">
        <v>1918</v>
      </c>
    </row>
    <row r="65" spans="1:7" ht="27" customHeight="1">
      <c r="A65" s="275" t="s">
        <v>1919</v>
      </c>
      <c r="B65" s="275">
        <v>2017</v>
      </c>
      <c r="C65" s="275" t="s">
        <v>1776</v>
      </c>
      <c r="D65" s="275">
        <v>14</v>
      </c>
      <c r="E65" s="275">
        <v>2160.1999999999998</v>
      </c>
      <c r="F65" s="276">
        <v>43280</v>
      </c>
      <c r="G65" t="s">
        <v>1918</v>
      </c>
    </row>
    <row r="66" spans="1:7" ht="27" customHeight="1">
      <c r="A66" s="275" t="s">
        <v>1919</v>
      </c>
      <c r="B66" s="275">
        <v>2017</v>
      </c>
      <c r="C66" s="275" t="s">
        <v>1776</v>
      </c>
      <c r="D66" s="275">
        <v>15</v>
      </c>
      <c r="E66" s="275">
        <v>2126.8000000000002</v>
      </c>
      <c r="F66" s="276">
        <v>43280</v>
      </c>
      <c r="G66" t="s">
        <v>1918</v>
      </c>
    </row>
    <row r="67" spans="1:7" ht="27" customHeight="1">
      <c r="A67" s="275" t="s">
        <v>1919</v>
      </c>
      <c r="B67" s="275">
        <v>2017</v>
      </c>
      <c r="C67" s="275" t="s">
        <v>1776</v>
      </c>
      <c r="D67" s="275">
        <v>16</v>
      </c>
      <c r="E67" s="275">
        <v>2251.3000000000002</v>
      </c>
      <c r="F67" s="276">
        <v>43280</v>
      </c>
      <c r="G67" t="s">
        <v>1920</v>
      </c>
    </row>
    <row r="68" spans="1:7" ht="27" customHeight="1">
      <c r="A68" s="275" t="s">
        <v>1919</v>
      </c>
      <c r="B68" s="275">
        <v>2017</v>
      </c>
      <c r="C68" s="275" t="s">
        <v>1776</v>
      </c>
      <c r="D68" s="275">
        <v>17</v>
      </c>
      <c r="E68" s="275">
        <v>2631.7</v>
      </c>
      <c r="F68" s="276">
        <v>43280</v>
      </c>
      <c r="G68" t="s">
        <v>1920</v>
      </c>
    </row>
    <row r="69" spans="1:7" ht="27" customHeight="1">
      <c r="A69" s="275" t="s">
        <v>1919</v>
      </c>
      <c r="B69" s="275">
        <v>2017</v>
      </c>
      <c r="C69" s="275" t="s">
        <v>1776</v>
      </c>
      <c r="D69" s="275">
        <v>18</v>
      </c>
      <c r="E69" s="275">
        <v>2604.9</v>
      </c>
      <c r="F69" s="276">
        <v>43280</v>
      </c>
      <c r="G69" t="s">
        <v>1920</v>
      </c>
    </row>
    <row r="70" spans="1:7" ht="27" customHeight="1">
      <c r="A70" s="275" t="s">
        <v>1919</v>
      </c>
      <c r="B70" s="275">
        <v>2017</v>
      </c>
      <c r="C70" s="275" t="s">
        <v>1776</v>
      </c>
      <c r="D70" s="275">
        <v>19</v>
      </c>
      <c r="E70" s="275">
        <v>2060.5</v>
      </c>
      <c r="F70" s="276">
        <v>43280</v>
      </c>
      <c r="G70" t="s">
        <v>1920</v>
      </c>
    </row>
    <row r="71" spans="1:7" ht="27" customHeight="1">
      <c r="A71" s="275" t="s">
        <v>1919</v>
      </c>
      <c r="B71" s="275">
        <v>2017</v>
      </c>
      <c r="C71" s="275" t="s">
        <v>1776</v>
      </c>
      <c r="D71" s="275" t="s">
        <v>1896</v>
      </c>
      <c r="E71" s="275">
        <v>2808.4</v>
      </c>
      <c r="F71" s="276">
        <v>43280</v>
      </c>
      <c r="G71" t="s">
        <v>1920</v>
      </c>
    </row>
    <row r="72" spans="1:7" ht="27" customHeight="1">
      <c r="A72" s="275" t="s">
        <v>1919</v>
      </c>
      <c r="B72" s="275">
        <v>2017</v>
      </c>
      <c r="C72" s="275" t="s">
        <v>1776</v>
      </c>
      <c r="D72" s="275" t="s">
        <v>1898</v>
      </c>
      <c r="E72" s="275">
        <v>2819.9</v>
      </c>
      <c r="F72" s="276">
        <v>43280</v>
      </c>
      <c r="G72" t="s">
        <v>1920</v>
      </c>
    </row>
    <row r="73" spans="1:7" s="147" customFormat="1" ht="27" customHeight="1">
      <c r="A73" s="275" t="s">
        <v>1919</v>
      </c>
      <c r="B73" s="275">
        <v>2017</v>
      </c>
      <c r="C73" s="275" t="s">
        <v>1776</v>
      </c>
      <c r="D73" s="275">
        <v>21</v>
      </c>
      <c r="E73" s="275">
        <v>2805.9</v>
      </c>
      <c r="F73" s="276">
        <v>43280</v>
      </c>
      <c r="G73" t="s">
        <v>1920</v>
      </c>
    </row>
    <row r="74" spans="1:7">
      <c r="A74" s="331" t="s">
        <v>1921</v>
      </c>
    </row>
    <row r="75" spans="1:7">
      <c r="A75" s="330" t="s">
        <v>1922</v>
      </c>
      <c r="B75" s="275">
        <v>2017</v>
      </c>
      <c r="C75" s="275" t="s">
        <v>1708</v>
      </c>
      <c r="D75" s="275" t="s">
        <v>1914</v>
      </c>
      <c r="E75" s="275">
        <v>3381.7</v>
      </c>
      <c r="F75" s="161">
        <v>43311</v>
      </c>
      <c r="G75" t="s">
        <v>1920</v>
      </c>
    </row>
    <row r="76" spans="1:7">
      <c r="A76" s="330" t="s">
        <v>1922</v>
      </c>
      <c r="B76" s="275">
        <v>2017</v>
      </c>
      <c r="C76" s="275" t="s">
        <v>1708</v>
      </c>
      <c r="D76" s="275" t="s">
        <v>1915</v>
      </c>
      <c r="E76" s="275">
        <v>2515.1999999999998</v>
      </c>
      <c r="F76" s="161">
        <v>43311</v>
      </c>
      <c r="G76" t="s">
        <v>1920</v>
      </c>
    </row>
    <row r="77" spans="1:7">
      <c r="A77" s="330" t="s">
        <v>1922</v>
      </c>
      <c r="B77" s="275">
        <v>2017</v>
      </c>
      <c r="C77" s="275" t="s">
        <v>1708</v>
      </c>
      <c r="D77" s="275" t="s">
        <v>1832</v>
      </c>
      <c r="E77" s="275">
        <v>2511.6999999999998</v>
      </c>
      <c r="F77" s="161">
        <v>43311</v>
      </c>
      <c r="G77" t="s">
        <v>1920</v>
      </c>
    </row>
    <row r="78" spans="1:7">
      <c r="A78" s="330" t="s">
        <v>1922</v>
      </c>
      <c r="B78" s="275">
        <v>2017</v>
      </c>
      <c r="C78" s="275" t="s">
        <v>1708</v>
      </c>
      <c r="D78" s="275" t="s">
        <v>1834</v>
      </c>
      <c r="E78" s="275">
        <v>2430.5</v>
      </c>
      <c r="F78" s="161">
        <v>43311</v>
      </c>
      <c r="G78" t="s">
        <v>1920</v>
      </c>
    </row>
    <row r="79" spans="1:7">
      <c r="A79" s="330" t="s">
        <v>1922</v>
      </c>
      <c r="B79" s="275">
        <v>2017</v>
      </c>
      <c r="C79" s="275" t="s">
        <v>1708</v>
      </c>
      <c r="D79" s="275">
        <v>15</v>
      </c>
      <c r="E79" s="275">
        <v>2599.5</v>
      </c>
      <c r="F79" s="161">
        <v>43311</v>
      </c>
      <c r="G79" t="s">
        <v>1920</v>
      </c>
    </row>
    <row r="80" spans="1:7">
      <c r="A80" s="330" t="s">
        <v>1922</v>
      </c>
      <c r="B80" s="275">
        <v>2017</v>
      </c>
      <c r="C80" s="275" t="s">
        <v>1708</v>
      </c>
      <c r="D80" s="275">
        <v>16</v>
      </c>
      <c r="E80" s="275">
        <v>2038.6</v>
      </c>
      <c r="F80" s="161">
        <v>43311</v>
      </c>
      <c r="G80" t="s">
        <v>1920</v>
      </c>
    </row>
    <row r="81" spans="1:7">
      <c r="A81" s="330" t="s">
        <v>1922</v>
      </c>
      <c r="B81" s="275">
        <v>2017</v>
      </c>
      <c r="C81" s="275" t="s">
        <v>1708</v>
      </c>
      <c r="D81" s="275">
        <v>17</v>
      </c>
      <c r="E81" s="275">
        <v>2620.1</v>
      </c>
      <c r="F81" s="161">
        <v>43311</v>
      </c>
      <c r="G81" t="s">
        <v>1920</v>
      </c>
    </row>
    <row r="82" spans="1:7">
      <c r="A82" s="330" t="s">
        <v>1922</v>
      </c>
      <c r="B82" s="275">
        <v>2017</v>
      </c>
      <c r="C82" s="275" t="s">
        <v>1708</v>
      </c>
      <c r="D82" s="275">
        <v>18</v>
      </c>
      <c r="E82" s="275">
        <v>2172.3000000000002</v>
      </c>
      <c r="F82" s="161">
        <v>43311</v>
      </c>
      <c r="G82" t="s">
        <v>1920</v>
      </c>
    </row>
    <row r="83" spans="1:7">
      <c r="A83" s="330" t="s">
        <v>1922</v>
      </c>
      <c r="B83" s="275">
        <v>2017</v>
      </c>
      <c r="C83" s="275" t="s">
        <v>1708</v>
      </c>
      <c r="D83" s="275">
        <v>19</v>
      </c>
      <c r="E83" s="275">
        <v>2606.9</v>
      </c>
      <c r="F83" s="161">
        <v>43311</v>
      </c>
      <c r="G83" t="s">
        <v>1920</v>
      </c>
    </row>
    <row r="84" spans="1:7">
      <c r="A84" s="330" t="s">
        <v>1922</v>
      </c>
      <c r="B84" s="275">
        <v>2017</v>
      </c>
      <c r="C84" s="275" t="s">
        <v>1708</v>
      </c>
      <c r="D84" s="275">
        <v>20</v>
      </c>
      <c r="E84" s="275">
        <v>3149.4</v>
      </c>
      <c r="F84" s="161">
        <v>43311</v>
      </c>
      <c r="G84" t="s">
        <v>1920</v>
      </c>
    </row>
    <row r="85" spans="1:7">
      <c r="A85" s="330" t="s">
        <v>1922</v>
      </c>
      <c r="B85" s="275">
        <v>2017</v>
      </c>
      <c r="C85" s="275" t="s">
        <v>1708</v>
      </c>
      <c r="D85" s="275">
        <v>21</v>
      </c>
      <c r="E85" s="275">
        <v>2036.8</v>
      </c>
      <c r="F85" s="161">
        <v>43311</v>
      </c>
      <c r="G85" t="s">
        <v>1920</v>
      </c>
    </row>
    <row r="86" spans="1:7">
      <c r="A86" s="330" t="s">
        <v>1923</v>
      </c>
      <c r="B86" s="275">
        <v>2017</v>
      </c>
      <c r="C86" s="275" t="s">
        <v>1750</v>
      </c>
      <c r="D86" s="275" t="s">
        <v>1847</v>
      </c>
      <c r="E86" s="330">
        <v>2300.1</v>
      </c>
      <c r="F86" s="161">
        <v>43311</v>
      </c>
      <c r="G86" t="s">
        <v>1920</v>
      </c>
    </row>
    <row r="87" spans="1:7">
      <c r="A87" s="330" t="s">
        <v>1923</v>
      </c>
      <c r="B87" s="275">
        <v>2017</v>
      </c>
      <c r="C87" s="275" t="s">
        <v>1750</v>
      </c>
      <c r="D87" s="275" t="s">
        <v>1849</v>
      </c>
      <c r="E87" s="330">
        <v>3009.3</v>
      </c>
      <c r="F87" s="161">
        <v>43311</v>
      </c>
      <c r="G87" t="s">
        <v>1920</v>
      </c>
    </row>
    <row r="88" spans="1:7">
      <c r="A88" s="330" t="s">
        <v>1923</v>
      </c>
      <c r="B88" s="275">
        <v>2017</v>
      </c>
      <c r="C88" s="275" t="s">
        <v>1750</v>
      </c>
      <c r="D88" s="275">
        <v>2</v>
      </c>
      <c r="E88" s="330">
        <v>2322.1</v>
      </c>
      <c r="F88" s="161">
        <v>43311</v>
      </c>
      <c r="G88" t="s">
        <v>1920</v>
      </c>
    </row>
    <row r="89" spans="1:7">
      <c r="A89" s="330" t="s">
        <v>1923</v>
      </c>
      <c r="B89" s="275">
        <v>2017</v>
      </c>
      <c r="C89" s="275" t="s">
        <v>1750</v>
      </c>
      <c r="D89" s="275">
        <v>3</v>
      </c>
      <c r="E89" s="330">
        <v>2313.4</v>
      </c>
      <c r="F89" s="161">
        <v>43311</v>
      </c>
      <c r="G89" t="s">
        <v>1920</v>
      </c>
    </row>
    <row r="90" spans="1:7">
      <c r="A90" s="330" t="s">
        <v>1923</v>
      </c>
      <c r="B90" s="275">
        <v>2017</v>
      </c>
      <c r="C90" s="275" t="s">
        <v>1750</v>
      </c>
      <c r="D90" s="275">
        <v>4</v>
      </c>
      <c r="E90" s="330">
        <v>2187.3000000000002</v>
      </c>
      <c r="F90" s="161">
        <v>43311</v>
      </c>
      <c r="G90" t="s">
        <v>1920</v>
      </c>
    </row>
    <row r="91" spans="1:7">
      <c r="A91" s="330" t="s">
        <v>1923</v>
      </c>
      <c r="B91" s="275">
        <v>2017</v>
      </c>
      <c r="C91" s="275" t="s">
        <v>1750</v>
      </c>
      <c r="D91" s="275">
        <v>5</v>
      </c>
      <c r="E91" s="330">
        <v>2723.8</v>
      </c>
      <c r="F91" s="161">
        <v>43311</v>
      </c>
      <c r="G91" t="s">
        <v>1920</v>
      </c>
    </row>
    <row r="92" spans="1:7">
      <c r="A92" s="330" t="s">
        <v>1923</v>
      </c>
      <c r="B92" s="275">
        <v>2017</v>
      </c>
      <c r="C92" s="275" t="s">
        <v>1750</v>
      </c>
      <c r="D92" s="275">
        <v>6</v>
      </c>
      <c r="E92" s="330">
        <v>2077.5</v>
      </c>
      <c r="F92" s="161">
        <v>43311</v>
      </c>
      <c r="G92" t="s">
        <v>1920</v>
      </c>
    </row>
    <row r="93" spans="1:7">
      <c r="A93" s="330" t="s">
        <v>1923</v>
      </c>
      <c r="B93" s="275">
        <v>2017</v>
      </c>
      <c r="C93" s="275" t="s">
        <v>1750</v>
      </c>
      <c r="D93" s="275">
        <v>7</v>
      </c>
      <c r="E93" s="330">
        <v>2721.5</v>
      </c>
      <c r="F93" s="161">
        <v>43311</v>
      </c>
      <c r="G93" t="s">
        <v>1920</v>
      </c>
    </row>
    <row r="94" spans="1:7">
      <c r="A94" s="330" t="s">
        <v>1923</v>
      </c>
      <c r="B94" s="275">
        <v>2017</v>
      </c>
      <c r="C94" s="275" t="s">
        <v>1750</v>
      </c>
      <c r="D94" s="275">
        <v>8</v>
      </c>
      <c r="E94" s="330">
        <v>2841.7</v>
      </c>
      <c r="F94" s="161">
        <v>43311</v>
      </c>
      <c r="G94" t="s">
        <v>1920</v>
      </c>
    </row>
    <row r="95" spans="1:7">
      <c r="A95" s="330" t="s">
        <v>1923</v>
      </c>
      <c r="B95" s="275">
        <v>2017</v>
      </c>
      <c r="C95" s="275" t="s">
        <v>1750</v>
      </c>
      <c r="D95" s="275">
        <v>9</v>
      </c>
      <c r="E95" s="330">
        <v>2803.1</v>
      </c>
      <c r="F95" s="161">
        <v>43311</v>
      </c>
      <c r="G95" t="s">
        <v>1920</v>
      </c>
    </row>
    <row r="96" spans="1:7">
      <c r="A96" s="330" t="s">
        <v>1923</v>
      </c>
      <c r="B96" s="275">
        <v>2017</v>
      </c>
      <c r="C96" s="275" t="s">
        <v>1750</v>
      </c>
      <c r="D96" s="275">
        <v>10</v>
      </c>
      <c r="E96" s="330">
        <v>2229.5</v>
      </c>
      <c r="F96" s="161">
        <v>43311</v>
      </c>
      <c r="G96" t="s">
        <v>1920</v>
      </c>
    </row>
    <row r="97" spans="2:7">
      <c r="B97">
        <v>2017</v>
      </c>
      <c r="C97" s="275" t="s">
        <v>1750</v>
      </c>
      <c r="D97">
        <v>15</v>
      </c>
      <c r="E97">
        <v>2471.5</v>
      </c>
      <c r="F97" s="161">
        <v>43327</v>
      </c>
      <c r="G97" t="s">
        <v>1920</v>
      </c>
    </row>
    <row r="98" spans="2:7">
      <c r="B98">
        <v>2017</v>
      </c>
      <c r="C98" s="275" t="s">
        <v>1750</v>
      </c>
      <c r="D98">
        <v>16</v>
      </c>
      <c r="E98">
        <v>3161.2</v>
      </c>
      <c r="F98" s="161">
        <v>43327</v>
      </c>
      <c r="G98" t="s">
        <v>1920</v>
      </c>
    </row>
    <row r="99" spans="2:7">
      <c r="B99">
        <v>2017</v>
      </c>
      <c r="C99" t="s">
        <v>1776</v>
      </c>
      <c r="D99">
        <v>20</v>
      </c>
      <c r="E99">
        <v>3273.1</v>
      </c>
      <c r="F99" s="161">
        <v>43327</v>
      </c>
      <c r="G99" t="s">
        <v>1920</v>
      </c>
    </row>
  </sheetData>
  <pageMargins left="0.70866141732282995" right="0.70866141732282995" top="0.74803149606299002" bottom="0.74803149606299002" header="0.31496062992126" footer="0.31496062992126"/>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I555"/>
  <sheetViews>
    <sheetView topLeftCell="U1" workbookViewId="0">
      <pane ySplit="4" topLeftCell="A23" activePane="bottomLeft" state="frozen"/>
      <selection pane="bottomLeft" activeCell="AR37" sqref="AR37"/>
    </sheetView>
  </sheetViews>
  <sheetFormatPr defaultColWidth="8.83203125" defaultRowHeight="15.5"/>
  <cols>
    <col min="1" max="1" width="10.5" bestFit="1" customWidth="1"/>
    <col min="3" max="3" width="21.83203125" bestFit="1" customWidth="1"/>
    <col min="12" max="12" width="8.83203125" style="16"/>
    <col min="21" max="21" width="12.33203125" customWidth="1"/>
  </cols>
  <sheetData>
    <row r="1" spans="1:35">
      <c r="A1" s="387" t="s">
        <v>2520</v>
      </c>
      <c r="B1" s="388"/>
      <c r="C1" s="388"/>
      <c r="D1" s="388"/>
      <c r="E1" s="388"/>
      <c r="F1" s="388"/>
      <c r="G1" s="388"/>
      <c r="H1" s="388"/>
      <c r="I1" s="388"/>
      <c r="J1" s="388"/>
      <c r="K1" s="388"/>
      <c r="M1" s="388"/>
      <c r="N1" s="388"/>
      <c r="O1" s="388"/>
    </row>
    <row r="2" spans="1:35" s="377" customFormat="1" ht="16" thickBot="1">
      <c r="A2" s="1" t="s">
        <v>2542</v>
      </c>
      <c r="L2" s="16"/>
    </row>
    <row r="3" spans="1:35" ht="31">
      <c r="A3" s="389"/>
      <c r="B3" s="390"/>
      <c r="C3" s="391"/>
      <c r="D3" s="392" t="s">
        <v>2521</v>
      </c>
      <c r="E3" s="393" t="s">
        <v>2522</v>
      </c>
      <c r="F3" s="393" t="s">
        <v>2521</v>
      </c>
      <c r="G3" s="394"/>
      <c r="H3" s="395"/>
      <c r="I3" s="395" t="s">
        <v>2523</v>
      </c>
      <c r="J3" s="396"/>
      <c r="K3" s="673" t="s">
        <v>2524</v>
      </c>
      <c r="L3" s="674"/>
      <c r="M3" s="673" t="s">
        <v>2525</v>
      </c>
      <c r="N3" s="675"/>
      <c r="O3" s="397"/>
      <c r="P3" s="397"/>
      <c r="Q3" s="397"/>
      <c r="R3" s="397"/>
      <c r="S3" s="391"/>
      <c r="T3" s="391"/>
      <c r="U3" s="438" t="s">
        <v>2653</v>
      </c>
      <c r="V3" s="439"/>
      <c r="W3" s="439"/>
      <c r="X3" s="439"/>
      <c r="Y3" s="440"/>
    </row>
    <row r="4" spans="1:35" ht="93">
      <c r="A4" s="398" t="s">
        <v>2526</v>
      </c>
      <c r="B4" s="399" t="s">
        <v>2527</v>
      </c>
      <c r="C4" s="400" t="s">
        <v>2528</v>
      </c>
      <c r="D4" s="401" t="s">
        <v>1810</v>
      </c>
      <c r="E4" s="392"/>
      <c r="F4" s="392" t="s">
        <v>2529</v>
      </c>
      <c r="G4" s="392" t="s">
        <v>2530</v>
      </c>
      <c r="H4" s="392" t="s">
        <v>2531</v>
      </c>
      <c r="I4" s="392" t="s">
        <v>2532</v>
      </c>
      <c r="J4" s="392" t="s">
        <v>2533</v>
      </c>
      <c r="K4" s="402" t="s">
        <v>2534</v>
      </c>
      <c r="L4" s="542" t="s">
        <v>2535</v>
      </c>
      <c r="M4" s="392" t="s">
        <v>2534</v>
      </c>
      <c r="N4" s="403" t="s">
        <v>2438</v>
      </c>
      <c r="O4" s="392" t="s">
        <v>2536</v>
      </c>
      <c r="P4" s="392" t="s">
        <v>2537</v>
      </c>
      <c r="Q4" s="392" t="s">
        <v>2538</v>
      </c>
      <c r="R4" s="392" t="s">
        <v>2539</v>
      </c>
      <c r="S4" s="400" t="s">
        <v>2540</v>
      </c>
      <c r="T4" s="400" t="s">
        <v>2541</v>
      </c>
      <c r="U4" s="445" t="s">
        <v>2654</v>
      </c>
      <c r="V4" s="433" t="s">
        <v>2655</v>
      </c>
      <c r="W4" s="436" t="s">
        <v>2660</v>
      </c>
      <c r="X4" s="436" t="s">
        <v>2661</v>
      </c>
      <c r="Y4" s="441"/>
      <c r="Z4" s="405" t="s">
        <v>1627</v>
      </c>
      <c r="AA4" s="406" t="s">
        <v>1674</v>
      </c>
      <c r="AB4" s="405" t="s">
        <v>67</v>
      </c>
      <c r="AC4" s="405" t="s">
        <v>2438</v>
      </c>
      <c r="AD4" s="405" t="s">
        <v>2543</v>
      </c>
      <c r="AF4" s="677" t="s">
        <v>2658</v>
      </c>
    </row>
    <row r="5" spans="1:35" ht="19.5" customHeight="1">
      <c r="A5" s="676" t="s">
        <v>2546</v>
      </c>
      <c r="B5" s="676"/>
      <c r="C5" s="676"/>
      <c r="D5" s="408"/>
      <c r="E5" s="396"/>
      <c r="F5" s="396"/>
      <c r="G5" s="396"/>
      <c r="H5" s="396"/>
      <c r="I5" s="396"/>
      <c r="J5" s="396"/>
      <c r="K5" s="396"/>
      <c r="L5" s="543"/>
      <c r="M5" s="396"/>
      <c r="N5" s="395"/>
      <c r="O5" s="396"/>
      <c r="P5" s="396"/>
      <c r="Q5" s="396"/>
      <c r="R5" s="396"/>
      <c r="S5" s="407"/>
      <c r="T5" s="407"/>
      <c r="U5" s="442"/>
      <c r="V5" s="408"/>
      <c r="W5" s="437">
        <f>MAX(V14,V45,V76,V101,V152,V190,V221)</f>
        <v>3.7345991237500384</v>
      </c>
      <c r="X5" s="437">
        <f>MIN(V14,V45,V76,V101,V152,V190,V221)</f>
        <v>1.4354086343036305</v>
      </c>
      <c r="Y5" s="441"/>
      <c r="Z5" s="405"/>
      <c r="AA5" s="406"/>
      <c r="AB5" s="405"/>
      <c r="AC5" s="405"/>
      <c r="AD5" s="405"/>
      <c r="AF5" s="677"/>
      <c r="AG5" s="193" t="s">
        <v>2564</v>
      </c>
      <c r="AI5" s="193"/>
    </row>
    <row r="6" spans="1:35" ht="21.75" customHeight="1" thickBot="1">
      <c r="A6" s="404">
        <v>43307</v>
      </c>
      <c r="B6">
        <v>1</v>
      </c>
      <c r="C6" t="s">
        <v>2375</v>
      </c>
      <c r="H6">
        <v>0.3221</v>
      </c>
      <c r="O6">
        <v>128</v>
      </c>
      <c r="P6">
        <v>41.7</v>
      </c>
      <c r="Q6">
        <v>100</v>
      </c>
      <c r="R6">
        <v>3</v>
      </c>
      <c r="S6" t="s">
        <v>1715</v>
      </c>
      <c r="T6" t="s">
        <v>1715</v>
      </c>
      <c r="U6" s="678" t="s">
        <v>2659</v>
      </c>
      <c r="V6" s="679"/>
      <c r="W6" s="443">
        <f>(W5/AG15)*100</f>
        <v>1.8216737189813377</v>
      </c>
      <c r="X6" s="443">
        <f>(X5/AG15)*100</f>
        <v>0.70016783554647255</v>
      </c>
      <c r="Y6" s="444"/>
      <c r="Z6" s="405"/>
      <c r="AA6" s="406"/>
      <c r="AB6" s="405" t="s">
        <v>2544</v>
      </c>
      <c r="AC6" s="405" t="s">
        <v>2545</v>
      </c>
      <c r="AD6" s="405"/>
      <c r="AF6" s="677"/>
      <c r="AI6" s="193" t="s">
        <v>2567</v>
      </c>
    </row>
    <row r="7" spans="1:35">
      <c r="A7" s="161">
        <v>43307</v>
      </c>
      <c r="B7">
        <v>2</v>
      </c>
      <c r="C7" t="s">
        <v>2376</v>
      </c>
      <c r="H7">
        <v>0.2757</v>
      </c>
      <c r="O7">
        <v>128</v>
      </c>
      <c r="P7">
        <v>41.7</v>
      </c>
      <c r="Q7">
        <v>100</v>
      </c>
      <c r="R7">
        <v>3</v>
      </c>
      <c r="S7" t="s">
        <v>1715</v>
      </c>
      <c r="T7" t="s">
        <v>1715</v>
      </c>
      <c r="U7" s="404">
        <v>43307</v>
      </c>
      <c r="AF7" s="193" t="s">
        <v>2304</v>
      </c>
      <c r="AG7" s="7">
        <f>AVERAGE(H6:H8,H14:H15,H18,H26,H34,H37:H39,H45:H46,H49,H57,H65,H68:H70,H76:H77,H80,H84,H89,H93:H95,H101:H102,H105,H113,H144:H146,H152:H153,H156,H162,H167,H182:H184,H190:H191,H194,H200,H205,H207,H213:H215,H221:H222,H225,H231,H234,H236)</f>
        <v>0.83829999999999993</v>
      </c>
      <c r="AI7" s="7">
        <f>(AG7/AG15)*100</f>
        <v>0.40890843381568426</v>
      </c>
    </row>
    <row r="8" spans="1:35">
      <c r="A8" s="161">
        <v>43307</v>
      </c>
      <c r="B8">
        <v>3</v>
      </c>
      <c r="C8" t="s">
        <v>2377</v>
      </c>
      <c r="G8">
        <v>0</v>
      </c>
      <c r="H8">
        <v>0.36630000000000001</v>
      </c>
      <c r="I8">
        <v>0.33366249999999997</v>
      </c>
      <c r="J8">
        <v>0.33366249999999997</v>
      </c>
      <c r="O8">
        <v>128</v>
      </c>
      <c r="P8">
        <v>41.7</v>
      </c>
      <c r="Q8">
        <v>100</v>
      </c>
      <c r="R8">
        <v>3</v>
      </c>
      <c r="S8" t="s">
        <v>1715</v>
      </c>
      <c r="T8" t="s">
        <v>1715</v>
      </c>
      <c r="U8" s="7">
        <f>((J8-INDEX(LINEST($J$8:$J$13,$G$8:$G$13),2))/INDEX(LINEST($J$8:$J$13,$G$8:$G$13),1)/100.09)*12.01</f>
        <v>0.31797832884431043</v>
      </c>
      <c r="V8" s="7">
        <f>(J8-U8)^2</f>
        <v>2.4599322484096379E-4</v>
      </c>
      <c r="Z8" s="341">
        <v>2017</v>
      </c>
      <c r="AA8" s="341" t="s">
        <v>1708</v>
      </c>
      <c r="AB8" s="341">
        <v>1</v>
      </c>
      <c r="AC8" s="7">
        <f>L19</f>
        <v>74.211274839316005</v>
      </c>
      <c r="AG8" s="7"/>
    </row>
    <row r="9" spans="1:35">
      <c r="A9" s="161">
        <v>43307</v>
      </c>
      <c r="B9">
        <v>4</v>
      </c>
      <c r="C9" t="s">
        <v>2478</v>
      </c>
      <c r="D9">
        <v>305.3</v>
      </c>
      <c r="G9">
        <v>305.23894000000001</v>
      </c>
      <c r="H9">
        <v>36.340800000000002</v>
      </c>
      <c r="I9">
        <v>0.33366249999999997</v>
      </c>
      <c r="J9">
        <v>36.007137499999999</v>
      </c>
      <c r="K9">
        <v>303.91366628137808</v>
      </c>
      <c r="L9" s="16">
        <v>99.565824164301603</v>
      </c>
      <c r="M9">
        <v>300.07946647585351</v>
      </c>
      <c r="N9">
        <v>98.309693539052887</v>
      </c>
      <c r="O9">
        <v>128</v>
      </c>
      <c r="P9">
        <v>41.7</v>
      </c>
      <c r="Q9">
        <v>100</v>
      </c>
      <c r="R9">
        <v>3</v>
      </c>
      <c r="S9" t="s">
        <v>1715</v>
      </c>
      <c r="T9" t="s">
        <v>1715</v>
      </c>
      <c r="U9" s="7">
        <f t="shared" ref="U9:U13" si="0">((J9-INDEX(LINEST($J$8:$J$13,$G$8:$G$13),2))/INDEX(LINEST($J$8:$J$13,$G$8:$G$13),1)/100.09)*12.01</f>
        <v>36.467210830645925</v>
      </c>
      <c r="V9" s="7">
        <f>(J9-U9)^2</f>
        <v>0.21166746957163568</v>
      </c>
      <c r="Z9" s="341">
        <v>2017</v>
      </c>
      <c r="AA9" s="341" t="s">
        <v>1708</v>
      </c>
      <c r="AB9" s="341">
        <v>2</v>
      </c>
      <c r="AC9" s="7">
        <f>L20</f>
        <v>85.926931186063783</v>
      </c>
      <c r="AF9" s="193" t="s">
        <v>2562</v>
      </c>
      <c r="AG9" s="7">
        <f>_xlfn.STDEV.P(H6:H8,H14:H15,H18,H26,H34,H37:H39,H45:H46,H49,H57,H65,H68:H70,H76:H77,H80,H84,H89,H93:H95,H101:H102,H105,H113,H144:H146,H152:H153,H156,H162,H167,H182:H184,H190:H191,H194,H200,H205,H207,H213:H215,H221:H222,H225,H231,H234,H236)</f>
        <v>0.70057565352771822</v>
      </c>
    </row>
    <row r="10" spans="1:35">
      <c r="A10" s="161">
        <v>43307</v>
      </c>
      <c r="B10">
        <v>5</v>
      </c>
      <c r="C10" t="s">
        <v>2479</v>
      </c>
      <c r="D10">
        <v>852.9</v>
      </c>
      <c r="G10">
        <v>852.72942</v>
      </c>
      <c r="H10">
        <v>101.2184</v>
      </c>
      <c r="I10">
        <v>0.33366249999999997</v>
      </c>
      <c r="J10">
        <v>100.8847375</v>
      </c>
      <c r="K10">
        <v>851.80713336271526</v>
      </c>
      <c r="L10" s="16">
        <v>99.891842990794814</v>
      </c>
      <c r="M10">
        <v>840.76214624271449</v>
      </c>
      <c r="N10">
        <v>98.596591899305466</v>
      </c>
      <c r="O10">
        <v>128</v>
      </c>
      <c r="P10">
        <v>41.7</v>
      </c>
      <c r="Q10">
        <v>100</v>
      </c>
      <c r="R10">
        <v>3</v>
      </c>
      <c r="S10" t="s">
        <v>1715</v>
      </c>
      <c r="T10" t="s">
        <v>1715</v>
      </c>
      <c r="U10" s="7">
        <f t="shared" si="0"/>
        <v>102.21004767395554</v>
      </c>
      <c r="V10" s="7">
        <f t="shared" ref="V10:V13" si="1">(J10-U10)^2</f>
        <v>1.7564470571900723</v>
      </c>
      <c r="Z10" s="341">
        <v>2017</v>
      </c>
      <c r="AA10" s="341" t="s">
        <v>1708</v>
      </c>
      <c r="AB10" s="341">
        <v>3</v>
      </c>
      <c r="AC10" s="7">
        <f>L21</f>
        <v>95.480731055373369</v>
      </c>
      <c r="AF10" s="193"/>
    </row>
    <row r="11" spans="1:35">
      <c r="A11" s="161">
        <v>43307</v>
      </c>
      <c r="B11">
        <v>6</v>
      </c>
      <c r="C11" t="s">
        <v>2480</v>
      </c>
      <c r="D11">
        <v>1501.6</v>
      </c>
      <c r="G11">
        <v>1501.2996799999999</v>
      </c>
      <c r="H11">
        <v>178.13759999999999</v>
      </c>
      <c r="I11">
        <v>0.33366249999999997</v>
      </c>
      <c r="J11">
        <v>177.80393749999999</v>
      </c>
      <c r="K11">
        <v>1501.3923087255953</v>
      </c>
      <c r="L11" s="16">
        <v>100.00616990244049</v>
      </c>
      <c r="M11">
        <v>1481.7981768838467</v>
      </c>
      <c r="N11">
        <v>98.701025293221065</v>
      </c>
      <c r="O11">
        <v>128</v>
      </c>
      <c r="P11">
        <v>41.7</v>
      </c>
      <c r="Q11">
        <v>100</v>
      </c>
      <c r="R11">
        <v>3</v>
      </c>
      <c r="S11" t="s">
        <v>1715</v>
      </c>
      <c r="T11" t="s">
        <v>1715</v>
      </c>
      <c r="U11" s="7">
        <f t="shared" si="0"/>
        <v>180.15507670890597</v>
      </c>
      <c r="V11" s="7">
        <f t="shared" si="1"/>
        <v>5.5278555796550224</v>
      </c>
      <c r="Z11" s="413">
        <v>2017</v>
      </c>
      <c r="AA11" s="413" t="s">
        <v>1708</v>
      </c>
      <c r="AB11" s="413">
        <v>4</v>
      </c>
      <c r="AC11" s="370">
        <f>J132</f>
        <v>88.188410005111606</v>
      </c>
      <c r="AD11" t="s">
        <v>2547</v>
      </c>
      <c r="AF11" s="193" t="s">
        <v>2565</v>
      </c>
      <c r="AG11">
        <f>COUNT(H6:H8,H14:H15,H18,H26,H34,H37:H39,H45:H46,H49,H57,H65,H68:H70,H76:H77,H80,H84,H89,H93:H95,H101:H102,H105,H113,H144:H146,H152:H153,H156,H162,H167,H182:H184,H190:H191,H194,H200,H205,H207,H213:H215,H221:H222,H225,H231,H234,H236)</f>
        <v>57</v>
      </c>
    </row>
    <row r="12" spans="1:35">
      <c r="A12" s="161">
        <v>43307</v>
      </c>
      <c r="B12">
        <v>7</v>
      </c>
      <c r="C12" t="s">
        <v>2481</v>
      </c>
      <c r="D12">
        <v>2777</v>
      </c>
      <c r="G12">
        <v>2776.4446000000003</v>
      </c>
      <c r="H12">
        <v>328.62619999999998</v>
      </c>
      <c r="I12">
        <v>0.33366249999999997</v>
      </c>
      <c r="J12">
        <v>328.29253749999998</v>
      </c>
      <c r="K12">
        <v>2772.2734882115274</v>
      </c>
      <c r="L12" s="16">
        <v>99.849767872606819</v>
      </c>
      <c r="M12">
        <v>2735.9533787156533</v>
      </c>
      <c r="N12">
        <v>98.541616091156754</v>
      </c>
      <c r="O12">
        <v>128</v>
      </c>
      <c r="P12">
        <v>41.7</v>
      </c>
      <c r="Q12">
        <v>100</v>
      </c>
      <c r="R12">
        <v>3</v>
      </c>
      <c r="S12" t="s">
        <v>1715</v>
      </c>
      <c r="T12" t="s">
        <v>1715</v>
      </c>
      <c r="U12" s="7">
        <f t="shared" si="0"/>
        <v>332.65066033989848</v>
      </c>
      <c r="V12" s="7">
        <f t="shared" si="1"/>
        <v>18.993234687644957</v>
      </c>
      <c r="Z12" s="341">
        <v>2017</v>
      </c>
      <c r="AA12" s="341" t="s">
        <v>1708</v>
      </c>
      <c r="AB12" s="341">
        <v>5</v>
      </c>
      <c r="AC12" s="7">
        <f>L24</f>
        <v>64.193545296942489</v>
      </c>
    </row>
    <row r="13" spans="1:35">
      <c r="A13" s="161">
        <v>43307</v>
      </c>
      <c r="B13">
        <v>8</v>
      </c>
      <c r="C13" t="s">
        <v>2482</v>
      </c>
      <c r="D13">
        <v>3437.2</v>
      </c>
      <c r="G13">
        <v>3436.5125599999997</v>
      </c>
      <c r="H13">
        <v>407.71589999999998</v>
      </c>
      <c r="I13">
        <v>0.33366249999999997</v>
      </c>
      <c r="J13">
        <v>407.38223749999997</v>
      </c>
      <c r="K13">
        <v>3440.1886075042084</v>
      </c>
      <c r="L13" s="16">
        <v>100.10697029153907</v>
      </c>
      <c r="M13">
        <v>3395.0781141860953</v>
      </c>
      <c r="N13">
        <v>98.794287956453601</v>
      </c>
      <c r="O13">
        <v>128</v>
      </c>
      <c r="P13">
        <v>41.7</v>
      </c>
      <c r="Q13">
        <v>100</v>
      </c>
      <c r="R13">
        <v>3</v>
      </c>
      <c r="S13" t="s">
        <v>1715</v>
      </c>
      <c r="T13" t="s">
        <v>1715</v>
      </c>
      <c r="U13" s="7">
        <f t="shared" si="0"/>
        <v>412.79513613873058</v>
      </c>
      <c r="V13" s="7">
        <f t="shared" si="1"/>
        <v>29.299471673171691</v>
      </c>
      <c r="X13" s="193" t="s">
        <v>2567</v>
      </c>
      <c r="Z13" s="341">
        <v>2017</v>
      </c>
      <c r="AA13" s="341" t="s">
        <v>1708</v>
      </c>
      <c r="AB13" s="341">
        <v>6</v>
      </c>
      <c r="AC13" s="7">
        <f>L25</f>
        <v>69.233938958028205</v>
      </c>
      <c r="AG13" s="193" t="s">
        <v>2566</v>
      </c>
    </row>
    <row r="14" spans="1:35">
      <c r="A14" s="161">
        <v>43307</v>
      </c>
      <c r="B14">
        <v>9</v>
      </c>
      <c r="C14" t="s">
        <v>2378</v>
      </c>
      <c r="H14">
        <v>0.49809999999999999</v>
      </c>
      <c r="I14">
        <v>0.33366249999999997</v>
      </c>
      <c r="J14">
        <v>0.16443750000000001</v>
      </c>
      <c r="K14">
        <v>1.2208852204842755</v>
      </c>
      <c r="M14">
        <v>1.3704037781015821</v>
      </c>
      <c r="O14">
        <v>128</v>
      </c>
      <c r="P14">
        <v>41.7</v>
      </c>
      <c r="Q14">
        <v>100</v>
      </c>
      <c r="R14">
        <v>3</v>
      </c>
      <c r="S14" t="s">
        <v>1715</v>
      </c>
      <c r="T14" t="s">
        <v>1715</v>
      </c>
      <c r="V14" s="192">
        <f>SQRT(SUM(V8:V13)/(6-2))</f>
        <v>3.7345991237500384</v>
      </c>
      <c r="W14" s="193" t="s">
        <v>2656</v>
      </c>
      <c r="X14" s="192">
        <f>(V14/$AG$15)*100</f>
        <v>1.8216737189813377</v>
      </c>
      <c r="Z14" s="341">
        <v>2017</v>
      </c>
      <c r="AA14" s="341" t="s">
        <v>1708</v>
      </c>
      <c r="AB14" s="341">
        <v>7</v>
      </c>
      <c r="AC14" s="7">
        <f t="shared" ref="AC14:AC20" si="2">L27</f>
        <v>62.011577941900164</v>
      </c>
    </row>
    <row r="15" spans="1:35">
      <c r="A15" s="161">
        <v>43307</v>
      </c>
      <c r="B15">
        <v>10</v>
      </c>
      <c r="C15" t="s">
        <v>2379</v>
      </c>
      <c r="H15">
        <v>0.41189999999999999</v>
      </c>
      <c r="I15">
        <v>0.33366249999999997</v>
      </c>
      <c r="J15">
        <v>7.8237500000000015E-2</v>
      </c>
      <c r="K15">
        <v>0.49292338369605798</v>
      </c>
      <c r="M15">
        <v>0.65202259575353894</v>
      </c>
      <c r="O15">
        <v>128</v>
      </c>
      <c r="P15">
        <v>41.7</v>
      </c>
      <c r="Q15">
        <v>100</v>
      </c>
      <c r="R15">
        <v>3</v>
      </c>
      <c r="S15" t="s">
        <v>1715</v>
      </c>
      <c r="T15" t="s">
        <v>1715</v>
      </c>
      <c r="V15" s="192">
        <f>(V14/12.01)*100.09</f>
        <v>31.123732414333173</v>
      </c>
      <c r="W15" s="193" t="s">
        <v>2657</v>
      </c>
      <c r="Z15" s="341">
        <v>2017</v>
      </c>
      <c r="AA15" s="341" t="s">
        <v>1708</v>
      </c>
      <c r="AB15" s="341">
        <v>8</v>
      </c>
      <c r="AC15" s="7">
        <f t="shared" si="2"/>
        <v>48.290357873480851</v>
      </c>
      <c r="AF15" s="193" t="s">
        <v>2304</v>
      </c>
      <c r="AG15" s="7">
        <f>AVERAGE(J19:J21,J27:J33,J50:J56,J58:J64,J81:J83,J85:J88,J106:J112,J114:J120,J23:J25,J157:J161,J163:J166,J195:J199,J201:J204,J226:J230,J232:J233)</f>
        <v>205.00922227929985</v>
      </c>
    </row>
    <row r="16" spans="1:35">
      <c r="A16" s="555">
        <v>43307</v>
      </c>
      <c r="B16" s="16">
        <v>11</v>
      </c>
      <c r="C16" s="16" t="s">
        <v>2382</v>
      </c>
      <c r="D16" s="16">
        <v>1279.5</v>
      </c>
      <c r="E16" s="16"/>
      <c r="F16" s="16"/>
      <c r="G16" s="16"/>
      <c r="H16" s="16">
        <v>17.7164</v>
      </c>
      <c r="I16" s="16">
        <v>0.33366249999999997</v>
      </c>
      <c r="J16" s="16">
        <v>17.382737500000001</v>
      </c>
      <c r="K16" s="16">
        <v>146.62999536399434</v>
      </c>
      <c r="L16" s="16">
        <v>11.459944928799871</v>
      </c>
      <c r="M16">
        <v>144.8657948688593</v>
      </c>
      <c r="N16">
        <v>11.32206290495188</v>
      </c>
      <c r="O16">
        <v>128</v>
      </c>
      <c r="P16">
        <v>41.7</v>
      </c>
      <c r="Q16">
        <v>100</v>
      </c>
      <c r="R16">
        <v>3</v>
      </c>
      <c r="S16" t="s">
        <v>1715</v>
      </c>
      <c r="T16" t="s">
        <v>1715</v>
      </c>
      <c r="Z16" s="341">
        <v>2017</v>
      </c>
      <c r="AA16" s="341" t="s">
        <v>1708</v>
      </c>
      <c r="AB16" s="341">
        <v>9</v>
      </c>
      <c r="AC16" s="7">
        <f t="shared" si="2"/>
        <v>55.478942926669205</v>
      </c>
    </row>
    <row r="17" spans="1:33">
      <c r="A17" s="555">
        <v>43307</v>
      </c>
      <c r="B17" s="16">
        <v>12</v>
      </c>
      <c r="C17" s="16" t="s">
        <v>2382</v>
      </c>
      <c r="D17" s="16">
        <v>2001.4</v>
      </c>
      <c r="E17" s="16"/>
      <c r="F17" s="16"/>
      <c r="G17" s="16"/>
      <c r="H17" s="16">
        <v>27.453499999999998</v>
      </c>
      <c r="I17" s="16">
        <v>0.33366249999999997</v>
      </c>
      <c r="J17" s="16">
        <v>27.119837499999999</v>
      </c>
      <c r="K17" s="16">
        <v>228.8601253058801</v>
      </c>
      <c r="L17" s="16">
        <v>11.435001764059164</v>
      </c>
      <c r="M17">
        <v>226.01369986469612</v>
      </c>
      <c r="N17">
        <v>11.292780047201765</v>
      </c>
      <c r="O17">
        <v>128</v>
      </c>
      <c r="P17">
        <v>41.7</v>
      </c>
      <c r="Q17">
        <v>100</v>
      </c>
      <c r="R17">
        <v>3</v>
      </c>
      <c r="S17" t="s">
        <v>1715</v>
      </c>
      <c r="T17" t="s">
        <v>1715</v>
      </c>
      <c r="V17" s="434"/>
      <c r="Z17" s="341">
        <v>2017</v>
      </c>
      <c r="AA17" s="341" t="s">
        <v>1708</v>
      </c>
      <c r="AB17" s="341">
        <v>10</v>
      </c>
      <c r="AC17" s="7">
        <f t="shared" si="2"/>
        <v>54.354782321004315</v>
      </c>
      <c r="AF17" s="193" t="s">
        <v>2562</v>
      </c>
      <c r="AG17">
        <f>_xlfn.STDEV.P(J19:J21,J27:J33,J50:J56,J58:J64,J81:J83,J85:J88,J106:J112,J114:J120,J23:J25,J157:J161,J163:J166,J195:J199,J201:J204,J226:J230,J232:J233)</f>
        <v>47.148636729325645</v>
      </c>
    </row>
    <row r="18" spans="1:33">
      <c r="A18" s="161">
        <v>43307</v>
      </c>
      <c r="B18">
        <v>13</v>
      </c>
      <c r="C18" t="s">
        <v>2380</v>
      </c>
      <c r="H18">
        <v>0</v>
      </c>
      <c r="I18">
        <v>0.33366249999999997</v>
      </c>
      <c r="J18">
        <v>-0.33366249999999997</v>
      </c>
      <c r="K18">
        <v>-2.9855856716759468</v>
      </c>
      <c r="M18">
        <v>-2.7807060470441298</v>
      </c>
      <c r="O18">
        <v>128</v>
      </c>
      <c r="P18">
        <v>41.7</v>
      </c>
      <c r="Q18">
        <v>100</v>
      </c>
      <c r="R18">
        <v>3</v>
      </c>
      <c r="S18" t="s">
        <v>1715</v>
      </c>
      <c r="T18" t="s">
        <v>1715</v>
      </c>
      <c r="Z18" s="341">
        <v>2017</v>
      </c>
      <c r="AA18" s="341" t="s">
        <v>1708</v>
      </c>
      <c r="AB18" s="341">
        <v>11</v>
      </c>
      <c r="AC18" s="7">
        <f t="shared" si="2"/>
        <v>59.303921881604623</v>
      </c>
      <c r="AF18" s="193"/>
    </row>
    <row r="19" spans="1:33">
      <c r="A19" s="161">
        <v>43307</v>
      </c>
      <c r="B19">
        <v>14</v>
      </c>
      <c r="C19" t="s">
        <v>2383</v>
      </c>
      <c r="D19">
        <v>3340.8</v>
      </c>
      <c r="H19">
        <v>293.92849999999999</v>
      </c>
      <c r="I19">
        <v>0.33366249999999997</v>
      </c>
      <c r="J19">
        <v>293.59483749999998</v>
      </c>
      <c r="K19">
        <v>2479.2502698318694</v>
      </c>
      <c r="L19" s="16">
        <v>74.211274839316005</v>
      </c>
      <c r="M19">
        <v>2446.7866182660282</v>
      </c>
      <c r="N19">
        <v>73.239541973959177</v>
      </c>
      <c r="O19">
        <v>128</v>
      </c>
      <c r="P19">
        <v>41.7</v>
      </c>
      <c r="Q19">
        <v>100</v>
      </c>
      <c r="R19">
        <v>3</v>
      </c>
      <c r="S19" t="s">
        <v>1715</v>
      </c>
      <c r="T19" t="s">
        <v>1715</v>
      </c>
      <c r="Z19" s="341">
        <v>2017</v>
      </c>
      <c r="AA19" s="341" t="s">
        <v>1708</v>
      </c>
      <c r="AB19" s="341">
        <v>12</v>
      </c>
      <c r="AC19" s="7">
        <f t="shared" si="2"/>
        <v>66.301771468052848</v>
      </c>
      <c r="AF19" s="193" t="s">
        <v>2565</v>
      </c>
      <c r="AG19">
        <f>COUNT((J19:J21,J27:J33,J50:J56,J58:J64,J81:J83,J85:J88,J106:J112,J114:J120,J23:J25,J157:J161,J163:J166,J195:J199,J201:J204,J226:J230,J232:J233))</f>
        <v>73</v>
      </c>
    </row>
    <row r="20" spans="1:33">
      <c r="A20" s="161">
        <v>43307</v>
      </c>
      <c r="B20">
        <v>15</v>
      </c>
      <c r="C20" t="s">
        <v>2384</v>
      </c>
      <c r="D20">
        <v>3141.5</v>
      </c>
      <c r="H20">
        <v>319.99639999999999</v>
      </c>
      <c r="I20">
        <v>0.33366249999999997</v>
      </c>
      <c r="J20">
        <v>319.66273749999999</v>
      </c>
      <c r="K20">
        <v>2699.3945432101937</v>
      </c>
      <c r="L20" s="16">
        <v>85.926931186063783</v>
      </c>
      <c r="M20">
        <v>2664.0335883742714</v>
      </c>
      <c r="N20">
        <v>84.801323838111458</v>
      </c>
      <c r="O20">
        <v>128</v>
      </c>
      <c r="P20">
        <v>41.7</v>
      </c>
      <c r="Q20">
        <v>100</v>
      </c>
      <c r="R20">
        <v>3</v>
      </c>
      <c r="S20" t="s">
        <v>1715</v>
      </c>
      <c r="T20" t="s">
        <v>1715</v>
      </c>
      <c r="Z20" s="341">
        <v>2017</v>
      </c>
      <c r="AA20" s="341" t="s">
        <v>1708</v>
      </c>
      <c r="AB20" s="341">
        <v>13</v>
      </c>
      <c r="AC20" s="7">
        <f t="shared" si="2"/>
        <v>72.327769181092194</v>
      </c>
    </row>
    <row r="21" spans="1:33">
      <c r="A21" s="161">
        <v>43307</v>
      </c>
      <c r="B21">
        <v>16</v>
      </c>
      <c r="C21" t="s">
        <v>2385</v>
      </c>
      <c r="D21">
        <v>2197.9</v>
      </c>
      <c r="H21">
        <v>248.85120000000001</v>
      </c>
      <c r="I21">
        <v>0.33366249999999997</v>
      </c>
      <c r="J21">
        <v>248.5175375</v>
      </c>
      <c r="K21">
        <v>2098.5709878660514</v>
      </c>
      <c r="L21" s="16">
        <v>95.480731055373369</v>
      </c>
      <c r="M21">
        <v>2071.1174295066612</v>
      </c>
      <c r="N21">
        <v>94.231649734139907</v>
      </c>
      <c r="O21">
        <v>128</v>
      </c>
      <c r="P21">
        <v>41.7</v>
      </c>
      <c r="Q21">
        <v>100</v>
      </c>
      <c r="R21">
        <v>3</v>
      </c>
      <c r="S21" t="s">
        <v>1715</v>
      </c>
      <c r="T21" t="s">
        <v>1715</v>
      </c>
      <c r="Z21" s="413">
        <v>2017</v>
      </c>
      <c r="AA21" s="413" t="s">
        <v>1708</v>
      </c>
      <c r="AB21" s="413">
        <v>14</v>
      </c>
      <c r="AC21" s="370">
        <f>J127</f>
        <v>69.839214993955054</v>
      </c>
      <c r="AD21" t="s">
        <v>2548</v>
      </c>
    </row>
    <row r="22" spans="1:33">
      <c r="A22" s="460">
        <v>43307</v>
      </c>
      <c r="B22" s="461">
        <v>17</v>
      </c>
      <c r="C22" s="461" t="s">
        <v>2386</v>
      </c>
      <c r="D22" s="461">
        <v>2225.1</v>
      </c>
      <c r="E22" s="461"/>
      <c r="F22" s="461"/>
      <c r="G22" s="461"/>
      <c r="H22" s="461">
        <v>112.3182</v>
      </c>
      <c r="I22" s="461">
        <v>0.33366249999999997</v>
      </c>
      <c r="J22" s="461">
        <v>111.9845375</v>
      </c>
      <c r="K22" s="461">
        <v>945.54530965020786</v>
      </c>
      <c r="L22" s="16">
        <v>42.494508545692682</v>
      </c>
      <c r="M22" s="461">
        <v>933.26664099708591</v>
      </c>
      <c r="N22" s="461">
        <v>41.942683070292837</v>
      </c>
      <c r="O22" s="461">
        <v>128</v>
      </c>
      <c r="P22" s="461">
        <v>41.7</v>
      </c>
      <c r="Q22" s="461">
        <v>100</v>
      </c>
      <c r="R22" s="461">
        <v>3</v>
      </c>
      <c r="S22" s="461" t="s">
        <v>1715</v>
      </c>
      <c r="T22" s="461" t="s">
        <v>1715</v>
      </c>
      <c r="U22" t="s">
        <v>2668</v>
      </c>
      <c r="Z22" s="341">
        <v>2017</v>
      </c>
      <c r="AA22" s="341" t="s">
        <v>1708</v>
      </c>
      <c r="AB22" s="341">
        <v>15</v>
      </c>
      <c r="AC22" s="7">
        <f>J134</f>
        <v>62.261150448006894</v>
      </c>
    </row>
    <row r="23" spans="1:33">
      <c r="A23" s="459">
        <v>43307</v>
      </c>
      <c r="B23" s="346">
        <v>18</v>
      </c>
      <c r="C23" s="346" t="s">
        <v>2387</v>
      </c>
      <c r="D23" s="346">
        <v>2171.5</v>
      </c>
      <c r="E23" s="346"/>
      <c r="F23" s="346"/>
      <c r="G23" s="346"/>
      <c r="H23" s="346">
        <v>226.1447</v>
      </c>
      <c r="I23" s="346">
        <v>0.33366249999999997</v>
      </c>
      <c r="J23" s="346">
        <v>225.8110375</v>
      </c>
      <c r="K23" s="346">
        <v>1906.8138481093035</v>
      </c>
      <c r="L23" s="16">
        <v>87.810907119931088</v>
      </c>
      <c r="M23" s="346">
        <v>1881.883991954621</v>
      </c>
      <c r="N23" s="346">
        <v>86.662859403850845</v>
      </c>
      <c r="O23" s="346">
        <v>128</v>
      </c>
      <c r="P23" s="346">
        <v>41.7</v>
      </c>
      <c r="Q23" s="346">
        <v>100</v>
      </c>
      <c r="R23" s="346">
        <v>3</v>
      </c>
      <c r="S23" s="346" t="s">
        <v>1715</v>
      </c>
      <c r="T23" s="346" t="s">
        <v>1715</v>
      </c>
      <c r="Z23" s="341">
        <v>2017</v>
      </c>
      <c r="AA23" s="341" t="s">
        <v>1708</v>
      </c>
      <c r="AB23" s="341">
        <v>16</v>
      </c>
      <c r="AC23" s="7">
        <f t="shared" ref="AC23:AC27" si="3">J135</f>
        <v>57.352811376047796</v>
      </c>
    </row>
    <row r="24" spans="1:33">
      <c r="A24" s="161">
        <v>43307</v>
      </c>
      <c r="B24">
        <v>19</v>
      </c>
      <c r="C24" t="s">
        <v>2388</v>
      </c>
      <c r="D24">
        <v>2285.5</v>
      </c>
      <c r="H24">
        <v>174.0821</v>
      </c>
      <c r="I24">
        <v>0.33366249999999997</v>
      </c>
      <c r="J24">
        <v>173.74843749999999</v>
      </c>
      <c r="K24">
        <v>1467.1434777616207</v>
      </c>
      <c r="L24" s="16">
        <v>64.193545296942489</v>
      </c>
      <c r="M24">
        <v>1448.0000923709408</v>
      </c>
      <c r="N24">
        <v>63.355943660946878</v>
      </c>
      <c r="O24">
        <v>128</v>
      </c>
      <c r="P24">
        <v>41.7</v>
      </c>
      <c r="Q24">
        <v>100</v>
      </c>
      <c r="R24">
        <v>3</v>
      </c>
      <c r="S24" t="s">
        <v>1715</v>
      </c>
      <c r="T24" t="s">
        <v>1715</v>
      </c>
      <c r="Z24" s="341">
        <v>2017</v>
      </c>
      <c r="AA24" s="341" t="s">
        <v>1708</v>
      </c>
      <c r="AB24" s="341">
        <v>17</v>
      </c>
      <c r="AC24" s="7">
        <f t="shared" si="3"/>
        <v>44.746647791975761</v>
      </c>
    </row>
    <row r="25" spans="1:33">
      <c r="A25" s="161">
        <v>43307</v>
      </c>
      <c r="B25">
        <v>20</v>
      </c>
      <c r="C25" t="s">
        <v>2389</v>
      </c>
      <c r="D25">
        <v>2243.6999999999998</v>
      </c>
      <c r="H25">
        <v>184.2962</v>
      </c>
      <c r="I25">
        <v>0.33366249999999997</v>
      </c>
      <c r="J25">
        <v>183.9625375</v>
      </c>
      <c r="K25">
        <v>1553.4018884012787</v>
      </c>
      <c r="L25" s="16">
        <v>69.233938958028205</v>
      </c>
      <c r="M25">
        <v>1533.1232621461284</v>
      </c>
      <c r="N25">
        <v>68.330136031828161</v>
      </c>
      <c r="O25">
        <v>128</v>
      </c>
      <c r="P25">
        <v>41.7</v>
      </c>
      <c r="Q25">
        <v>100</v>
      </c>
      <c r="R25">
        <v>3</v>
      </c>
      <c r="S25" t="s">
        <v>1715</v>
      </c>
      <c r="T25" t="s">
        <v>1715</v>
      </c>
      <c r="Z25" s="341">
        <v>2017</v>
      </c>
      <c r="AA25" s="341" t="s">
        <v>1708</v>
      </c>
      <c r="AB25" s="341">
        <v>18</v>
      </c>
      <c r="AC25" s="7">
        <f t="shared" si="3"/>
        <v>37.36604099534572</v>
      </c>
    </row>
    <row r="26" spans="1:33">
      <c r="A26" s="161">
        <v>43307</v>
      </c>
      <c r="B26">
        <v>21</v>
      </c>
      <c r="C26" t="s">
        <v>2381</v>
      </c>
      <c r="D26">
        <v>0</v>
      </c>
      <c r="H26">
        <v>0.29289999999999999</v>
      </c>
      <c r="I26">
        <v>0.33366249999999997</v>
      </c>
      <c r="J26">
        <v>-4.0762499999999979E-2</v>
      </c>
      <c r="K26">
        <v>-0.5120355325196948</v>
      </c>
      <c r="M26">
        <v>-0.33971012697751857</v>
      </c>
      <c r="O26">
        <v>128</v>
      </c>
      <c r="P26">
        <v>41.7</v>
      </c>
      <c r="Q26">
        <v>100</v>
      </c>
      <c r="R26">
        <v>3</v>
      </c>
      <c r="S26" t="s">
        <v>1715</v>
      </c>
      <c r="T26" t="s">
        <v>1715</v>
      </c>
      <c r="Z26" s="341">
        <v>2017</v>
      </c>
      <c r="AA26" s="341" t="s">
        <v>1708</v>
      </c>
      <c r="AB26" s="341">
        <v>19</v>
      </c>
      <c r="AC26" s="7">
        <f t="shared" si="3"/>
        <v>52.403785054251998</v>
      </c>
    </row>
    <row r="27" spans="1:33">
      <c r="A27" s="161">
        <v>43307</v>
      </c>
      <c r="B27">
        <v>22</v>
      </c>
      <c r="C27" t="s">
        <v>2390</v>
      </c>
      <c r="D27">
        <v>2907.9</v>
      </c>
      <c r="H27">
        <v>213.87960000000001</v>
      </c>
      <c r="I27">
        <v>0.33366249999999997</v>
      </c>
      <c r="J27">
        <v>213.54593750000001</v>
      </c>
      <c r="K27">
        <v>1803.234674972515</v>
      </c>
      <c r="L27" s="16">
        <v>62.011577941900164</v>
      </c>
      <c r="M27">
        <v>1779.6680170170694</v>
      </c>
      <c r="N27">
        <v>61.201142302591883</v>
      </c>
      <c r="O27">
        <v>128</v>
      </c>
      <c r="P27">
        <v>41.7</v>
      </c>
      <c r="Q27">
        <v>100</v>
      </c>
      <c r="R27">
        <v>3</v>
      </c>
      <c r="S27" t="s">
        <v>1715</v>
      </c>
      <c r="T27" t="s">
        <v>1715</v>
      </c>
      <c r="Z27" s="341">
        <v>2017</v>
      </c>
      <c r="AA27" s="341" t="s">
        <v>1708</v>
      </c>
      <c r="AB27" s="341">
        <v>20</v>
      </c>
      <c r="AC27" s="7">
        <f t="shared" si="3"/>
        <v>66.853776517971767</v>
      </c>
    </row>
    <row r="28" spans="1:33">
      <c r="A28" s="161">
        <v>43307</v>
      </c>
      <c r="B28">
        <v>23</v>
      </c>
      <c r="C28" t="s">
        <v>2391</v>
      </c>
      <c r="D28">
        <v>2010.1</v>
      </c>
      <c r="H28">
        <v>115.295</v>
      </c>
      <c r="I28">
        <v>0.33366249999999997</v>
      </c>
      <c r="J28">
        <v>114.9613375</v>
      </c>
      <c r="K28">
        <v>970.68448361483854</v>
      </c>
      <c r="L28" s="16">
        <v>48.290357873480851</v>
      </c>
      <c r="M28">
        <v>958.07496006452971</v>
      </c>
      <c r="N28">
        <v>47.663049602732691</v>
      </c>
      <c r="O28">
        <v>128</v>
      </c>
      <c r="P28">
        <v>41.7</v>
      </c>
      <c r="Q28">
        <v>100</v>
      </c>
      <c r="R28">
        <v>3</v>
      </c>
      <c r="S28" t="s">
        <v>1715</v>
      </c>
      <c r="T28" t="s">
        <v>1715</v>
      </c>
      <c r="Z28" s="341">
        <v>2017</v>
      </c>
      <c r="AA28" s="341" t="s">
        <v>1708</v>
      </c>
      <c r="AB28" s="341">
        <v>21</v>
      </c>
      <c r="AC28" s="7">
        <f>J211</f>
        <v>92.736293135551946</v>
      </c>
    </row>
    <row r="29" spans="1:33">
      <c r="A29" s="161">
        <v>43307</v>
      </c>
      <c r="B29">
        <v>24</v>
      </c>
      <c r="C29" t="s">
        <v>2392</v>
      </c>
      <c r="D29">
        <v>2130.6999999999998</v>
      </c>
      <c r="H29">
        <v>140.32810000000001</v>
      </c>
      <c r="I29">
        <v>0.33366249999999997</v>
      </c>
      <c r="J29">
        <v>139.9944375</v>
      </c>
      <c r="K29">
        <v>1182.0898369385407</v>
      </c>
      <c r="L29" s="16">
        <v>55.478942926669205</v>
      </c>
      <c r="M29">
        <v>1166.6980224292258</v>
      </c>
      <c r="N29">
        <v>54.756559930033603</v>
      </c>
      <c r="O29">
        <v>128</v>
      </c>
      <c r="P29">
        <v>41.7</v>
      </c>
      <c r="Q29">
        <v>100</v>
      </c>
      <c r="R29">
        <v>3</v>
      </c>
      <c r="S29" t="s">
        <v>1715</v>
      </c>
      <c r="T29" t="s">
        <v>1715</v>
      </c>
      <c r="Z29" s="413">
        <v>2017</v>
      </c>
      <c r="AA29" s="413" t="s">
        <v>1750</v>
      </c>
      <c r="AB29" s="413">
        <v>1</v>
      </c>
      <c r="AC29" s="370">
        <f>J178</f>
        <v>72.015701439750543</v>
      </c>
      <c r="AD29" t="s">
        <v>2548</v>
      </c>
    </row>
    <row r="30" spans="1:33">
      <c r="A30" s="161">
        <v>43307</v>
      </c>
      <c r="B30">
        <v>25</v>
      </c>
      <c r="C30" t="s">
        <v>2393</v>
      </c>
      <c r="D30">
        <v>2544.4</v>
      </c>
      <c r="H30">
        <v>164.11879999999999</v>
      </c>
      <c r="I30">
        <v>0.33366249999999997</v>
      </c>
      <c r="J30">
        <v>163.78513749999999</v>
      </c>
      <c r="K30">
        <v>1383.0030813756339</v>
      </c>
      <c r="L30" s="16">
        <v>54.354782321004315</v>
      </c>
      <c r="M30">
        <v>1364.9670618130726</v>
      </c>
      <c r="N30">
        <v>53.645930742535477</v>
      </c>
      <c r="O30">
        <v>128</v>
      </c>
      <c r="P30">
        <v>41.7</v>
      </c>
      <c r="Q30">
        <v>100</v>
      </c>
      <c r="R30">
        <v>3</v>
      </c>
      <c r="S30" t="s">
        <v>1715</v>
      </c>
      <c r="T30" t="s">
        <v>1715</v>
      </c>
      <c r="Z30" s="341">
        <v>2017</v>
      </c>
      <c r="AA30" s="341" t="s">
        <v>1750</v>
      </c>
      <c r="AB30" s="341">
        <v>2</v>
      </c>
      <c r="AC30" s="7">
        <f>J140</f>
        <v>76.068899376052883</v>
      </c>
    </row>
    <row r="31" spans="1:33">
      <c r="A31" s="161">
        <v>43307</v>
      </c>
      <c r="B31">
        <v>26</v>
      </c>
      <c r="C31" t="s">
        <v>2394</v>
      </c>
      <c r="D31">
        <v>1989.7</v>
      </c>
      <c r="H31">
        <v>140.0771</v>
      </c>
      <c r="I31">
        <v>0.33366249999999997</v>
      </c>
      <c r="J31">
        <v>139.7434375</v>
      </c>
      <c r="K31">
        <v>1179.9701336782873</v>
      </c>
      <c r="L31" s="16">
        <v>59.303921881604623</v>
      </c>
      <c r="M31">
        <v>1164.6062164342216</v>
      </c>
      <c r="N31">
        <v>58.531749330764512</v>
      </c>
      <c r="O31">
        <v>128</v>
      </c>
      <c r="P31">
        <v>41.7</v>
      </c>
      <c r="Q31">
        <v>100</v>
      </c>
      <c r="R31">
        <v>3</v>
      </c>
      <c r="S31" t="s">
        <v>1715</v>
      </c>
      <c r="T31" t="s">
        <v>1715</v>
      </c>
      <c r="Z31" s="341">
        <v>2017</v>
      </c>
      <c r="AA31" s="341" t="s">
        <v>1750</v>
      </c>
      <c r="AB31" s="341">
        <v>3</v>
      </c>
      <c r="AC31" s="7">
        <f>J141</f>
        <v>72.93190939780068</v>
      </c>
    </row>
    <row r="32" spans="1:33">
      <c r="A32" s="161">
        <v>43307</v>
      </c>
      <c r="B32">
        <v>27</v>
      </c>
      <c r="C32" t="s">
        <v>2395</v>
      </c>
      <c r="D32">
        <v>3359.2</v>
      </c>
      <c r="H32">
        <v>264.08359999999999</v>
      </c>
      <c r="I32">
        <v>0.33366249999999997</v>
      </c>
      <c r="J32">
        <v>263.74993749999999</v>
      </c>
      <c r="K32">
        <v>2227.2091071548311</v>
      </c>
      <c r="L32" s="16">
        <v>66.301771468052848</v>
      </c>
      <c r="M32">
        <v>2198.0625515716069</v>
      </c>
      <c r="N32">
        <v>65.434107870076417</v>
      </c>
      <c r="O32">
        <v>128</v>
      </c>
      <c r="P32">
        <v>41.7</v>
      </c>
      <c r="Q32">
        <v>100</v>
      </c>
      <c r="R32">
        <v>3</v>
      </c>
      <c r="S32" t="s">
        <v>1715</v>
      </c>
      <c r="T32" t="s">
        <v>1715</v>
      </c>
      <c r="Z32" s="341">
        <v>2017</v>
      </c>
      <c r="AA32" s="341" t="s">
        <v>1750</v>
      </c>
      <c r="AB32" s="341">
        <v>4</v>
      </c>
      <c r="AC32" s="7">
        <f>J142</f>
        <v>75.870479109046272</v>
      </c>
    </row>
    <row r="33" spans="1:30">
      <c r="A33" s="161">
        <v>43307</v>
      </c>
      <c r="B33">
        <v>28</v>
      </c>
      <c r="C33" t="s">
        <v>2396</v>
      </c>
      <c r="D33">
        <v>2276.9</v>
      </c>
      <c r="H33">
        <v>195.35939999999999</v>
      </c>
      <c r="I33">
        <v>0.33366249999999997</v>
      </c>
      <c r="J33">
        <v>195.02573749999999</v>
      </c>
      <c r="K33">
        <v>1646.8309764842882</v>
      </c>
      <c r="L33" s="16">
        <v>72.327769181092194</v>
      </c>
      <c r="M33">
        <v>1625.3227365840967</v>
      </c>
      <c r="N33">
        <v>71.383140962892369</v>
      </c>
      <c r="O33">
        <v>128</v>
      </c>
      <c r="P33">
        <v>41.7</v>
      </c>
      <c r="Q33">
        <v>100</v>
      </c>
      <c r="R33">
        <v>3</v>
      </c>
      <c r="S33" t="s">
        <v>1715</v>
      </c>
      <c r="T33" t="s">
        <v>1715</v>
      </c>
      <c r="Z33" s="341">
        <v>2017</v>
      </c>
      <c r="AA33" s="341" t="s">
        <v>1750</v>
      </c>
      <c r="AB33" s="341">
        <v>5</v>
      </c>
      <c r="AC33">
        <f>J173</f>
        <v>71.626344423384552</v>
      </c>
    </row>
    <row r="34" spans="1:30">
      <c r="A34" s="161">
        <v>43307</v>
      </c>
      <c r="B34">
        <v>29</v>
      </c>
      <c r="C34" t="s">
        <v>2397</v>
      </c>
      <c r="H34">
        <v>0.50229999999999997</v>
      </c>
      <c r="I34">
        <v>0.33366249999999997</v>
      </c>
      <c r="J34">
        <v>0.1686375</v>
      </c>
      <c r="K34">
        <v>1.256354358703655</v>
      </c>
      <c r="M34">
        <v>1.40540610949209</v>
      </c>
      <c r="O34">
        <v>128</v>
      </c>
      <c r="P34">
        <v>41.7</v>
      </c>
      <c r="Q34">
        <v>100</v>
      </c>
      <c r="R34">
        <v>3</v>
      </c>
      <c r="S34" t="s">
        <v>1715</v>
      </c>
      <c r="T34" t="s">
        <v>1715</v>
      </c>
      <c r="Z34" s="341">
        <v>2017</v>
      </c>
      <c r="AA34" s="341" t="s">
        <v>1750</v>
      </c>
      <c r="AB34" s="341">
        <v>6</v>
      </c>
      <c r="AC34">
        <f t="shared" ref="AC34:AC37" si="4">J174</f>
        <v>63.941887586145086</v>
      </c>
    </row>
    <row r="35" spans="1:30">
      <c r="A35" s="161">
        <v>43307</v>
      </c>
      <c r="B35">
        <v>30</v>
      </c>
      <c r="C35" t="s">
        <v>2483</v>
      </c>
      <c r="D35">
        <v>1502.8</v>
      </c>
      <c r="G35">
        <v>1502.49944</v>
      </c>
      <c r="H35">
        <v>177.13849999999999</v>
      </c>
      <c r="I35">
        <v>0.33366249999999997</v>
      </c>
      <c r="J35">
        <v>176.80483749999999</v>
      </c>
      <c r="K35">
        <v>1492.9548763458376</v>
      </c>
      <c r="L35" s="16">
        <v>99.364754262127221</v>
      </c>
      <c r="M35">
        <v>1473.4717889571191</v>
      </c>
      <c r="N35">
        <v>98.068042471757522</v>
      </c>
      <c r="O35">
        <v>128</v>
      </c>
      <c r="P35">
        <v>41.7</v>
      </c>
      <c r="Q35">
        <v>100</v>
      </c>
      <c r="R35">
        <v>3</v>
      </c>
      <c r="S35" t="s">
        <v>1715</v>
      </c>
      <c r="T35" t="s">
        <v>1715</v>
      </c>
      <c r="Z35" s="341">
        <v>2017</v>
      </c>
      <c r="AA35" s="341" t="s">
        <v>1750</v>
      </c>
      <c r="AB35" s="341">
        <v>7</v>
      </c>
      <c r="AC35">
        <f t="shared" si="4"/>
        <v>63.550304027477345</v>
      </c>
    </row>
    <row r="36" spans="1:30">
      <c r="A36" s="161"/>
      <c r="Z36" s="341">
        <v>2017</v>
      </c>
      <c r="AA36" s="341" t="s">
        <v>1750</v>
      </c>
      <c r="AB36" s="341">
        <v>8</v>
      </c>
      <c r="AC36">
        <f t="shared" si="4"/>
        <v>62.873168016740003</v>
      </c>
    </row>
    <row r="37" spans="1:30">
      <c r="A37" s="161">
        <v>43318</v>
      </c>
      <c r="B37">
        <v>1</v>
      </c>
      <c r="C37" t="s">
        <v>2375</v>
      </c>
      <c r="D37">
        <v>0</v>
      </c>
      <c r="H37">
        <v>0.42699999999999999</v>
      </c>
      <c r="O37">
        <v>128</v>
      </c>
      <c r="P37">
        <v>25</v>
      </c>
      <c r="Q37">
        <v>100</v>
      </c>
      <c r="R37">
        <v>3</v>
      </c>
      <c r="S37" t="s">
        <v>1715</v>
      </c>
      <c r="T37" t="s">
        <v>1715</v>
      </c>
      <c r="Z37" s="341">
        <v>2017</v>
      </c>
      <c r="AA37" s="341" t="s">
        <v>1750</v>
      </c>
      <c r="AB37" s="341">
        <v>9</v>
      </c>
      <c r="AC37">
        <f t="shared" si="4"/>
        <v>59.701481098184196</v>
      </c>
    </row>
    <row r="38" spans="1:30">
      <c r="A38" s="161">
        <v>43318</v>
      </c>
      <c r="B38">
        <v>2</v>
      </c>
      <c r="C38" t="s">
        <v>2376</v>
      </c>
      <c r="D38">
        <v>0</v>
      </c>
      <c r="H38">
        <v>0.49830000000000002</v>
      </c>
      <c r="O38">
        <v>128</v>
      </c>
      <c r="P38">
        <v>25</v>
      </c>
      <c r="Q38">
        <v>100</v>
      </c>
      <c r="R38">
        <v>3</v>
      </c>
      <c r="S38" t="s">
        <v>1715</v>
      </c>
      <c r="T38" t="s">
        <v>1715</v>
      </c>
      <c r="U38" s="161">
        <v>43318</v>
      </c>
      <c r="Z38" s="341">
        <v>2017</v>
      </c>
      <c r="AA38" s="341" t="s">
        <v>1750</v>
      </c>
      <c r="AB38" s="341">
        <v>10</v>
      </c>
      <c r="AC38">
        <f>J180</f>
        <v>63.014468576166216</v>
      </c>
    </row>
    <row r="39" spans="1:30">
      <c r="A39" s="161">
        <v>43318</v>
      </c>
      <c r="B39">
        <v>3</v>
      </c>
      <c r="C39" t="s">
        <v>2377</v>
      </c>
      <c r="D39">
        <v>0</v>
      </c>
      <c r="G39">
        <v>0</v>
      </c>
      <c r="H39">
        <v>0.68320000000000003</v>
      </c>
      <c r="I39">
        <v>0.66742500000000005</v>
      </c>
      <c r="J39">
        <v>0.66742500000000005</v>
      </c>
      <c r="K39">
        <v>4.2335440347809845</v>
      </c>
      <c r="L39" s="16" t="e">
        <v>#DIV/0!</v>
      </c>
      <c r="M39">
        <v>5.5622454829308916</v>
      </c>
      <c r="N39" t="e">
        <v>#DIV/0!</v>
      </c>
      <c r="O39">
        <v>128</v>
      </c>
      <c r="P39">
        <v>25</v>
      </c>
      <c r="Q39">
        <v>100</v>
      </c>
      <c r="R39">
        <v>3</v>
      </c>
      <c r="S39" t="s">
        <v>1715</v>
      </c>
      <c r="T39" t="s">
        <v>1715</v>
      </c>
      <c r="U39" s="7">
        <f>((J39-INDEX(LINEST($J$39:$J$44,$G$39:$G$44),2))/INDEX(LINEST($J$39:$J$44,$G$39:$G$44),1)/100.09)*12.01</f>
        <v>0.50799144627554826</v>
      </c>
      <c r="V39" s="7">
        <f>(J39-U39)^2</f>
        <v>2.5419058053207651E-2</v>
      </c>
      <c r="Z39" s="341">
        <v>2017</v>
      </c>
      <c r="AA39" s="341" t="s">
        <v>1750</v>
      </c>
      <c r="AB39" s="341">
        <v>11</v>
      </c>
      <c r="AC39">
        <f>L166</f>
        <v>64.460972601498142</v>
      </c>
    </row>
    <row r="40" spans="1:30">
      <c r="A40" s="161">
        <v>43318</v>
      </c>
      <c r="B40">
        <v>4</v>
      </c>
      <c r="C40" t="s">
        <v>2484</v>
      </c>
      <c r="D40">
        <v>368.7</v>
      </c>
      <c r="G40">
        <v>368.62626</v>
      </c>
      <c r="H40">
        <v>43.878300000000003</v>
      </c>
      <c r="I40">
        <v>0.66742500000000005</v>
      </c>
      <c r="J40">
        <v>43.210875000000001</v>
      </c>
      <c r="K40">
        <v>362.49984362770226</v>
      </c>
      <c r="L40" s="16">
        <v>98.338041252867399</v>
      </c>
      <c r="M40">
        <v>360.11461105328891</v>
      </c>
      <c r="N40">
        <v>97.690981389467183</v>
      </c>
      <c r="O40">
        <v>128</v>
      </c>
      <c r="P40">
        <v>25</v>
      </c>
      <c r="Q40">
        <v>100</v>
      </c>
      <c r="R40">
        <v>3</v>
      </c>
      <c r="S40" t="s">
        <v>1715</v>
      </c>
      <c r="T40" t="s">
        <v>1715</v>
      </c>
      <c r="U40" s="7">
        <f t="shared" ref="U40:U44" si="5">((J40-INDEX(LINEST($J$39:$J$44,$G$39:$G$44),2))/INDEX(LINEST($J$39:$J$44,$G$39:$G$44),1)/100.09)*12.01</f>
        <v>43.497083844227234</v>
      </c>
      <c r="V40" s="7">
        <f t="shared" ref="V40:V44" si="6">(J40-U40)^2</f>
        <v>8.1915502513888155E-2</v>
      </c>
      <c r="Z40" s="341">
        <v>2017</v>
      </c>
      <c r="AA40" s="341" t="s">
        <v>1750</v>
      </c>
      <c r="AB40" s="341">
        <v>12</v>
      </c>
      <c r="AC40">
        <f>L196</f>
        <v>60.672217754950033</v>
      </c>
    </row>
    <row r="41" spans="1:30">
      <c r="A41" s="161">
        <v>43318</v>
      </c>
      <c r="B41">
        <v>5</v>
      </c>
      <c r="C41" t="s">
        <v>2485</v>
      </c>
      <c r="D41">
        <v>748.9</v>
      </c>
      <c r="G41">
        <v>748.75022000000001</v>
      </c>
      <c r="H41">
        <v>89.866</v>
      </c>
      <c r="I41">
        <v>0.66742500000000005</v>
      </c>
      <c r="J41">
        <v>89.198575000000005</v>
      </c>
      <c r="K41">
        <v>749.77081262032948</v>
      </c>
      <c r="L41" s="16">
        <v>100.13630615298243</v>
      </c>
      <c r="M41">
        <v>743.37097183597007</v>
      </c>
      <c r="N41">
        <v>99.28156973843295</v>
      </c>
      <c r="O41">
        <v>128</v>
      </c>
      <c r="P41">
        <v>25</v>
      </c>
      <c r="Q41">
        <v>100</v>
      </c>
      <c r="R41">
        <v>3</v>
      </c>
      <c r="S41" t="s">
        <v>1715</v>
      </c>
      <c r="T41" t="s">
        <v>1715</v>
      </c>
      <c r="U41" s="7">
        <f t="shared" si="5"/>
        <v>89.966504741434278</v>
      </c>
      <c r="V41" s="7">
        <f t="shared" si="6"/>
        <v>0.58971608777930895</v>
      </c>
      <c r="Z41" s="341">
        <v>2017</v>
      </c>
      <c r="AA41" s="341" t="s">
        <v>1750</v>
      </c>
      <c r="AB41" s="341">
        <v>13</v>
      </c>
      <c r="AC41">
        <f>L197</f>
        <v>67.919164718905449</v>
      </c>
    </row>
    <row r="42" spans="1:30">
      <c r="A42" s="161">
        <v>43318</v>
      </c>
      <c r="B42">
        <v>6</v>
      </c>
      <c r="C42" t="s">
        <v>2486</v>
      </c>
      <c r="D42">
        <v>1586.7</v>
      </c>
      <c r="G42">
        <v>1586.38266</v>
      </c>
      <c r="H42">
        <v>189.56219999999999</v>
      </c>
      <c r="I42">
        <v>0.66742500000000005</v>
      </c>
      <c r="J42">
        <v>188.89477499999998</v>
      </c>
      <c r="K42">
        <v>1589.331042396612</v>
      </c>
      <c r="L42" s="16">
        <v>100.18585568734166</v>
      </c>
      <c r="M42">
        <v>1574.2279791631975</v>
      </c>
      <c r="N42">
        <v>99.233811542241483</v>
      </c>
      <c r="O42">
        <v>128</v>
      </c>
      <c r="P42">
        <v>25</v>
      </c>
      <c r="Q42">
        <v>100</v>
      </c>
      <c r="R42">
        <v>3</v>
      </c>
      <c r="S42" t="s">
        <v>1715</v>
      </c>
      <c r="T42" t="s">
        <v>1715</v>
      </c>
      <c r="U42" s="7">
        <f t="shared" si="5"/>
        <v>190.70702187214818</v>
      </c>
      <c r="V42" s="7">
        <f t="shared" si="6"/>
        <v>3.2842387256109116</v>
      </c>
      <c r="Z42" s="341">
        <v>2017</v>
      </c>
      <c r="AA42" s="341" t="s">
        <v>1750</v>
      </c>
      <c r="AB42" s="341">
        <v>14</v>
      </c>
      <c r="AC42">
        <f>L81</f>
        <v>67.376509500914366</v>
      </c>
    </row>
    <row r="43" spans="1:30">
      <c r="A43" s="161">
        <v>43318</v>
      </c>
      <c r="B43">
        <v>7</v>
      </c>
      <c r="C43" t="s">
        <v>2487</v>
      </c>
      <c r="D43">
        <v>2624.7</v>
      </c>
      <c r="G43">
        <v>2624.17506</v>
      </c>
      <c r="H43">
        <v>312.01260000000002</v>
      </c>
      <c r="I43">
        <v>0.66742500000000005</v>
      </c>
      <c r="J43">
        <v>311.34517500000004</v>
      </c>
      <c r="K43">
        <v>2620.5086194777623</v>
      </c>
      <c r="L43" s="16">
        <v>99.860282167217989</v>
      </c>
      <c r="M43">
        <v>2594.7159505203999</v>
      </c>
      <c r="N43">
        <v>98.877395417377372</v>
      </c>
      <c r="O43">
        <v>128</v>
      </c>
      <c r="P43">
        <v>25</v>
      </c>
      <c r="Q43">
        <v>100</v>
      </c>
      <c r="R43">
        <v>3</v>
      </c>
      <c r="S43" t="s">
        <v>1715</v>
      </c>
      <c r="T43" t="s">
        <v>1715</v>
      </c>
      <c r="U43" s="7">
        <f t="shared" si="5"/>
        <v>314.44008911907207</v>
      </c>
      <c r="V43" s="7">
        <f t="shared" si="6"/>
        <v>9.5784934044313985</v>
      </c>
      <c r="Z43" s="413">
        <v>2017</v>
      </c>
      <c r="AA43" s="413" t="s">
        <v>1750</v>
      </c>
      <c r="AB43" s="413">
        <v>15</v>
      </c>
      <c r="AC43" s="370">
        <f>J129</f>
        <v>66.998406899227675</v>
      </c>
      <c r="AD43" t="s">
        <v>2548</v>
      </c>
    </row>
    <row r="44" spans="1:30">
      <c r="A44" s="161">
        <v>43318</v>
      </c>
      <c r="B44">
        <v>8</v>
      </c>
      <c r="C44" t="s">
        <v>2488</v>
      </c>
      <c r="D44">
        <v>4049.2</v>
      </c>
      <c r="G44">
        <v>4048.3901599999999</v>
      </c>
      <c r="H44">
        <v>481.75970000000001</v>
      </c>
      <c r="I44">
        <v>0.66742500000000005</v>
      </c>
      <c r="J44">
        <v>481.09227500000003</v>
      </c>
      <c r="K44">
        <v>4049.9804978428115</v>
      </c>
      <c r="L44" s="16">
        <v>100.03928321579588</v>
      </c>
      <c r="M44">
        <v>4009.369342610325</v>
      </c>
      <c r="N44">
        <v>99.036139901355881</v>
      </c>
      <c r="O44">
        <v>128</v>
      </c>
      <c r="P44">
        <v>25</v>
      </c>
      <c r="Q44">
        <v>100</v>
      </c>
      <c r="R44">
        <v>3</v>
      </c>
      <c r="S44" t="s">
        <v>1715</v>
      </c>
      <c r="T44" t="s">
        <v>1715</v>
      </c>
      <c r="U44" s="7">
        <f t="shared" si="5"/>
        <v>485.96528903079388</v>
      </c>
      <c r="V44" s="7">
        <f t="shared" si="6"/>
        <v>23.746265744313764</v>
      </c>
      <c r="X44" s="193" t="s">
        <v>2567</v>
      </c>
      <c r="Z44" s="413">
        <v>2017</v>
      </c>
      <c r="AA44" s="413" t="s">
        <v>1750</v>
      </c>
      <c r="AB44" s="413">
        <v>16</v>
      </c>
      <c r="AC44" s="370">
        <f>J130</f>
        <v>57.382422453129784</v>
      </c>
      <c r="AD44" t="s">
        <v>2548</v>
      </c>
    </row>
    <row r="45" spans="1:30">
      <c r="A45" s="161">
        <v>43318</v>
      </c>
      <c r="B45">
        <v>9</v>
      </c>
      <c r="C45" t="s">
        <v>2378</v>
      </c>
      <c r="D45">
        <v>0</v>
      </c>
      <c r="G45">
        <v>0</v>
      </c>
      <c r="H45">
        <v>1.7111000000000001</v>
      </c>
      <c r="I45">
        <v>0.66742500000000005</v>
      </c>
      <c r="J45">
        <v>1.0436749999999999</v>
      </c>
      <c r="K45">
        <v>7.4020152147590208</v>
      </c>
      <c r="L45" s="16" t="e">
        <v>#DIV/0!</v>
      </c>
      <c r="M45">
        <v>8.6978710033305564</v>
      </c>
      <c r="N45" t="e">
        <v>#DIV/0!</v>
      </c>
      <c r="O45">
        <v>128</v>
      </c>
      <c r="P45">
        <v>25</v>
      </c>
      <c r="Q45">
        <v>100</v>
      </c>
      <c r="R45">
        <v>3</v>
      </c>
      <c r="S45" t="s">
        <v>1715</v>
      </c>
      <c r="T45" t="s">
        <v>1715</v>
      </c>
      <c r="V45" s="193">
        <f>SQRT(SUM(V39:V44)/(6-2))</f>
        <v>3.0539338779147824</v>
      </c>
      <c r="W45" s="193" t="s">
        <v>2656</v>
      </c>
      <c r="X45" s="192">
        <f>(V45/$AG$15)*100</f>
        <v>1.4896568280982858</v>
      </c>
      <c r="Z45" s="341">
        <v>2017</v>
      </c>
      <c r="AA45" s="341" t="s">
        <v>1750</v>
      </c>
      <c r="AB45" s="341">
        <v>17</v>
      </c>
      <c r="AC45">
        <f>L52</f>
        <v>53.537468736849512</v>
      </c>
    </row>
    <row r="46" spans="1:30">
      <c r="A46" s="161">
        <v>43318</v>
      </c>
      <c r="B46">
        <v>10</v>
      </c>
      <c r="C46" t="s">
        <v>2379</v>
      </c>
      <c r="D46">
        <v>0</v>
      </c>
      <c r="G46">
        <v>0</v>
      </c>
      <c r="H46">
        <v>0</v>
      </c>
      <c r="I46">
        <v>0.66742500000000005</v>
      </c>
      <c r="J46">
        <v>-0.66742500000000005</v>
      </c>
      <c r="K46">
        <v>-7.007475910982957</v>
      </c>
      <c r="L46" s="16" t="e">
        <v>#DIV/0!</v>
      </c>
      <c r="M46">
        <v>-5.5622454829308916</v>
      </c>
      <c r="N46" t="e">
        <v>#DIV/0!</v>
      </c>
      <c r="O46">
        <v>128</v>
      </c>
      <c r="P46">
        <v>25</v>
      </c>
      <c r="Q46">
        <v>100</v>
      </c>
      <c r="R46">
        <v>3</v>
      </c>
      <c r="S46" t="s">
        <v>1715</v>
      </c>
      <c r="T46" t="s">
        <v>1715</v>
      </c>
      <c r="V46" s="192">
        <f>(V45/12.01)*100.09</f>
        <v>25.451144199874321</v>
      </c>
      <c r="W46" s="193" t="s">
        <v>2657</v>
      </c>
      <c r="Z46" s="413">
        <v>2017</v>
      </c>
      <c r="AA46" s="413" t="s">
        <v>1750</v>
      </c>
      <c r="AB46" s="413">
        <v>18</v>
      </c>
      <c r="AC46" s="133">
        <f>AVERAGE(L53:L54)</f>
        <v>45.878368821279238</v>
      </c>
      <c r="AD46" t="s">
        <v>2548</v>
      </c>
    </row>
    <row r="47" spans="1:30" s="16" customFormat="1">
      <c r="A47" s="555">
        <v>43318</v>
      </c>
      <c r="B47" s="16">
        <v>11</v>
      </c>
      <c r="C47" s="16" t="s">
        <v>2382</v>
      </c>
      <c r="D47" s="16">
        <v>1121</v>
      </c>
      <c r="H47" s="16">
        <v>16.8094</v>
      </c>
      <c r="I47" s="16">
        <v>0.66742500000000005</v>
      </c>
      <c r="J47" s="16">
        <v>16.141974999999999</v>
      </c>
      <c r="K47" s="16">
        <v>134.54760569093813</v>
      </c>
      <c r="L47" s="16">
        <v>12.002462595088147</v>
      </c>
      <c r="M47" s="16">
        <v>134.52541863030808</v>
      </c>
      <c r="N47" s="16">
        <v>12.00048337469296</v>
      </c>
      <c r="O47" s="16">
        <v>128</v>
      </c>
      <c r="P47" s="16">
        <v>25</v>
      </c>
      <c r="Q47" s="16">
        <v>100</v>
      </c>
      <c r="R47" s="16">
        <v>3</v>
      </c>
      <c r="S47" s="16" t="s">
        <v>1715</v>
      </c>
      <c r="T47" s="16" t="s">
        <v>1715</v>
      </c>
      <c r="Z47" s="550">
        <v>2017</v>
      </c>
      <c r="AA47" s="550" t="s">
        <v>1750</v>
      </c>
      <c r="AB47" s="550">
        <v>19</v>
      </c>
      <c r="AC47" s="16">
        <f>L55</f>
        <v>53.506000158278269</v>
      </c>
    </row>
    <row r="48" spans="1:30" s="16" customFormat="1">
      <c r="A48" s="555">
        <v>43318</v>
      </c>
      <c r="B48" s="16">
        <v>12</v>
      </c>
      <c r="C48" s="16" t="s">
        <v>2382</v>
      </c>
      <c r="D48" s="16">
        <v>2202.8000000000002</v>
      </c>
      <c r="H48" s="16">
        <v>30.6052</v>
      </c>
      <c r="I48" s="16">
        <v>0.66742500000000005</v>
      </c>
      <c r="J48" s="16">
        <v>29.937774999999998</v>
      </c>
      <c r="K48" s="16">
        <v>250.72460158393747</v>
      </c>
      <c r="L48" s="16">
        <v>11.382086507351437</v>
      </c>
      <c r="M48" s="16">
        <v>249.49807658201499</v>
      </c>
      <c r="N48" s="16">
        <v>11.326406236699427</v>
      </c>
      <c r="O48" s="16">
        <v>128</v>
      </c>
      <c r="P48" s="16">
        <v>25</v>
      </c>
      <c r="Q48" s="16">
        <v>100</v>
      </c>
      <c r="R48" s="16">
        <v>3</v>
      </c>
      <c r="S48" s="16" t="s">
        <v>1715</v>
      </c>
      <c r="T48" s="16" t="s">
        <v>1715</v>
      </c>
      <c r="Z48" s="550">
        <v>2017</v>
      </c>
      <c r="AA48" s="550" t="s">
        <v>1750</v>
      </c>
      <c r="AB48" s="550">
        <v>20</v>
      </c>
      <c r="AC48" s="16">
        <f>L56</f>
        <v>64.843304807162724</v>
      </c>
    </row>
    <row r="49" spans="1:30">
      <c r="A49" s="161">
        <v>43318</v>
      </c>
      <c r="B49">
        <v>13</v>
      </c>
      <c r="C49" t="s">
        <v>2380</v>
      </c>
      <c r="D49">
        <v>0</v>
      </c>
      <c r="H49">
        <v>0.42159999999999997</v>
      </c>
      <c r="I49">
        <v>0.66742500000000005</v>
      </c>
      <c r="J49">
        <v>-0.24582500000000007</v>
      </c>
      <c r="K49">
        <v>-3.4571039522354741</v>
      </c>
      <c r="L49" s="16" t="e">
        <v>#DIV/0!</v>
      </c>
      <c r="M49">
        <v>-2.0486781223980022</v>
      </c>
      <c r="N49" t="e">
        <v>#DIV/0!</v>
      </c>
      <c r="O49">
        <v>128</v>
      </c>
      <c r="P49">
        <v>25</v>
      </c>
      <c r="Q49">
        <v>100</v>
      </c>
      <c r="R49">
        <v>3</v>
      </c>
      <c r="S49" t="s">
        <v>1715</v>
      </c>
      <c r="T49" t="s">
        <v>1715</v>
      </c>
      <c r="Z49" s="341">
        <v>2017</v>
      </c>
      <c r="AA49" s="341" t="s">
        <v>1750</v>
      </c>
      <c r="AB49" s="341">
        <v>21</v>
      </c>
      <c r="AC49">
        <f>L226</f>
        <v>68.59309359225982</v>
      </c>
    </row>
    <row r="50" spans="1:30">
      <c r="A50" s="459">
        <v>43318</v>
      </c>
      <c r="B50" s="346">
        <v>14</v>
      </c>
      <c r="C50" s="346" t="s">
        <v>2398</v>
      </c>
      <c r="D50" s="346">
        <v>3261.7</v>
      </c>
      <c r="E50" s="346"/>
      <c r="F50" s="346"/>
      <c r="G50" s="346"/>
      <c r="H50" s="346">
        <v>258.44720000000001</v>
      </c>
      <c r="I50" s="346">
        <v>0.66742500000000005</v>
      </c>
      <c r="J50" s="346">
        <v>257.77977500000003</v>
      </c>
      <c r="K50" s="346">
        <v>2169.4244303907308</v>
      </c>
      <c r="L50" s="16">
        <v>66.51207745625689</v>
      </c>
      <c r="M50" s="346">
        <v>2148.3078834096586</v>
      </c>
      <c r="N50" s="346">
        <v>65.8646682223889</v>
      </c>
      <c r="O50" s="346">
        <v>128</v>
      </c>
      <c r="P50" s="346">
        <v>25</v>
      </c>
      <c r="Q50" s="346">
        <v>100</v>
      </c>
      <c r="R50" s="346">
        <v>3</v>
      </c>
      <c r="S50" s="346" t="s">
        <v>1715</v>
      </c>
      <c r="T50" s="346" t="s">
        <v>1715</v>
      </c>
      <c r="Z50" s="413">
        <v>2017</v>
      </c>
      <c r="AA50" s="413" t="s">
        <v>1776</v>
      </c>
      <c r="AB50" s="413">
        <v>1</v>
      </c>
      <c r="AC50" s="133">
        <f>AVERAGE(L198:L199)</f>
        <v>66.787964866764781</v>
      </c>
      <c r="AD50" t="s">
        <v>2548</v>
      </c>
    </row>
    <row r="51" spans="1:30">
      <c r="A51" s="459">
        <v>43318</v>
      </c>
      <c r="B51" s="346">
        <v>15</v>
      </c>
      <c r="C51" s="346" t="s">
        <v>2399</v>
      </c>
      <c r="D51" s="346">
        <v>2424.4</v>
      </c>
      <c r="E51" s="346"/>
      <c r="F51" s="346"/>
      <c r="G51" s="346"/>
      <c r="H51" s="346">
        <v>167.67959999999999</v>
      </c>
      <c r="I51" s="346">
        <v>0.66742500000000005</v>
      </c>
      <c r="J51" s="346">
        <v>167.01217499999998</v>
      </c>
      <c r="K51" s="346">
        <v>1405.0536006876753</v>
      </c>
      <c r="L51" s="16">
        <v>57.954693973258344</v>
      </c>
      <c r="M51" s="346">
        <v>1391.8608322855953</v>
      </c>
      <c r="N51" s="346">
        <v>57.410527647483718</v>
      </c>
      <c r="O51" s="346">
        <v>128</v>
      </c>
      <c r="P51" s="346">
        <v>25</v>
      </c>
      <c r="Q51" s="346">
        <v>100</v>
      </c>
      <c r="R51" s="346">
        <v>3</v>
      </c>
      <c r="S51" s="346" t="s">
        <v>1715</v>
      </c>
      <c r="T51" s="346" t="s">
        <v>1715</v>
      </c>
      <c r="Z51" s="341">
        <v>2017</v>
      </c>
      <c r="AA51" s="341" t="s">
        <v>1776</v>
      </c>
      <c r="AB51" s="341">
        <v>2</v>
      </c>
      <c r="AC51">
        <f>L201</f>
        <v>77.195638160724116</v>
      </c>
    </row>
    <row r="52" spans="1:30">
      <c r="A52" s="462">
        <v>43318</v>
      </c>
      <c r="B52" s="377">
        <v>16</v>
      </c>
      <c r="C52" s="377" t="s">
        <v>2400</v>
      </c>
      <c r="D52" s="377">
        <v>2310.4</v>
      </c>
      <c r="E52" s="377"/>
      <c r="F52" s="377"/>
      <c r="G52" s="377"/>
      <c r="H52" s="377">
        <v>147.71520000000001</v>
      </c>
      <c r="I52" s="377">
        <v>0.66742500000000005</v>
      </c>
      <c r="J52" s="377">
        <v>147.047775</v>
      </c>
      <c r="K52" s="377">
        <v>1236.9296776961712</v>
      </c>
      <c r="L52" s="16">
        <v>53.537468736849512</v>
      </c>
      <c r="M52" s="377">
        <v>1225.4797501873438</v>
      </c>
      <c r="N52" s="377">
        <v>53.041886694396808</v>
      </c>
      <c r="O52" s="377">
        <v>128</v>
      </c>
      <c r="P52" s="377">
        <v>25</v>
      </c>
      <c r="Q52" s="377">
        <v>100</v>
      </c>
      <c r="R52" s="377">
        <v>3</v>
      </c>
      <c r="S52" s="377" t="s">
        <v>1715</v>
      </c>
      <c r="T52" s="377" t="s">
        <v>1715</v>
      </c>
      <c r="Z52" s="341">
        <v>2017</v>
      </c>
      <c r="AA52" s="341" t="s">
        <v>1776</v>
      </c>
      <c r="AB52" s="341">
        <v>3</v>
      </c>
      <c r="AC52">
        <f>L82</f>
        <v>77.974805954600711</v>
      </c>
    </row>
    <row r="53" spans="1:30">
      <c r="A53" s="161">
        <v>43318</v>
      </c>
      <c r="B53">
        <v>17</v>
      </c>
      <c r="C53" t="s">
        <v>2401</v>
      </c>
      <c r="D53">
        <v>2676.5</v>
      </c>
      <c r="G53">
        <v>-9.4152844808307844E-3</v>
      </c>
      <c r="H53">
        <v>145.9606</v>
      </c>
      <c r="I53">
        <v>0.66742500000000005</v>
      </c>
      <c r="J53">
        <v>145.29317499999999</v>
      </c>
      <c r="K53">
        <v>1222.1538649855013</v>
      </c>
      <c r="L53" s="16">
        <v>45.662389874294831</v>
      </c>
      <c r="M53">
        <v>1210.8571095545378</v>
      </c>
      <c r="N53">
        <v>45.240317935906518</v>
      </c>
      <c r="O53">
        <v>128</v>
      </c>
      <c r="P53">
        <v>25</v>
      </c>
      <c r="Q53">
        <v>100</v>
      </c>
      <c r="R53">
        <v>3</v>
      </c>
      <c r="S53" t="s">
        <v>1715</v>
      </c>
      <c r="T53" t="s">
        <v>1715</v>
      </c>
      <c r="Z53" s="341">
        <v>2017</v>
      </c>
      <c r="AA53" s="341" t="s">
        <v>1776</v>
      </c>
      <c r="AB53" s="341">
        <v>4</v>
      </c>
      <c r="AC53">
        <f>L83</f>
        <v>78.201737405835971</v>
      </c>
    </row>
    <row r="54" spans="1:30">
      <c r="A54" s="161">
        <v>43318</v>
      </c>
      <c r="B54">
        <v>18</v>
      </c>
      <c r="C54" t="s">
        <v>2402</v>
      </c>
      <c r="D54">
        <v>3382.6</v>
      </c>
      <c r="H54">
        <v>185.98269999999999</v>
      </c>
      <c r="I54">
        <v>0.66742500000000005</v>
      </c>
      <c r="J54">
        <v>185.31527499999999</v>
      </c>
      <c r="K54">
        <v>1559.1874076092861</v>
      </c>
      <c r="L54" s="16">
        <v>46.094347768263653</v>
      </c>
      <c r="M54">
        <v>1544.3968255412155</v>
      </c>
      <c r="N54">
        <v>45.657092932691292</v>
      </c>
      <c r="O54">
        <v>128</v>
      </c>
      <c r="P54">
        <v>25</v>
      </c>
      <c r="Q54">
        <v>100</v>
      </c>
      <c r="R54">
        <v>3</v>
      </c>
      <c r="S54" t="s">
        <v>1715</v>
      </c>
      <c r="T54" t="s">
        <v>1715</v>
      </c>
      <c r="Z54" s="341">
        <v>2017</v>
      </c>
      <c r="AA54" s="341" t="s">
        <v>1776</v>
      </c>
      <c r="AB54" s="341">
        <v>5</v>
      </c>
      <c r="AC54">
        <f>L85</f>
        <v>76.600431301857398</v>
      </c>
    </row>
    <row r="55" spans="1:30">
      <c r="A55" s="161">
        <v>43318</v>
      </c>
      <c r="B55">
        <v>19</v>
      </c>
      <c r="C55" t="s">
        <v>2403</v>
      </c>
      <c r="D55">
        <v>3524.9</v>
      </c>
      <c r="H55">
        <v>224.79499999999999</v>
      </c>
      <c r="I55">
        <v>0.66742500000000005</v>
      </c>
      <c r="J55">
        <v>224.12757499999998</v>
      </c>
      <c r="K55">
        <v>1886.0329995791506</v>
      </c>
      <c r="L55" s="16">
        <v>53.506000158278269</v>
      </c>
      <c r="M55">
        <v>1867.8542033097419</v>
      </c>
      <c r="N55">
        <v>52.990274995311694</v>
      </c>
      <c r="O55">
        <v>128</v>
      </c>
      <c r="P55">
        <v>25</v>
      </c>
      <c r="Q55">
        <v>100</v>
      </c>
      <c r="R55">
        <v>3</v>
      </c>
      <c r="S55" t="s">
        <v>1715</v>
      </c>
      <c r="T55" t="s">
        <v>1715</v>
      </c>
      <c r="Z55" s="341">
        <v>2017</v>
      </c>
      <c r="AA55" s="341" t="s">
        <v>1776</v>
      </c>
      <c r="AB55" s="341">
        <v>6</v>
      </c>
      <c r="AC55">
        <f>L202</f>
        <v>70.438787792737728</v>
      </c>
    </row>
    <row r="56" spans="1:30">
      <c r="A56" s="161">
        <v>43318</v>
      </c>
      <c r="B56">
        <v>20</v>
      </c>
      <c r="C56" t="s">
        <v>2404</v>
      </c>
      <c r="D56">
        <v>2789.9</v>
      </c>
      <c r="H56">
        <v>215.655</v>
      </c>
      <c r="I56">
        <v>0.66742500000000005</v>
      </c>
      <c r="J56">
        <v>214.98757499999999</v>
      </c>
      <c r="K56">
        <v>1809.0633608150331</v>
      </c>
      <c r="L56" s="16">
        <v>64.843304807162724</v>
      </c>
      <c r="M56">
        <v>1791.6824630932556</v>
      </c>
      <c r="N56">
        <v>64.220311233135803</v>
      </c>
      <c r="O56">
        <v>128</v>
      </c>
      <c r="P56">
        <v>25</v>
      </c>
      <c r="Q56">
        <v>100</v>
      </c>
      <c r="R56">
        <v>3</v>
      </c>
      <c r="S56" t="s">
        <v>1715</v>
      </c>
      <c r="T56" t="s">
        <v>1715</v>
      </c>
      <c r="Z56" s="341">
        <v>2017</v>
      </c>
      <c r="AA56" s="341" t="s">
        <v>1776</v>
      </c>
      <c r="AB56" s="341">
        <v>7</v>
      </c>
      <c r="AC56">
        <f t="shared" ref="AC56:AC57" si="7">L203</f>
        <v>67.582089077132139</v>
      </c>
    </row>
    <row r="57" spans="1:30">
      <c r="A57" s="161">
        <v>43318</v>
      </c>
      <c r="B57">
        <v>21</v>
      </c>
      <c r="C57" t="s">
        <v>2381</v>
      </c>
      <c r="H57">
        <v>0.68359999999999999</v>
      </c>
      <c r="I57">
        <v>0.66742500000000005</v>
      </c>
      <c r="J57">
        <v>1.6174999999999939E-2</v>
      </c>
      <c r="K57">
        <v>-1.2507532568089075</v>
      </c>
      <c r="L57" s="16" t="e">
        <v>#DIV/0!</v>
      </c>
      <c r="M57">
        <v>0.13480064529558652</v>
      </c>
      <c r="N57" t="e">
        <v>#DIV/0!</v>
      </c>
      <c r="O57">
        <v>128</v>
      </c>
      <c r="P57">
        <v>25</v>
      </c>
      <c r="Q57">
        <v>100</v>
      </c>
      <c r="R57">
        <v>3</v>
      </c>
      <c r="S57" t="s">
        <v>1715</v>
      </c>
      <c r="T57" t="s">
        <v>1715</v>
      </c>
      <c r="Z57" s="341">
        <v>2017</v>
      </c>
      <c r="AA57" s="341" t="s">
        <v>1776</v>
      </c>
      <c r="AB57" s="341">
        <v>8</v>
      </c>
      <c r="AC57">
        <f t="shared" si="7"/>
        <v>68.038919172259554</v>
      </c>
    </row>
    <row r="58" spans="1:30">
      <c r="A58" s="161">
        <v>43318</v>
      </c>
      <c r="B58">
        <v>22</v>
      </c>
      <c r="C58" t="s">
        <v>2405</v>
      </c>
      <c r="D58">
        <v>2126.8000000000002</v>
      </c>
      <c r="H58">
        <v>179.9058</v>
      </c>
      <c r="I58">
        <v>0.66742500000000005</v>
      </c>
      <c r="J58">
        <v>179.23837499999999</v>
      </c>
      <c r="K58">
        <v>1508.0127032541805</v>
      </c>
      <c r="L58" s="16">
        <v>70.905242771025968</v>
      </c>
      <c r="M58">
        <v>1493.7526189633638</v>
      </c>
      <c r="N58">
        <v>70.234747929441596</v>
      </c>
      <c r="O58">
        <v>128</v>
      </c>
      <c r="P58">
        <v>25</v>
      </c>
      <c r="Q58">
        <v>100</v>
      </c>
      <c r="R58">
        <v>3</v>
      </c>
      <c r="S58" t="s">
        <v>1715</v>
      </c>
      <c r="T58" t="s">
        <v>1715</v>
      </c>
      <c r="Z58" s="341">
        <v>2017</v>
      </c>
      <c r="AA58" s="341" t="s">
        <v>1776</v>
      </c>
      <c r="AB58" s="341">
        <v>9</v>
      </c>
      <c r="AC58">
        <f>L227</f>
        <v>66.097617870724363</v>
      </c>
    </row>
    <row r="59" spans="1:30">
      <c r="A59" s="161">
        <v>43318</v>
      </c>
      <c r="B59">
        <v>23</v>
      </c>
      <c r="C59" t="s">
        <v>2406</v>
      </c>
      <c r="D59">
        <v>2251.3000000000002</v>
      </c>
      <c r="H59">
        <v>168.4562</v>
      </c>
      <c r="I59">
        <v>0.66742500000000005</v>
      </c>
      <c r="J59">
        <v>167.78877499999999</v>
      </c>
      <c r="K59">
        <v>1411.5934936268673</v>
      </c>
      <c r="L59" s="16">
        <v>62.701261210272605</v>
      </c>
      <c r="M59">
        <v>1398.3329300374687</v>
      </c>
      <c r="N59">
        <v>62.112243150067449</v>
      </c>
      <c r="O59">
        <v>128</v>
      </c>
      <c r="P59">
        <v>25</v>
      </c>
      <c r="Q59">
        <v>100</v>
      </c>
      <c r="R59">
        <v>3</v>
      </c>
      <c r="S59" t="s">
        <v>1715</v>
      </c>
      <c r="T59" t="s">
        <v>1715</v>
      </c>
      <c r="Z59" s="341">
        <v>2017</v>
      </c>
      <c r="AA59" s="341" t="s">
        <v>1776</v>
      </c>
      <c r="AB59" s="341">
        <v>10</v>
      </c>
      <c r="AC59">
        <f>L228</f>
        <v>66.240396936302503</v>
      </c>
    </row>
    <row r="60" spans="1:30">
      <c r="A60" s="161">
        <v>43318</v>
      </c>
      <c r="B60">
        <v>24</v>
      </c>
      <c r="C60" t="s">
        <v>2407</v>
      </c>
      <c r="D60">
        <v>2631.7</v>
      </c>
      <c r="H60">
        <v>179.767</v>
      </c>
      <c r="I60">
        <v>0.66742500000000005</v>
      </c>
      <c r="J60">
        <v>179.09957499999999</v>
      </c>
      <c r="K60">
        <v>1506.8438426567559</v>
      </c>
      <c r="L60" s="16">
        <v>57.257432179076496</v>
      </c>
      <c r="M60">
        <v>1492.5958752497918</v>
      </c>
      <c r="N60">
        <v>56.716034321913284</v>
      </c>
      <c r="O60">
        <v>128</v>
      </c>
      <c r="P60">
        <v>25</v>
      </c>
      <c r="Q60">
        <v>100</v>
      </c>
      <c r="R60">
        <v>3</v>
      </c>
      <c r="S60" t="s">
        <v>1715</v>
      </c>
      <c r="T60" t="s">
        <v>1715</v>
      </c>
      <c r="Z60" s="341">
        <v>2017</v>
      </c>
      <c r="AA60" s="341" t="s">
        <v>1776</v>
      </c>
      <c r="AB60" s="341">
        <v>11</v>
      </c>
      <c r="AC60">
        <f>L229</f>
        <v>67.740119549827853</v>
      </c>
    </row>
    <row r="61" spans="1:30">
      <c r="A61" s="161">
        <v>43318</v>
      </c>
      <c r="B61">
        <v>25</v>
      </c>
      <c r="C61" t="s">
        <v>2408</v>
      </c>
      <c r="D61">
        <v>2604.9</v>
      </c>
      <c r="H61">
        <v>163.51650000000001</v>
      </c>
      <c r="I61">
        <v>0.66742500000000005</v>
      </c>
      <c r="J61">
        <v>162.849075</v>
      </c>
      <c r="K61">
        <v>1369.9953618322161</v>
      </c>
      <c r="L61" s="16">
        <v>52.593011702261741</v>
      </c>
      <c r="M61">
        <v>1357.1660213780185</v>
      </c>
      <c r="N61">
        <v>52.10050371906862</v>
      </c>
      <c r="O61">
        <v>128</v>
      </c>
      <c r="P61">
        <v>25</v>
      </c>
      <c r="Q61">
        <v>100</v>
      </c>
      <c r="R61">
        <v>3</v>
      </c>
      <c r="S61" t="s">
        <v>1715</v>
      </c>
      <c r="T61" t="s">
        <v>1715</v>
      </c>
      <c r="Z61" s="341">
        <v>2017</v>
      </c>
      <c r="AA61" s="341" t="s">
        <v>1776</v>
      </c>
      <c r="AB61" s="341">
        <v>12</v>
      </c>
      <c r="AC61">
        <f>L230</f>
        <v>67.204531807899073</v>
      </c>
    </row>
    <row r="62" spans="1:30">
      <c r="A62" s="161">
        <v>43318</v>
      </c>
      <c r="B62">
        <v>26</v>
      </c>
      <c r="C62" t="s">
        <v>2409</v>
      </c>
      <c r="D62">
        <v>2060.5</v>
      </c>
      <c r="H62">
        <v>142.54470000000001</v>
      </c>
      <c r="I62">
        <v>0.66742500000000005</v>
      </c>
      <c r="J62">
        <v>141.877275</v>
      </c>
      <c r="K62">
        <v>1193.3879362049381</v>
      </c>
      <c r="L62" s="16">
        <v>57.917395593542253</v>
      </c>
      <c r="M62">
        <v>1182.3893800791009</v>
      </c>
      <c r="N62">
        <v>57.383614660475651</v>
      </c>
      <c r="O62">
        <v>128</v>
      </c>
      <c r="P62">
        <v>25</v>
      </c>
      <c r="Q62">
        <v>100</v>
      </c>
      <c r="R62">
        <v>3</v>
      </c>
      <c r="S62" t="s">
        <v>1715</v>
      </c>
      <c r="T62" t="s">
        <v>1715</v>
      </c>
      <c r="Z62" s="341">
        <v>2017</v>
      </c>
      <c r="AA62" s="341" t="s">
        <v>1776</v>
      </c>
      <c r="AB62" s="341">
        <v>13</v>
      </c>
      <c r="AC62">
        <f>L232</f>
        <v>70.42269473031817</v>
      </c>
    </row>
    <row r="63" spans="1:30">
      <c r="A63" s="161">
        <v>43318</v>
      </c>
      <c r="B63">
        <v>27</v>
      </c>
      <c r="C63" t="s">
        <v>2410</v>
      </c>
      <c r="D63">
        <v>2808.4</v>
      </c>
      <c r="G63">
        <v>-1.2879814618600523E-2</v>
      </c>
      <c r="H63">
        <v>213.2773</v>
      </c>
      <c r="I63">
        <v>0.66742500000000005</v>
      </c>
      <c r="J63">
        <v>212.60987499999999</v>
      </c>
      <c r="K63">
        <v>1789.0403071947439</v>
      </c>
      <c r="L63" s="16">
        <v>63.703187124154105</v>
      </c>
      <c r="M63">
        <v>1771.8669765820148</v>
      </c>
      <c r="N63">
        <v>63.09168838420505</v>
      </c>
      <c r="O63">
        <v>128</v>
      </c>
      <c r="P63">
        <v>25</v>
      </c>
      <c r="Q63">
        <v>100</v>
      </c>
      <c r="R63">
        <v>3</v>
      </c>
      <c r="S63" t="s">
        <v>1715</v>
      </c>
      <c r="T63" t="s">
        <v>1715</v>
      </c>
      <c r="Z63" s="341">
        <v>2017</v>
      </c>
      <c r="AA63" s="341" t="s">
        <v>1776</v>
      </c>
      <c r="AB63" s="341">
        <v>14</v>
      </c>
      <c r="AC63">
        <f>L86</f>
        <v>72.133338576172264</v>
      </c>
    </row>
    <row r="64" spans="1:30">
      <c r="A64" s="459">
        <v>43318</v>
      </c>
      <c r="B64" s="346">
        <v>28</v>
      </c>
      <c r="C64" s="346" t="s">
        <v>2411</v>
      </c>
      <c r="D64" s="346">
        <v>2819.9</v>
      </c>
      <c r="E64" s="346"/>
      <c r="F64" s="346"/>
      <c r="G64" s="346"/>
      <c r="H64" s="346">
        <v>216.91249999999999</v>
      </c>
      <c r="I64" s="346">
        <v>0.66742500000000005</v>
      </c>
      <c r="J64" s="346">
        <v>216.24507499999999</v>
      </c>
      <c r="K64" s="346">
        <v>1819.6530020344944</v>
      </c>
      <c r="L64" s="16">
        <v>64.528990461877882</v>
      </c>
      <c r="M64" s="346">
        <v>1802.162327789342</v>
      </c>
      <c r="N64" s="346">
        <v>63.908731791529561</v>
      </c>
      <c r="O64" s="346">
        <v>128</v>
      </c>
      <c r="P64" s="346">
        <v>25</v>
      </c>
      <c r="Q64" s="346">
        <v>100</v>
      </c>
      <c r="R64" s="346">
        <v>3</v>
      </c>
      <c r="S64" s="346" t="s">
        <v>1715</v>
      </c>
      <c r="T64" s="346" t="s">
        <v>1715</v>
      </c>
      <c r="Z64" s="341">
        <v>2017</v>
      </c>
      <c r="AA64" s="341" t="s">
        <v>1776</v>
      </c>
      <c r="AB64" s="341">
        <v>15</v>
      </c>
      <c r="AC64">
        <f>L58</f>
        <v>70.905242771025968</v>
      </c>
    </row>
    <row r="65" spans="1:30">
      <c r="A65" s="161">
        <v>43318</v>
      </c>
      <c r="B65">
        <v>29</v>
      </c>
      <c r="C65" t="s">
        <v>2397</v>
      </c>
      <c r="H65">
        <v>0.91459999999999997</v>
      </c>
      <c r="I65">
        <v>0.66742500000000005</v>
      </c>
      <c r="J65">
        <v>0.24717499999999992</v>
      </c>
      <c r="K65">
        <v>0.69454067694504995</v>
      </c>
      <c r="L65" s="16" t="e">
        <v>#DIV/0!</v>
      </c>
      <c r="M65">
        <v>2.0599288717735216</v>
      </c>
      <c r="N65" t="e">
        <v>#DIV/0!</v>
      </c>
      <c r="O65">
        <v>128</v>
      </c>
      <c r="P65">
        <v>25</v>
      </c>
      <c r="Q65">
        <v>100</v>
      </c>
      <c r="R65">
        <v>3</v>
      </c>
      <c r="S65" t="s">
        <v>1715</v>
      </c>
      <c r="T65" t="s">
        <v>1715</v>
      </c>
      <c r="Z65" s="341">
        <v>2017</v>
      </c>
      <c r="AA65" s="341" t="s">
        <v>1776</v>
      </c>
      <c r="AB65" s="341">
        <v>16</v>
      </c>
      <c r="AC65">
        <f t="shared" ref="AC65:AC68" si="8">L59</f>
        <v>62.701261210272605</v>
      </c>
    </row>
    <row r="66" spans="1:30">
      <c r="A66" s="161">
        <v>43318</v>
      </c>
      <c r="B66">
        <v>30</v>
      </c>
      <c r="C66" t="s">
        <v>2489</v>
      </c>
      <c r="D66">
        <v>1425.3</v>
      </c>
      <c r="G66">
        <v>1425.01494</v>
      </c>
      <c r="H66">
        <v>171.45179999999999</v>
      </c>
      <c r="I66">
        <v>0.66742500000000005</v>
      </c>
      <c r="J66">
        <v>170.78437499999998</v>
      </c>
      <c r="K66">
        <v>1436.8199979903018</v>
      </c>
      <c r="L66" s="16">
        <v>100.82841643683412</v>
      </c>
      <c r="M66">
        <v>1423.297926207327</v>
      </c>
      <c r="N66">
        <v>99.879509067275265</v>
      </c>
      <c r="O66">
        <v>128</v>
      </c>
      <c r="P66">
        <v>25</v>
      </c>
      <c r="Q66">
        <v>100</v>
      </c>
      <c r="R66">
        <v>3</v>
      </c>
      <c r="S66" t="s">
        <v>1715</v>
      </c>
      <c r="T66" t="s">
        <v>1715</v>
      </c>
      <c r="Z66" s="341">
        <v>2017</v>
      </c>
      <c r="AA66" s="341" t="s">
        <v>1776</v>
      </c>
      <c r="AB66" s="341">
        <v>17</v>
      </c>
      <c r="AC66">
        <f t="shared" si="8"/>
        <v>57.257432179076496</v>
      </c>
    </row>
    <row r="67" spans="1:30">
      <c r="A67" s="161"/>
      <c r="Z67" s="341">
        <v>2017</v>
      </c>
      <c r="AA67" s="341" t="s">
        <v>1776</v>
      </c>
      <c r="AB67" s="341">
        <v>18</v>
      </c>
      <c r="AC67">
        <f t="shared" si="8"/>
        <v>52.593011702261741</v>
      </c>
    </row>
    <row r="68" spans="1:30">
      <c r="A68" s="161">
        <v>43327</v>
      </c>
      <c r="B68">
        <v>1</v>
      </c>
      <c r="C68" t="s">
        <v>2375</v>
      </c>
      <c r="D68">
        <v>0</v>
      </c>
      <c r="H68">
        <v>0</v>
      </c>
      <c r="O68">
        <v>128</v>
      </c>
      <c r="P68">
        <v>41.7</v>
      </c>
      <c r="Q68">
        <v>100</v>
      </c>
      <c r="R68">
        <v>3</v>
      </c>
      <c r="S68" t="s">
        <v>1715</v>
      </c>
      <c r="T68" t="s">
        <v>1715</v>
      </c>
      <c r="Z68" s="341">
        <v>2017</v>
      </c>
      <c r="AA68" s="341" t="s">
        <v>1776</v>
      </c>
      <c r="AB68" s="341">
        <v>19</v>
      </c>
      <c r="AC68">
        <f t="shared" si="8"/>
        <v>57.917395593542253</v>
      </c>
    </row>
    <row r="69" spans="1:30">
      <c r="A69" s="161">
        <v>43327</v>
      </c>
      <c r="B69">
        <v>2</v>
      </c>
      <c r="C69" t="s">
        <v>2376</v>
      </c>
      <c r="D69">
        <v>0</v>
      </c>
      <c r="H69">
        <v>0.18990000000000001</v>
      </c>
      <c r="O69">
        <v>128</v>
      </c>
      <c r="P69">
        <v>41.7</v>
      </c>
      <c r="Q69">
        <v>100</v>
      </c>
      <c r="R69">
        <v>3</v>
      </c>
      <c r="S69" t="s">
        <v>1715</v>
      </c>
      <c r="T69" t="s">
        <v>1715</v>
      </c>
      <c r="U69" s="161">
        <v>43327</v>
      </c>
      <c r="Z69" s="413">
        <v>2017</v>
      </c>
      <c r="AA69" s="413" t="s">
        <v>1776</v>
      </c>
      <c r="AB69" s="413">
        <v>20</v>
      </c>
      <c r="AC69" s="370">
        <f>J131</f>
        <v>63.649707192043287</v>
      </c>
      <c r="AD69" t="s">
        <v>2547</v>
      </c>
    </row>
    <row r="70" spans="1:30">
      <c r="A70" s="161">
        <v>43327</v>
      </c>
      <c r="B70">
        <v>3</v>
      </c>
      <c r="C70" t="s">
        <v>2377</v>
      </c>
      <c r="D70">
        <v>0</v>
      </c>
      <c r="G70">
        <v>0</v>
      </c>
      <c r="H70">
        <v>0</v>
      </c>
      <c r="I70">
        <v>0.242475</v>
      </c>
      <c r="J70">
        <v>0.242475</v>
      </c>
      <c r="K70">
        <v>-2.0510392195435063</v>
      </c>
      <c r="L70" s="16" t="e">
        <v>#DIV/0!</v>
      </c>
      <c r="M70">
        <v>2.0207595961698583</v>
      </c>
      <c r="N70" t="e">
        <v>#DIV/0!</v>
      </c>
      <c r="O70">
        <v>128</v>
      </c>
      <c r="P70">
        <v>41.7</v>
      </c>
      <c r="Q70">
        <v>100</v>
      </c>
      <c r="R70">
        <v>3</v>
      </c>
      <c r="S70" t="s">
        <v>1715</v>
      </c>
      <c r="T70" t="s">
        <v>1715</v>
      </c>
      <c r="U70" s="7">
        <f>((J70-INDEX(LINEST($J$70:$J$75,$G$70:$G$75),2))/INDEX(LINEST($J$70:$J$75,$G$70:$G$75),1)/100.09)*12.01</f>
        <v>-0.246108312785668</v>
      </c>
      <c r="V70" s="7">
        <f>(J70-U70)^2</f>
        <v>0.23871365353261792</v>
      </c>
      <c r="Z70" s="341">
        <v>2017</v>
      </c>
      <c r="AA70" s="341" t="s">
        <v>1776</v>
      </c>
      <c r="AB70" s="341">
        <v>21</v>
      </c>
      <c r="AC70">
        <f>L233</f>
        <v>69.230815392121485</v>
      </c>
    </row>
    <row r="71" spans="1:30">
      <c r="A71" s="161">
        <v>43327</v>
      </c>
      <c r="B71">
        <v>4</v>
      </c>
      <c r="C71" t="s">
        <v>2490</v>
      </c>
      <c r="D71">
        <v>334.9</v>
      </c>
      <c r="G71">
        <v>334.83301999999998</v>
      </c>
      <c r="H71">
        <v>40.164499999999997</v>
      </c>
      <c r="I71">
        <v>0.242475</v>
      </c>
      <c r="J71">
        <v>39.922024999999998</v>
      </c>
      <c r="K71">
        <v>331.72424660277142</v>
      </c>
      <c r="L71" s="16">
        <v>99.071545154886891</v>
      </c>
      <c r="M71">
        <v>332.70570210241465</v>
      </c>
      <c r="N71">
        <v>99.364663049783644</v>
      </c>
      <c r="O71">
        <v>128</v>
      </c>
      <c r="P71">
        <v>41.7</v>
      </c>
      <c r="Q71">
        <v>100</v>
      </c>
      <c r="R71">
        <v>3</v>
      </c>
      <c r="S71" t="s">
        <v>1715</v>
      </c>
      <c r="T71" t="s">
        <v>1715</v>
      </c>
      <c r="U71" s="7">
        <f t="shared" ref="U71:U75" si="9">((J71-INDEX(LINEST($J$70:$J$75,$G$70:$G$75),2))/INDEX(LINEST($J$70:$J$75,$G$70:$G$75),1)/100.09)*12.01</f>
        <v>39.804258184626676</v>
      </c>
      <c r="V71" s="7">
        <f t="shared" ref="V71:V75" si="10">(J71-U71)^2</f>
        <v>1.3869022803174166E-2</v>
      </c>
    </row>
    <row r="72" spans="1:30">
      <c r="A72" s="161">
        <v>43327</v>
      </c>
      <c r="B72">
        <v>5</v>
      </c>
      <c r="C72" t="s">
        <v>2491</v>
      </c>
      <c r="D72">
        <v>792.8</v>
      </c>
      <c r="G72">
        <v>792.64143999999999</v>
      </c>
      <c r="H72">
        <v>94.863500000000002</v>
      </c>
      <c r="I72">
        <v>0.242475</v>
      </c>
      <c r="J72">
        <v>94.621025000000003</v>
      </c>
      <c r="K72">
        <v>791.83970555315784</v>
      </c>
      <c r="L72" s="16">
        <v>99.898852822173652</v>
      </c>
      <c r="M72">
        <v>788.56106513322231</v>
      </c>
      <c r="N72">
        <v>99.485218074546083</v>
      </c>
      <c r="O72">
        <v>128</v>
      </c>
      <c r="P72">
        <v>41.7</v>
      </c>
      <c r="Q72">
        <v>100</v>
      </c>
      <c r="R72">
        <v>3</v>
      </c>
      <c r="S72" t="s">
        <v>1715</v>
      </c>
      <c r="T72" t="s">
        <v>1715</v>
      </c>
      <c r="U72" s="7">
        <f t="shared" si="9"/>
        <v>95.014435644853876</v>
      </c>
      <c r="V72" s="7">
        <f t="shared" si="10"/>
        <v>0.15477193548434001</v>
      </c>
    </row>
    <row r="73" spans="1:30">
      <c r="A73" s="161">
        <v>43327</v>
      </c>
      <c r="B73">
        <v>6</v>
      </c>
      <c r="C73" t="s">
        <v>2492</v>
      </c>
      <c r="D73">
        <v>1423.5</v>
      </c>
      <c r="G73">
        <v>1423.2153000000001</v>
      </c>
      <c r="H73">
        <v>171.69720000000001</v>
      </c>
      <c r="I73">
        <v>0.242475</v>
      </c>
      <c r="J73">
        <v>171.454725</v>
      </c>
      <c r="K73">
        <v>1438.1471908519072</v>
      </c>
      <c r="L73" s="16">
        <v>101.04916598717757</v>
      </c>
      <c r="M73">
        <v>1428.884548313905</v>
      </c>
      <c r="N73">
        <v>100.39834087744173</v>
      </c>
      <c r="O73">
        <v>128</v>
      </c>
      <c r="P73">
        <v>41.7</v>
      </c>
      <c r="Q73">
        <v>100</v>
      </c>
      <c r="R73">
        <v>3</v>
      </c>
      <c r="S73" t="s">
        <v>1715</v>
      </c>
      <c r="T73" t="s">
        <v>1715</v>
      </c>
      <c r="U73" s="7">
        <f t="shared" si="9"/>
        <v>172.56616807005099</v>
      </c>
      <c r="V73" s="7">
        <f t="shared" si="10"/>
        <v>1.2353056979643824</v>
      </c>
    </row>
    <row r="74" spans="1:30">
      <c r="A74" s="161">
        <v>43327</v>
      </c>
      <c r="B74">
        <v>7</v>
      </c>
      <c r="C74" t="s">
        <v>2493</v>
      </c>
      <c r="D74">
        <v>2409.3000000000002</v>
      </c>
      <c r="G74">
        <v>2408.8181400000003</v>
      </c>
      <c r="H74">
        <v>285.80169999999998</v>
      </c>
      <c r="I74">
        <v>0.242475</v>
      </c>
      <c r="J74">
        <v>285.55922499999997</v>
      </c>
      <c r="K74">
        <v>2397.9681087078893</v>
      </c>
      <c r="L74" s="16">
        <v>99.549570342736175</v>
      </c>
      <c r="M74">
        <v>2379.8187202539548</v>
      </c>
      <c r="N74">
        <v>98.796114191250425</v>
      </c>
      <c r="O74">
        <v>128</v>
      </c>
      <c r="P74">
        <v>41.7</v>
      </c>
      <c r="Q74">
        <v>100</v>
      </c>
      <c r="R74">
        <v>3</v>
      </c>
      <c r="S74" t="s">
        <v>1715</v>
      </c>
      <c r="T74" t="s">
        <v>1715</v>
      </c>
      <c r="U74" s="7">
        <f t="shared" si="9"/>
        <v>287.73700654992257</v>
      </c>
      <c r="V74" s="7">
        <f t="shared" si="10"/>
        <v>4.742732479183279</v>
      </c>
    </row>
    <row r="75" spans="1:30">
      <c r="A75" s="161">
        <v>43327</v>
      </c>
      <c r="B75">
        <v>8</v>
      </c>
      <c r="C75" t="s">
        <v>2494</v>
      </c>
      <c r="D75">
        <v>3491.1</v>
      </c>
      <c r="G75">
        <v>3490.4017800000001</v>
      </c>
      <c r="H75">
        <v>415.89479999999998</v>
      </c>
      <c r="I75">
        <v>0.242475</v>
      </c>
      <c r="J75">
        <v>415.65232499999996</v>
      </c>
      <c r="K75">
        <v>3492.281467503818</v>
      </c>
      <c r="L75" s="16">
        <v>100.05385304106215</v>
      </c>
      <c r="M75">
        <v>3464.0001006869275</v>
      </c>
      <c r="N75">
        <v>99.243591970862653</v>
      </c>
      <c r="O75">
        <v>128</v>
      </c>
      <c r="P75">
        <v>41.7</v>
      </c>
      <c r="Q75">
        <v>100</v>
      </c>
      <c r="R75">
        <v>3</v>
      </c>
      <c r="S75" t="s">
        <v>1715</v>
      </c>
      <c r="T75" t="s">
        <v>1715</v>
      </c>
      <c r="U75" s="7">
        <f t="shared" si="9"/>
        <v>419.04586297053498</v>
      </c>
      <c r="V75" s="7">
        <f t="shared" si="10"/>
        <v>11.516099957462952</v>
      </c>
      <c r="X75" s="193" t="s">
        <v>2567</v>
      </c>
    </row>
    <row r="76" spans="1:30">
      <c r="A76" s="161">
        <v>43327</v>
      </c>
      <c r="B76">
        <v>9</v>
      </c>
      <c r="C76" t="s">
        <v>2378</v>
      </c>
      <c r="D76">
        <v>0</v>
      </c>
      <c r="G76">
        <v>0</v>
      </c>
      <c r="H76">
        <v>1.1568000000000001</v>
      </c>
      <c r="I76">
        <v>0.242475</v>
      </c>
      <c r="J76">
        <v>0.91432500000000005</v>
      </c>
      <c r="K76">
        <v>3.6004090902211536</v>
      </c>
      <c r="L76" s="16" t="e">
        <v>#DIV/0!</v>
      </c>
      <c r="M76">
        <v>7.6198825353871777</v>
      </c>
      <c r="N76" t="e">
        <v>#DIV/0!</v>
      </c>
      <c r="O76">
        <v>128</v>
      </c>
      <c r="P76">
        <v>41.7</v>
      </c>
      <c r="Q76">
        <v>100</v>
      </c>
      <c r="R76">
        <v>3</v>
      </c>
      <c r="S76" t="s">
        <v>1715</v>
      </c>
      <c r="T76" t="s">
        <v>1715</v>
      </c>
      <c r="V76" s="193">
        <f>SQRT(SUM(V70:V75)/(6-2))</f>
        <v>2.1155077845774253</v>
      </c>
      <c r="W76" s="193" t="s">
        <v>2656</v>
      </c>
      <c r="X76" s="192">
        <f>(V76/$AG$15)*100</f>
        <v>1.031908594675466</v>
      </c>
    </row>
    <row r="77" spans="1:30">
      <c r="A77" s="161">
        <v>43327</v>
      </c>
      <c r="B77">
        <v>10</v>
      </c>
      <c r="C77" t="s">
        <v>2379</v>
      </c>
      <c r="D77">
        <v>0</v>
      </c>
      <c r="G77">
        <v>0</v>
      </c>
      <c r="H77">
        <v>0.1084</v>
      </c>
      <c r="I77">
        <v>0.242475</v>
      </c>
      <c r="J77">
        <v>-0.134075</v>
      </c>
      <c r="K77">
        <v>-5.2184915690886164</v>
      </c>
      <c r="L77" s="16" t="e">
        <v>#DIV/0!</v>
      </c>
      <c r="M77">
        <v>-1.1173660907577019</v>
      </c>
      <c r="N77" t="e">
        <v>#DIV/0!</v>
      </c>
      <c r="O77">
        <v>128</v>
      </c>
      <c r="P77">
        <v>41.7</v>
      </c>
      <c r="Q77">
        <v>100</v>
      </c>
      <c r="R77">
        <v>3</v>
      </c>
      <c r="S77" t="s">
        <v>1715</v>
      </c>
      <c r="T77" t="s">
        <v>1715</v>
      </c>
      <c r="V77" s="192">
        <f>(V76/12.01)*100.09</f>
        <v>17.630405841661489</v>
      </c>
      <c r="W77" s="193" t="s">
        <v>2657</v>
      </c>
    </row>
    <row r="78" spans="1:30" s="16" customFormat="1">
      <c r="A78" s="555">
        <v>43327</v>
      </c>
      <c r="B78" s="16">
        <v>11</v>
      </c>
      <c r="C78" s="16" t="s">
        <v>2382</v>
      </c>
      <c r="D78" s="16">
        <v>1102.0999999999999</v>
      </c>
      <c r="H78" s="16">
        <v>17.014800000000001</v>
      </c>
      <c r="I78" s="16">
        <v>0.242475</v>
      </c>
      <c r="J78" s="16">
        <v>16.772325000000002</v>
      </c>
      <c r="K78" s="16">
        <v>136.99427274467971</v>
      </c>
      <c r="L78" s="16">
        <v>12.430294233252855</v>
      </c>
      <c r="M78" s="16">
        <v>139.77868519983352</v>
      </c>
      <c r="N78" s="16">
        <v>12.682940313930999</v>
      </c>
      <c r="O78" s="16">
        <v>128</v>
      </c>
      <c r="P78" s="16">
        <v>41.7</v>
      </c>
      <c r="Q78" s="16">
        <v>100</v>
      </c>
      <c r="R78" s="16">
        <v>3</v>
      </c>
      <c r="S78" s="16" t="s">
        <v>1715</v>
      </c>
      <c r="T78" s="16" t="s">
        <v>1715</v>
      </c>
    </row>
    <row r="79" spans="1:30" s="16" customFormat="1">
      <c r="A79" s="555">
        <v>43327</v>
      </c>
      <c r="B79" s="16">
        <v>12</v>
      </c>
      <c r="C79" s="16" t="s">
        <v>2382</v>
      </c>
      <c r="D79" s="16">
        <v>2058.4</v>
      </c>
      <c r="H79" s="16">
        <v>32.065199999999997</v>
      </c>
      <c r="I79" s="16">
        <v>0.242475</v>
      </c>
      <c r="J79" s="16">
        <v>31.822724999999998</v>
      </c>
      <c r="K79" s="16">
        <v>263.59479018351578</v>
      </c>
      <c r="L79" s="16">
        <v>12.805809861227932</v>
      </c>
      <c r="M79" s="16">
        <v>265.20703957119065</v>
      </c>
      <c r="N79" s="16">
        <v>12.884135229847971</v>
      </c>
      <c r="O79" s="16">
        <v>128</v>
      </c>
      <c r="P79" s="16">
        <v>41.7</v>
      </c>
      <c r="Q79" s="16">
        <v>100</v>
      </c>
      <c r="R79" s="16">
        <v>3</v>
      </c>
      <c r="S79" s="16" t="s">
        <v>1715</v>
      </c>
      <c r="T79" s="16" t="s">
        <v>1715</v>
      </c>
    </row>
    <row r="80" spans="1:30">
      <c r="A80" s="161">
        <v>43327</v>
      </c>
      <c r="B80">
        <v>13</v>
      </c>
      <c r="C80" t="s">
        <v>2380</v>
      </c>
      <c r="D80">
        <v>0</v>
      </c>
      <c r="H80">
        <v>0</v>
      </c>
      <c r="I80">
        <v>0.242475</v>
      </c>
      <c r="J80">
        <v>-0.242475</v>
      </c>
      <c r="K80">
        <v>-6.1303275395857346</v>
      </c>
      <c r="L80" s="16" t="e">
        <v>#DIV/0!</v>
      </c>
      <c r="M80">
        <v>-2.0207595961698583</v>
      </c>
      <c r="N80" t="e">
        <v>#DIV/0!</v>
      </c>
      <c r="O80">
        <v>128</v>
      </c>
      <c r="P80">
        <v>41.7</v>
      </c>
      <c r="Q80">
        <v>100</v>
      </c>
      <c r="R80">
        <v>3</v>
      </c>
      <c r="S80" t="s">
        <v>1715</v>
      </c>
      <c r="T80" t="s">
        <v>1715</v>
      </c>
    </row>
    <row r="81" spans="1:22">
      <c r="A81" s="161">
        <v>43327</v>
      </c>
      <c r="B81">
        <v>14</v>
      </c>
      <c r="C81" t="s">
        <v>2412</v>
      </c>
      <c r="D81">
        <v>2865.7</v>
      </c>
      <c r="H81">
        <v>230.2653</v>
      </c>
      <c r="I81">
        <v>0.242475</v>
      </c>
      <c r="J81">
        <v>230.02282499999998</v>
      </c>
      <c r="K81">
        <v>1930.8086327677031</v>
      </c>
      <c r="L81" s="16">
        <v>67.376509500914366</v>
      </c>
      <c r="M81">
        <v>1916.9845590549544</v>
      </c>
      <c r="N81">
        <v>66.894111702374801</v>
      </c>
      <c r="O81">
        <v>128</v>
      </c>
      <c r="P81">
        <v>41.7</v>
      </c>
      <c r="Q81">
        <v>100</v>
      </c>
      <c r="R81">
        <v>3</v>
      </c>
      <c r="S81" t="s">
        <v>1715</v>
      </c>
      <c r="T81" t="s">
        <v>1715</v>
      </c>
    </row>
    <row r="82" spans="1:22">
      <c r="A82" s="161">
        <v>43327</v>
      </c>
      <c r="B82">
        <v>15</v>
      </c>
      <c r="C82" t="s">
        <v>2413</v>
      </c>
      <c r="D82">
        <v>2628.2</v>
      </c>
      <c r="H82">
        <v>244.35570000000001</v>
      </c>
      <c r="I82">
        <v>0.242475</v>
      </c>
      <c r="J82">
        <v>244.113225</v>
      </c>
      <c r="K82">
        <v>2049.3338500988157</v>
      </c>
      <c r="L82" s="16">
        <v>77.974805954600711</v>
      </c>
      <c r="M82">
        <v>2034.4123805370525</v>
      </c>
      <c r="N82">
        <v>77.407061126894931</v>
      </c>
      <c r="O82">
        <v>128</v>
      </c>
      <c r="P82">
        <v>41.7</v>
      </c>
      <c r="Q82">
        <v>100</v>
      </c>
      <c r="R82">
        <v>3</v>
      </c>
      <c r="S82" t="s">
        <v>1715</v>
      </c>
      <c r="T82" t="s">
        <v>1715</v>
      </c>
    </row>
    <row r="83" spans="1:22">
      <c r="A83" s="161">
        <v>43327</v>
      </c>
      <c r="B83">
        <v>16</v>
      </c>
      <c r="C83" t="s">
        <v>2414</v>
      </c>
      <c r="D83">
        <v>3254</v>
      </c>
      <c r="H83">
        <v>303.24349999999998</v>
      </c>
      <c r="I83">
        <v>0.242475</v>
      </c>
      <c r="J83">
        <v>303.00102499999997</v>
      </c>
      <c r="K83">
        <v>2544.6845351859024</v>
      </c>
      <c r="L83" s="16">
        <v>78.201737405835971</v>
      </c>
      <c r="M83">
        <v>2525.1767354079934</v>
      </c>
      <c r="N83">
        <v>77.60223526146261</v>
      </c>
      <c r="O83">
        <v>128</v>
      </c>
      <c r="P83">
        <v>41.7</v>
      </c>
      <c r="Q83">
        <v>100</v>
      </c>
      <c r="R83">
        <v>3</v>
      </c>
      <c r="S83" t="s">
        <v>1715</v>
      </c>
      <c r="T83" t="s">
        <v>1715</v>
      </c>
    </row>
    <row r="84" spans="1:22">
      <c r="A84" s="161">
        <v>43327</v>
      </c>
      <c r="B84">
        <v>17</v>
      </c>
      <c r="C84" t="s">
        <v>2381</v>
      </c>
      <c r="D84">
        <v>0</v>
      </c>
      <c r="H84">
        <v>0</v>
      </c>
      <c r="I84">
        <v>0.242475</v>
      </c>
      <c r="J84">
        <v>-0.242475</v>
      </c>
      <c r="K84">
        <v>-6.1303275395857346</v>
      </c>
      <c r="L84" s="16" t="e">
        <v>#DIV/0!</v>
      </c>
      <c r="M84">
        <v>-2.0207595961698583</v>
      </c>
      <c r="N84" t="e">
        <v>#DIV/0!</v>
      </c>
      <c r="O84">
        <v>128</v>
      </c>
      <c r="P84">
        <v>41.7</v>
      </c>
      <c r="Q84">
        <v>100</v>
      </c>
      <c r="R84">
        <v>3</v>
      </c>
      <c r="S84" t="s">
        <v>1715</v>
      </c>
      <c r="T84" t="s">
        <v>1715</v>
      </c>
    </row>
    <row r="85" spans="1:22">
      <c r="A85" s="161">
        <v>43327</v>
      </c>
      <c r="B85">
        <v>18</v>
      </c>
      <c r="C85" t="s">
        <v>2415</v>
      </c>
      <c r="D85">
        <v>2821.3</v>
      </c>
      <c r="H85">
        <v>257.64589999999998</v>
      </c>
      <c r="I85">
        <v>0.242475</v>
      </c>
      <c r="J85">
        <v>257.40342499999997</v>
      </c>
      <c r="K85">
        <v>2161.1279683193029</v>
      </c>
      <c r="L85" s="16">
        <v>76.600431301857398</v>
      </c>
      <c r="M85">
        <v>2145.1714245004159</v>
      </c>
      <c r="N85">
        <v>76.034857140340122</v>
      </c>
      <c r="O85">
        <v>128</v>
      </c>
      <c r="P85">
        <v>41.7</v>
      </c>
      <c r="Q85">
        <v>100</v>
      </c>
      <c r="R85">
        <v>3</v>
      </c>
      <c r="S85" t="s">
        <v>1715</v>
      </c>
      <c r="T85" t="s">
        <v>1715</v>
      </c>
    </row>
    <row r="86" spans="1:22">
      <c r="A86" s="161">
        <v>43327</v>
      </c>
      <c r="B86">
        <v>19</v>
      </c>
      <c r="C86" t="s">
        <v>2416</v>
      </c>
      <c r="D86">
        <v>2160.1999999999998</v>
      </c>
      <c r="H86">
        <v>185.97210000000001</v>
      </c>
      <c r="I86">
        <v>0.242475</v>
      </c>
      <c r="J86">
        <v>185.729625</v>
      </c>
      <c r="K86">
        <v>1558.224379922473</v>
      </c>
      <c r="L86" s="16">
        <v>72.133338576172264</v>
      </c>
      <c r="M86">
        <v>1547.8499722106578</v>
      </c>
      <c r="N86">
        <v>71.653086390642429</v>
      </c>
      <c r="O86">
        <v>128</v>
      </c>
      <c r="P86">
        <v>41.7</v>
      </c>
      <c r="Q86">
        <v>100</v>
      </c>
      <c r="R86">
        <v>3</v>
      </c>
      <c r="S86" t="s">
        <v>1715</v>
      </c>
      <c r="T86" t="s">
        <v>1715</v>
      </c>
    </row>
    <row r="87" spans="1:22">
      <c r="A87" s="459">
        <v>43327</v>
      </c>
      <c r="B87" s="346">
        <v>20</v>
      </c>
      <c r="C87" s="346" t="s">
        <v>2417</v>
      </c>
      <c r="D87" s="346">
        <v>2511.6999999999998</v>
      </c>
      <c r="E87" s="346"/>
      <c r="F87" s="346"/>
      <c r="G87" s="346">
        <v>-1.1680758114302664E-2</v>
      </c>
      <c r="H87" s="346">
        <v>208.0462</v>
      </c>
      <c r="I87" s="346">
        <v>0.242475</v>
      </c>
      <c r="J87" s="346">
        <v>207.80372499999999</v>
      </c>
      <c r="K87" s="346">
        <v>1743.906652951536</v>
      </c>
      <c r="L87" s="16">
        <v>69.431327505336469</v>
      </c>
      <c r="M87" s="346">
        <v>1731.8130587218982</v>
      </c>
      <c r="N87" s="346">
        <v>68.949837111195535</v>
      </c>
      <c r="O87" s="346">
        <v>128</v>
      </c>
      <c r="P87" s="346">
        <v>41.7</v>
      </c>
      <c r="Q87" s="346">
        <v>100</v>
      </c>
      <c r="R87" s="346">
        <v>3</v>
      </c>
      <c r="S87" s="346" t="s">
        <v>1715</v>
      </c>
      <c r="T87" s="346" t="s">
        <v>1715</v>
      </c>
      <c r="U87" s="193" t="s">
        <v>2667</v>
      </c>
    </row>
    <row r="88" spans="1:22">
      <c r="A88" s="459">
        <v>43327</v>
      </c>
      <c r="B88" s="346">
        <v>21</v>
      </c>
      <c r="C88" s="346" t="s">
        <v>2418</v>
      </c>
      <c r="D88" s="346">
        <v>2430.5</v>
      </c>
      <c r="E88" s="346"/>
      <c r="F88" s="346"/>
      <c r="G88" s="346"/>
      <c r="H88" s="346">
        <v>203.70099999999999</v>
      </c>
      <c r="I88" s="346">
        <v>0.242475</v>
      </c>
      <c r="J88" s="346">
        <v>203.45852499999998</v>
      </c>
      <c r="K88" s="346">
        <v>1707.3558258389521</v>
      </c>
      <c r="L88" s="16">
        <v>70.247102482573638</v>
      </c>
      <c r="M88" s="346">
        <v>1695.60064673189</v>
      </c>
      <c r="N88" s="346">
        <v>69.763449772964009</v>
      </c>
      <c r="O88" s="346">
        <v>128</v>
      </c>
      <c r="P88" s="346">
        <v>41.7</v>
      </c>
      <c r="Q88" s="346">
        <v>100</v>
      </c>
      <c r="R88" s="346">
        <v>3</v>
      </c>
      <c r="S88" s="346" t="s">
        <v>1715</v>
      </c>
      <c r="T88" s="346" t="s">
        <v>1715</v>
      </c>
    </row>
    <row r="89" spans="1:22">
      <c r="A89" s="161">
        <v>43327</v>
      </c>
      <c r="B89">
        <v>22</v>
      </c>
      <c r="C89" t="s">
        <v>2419</v>
      </c>
      <c r="D89">
        <v>0</v>
      </c>
      <c r="H89">
        <v>0.48470000000000002</v>
      </c>
      <c r="I89">
        <v>0.242475</v>
      </c>
      <c r="J89">
        <v>0.24222500000000002</v>
      </c>
      <c r="K89">
        <v>-2.0531421622798924</v>
      </c>
      <c r="L89" s="16" t="e">
        <v>#DIV/0!</v>
      </c>
      <c r="M89">
        <v>2.0186761240632807</v>
      </c>
      <c r="N89" t="e">
        <v>#DIV/0!</v>
      </c>
      <c r="O89">
        <v>128</v>
      </c>
      <c r="P89">
        <v>41.7</v>
      </c>
      <c r="Q89">
        <v>100</v>
      </c>
      <c r="R89">
        <v>3</v>
      </c>
      <c r="S89" t="s">
        <v>1715</v>
      </c>
      <c r="T89" t="s">
        <v>1715</v>
      </c>
    </row>
    <row r="90" spans="1:22">
      <c r="A90" s="161">
        <v>43327</v>
      </c>
      <c r="B90">
        <v>23</v>
      </c>
      <c r="C90" t="s">
        <v>2495</v>
      </c>
      <c r="D90">
        <v>1716.1</v>
      </c>
      <c r="G90">
        <v>1715.7567799999999</v>
      </c>
      <c r="H90">
        <v>204.36349999999999</v>
      </c>
      <c r="I90">
        <v>0.242475</v>
      </c>
      <c r="J90">
        <v>204.12102499999997</v>
      </c>
      <c r="K90">
        <v>1712.9286240903759</v>
      </c>
      <c r="L90" s="16">
        <v>99.835165686501099</v>
      </c>
      <c r="M90">
        <v>1701.1218478143212</v>
      </c>
      <c r="N90">
        <v>99.147027576619649</v>
      </c>
      <c r="O90">
        <v>128</v>
      </c>
      <c r="P90">
        <v>41.7</v>
      </c>
      <c r="Q90">
        <v>100</v>
      </c>
      <c r="R90">
        <v>3</v>
      </c>
      <c r="S90" t="s">
        <v>1715</v>
      </c>
      <c r="T90" t="s">
        <v>1715</v>
      </c>
    </row>
    <row r="91" spans="1:22">
      <c r="A91" s="161">
        <v>43327</v>
      </c>
      <c r="B91">
        <v>24</v>
      </c>
      <c r="C91" t="s">
        <v>2420</v>
      </c>
      <c r="D91">
        <v>0</v>
      </c>
      <c r="E91" t="s">
        <v>2421</v>
      </c>
      <c r="I91">
        <v>0.242475</v>
      </c>
      <c r="J91">
        <v>-0.242475</v>
      </c>
      <c r="K91">
        <v>-6.1303275395857346</v>
      </c>
      <c r="L91" s="16" t="e">
        <v>#DIV/0!</v>
      </c>
      <c r="M91">
        <v>-2.0207595961698583</v>
      </c>
      <c r="N91" t="e">
        <v>#DIV/0!</v>
      </c>
      <c r="O91">
        <v>128</v>
      </c>
      <c r="P91">
        <v>41.7</v>
      </c>
      <c r="Q91">
        <v>100</v>
      </c>
      <c r="R91">
        <v>3</v>
      </c>
      <c r="S91" t="s">
        <v>1715</v>
      </c>
      <c r="T91" t="s">
        <v>1715</v>
      </c>
    </row>
    <row r="92" spans="1:22">
      <c r="A92" s="161"/>
    </row>
    <row r="93" spans="1:22">
      <c r="A93" s="161">
        <v>43328</v>
      </c>
      <c r="B93">
        <v>1</v>
      </c>
      <c r="C93" t="s">
        <v>2375</v>
      </c>
      <c r="D93">
        <v>0</v>
      </c>
      <c r="H93">
        <v>0.98040000000000005</v>
      </c>
      <c r="O93">
        <v>128</v>
      </c>
      <c r="P93">
        <v>41.7</v>
      </c>
      <c r="Q93">
        <v>100</v>
      </c>
      <c r="R93">
        <v>3</v>
      </c>
      <c r="S93" t="s">
        <v>1715</v>
      </c>
      <c r="T93" t="s">
        <v>1715</v>
      </c>
    </row>
    <row r="94" spans="1:22">
      <c r="A94" s="161">
        <v>43328</v>
      </c>
      <c r="B94">
        <v>2</v>
      </c>
      <c r="C94" t="s">
        <v>2376</v>
      </c>
      <c r="D94">
        <v>0</v>
      </c>
      <c r="H94">
        <v>1.2043999999999999</v>
      </c>
      <c r="O94">
        <v>128</v>
      </c>
      <c r="P94">
        <v>41.7</v>
      </c>
      <c r="Q94">
        <v>100</v>
      </c>
      <c r="R94">
        <v>3</v>
      </c>
      <c r="S94" t="s">
        <v>1715</v>
      </c>
      <c r="T94" t="s">
        <v>1715</v>
      </c>
      <c r="U94" s="161">
        <v>43328</v>
      </c>
    </row>
    <row r="95" spans="1:22">
      <c r="A95" s="161">
        <v>43328</v>
      </c>
      <c r="B95">
        <v>3</v>
      </c>
      <c r="C95" t="s">
        <v>2377</v>
      </c>
      <c r="D95">
        <v>0</v>
      </c>
      <c r="G95">
        <v>0</v>
      </c>
      <c r="H95">
        <v>0.73629999999999995</v>
      </c>
      <c r="I95">
        <v>1.1175142857142857</v>
      </c>
      <c r="J95">
        <v>1.1175142857142857</v>
      </c>
      <c r="K95">
        <v>5.7433055924360374</v>
      </c>
      <c r="L95" s="16" t="e">
        <v>#DIV/0!</v>
      </c>
      <c r="M95">
        <v>9.313239371951946</v>
      </c>
      <c r="N95" t="e">
        <v>#DIV/0!</v>
      </c>
      <c r="O95">
        <v>128</v>
      </c>
      <c r="P95">
        <v>41.7</v>
      </c>
      <c r="Q95">
        <v>100</v>
      </c>
      <c r="R95">
        <v>3</v>
      </c>
      <c r="S95" t="s">
        <v>1715</v>
      </c>
      <c r="T95" t="s">
        <v>1715</v>
      </c>
      <c r="U95" s="7">
        <f>((J95-INDEX(LINEST($J$95:$J$100,$G$95:$G$100),2))/INDEX(LINEST($J$95:$J$100,$G$95:$G$100),1)/100.09)*12.01</f>
        <v>0.68915076596220204</v>
      </c>
      <c r="V95" s="7">
        <f>(J95-U95)^2</f>
        <v>0.18349530505439376</v>
      </c>
    </row>
    <row r="96" spans="1:22">
      <c r="A96" s="161">
        <v>43328</v>
      </c>
      <c r="B96">
        <v>4</v>
      </c>
      <c r="C96" t="s">
        <v>2496</v>
      </c>
      <c r="D96">
        <v>200.8</v>
      </c>
      <c r="G96">
        <v>200.75984000000003</v>
      </c>
      <c r="H96">
        <v>24.985399999999998</v>
      </c>
      <c r="I96">
        <v>1.1175142857142857</v>
      </c>
      <c r="J96">
        <v>23.867885714285713</v>
      </c>
      <c r="K96">
        <v>198.07411259365057</v>
      </c>
      <c r="L96" s="16">
        <v>98.662218795178632</v>
      </c>
      <c r="M96">
        <v>198.9122965148091</v>
      </c>
      <c r="N96">
        <v>99.079724567826446</v>
      </c>
      <c r="O96">
        <v>128</v>
      </c>
      <c r="P96">
        <v>41.7</v>
      </c>
      <c r="Q96">
        <v>100</v>
      </c>
      <c r="R96">
        <v>3</v>
      </c>
      <c r="S96" t="s">
        <v>1715</v>
      </c>
      <c r="T96" t="s">
        <v>1715</v>
      </c>
      <c r="U96" s="7">
        <f t="shared" ref="U96:U100" si="11">((J96-INDEX(LINEST($J$95:$J$100,$G$95:$G$100),2))/INDEX(LINEST($J$95:$J$100,$G$95:$G$100),1)/100.09)*12.01</f>
        <v>23.767310343188562</v>
      </c>
      <c r="V96" s="7">
        <f t="shared" ref="V96:V100" si="12">(J96-U96)^2</f>
        <v>1.0115405271329521E-2</v>
      </c>
    </row>
    <row r="97" spans="1:24">
      <c r="A97" s="161">
        <v>43328</v>
      </c>
      <c r="B97">
        <v>5</v>
      </c>
      <c r="C97" t="s">
        <v>2497</v>
      </c>
      <c r="D97">
        <v>995.7</v>
      </c>
      <c r="G97">
        <v>995.5008600000001</v>
      </c>
      <c r="H97">
        <v>118.87609999999999</v>
      </c>
      <c r="I97">
        <v>1.1175142857142857</v>
      </c>
      <c r="J97">
        <v>117.75858571428572</v>
      </c>
      <c r="K97">
        <v>991.82265237486956</v>
      </c>
      <c r="L97" s="16">
        <v>99.630516881207868</v>
      </c>
      <c r="M97">
        <v>981.38691458308563</v>
      </c>
      <c r="N97">
        <v>98.58222669773339</v>
      </c>
      <c r="O97">
        <v>128</v>
      </c>
      <c r="P97">
        <v>41.7</v>
      </c>
      <c r="Q97">
        <v>100</v>
      </c>
      <c r="R97">
        <v>3</v>
      </c>
      <c r="S97" t="s">
        <v>1715</v>
      </c>
      <c r="T97" t="s">
        <v>1715</v>
      </c>
      <c r="U97" s="7">
        <f t="shared" si="11"/>
        <v>119.01079083846722</v>
      </c>
      <c r="V97" s="7">
        <f t="shared" si="12"/>
        <v>1.5680176730264075</v>
      </c>
    </row>
    <row r="98" spans="1:24">
      <c r="A98" s="161">
        <v>43328</v>
      </c>
      <c r="B98">
        <v>6</v>
      </c>
      <c r="C98" t="s">
        <v>2498</v>
      </c>
      <c r="D98">
        <v>1653.9</v>
      </c>
      <c r="G98">
        <v>1653.5692200000001</v>
      </c>
      <c r="H98">
        <v>196.74619999999999</v>
      </c>
      <c r="I98">
        <v>1.1175142857142857</v>
      </c>
      <c r="J98">
        <v>195.62868571428569</v>
      </c>
      <c r="K98">
        <v>1650.1336263863263</v>
      </c>
      <c r="L98" s="16">
        <v>99.792231642188298</v>
      </c>
      <c r="M98">
        <v>1630.3476397287973</v>
      </c>
      <c r="N98">
        <v>98.595669295827676</v>
      </c>
      <c r="O98">
        <v>128</v>
      </c>
      <c r="P98">
        <v>41.7</v>
      </c>
      <c r="Q98">
        <v>100</v>
      </c>
      <c r="R98">
        <v>3</v>
      </c>
      <c r="S98" t="s">
        <v>1715</v>
      </c>
      <c r="T98" t="s">
        <v>1715</v>
      </c>
      <c r="U98" s="7">
        <f t="shared" si="11"/>
        <v>198.00284596762694</v>
      </c>
      <c r="V98" s="7">
        <f t="shared" si="12"/>
        <v>5.6366369085453636</v>
      </c>
    </row>
    <row r="99" spans="1:24">
      <c r="A99" s="161">
        <v>43328</v>
      </c>
      <c r="B99">
        <v>7</v>
      </c>
      <c r="C99" t="s">
        <v>2499</v>
      </c>
      <c r="D99">
        <v>2582.8000000000002</v>
      </c>
      <c r="G99">
        <v>2582.2834400000002</v>
      </c>
      <c r="H99">
        <v>307.56760000000003</v>
      </c>
      <c r="I99">
        <v>1.1175142857142857</v>
      </c>
      <c r="J99">
        <v>306.45008571428576</v>
      </c>
      <c r="K99">
        <v>2587.0136840119526</v>
      </c>
      <c r="L99" s="16">
        <v>100.18318066633121</v>
      </c>
      <c r="M99">
        <v>2553.9208225764251</v>
      </c>
      <c r="N99">
        <v>98.901645846298919</v>
      </c>
      <c r="O99">
        <v>128</v>
      </c>
      <c r="P99">
        <v>41.7</v>
      </c>
      <c r="Q99">
        <v>100</v>
      </c>
      <c r="R99">
        <v>3</v>
      </c>
      <c r="S99" t="s">
        <v>1715</v>
      </c>
      <c r="T99" t="s">
        <v>1715</v>
      </c>
      <c r="U99" s="7">
        <f t="shared" si="11"/>
        <v>310.42096458171198</v>
      </c>
      <c r="V99" s="7">
        <f t="shared" si="12"/>
        <v>15.767878979772158</v>
      </c>
    </row>
    <row r="100" spans="1:24">
      <c r="A100" s="161">
        <v>43328</v>
      </c>
      <c r="B100">
        <v>8</v>
      </c>
      <c r="C100" t="s">
        <v>2500</v>
      </c>
      <c r="D100">
        <v>3462</v>
      </c>
      <c r="G100">
        <v>3461.3076000000001</v>
      </c>
      <c r="H100">
        <v>410.90609999999998</v>
      </c>
      <c r="I100">
        <v>1.1175142857142857</v>
      </c>
      <c r="J100">
        <v>409.78858571428572</v>
      </c>
      <c r="K100">
        <v>3460.6335790407625</v>
      </c>
      <c r="L100" s="16">
        <v>99.9805269846795</v>
      </c>
      <c r="M100">
        <v>3415.1323517188061</v>
      </c>
      <c r="N100">
        <v>98.665959411374075</v>
      </c>
      <c r="O100">
        <v>128</v>
      </c>
      <c r="P100">
        <v>41.7</v>
      </c>
      <c r="Q100">
        <v>100</v>
      </c>
      <c r="R100">
        <v>3</v>
      </c>
      <c r="S100" t="s">
        <v>1715</v>
      </c>
      <c r="T100" t="s">
        <v>1715</v>
      </c>
      <c r="U100" s="7">
        <f t="shared" si="11"/>
        <v>415.24836931041614</v>
      </c>
      <c r="V100" s="7">
        <f t="shared" si="12"/>
        <v>29.809236916574836</v>
      </c>
      <c r="X100" s="193" t="s">
        <v>2567</v>
      </c>
    </row>
    <row r="101" spans="1:24">
      <c r="A101" s="161">
        <v>43328</v>
      </c>
      <c r="B101">
        <v>9</v>
      </c>
      <c r="C101" t="s">
        <v>2378</v>
      </c>
      <c r="D101">
        <v>0</v>
      </c>
      <c r="G101">
        <v>0</v>
      </c>
      <c r="H101">
        <v>1.6596</v>
      </c>
      <c r="I101">
        <v>1.1175142857142857</v>
      </c>
      <c r="J101">
        <v>0.54208571428571428</v>
      </c>
      <c r="K101">
        <v>0.87865352018797271</v>
      </c>
      <c r="L101" s="16" t="e">
        <v>#DIV/0!</v>
      </c>
      <c r="M101">
        <v>4.5176818603544673</v>
      </c>
      <c r="N101" t="e">
        <v>#DIV/0!</v>
      </c>
      <c r="O101">
        <v>128</v>
      </c>
      <c r="P101">
        <v>41.7</v>
      </c>
      <c r="Q101">
        <v>100</v>
      </c>
      <c r="R101">
        <v>3</v>
      </c>
      <c r="S101" t="s">
        <v>1715</v>
      </c>
      <c r="T101" t="s">
        <v>1715</v>
      </c>
      <c r="V101" s="193">
        <f>SQRT(SUM(V95:V100)/(6-2))</f>
        <v>3.6392094329759481</v>
      </c>
      <c r="W101" s="193" t="s">
        <v>2656</v>
      </c>
      <c r="X101" s="192">
        <f>(V101/$AG$15)*100</f>
        <v>1.775144255714493</v>
      </c>
    </row>
    <row r="102" spans="1:24">
      <c r="A102" s="161">
        <v>43328</v>
      </c>
      <c r="B102">
        <v>10</v>
      </c>
      <c r="C102" t="s">
        <v>2379</v>
      </c>
      <c r="D102">
        <v>0</v>
      </c>
      <c r="G102">
        <v>0</v>
      </c>
      <c r="H102">
        <v>1.5144</v>
      </c>
      <c r="I102">
        <v>1.1175142857142857</v>
      </c>
      <c r="J102">
        <v>0.39688571428571429</v>
      </c>
      <c r="K102">
        <v>-0.34886196298802852</v>
      </c>
      <c r="L102" s="16" t="e">
        <v>#DIV/0!</v>
      </c>
      <c r="M102">
        <v>3.3076012608540508</v>
      </c>
      <c r="N102" t="e">
        <v>#DIV/0!</v>
      </c>
      <c r="O102">
        <v>128</v>
      </c>
      <c r="P102">
        <v>41.7</v>
      </c>
      <c r="Q102">
        <v>100</v>
      </c>
      <c r="R102">
        <v>3</v>
      </c>
      <c r="S102" t="s">
        <v>1715</v>
      </c>
      <c r="T102" t="s">
        <v>1715</v>
      </c>
      <c r="V102" s="192">
        <f>(V101/12.01)*100.09</f>
        <v>30.328765374401556</v>
      </c>
      <c r="W102" s="193" t="s">
        <v>2657</v>
      </c>
    </row>
    <row r="103" spans="1:24" s="16" customFormat="1">
      <c r="A103" s="555">
        <v>43328</v>
      </c>
      <c r="B103" s="16">
        <v>11</v>
      </c>
      <c r="C103" s="16" t="s">
        <v>2382</v>
      </c>
      <c r="D103" s="16">
        <v>1423.2</v>
      </c>
      <c r="H103" s="16">
        <v>21.2197</v>
      </c>
      <c r="I103" s="16">
        <v>1.1175142857142857</v>
      </c>
      <c r="J103" s="16">
        <v>20.102185714285714</v>
      </c>
      <c r="K103" s="16">
        <v>166.23902268321072</v>
      </c>
      <c r="L103" s="16">
        <v>11.680650834964215</v>
      </c>
      <c r="M103" s="16">
        <v>167.52937286784822</v>
      </c>
      <c r="N103" s="16">
        <v>11.771316249848805</v>
      </c>
      <c r="O103" s="16">
        <v>128</v>
      </c>
      <c r="P103" s="16">
        <v>41.7</v>
      </c>
      <c r="Q103" s="16">
        <v>100</v>
      </c>
      <c r="R103" s="16">
        <v>3</v>
      </c>
      <c r="S103" s="16" t="s">
        <v>1715</v>
      </c>
      <c r="T103" s="16" t="s">
        <v>1715</v>
      </c>
    </row>
    <row r="104" spans="1:24" s="16" customFormat="1">
      <c r="A104" s="555">
        <v>43328</v>
      </c>
      <c r="B104" s="16">
        <v>12</v>
      </c>
      <c r="C104" s="16" t="s">
        <v>2382</v>
      </c>
      <c r="D104" s="16">
        <v>2174.5</v>
      </c>
      <c r="H104" s="16">
        <v>30.436299999999999</v>
      </c>
      <c r="I104" s="16">
        <v>1.1175142857142857</v>
      </c>
      <c r="J104" s="16">
        <v>29.318785714285713</v>
      </c>
      <c r="K104" s="16">
        <v>244.15582159670888</v>
      </c>
      <c r="L104" s="16">
        <v>11.228136196675505</v>
      </c>
      <c r="M104" s="16">
        <v>244.33948893778995</v>
      </c>
      <c r="N104" s="16">
        <v>11.236582613832603</v>
      </c>
      <c r="O104" s="16">
        <v>128</v>
      </c>
      <c r="P104" s="16">
        <v>41.7</v>
      </c>
      <c r="Q104" s="16">
        <v>100</v>
      </c>
      <c r="R104" s="16">
        <v>3</v>
      </c>
      <c r="S104" s="16" t="s">
        <v>1715</v>
      </c>
      <c r="T104" s="16" t="s">
        <v>1715</v>
      </c>
    </row>
    <row r="105" spans="1:24">
      <c r="A105" s="161">
        <v>43328</v>
      </c>
      <c r="B105">
        <v>13</v>
      </c>
      <c r="C105" t="s">
        <v>2380</v>
      </c>
      <c r="D105">
        <v>0</v>
      </c>
      <c r="H105">
        <v>0</v>
      </c>
      <c r="I105">
        <v>1.1175142857142857</v>
      </c>
      <c r="J105">
        <v>-1.1175142857142857</v>
      </c>
      <c r="K105">
        <v>-13.151544109831944</v>
      </c>
      <c r="L105" s="16" t="e">
        <v>#DIV/0!</v>
      </c>
      <c r="M105">
        <v>-9.313239371951946</v>
      </c>
      <c r="N105" t="e">
        <v>#DIV/0!</v>
      </c>
      <c r="O105">
        <v>128</v>
      </c>
      <c r="P105">
        <v>41.7</v>
      </c>
      <c r="Q105">
        <v>100</v>
      </c>
      <c r="R105">
        <v>3</v>
      </c>
      <c r="S105" t="s">
        <v>1715</v>
      </c>
      <c r="T105" t="s">
        <v>1715</v>
      </c>
    </row>
    <row r="106" spans="1:24">
      <c r="A106" s="459">
        <v>43328</v>
      </c>
      <c r="B106" s="346">
        <v>14</v>
      </c>
      <c r="C106" s="346" t="s">
        <v>2422</v>
      </c>
      <c r="D106" s="346">
        <v>2471.5</v>
      </c>
      <c r="E106" s="346"/>
      <c r="F106" s="346"/>
      <c r="G106" s="346"/>
      <c r="H106" s="346">
        <v>198.846</v>
      </c>
      <c r="I106" s="346">
        <v>1.1175142857142857</v>
      </c>
      <c r="J106" s="346">
        <v>197.72848571428571</v>
      </c>
      <c r="K106" s="346">
        <v>1667.8852586974349</v>
      </c>
      <c r="L106" s="16">
        <v>67.48473634219846</v>
      </c>
      <c r="M106" s="346">
        <v>1647.8471386463661</v>
      </c>
      <c r="N106" s="346">
        <v>66.673968790061338</v>
      </c>
      <c r="O106" s="346">
        <v>128</v>
      </c>
      <c r="P106" s="346">
        <v>41.7</v>
      </c>
      <c r="Q106" s="346">
        <v>100</v>
      </c>
      <c r="R106" s="346">
        <v>3</v>
      </c>
      <c r="S106" s="346" t="s">
        <v>1715</v>
      </c>
      <c r="T106" s="346" t="s">
        <v>1715</v>
      </c>
    </row>
    <row r="107" spans="1:24">
      <c r="A107" s="459">
        <v>43328</v>
      </c>
      <c r="B107" s="346">
        <v>15</v>
      </c>
      <c r="C107" s="346" t="s">
        <v>2423</v>
      </c>
      <c r="D107" s="346">
        <v>3161.2</v>
      </c>
      <c r="E107" s="346"/>
      <c r="F107" s="346"/>
      <c r="G107" s="346"/>
      <c r="H107" s="346">
        <v>213.98650000000001</v>
      </c>
      <c r="I107" s="346">
        <v>1.1175142857142857</v>
      </c>
      <c r="J107" s="346">
        <v>212.86898571428571</v>
      </c>
      <c r="K107" s="346">
        <v>1795.8824912940345</v>
      </c>
      <c r="L107" s="16">
        <v>56.810150933001225</v>
      </c>
      <c r="M107" s="346">
        <v>1774.0263763649341</v>
      </c>
      <c r="N107" s="346">
        <v>56.118764278278313</v>
      </c>
      <c r="O107" s="346">
        <v>128</v>
      </c>
      <c r="P107" s="346">
        <v>41.7</v>
      </c>
      <c r="Q107" s="346">
        <v>100</v>
      </c>
      <c r="R107" s="346">
        <v>3</v>
      </c>
      <c r="S107" s="346" t="s">
        <v>1715</v>
      </c>
      <c r="T107" s="346" t="s">
        <v>1715</v>
      </c>
    </row>
    <row r="108" spans="1:24">
      <c r="A108" s="459">
        <v>43328</v>
      </c>
      <c r="B108" s="346">
        <v>16</v>
      </c>
      <c r="C108" s="346" t="s">
        <v>2424</v>
      </c>
      <c r="D108" s="346">
        <v>3273.1</v>
      </c>
      <c r="E108" s="346"/>
      <c r="F108" s="346"/>
      <c r="G108" s="346"/>
      <c r="H108" s="346">
        <v>244.37530000000001</v>
      </c>
      <c r="I108" s="346">
        <v>1.1175142857142857</v>
      </c>
      <c r="J108" s="346">
        <v>243.25778571428572</v>
      </c>
      <c r="K108" s="346">
        <v>2052.7882937398945</v>
      </c>
      <c r="L108" s="16">
        <v>62.716943990097903</v>
      </c>
      <c r="M108" s="346">
        <v>2027.2832449744262</v>
      </c>
      <c r="N108" s="346">
        <v>61.937711801485641</v>
      </c>
      <c r="O108" s="346">
        <v>128</v>
      </c>
      <c r="P108" s="346">
        <v>41.7</v>
      </c>
      <c r="Q108" s="346">
        <v>100</v>
      </c>
      <c r="R108" s="346">
        <v>3</v>
      </c>
      <c r="S108" s="346" t="s">
        <v>1715</v>
      </c>
      <c r="T108" s="346" t="s">
        <v>1715</v>
      </c>
    </row>
    <row r="109" spans="1:24">
      <c r="A109" s="459">
        <v>43328</v>
      </c>
      <c r="B109" s="346">
        <v>17</v>
      </c>
      <c r="C109" s="346" t="s">
        <v>2425</v>
      </c>
      <c r="D109" s="346">
        <v>3381.7</v>
      </c>
      <c r="E109" s="346"/>
      <c r="F109" s="346"/>
      <c r="G109" s="346">
        <v>-1.3351242521909095E-3</v>
      </c>
      <c r="H109" s="346">
        <v>354.84030000000001</v>
      </c>
      <c r="I109" s="346">
        <v>1.1175142857142857</v>
      </c>
      <c r="J109" s="346">
        <v>353.72278571428575</v>
      </c>
      <c r="K109" s="346">
        <v>2986.6553588159068</v>
      </c>
      <c r="L109" s="16">
        <v>88.318164201907535</v>
      </c>
      <c r="M109" s="346">
        <v>2947.8862299869161</v>
      </c>
      <c r="N109" s="346">
        <v>87.171725167428107</v>
      </c>
      <c r="O109" s="346">
        <v>128</v>
      </c>
      <c r="P109" s="346">
        <v>41.7</v>
      </c>
      <c r="Q109" s="346">
        <v>100</v>
      </c>
      <c r="R109" s="346">
        <v>3</v>
      </c>
      <c r="S109" s="346" t="s">
        <v>1715</v>
      </c>
      <c r="T109" s="346" t="s">
        <v>1715</v>
      </c>
    </row>
    <row r="110" spans="1:24">
      <c r="A110" s="459">
        <v>43328</v>
      </c>
      <c r="B110" s="346">
        <v>18</v>
      </c>
      <c r="C110" s="346" t="s">
        <v>2426</v>
      </c>
      <c r="D110" s="346">
        <v>2515.1999999999998</v>
      </c>
      <c r="E110" s="346"/>
      <c r="F110" s="346"/>
      <c r="G110" s="346"/>
      <c r="H110" s="346">
        <v>264.66849999999999</v>
      </c>
      <c r="I110" s="346">
        <v>1.1175142857142857</v>
      </c>
      <c r="J110" s="346">
        <v>263.55098571428573</v>
      </c>
      <c r="K110" s="346">
        <v>2224.346263458815</v>
      </c>
      <c r="L110" s="16">
        <v>88.436158693496154</v>
      </c>
      <c r="M110" s="346">
        <v>2196.4045095872489</v>
      </c>
      <c r="N110" s="346">
        <v>87.325242906617731</v>
      </c>
      <c r="O110" s="346">
        <v>128</v>
      </c>
      <c r="P110" s="346">
        <v>41.7</v>
      </c>
      <c r="Q110" s="346">
        <v>100</v>
      </c>
      <c r="R110" s="346">
        <v>3</v>
      </c>
      <c r="S110" s="346" t="s">
        <v>1715</v>
      </c>
      <c r="T110" s="346" t="s">
        <v>1715</v>
      </c>
    </row>
    <row r="111" spans="1:24">
      <c r="A111" s="459">
        <v>43328</v>
      </c>
      <c r="B111" s="346">
        <v>19</v>
      </c>
      <c r="C111" s="346" t="s">
        <v>2427</v>
      </c>
      <c r="D111" s="346">
        <v>2599.5</v>
      </c>
      <c r="E111" s="346"/>
      <c r="F111" s="346"/>
      <c r="G111" s="346"/>
      <c r="H111" s="346">
        <v>193.0018</v>
      </c>
      <c r="I111" s="346">
        <v>1.1175142857142857</v>
      </c>
      <c r="J111" s="346">
        <v>191.88428571428571</v>
      </c>
      <c r="K111" s="346">
        <v>1618.4786058959392</v>
      </c>
      <c r="L111" s="16">
        <v>62.261150448006894</v>
      </c>
      <c r="M111" s="346">
        <v>1599.1422279053172</v>
      </c>
      <c r="N111" s="346">
        <v>61.517300554157231</v>
      </c>
      <c r="O111" s="346">
        <v>128</v>
      </c>
      <c r="P111" s="346">
        <v>41.7</v>
      </c>
      <c r="Q111" s="346">
        <v>100</v>
      </c>
      <c r="R111" s="346">
        <v>3</v>
      </c>
      <c r="S111" s="346" t="s">
        <v>1715</v>
      </c>
      <c r="T111" s="346" t="s">
        <v>1715</v>
      </c>
    </row>
    <row r="112" spans="1:24">
      <c r="A112" s="459">
        <v>43328</v>
      </c>
      <c r="B112" s="346">
        <v>20</v>
      </c>
      <c r="C112" s="346" t="s">
        <v>2428</v>
      </c>
      <c r="D112" s="346">
        <v>2038.6</v>
      </c>
      <c r="E112" s="346"/>
      <c r="F112" s="346"/>
      <c r="G112" s="346"/>
      <c r="H112" s="346">
        <v>139.857</v>
      </c>
      <c r="I112" s="346">
        <v>1.1175142857142857</v>
      </c>
      <c r="J112" s="346">
        <v>138.73948571428571</v>
      </c>
      <c r="K112" s="346">
        <v>1169.1944127121103</v>
      </c>
      <c r="L112" s="16">
        <v>57.352811376047796</v>
      </c>
      <c r="M112" s="346">
        <v>1156.2393942666824</v>
      </c>
      <c r="N112" s="346">
        <v>56.717325334380583</v>
      </c>
      <c r="O112" s="346">
        <v>128</v>
      </c>
      <c r="P112" s="346">
        <v>41.7</v>
      </c>
      <c r="Q112" s="346">
        <v>100</v>
      </c>
      <c r="R112" s="346">
        <v>3</v>
      </c>
      <c r="S112" s="346" t="s">
        <v>1715</v>
      </c>
      <c r="T112" s="346" t="s">
        <v>1715</v>
      </c>
    </row>
    <row r="113" spans="1:20">
      <c r="A113" s="161">
        <v>43328</v>
      </c>
      <c r="B113">
        <v>21</v>
      </c>
      <c r="C113" t="s">
        <v>2381</v>
      </c>
      <c r="D113">
        <v>0</v>
      </c>
      <c r="H113">
        <v>1.7275</v>
      </c>
      <c r="I113">
        <v>1.1175142857142857</v>
      </c>
      <c r="J113">
        <v>0.60998571428571435</v>
      </c>
      <c r="K113">
        <v>1.4526776338770264</v>
      </c>
      <c r="L113" s="16" t="e">
        <v>#DIV/0!</v>
      </c>
      <c r="M113">
        <v>5.0835528845010121</v>
      </c>
      <c r="N113" t="e">
        <v>#DIV/0!</v>
      </c>
      <c r="O113">
        <v>128</v>
      </c>
      <c r="P113">
        <v>41.7</v>
      </c>
      <c r="Q113">
        <v>100</v>
      </c>
      <c r="R113">
        <v>3</v>
      </c>
      <c r="S113" t="s">
        <v>1715</v>
      </c>
      <c r="T113" t="s">
        <v>1715</v>
      </c>
    </row>
    <row r="114" spans="1:20">
      <c r="A114" s="459">
        <v>43328</v>
      </c>
      <c r="B114" s="346">
        <v>22</v>
      </c>
      <c r="C114" s="346" t="s">
        <v>2429</v>
      </c>
      <c r="D114" s="346">
        <v>2620.1</v>
      </c>
      <c r="E114" s="346"/>
      <c r="F114" s="346"/>
      <c r="G114" s="346"/>
      <c r="H114" s="346">
        <v>140.23699999999999</v>
      </c>
      <c r="I114" s="346">
        <v>1.1175142857142857</v>
      </c>
      <c r="J114" s="346">
        <v>139.1194857142857</v>
      </c>
      <c r="K114" s="346">
        <v>1172.406918797557</v>
      </c>
      <c r="L114" s="16">
        <v>44.746647791975761</v>
      </c>
      <c r="M114" s="346">
        <v>1159.4062718686807</v>
      </c>
      <c r="N114" s="346">
        <v>44.250458832436962</v>
      </c>
      <c r="O114" s="346">
        <v>128</v>
      </c>
      <c r="P114" s="346">
        <v>41.7</v>
      </c>
      <c r="Q114" s="346">
        <v>100</v>
      </c>
      <c r="R114" s="346">
        <v>3</v>
      </c>
      <c r="S114" s="346" t="s">
        <v>1715</v>
      </c>
      <c r="T114" s="346" t="s">
        <v>1715</v>
      </c>
    </row>
    <row r="115" spans="1:20">
      <c r="A115" s="459">
        <v>43328</v>
      </c>
      <c r="B115" s="346">
        <v>23</v>
      </c>
      <c r="C115" s="346" t="s">
        <v>2430</v>
      </c>
      <c r="D115" s="346">
        <v>2172.3000000000002</v>
      </c>
      <c r="E115" s="346"/>
      <c r="F115" s="346"/>
      <c r="G115" s="346"/>
      <c r="H115" s="346">
        <v>97.570099999999996</v>
      </c>
      <c r="I115" s="346">
        <v>1.1175142857142857</v>
      </c>
      <c r="J115" s="346">
        <v>96.452585714285718</v>
      </c>
      <c r="K115" s="346">
        <v>811.7025085418951</v>
      </c>
      <c r="L115" s="16">
        <v>37.36604099534572</v>
      </c>
      <c r="M115" s="346">
        <v>803.82508777209478</v>
      </c>
      <c r="N115" s="346">
        <v>37.003410568157925</v>
      </c>
      <c r="O115" s="346">
        <v>128</v>
      </c>
      <c r="P115" s="346">
        <v>41.7</v>
      </c>
      <c r="Q115" s="346">
        <v>100</v>
      </c>
      <c r="R115" s="346">
        <v>3</v>
      </c>
      <c r="S115" s="346" t="s">
        <v>1715</v>
      </c>
      <c r="T115" s="346" t="s">
        <v>1715</v>
      </c>
    </row>
    <row r="116" spans="1:20">
      <c r="A116" s="459">
        <v>43328</v>
      </c>
      <c r="B116" s="346">
        <v>24</v>
      </c>
      <c r="C116" s="346" t="s">
        <v>2431</v>
      </c>
      <c r="D116" s="346">
        <v>2606.9</v>
      </c>
      <c r="E116" s="346"/>
      <c r="F116" s="346"/>
      <c r="G116" s="346"/>
      <c r="H116" s="346">
        <v>163.15020000000001</v>
      </c>
      <c r="I116" s="346">
        <v>1.1175142857142857</v>
      </c>
      <c r="J116" s="346">
        <v>162.03268571428572</v>
      </c>
      <c r="K116" s="346">
        <v>1366.1142725792952</v>
      </c>
      <c r="L116" s="16">
        <v>52.403785054251998</v>
      </c>
      <c r="M116" s="346">
        <v>1350.3623241584394</v>
      </c>
      <c r="N116" s="346">
        <v>51.799544445833718</v>
      </c>
      <c r="O116" s="346">
        <v>128</v>
      </c>
      <c r="P116" s="346">
        <v>41.7</v>
      </c>
      <c r="Q116" s="346">
        <v>100</v>
      </c>
      <c r="R116" s="346">
        <v>3</v>
      </c>
      <c r="S116" s="346" t="s">
        <v>1715</v>
      </c>
      <c r="T116" s="346" t="s">
        <v>1715</v>
      </c>
    </row>
    <row r="117" spans="1:20">
      <c r="A117" s="459">
        <v>43328</v>
      </c>
      <c r="B117" s="346">
        <v>25</v>
      </c>
      <c r="C117" s="346" t="s">
        <v>2432</v>
      </c>
      <c r="D117" s="346">
        <v>3149.4</v>
      </c>
      <c r="E117" s="346"/>
      <c r="F117" s="346"/>
      <c r="G117" s="346"/>
      <c r="H117" s="346">
        <v>250.6096</v>
      </c>
      <c r="I117" s="346">
        <v>1.1175142857142857</v>
      </c>
      <c r="J117" s="346">
        <v>249.49208571428571</v>
      </c>
      <c r="K117" s="346">
        <v>2105.4928376570028</v>
      </c>
      <c r="L117" s="16">
        <v>66.853776517971767</v>
      </c>
      <c r="M117" s="346">
        <v>2079.2392055905793</v>
      </c>
      <c r="N117" s="346">
        <v>66.020169098576844</v>
      </c>
      <c r="O117" s="346">
        <v>128</v>
      </c>
      <c r="P117" s="346">
        <v>41.7</v>
      </c>
      <c r="Q117" s="346">
        <v>100</v>
      </c>
      <c r="R117" s="346">
        <v>3</v>
      </c>
      <c r="S117" s="346" t="s">
        <v>1715</v>
      </c>
      <c r="T117" s="346" t="s">
        <v>1715</v>
      </c>
    </row>
    <row r="118" spans="1:20">
      <c r="A118" s="459">
        <v>43328</v>
      </c>
      <c r="B118" s="346">
        <v>26</v>
      </c>
      <c r="C118" s="346" t="s">
        <v>2433</v>
      </c>
      <c r="D118" s="346">
        <v>2322.1</v>
      </c>
      <c r="E118" s="346"/>
      <c r="F118" s="346"/>
      <c r="G118" s="346"/>
      <c r="H118" s="346">
        <v>210.49860000000001</v>
      </c>
      <c r="I118" s="346">
        <v>1.1175142857142857</v>
      </c>
      <c r="J118" s="346">
        <v>209.38108571428572</v>
      </c>
      <c r="K118" s="346">
        <v>1766.3959124113239</v>
      </c>
      <c r="L118" s="16">
        <v>76.068899376052883</v>
      </c>
      <c r="M118" s="346">
        <v>1744.9586069228023</v>
      </c>
      <c r="N118" s="346">
        <v>75.145713230386392</v>
      </c>
      <c r="O118" s="346">
        <v>128</v>
      </c>
      <c r="P118" s="346">
        <v>41.7</v>
      </c>
      <c r="Q118" s="346">
        <v>100</v>
      </c>
      <c r="R118" s="346">
        <v>3</v>
      </c>
      <c r="S118" s="346" t="s">
        <v>1715</v>
      </c>
      <c r="T118" s="346" t="s">
        <v>1715</v>
      </c>
    </row>
    <row r="119" spans="1:20">
      <c r="A119" s="459">
        <v>43328</v>
      </c>
      <c r="B119" s="346">
        <v>27</v>
      </c>
      <c r="C119" s="346" t="s">
        <v>2434</v>
      </c>
      <c r="D119" s="346">
        <v>2313.4</v>
      </c>
      <c r="E119" s="346"/>
      <c r="F119" s="346"/>
      <c r="G119" s="346"/>
      <c r="H119" s="346">
        <v>201.13149999999999</v>
      </c>
      <c r="I119" s="346">
        <v>1.1175142857142857</v>
      </c>
      <c r="J119" s="346">
        <v>200.0139857142857</v>
      </c>
      <c r="K119" s="346">
        <v>1687.2067920087211</v>
      </c>
      <c r="L119" s="16">
        <v>72.93190939780068</v>
      </c>
      <c r="M119" s="346">
        <v>1666.8942406447006</v>
      </c>
      <c r="N119" s="346">
        <v>72.053870521513815</v>
      </c>
      <c r="O119" s="346">
        <v>128</v>
      </c>
      <c r="P119" s="346">
        <v>41.7</v>
      </c>
      <c r="Q119" s="346">
        <v>100</v>
      </c>
      <c r="R119" s="346">
        <v>3</v>
      </c>
      <c r="S119" s="346" t="s">
        <v>1715</v>
      </c>
      <c r="T119" s="346" t="s">
        <v>1715</v>
      </c>
    </row>
    <row r="120" spans="1:20">
      <c r="A120" s="459">
        <v>43328</v>
      </c>
      <c r="B120" s="346">
        <v>28</v>
      </c>
      <c r="C120" s="346" t="s">
        <v>2435</v>
      </c>
      <c r="D120" s="346">
        <v>2187.3000000000002</v>
      </c>
      <c r="E120" s="346"/>
      <c r="F120" s="346"/>
      <c r="G120" s="346"/>
      <c r="H120" s="346">
        <v>197.85589999999999</v>
      </c>
      <c r="I120" s="346">
        <v>1.1175142857142857</v>
      </c>
      <c r="J120" s="346">
        <v>196.7383857142857</v>
      </c>
      <c r="K120" s="346">
        <v>1659.5149895521693</v>
      </c>
      <c r="L120" s="16">
        <v>75.870479109046272</v>
      </c>
      <c r="M120" s="346">
        <v>1639.5957557154752</v>
      </c>
      <c r="N120" s="346">
        <v>74.959802300346325</v>
      </c>
      <c r="O120" s="346">
        <v>128</v>
      </c>
      <c r="P120" s="346">
        <v>41.7</v>
      </c>
      <c r="Q120" s="346">
        <v>100</v>
      </c>
      <c r="R120" s="346">
        <v>3</v>
      </c>
      <c r="S120" s="346" t="s">
        <v>1715</v>
      </c>
      <c r="T120" s="346" t="s">
        <v>1715</v>
      </c>
    </row>
    <row r="121" spans="1:20">
      <c r="A121" s="161">
        <v>43328</v>
      </c>
      <c r="B121">
        <v>29</v>
      </c>
      <c r="C121" t="s">
        <v>2419</v>
      </c>
      <c r="D121">
        <v>0</v>
      </c>
      <c r="E121" t="s">
        <v>2436</v>
      </c>
      <c r="H121">
        <v>2.7932000000000001</v>
      </c>
      <c r="I121">
        <v>1.1175142857142857</v>
      </c>
      <c r="J121">
        <v>1.6756857142857144</v>
      </c>
      <c r="K121">
        <v>10.462066410878849</v>
      </c>
      <c r="L121" s="16" t="e">
        <v>#DIV/0!</v>
      </c>
      <c r="M121">
        <v>13.96497778042108</v>
      </c>
      <c r="N121" t="e">
        <v>#DIV/0!</v>
      </c>
      <c r="O121">
        <v>128</v>
      </c>
      <c r="P121">
        <v>41.7</v>
      </c>
      <c r="Q121">
        <v>100</v>
      </c>
      <c r="R121">
        <v>3</v>
      </c>
      <c r="S121" t="s">
        <v>1715</v>
      </c>
      <c r="T121" t="s">
        <v>1715</v>
      </c>
    </row>
    <row r="122" spans="1:20">
      <c r="A122" s="161">
        <v>43328</v>
      </c>
      <c r="B122">
        <v>30</v>
      </c>
      <c r="C122" t="s">
        <v>2501</v>
      </c>
      <c r="D122">
        <v>1674.5</v>
      </c>
      <c r="G122">
        <v>1674.1650999999999</v>
      </c>
      <c r="H122">
        <v>196.81530000000001</v>
      </c>
      <c r="I122">
        <v>1.1175142857142857</v>
      </c>
      <c r="J122">
        <v>195.69778571428571</v>
      </c>
      <c r="K122">
        <v>1650.7177952560749</v>
      </c>
      <c r="L122" s="16">
        <v>98.599462816186701</v>
      </c>
      <c r="M122">
        <v>1630.9235114190556</v>
      </c>
      <c r="N122">
        <v>97.417125193868614</v>
      </c>
      <c r="O122">
        <v>128</v>
      </c>
      <c r="P122">
        <v>41.7</v>
      </c>
      <c r="Q122">
        <v>100</v>
      </c>
      <c r="R122">
        <v>3</v>
      </c>
      <c r="S122" t="s">
        <v>1715</v>
      </c>
      <c r="T122" t="s">
        <v>1715</v>
      </c>
    </row>
    <row r="123" spans="1:20">
      <c r="A123" s="161">
        <v>43328</v>
      </c>
      <c r="B123">
        <v>31</v>
      </c>
      <c r="C123" t="s">
        <v>2420</v>
      </c>
      <c r="D123">
        <v>0</v>
      </c>
      <c r="H123">
        <v>2.1524000000000001</v>
      </c>
      <c r="I123">
        <v>1.1175142857142857</v>
      </c>
      <c r="J123">
        <v>1.0348857142857144</v>
      </c>
      <c r="K123">
        <v>5.0447666752095541</v>
      </c>
      <c r="L123" s="16" t="e">
        <v>#DIV/0!</v>
      </c>
      <c r="M123">
        <v>8.6246220768407298</v>
      </c>
      <c r="N123" t="e">
        <v>#DIV/0!</v>
      </c>
      <c r="O123">
        <v>128</v>
      </c>
      <c r="P123">
        <v>41.7</v>
      </c>
      <c r="Q123">
        <v>100</v>
      </c>
      <c r="R123">
        <v>3</v>
      </c>
      <c r="S123" t="s">
        <v>1715</v>
      </c>
      <c r="T123" t="s">
        <v>1715</v>
      </c>
    </row>
    <row r="124" spans="1:20">
      <c r="A124" s="161"/>
    </row>
    <row r="125" spans="1:20">
      <c r="A125" s="332" t="s">
        <v>2437</v>
      </c>
      <c r="B125" s="68"/>
      <c r="C125" s="349" t="s">
        <v>2438</v>
      </c>
      <c r="D125" s="7"/>
      <c r="E125" s="349" t="s">
        <v>2438</v>
      </c>
      <c r="F125" s="7"/>
      <c r="G125" s="7"/>
      <c r="H125" s="373"/>
      <c r="I125" s="374"/>
      <c r="J125" s="374"/>
      <c r="K125" s="9"/>
    </row>
    <row r="126" spans="1:20">
      <c r="A126" s="372"/>
      <c r="B126" s="68"/>
      <c r="C126" s="332" t="s">
        <v>2439</v>
      </c>
      <c r="D126" s="7"/>
      <c r="E126" s="349" t="s">
        <v>2440</v>
      </c>
      <c r="F126" s="349"/>
      <c r="G126" s="349" t="s">
        <v>2441</v>
      </c>
      <c r="H126" s="349"/>
      <c r="I126" s="375"/>
      <c r="J126" s="376" t="s">
        <v>2442</v>
      </c>
      <c r="K126" s="9"/>
      <c r="L126" s="16" t="s">
        <v>2562</v>
      </c>
    </row>
    <row r="127" spans="1:20">
      <c r="A127" s="382" t="s">
        <v>2417</v>
      </c>
      <c r="B127" s="378"/>
      <c r="C127" s="370">
        <v>69.769239607980523</v>
      </c>
      <c r="D127" s="370"/>
      <c r="E127" s="370">
        <v>69.839214993955054</v>
      </c>
      <c r="F127" s="370"/>
      <c r="G127" s="370">
        <v>0.10029546884516413</v>
      </c>
      <c r="H127" s="383" t="s">
        <v>2443</v>
      </c>
      <c r="I127" s="379"/>
      <c r="J127" s="379">
        <v>69.839214993955054</v>
      </c>
      <c r="K127" s="380"/>
    </row>
    <row r="128" spans="1:20">
      <c r="A128" s="382" t="s">
        <v>2418</v>
      </c>
      <c r="B128" s="378"/>
      <c r="C128" s="370"/>
      <c r="D128" s="370"/>
      <c r="E128" s="370"/>
      <c r="F128" s="370"/>
      <c r="G128" s="370"/>
      <c r="H128" s="383" t="s">
        <v>2443</v>
      </c>
      <c r="I128" s="379"/>
      <c r="J128" s="379"/>
      <c r="K128" s="380"/>
    </row>
    <row r="129" spans="1:20">
      <c r="A129" s="377" t="s">
        <v>2422</v>
      </c>
      <c r="B129" s="68"/>
      <c r="C129" s="7">
        <v>66.51207745625689</v>
      </c>
      <c r="D129" s="7"/>
      <c r="E129" s="7">
        <v>67.48473634219846</v>
      </c>
      <c r="F129" s="7"/>
      <c r="G129" s="384">
        <v>1.4623793499477746</v>
      </c>
      <c r="H129" s="373"/>
      <c r="I129" s="374"/>
      <c r="J129" s="374">
        <v>66.998406899227675</v>
      </c>
      <c r="K129" s="9"/>
    </row>
    <row r="130" spans="1:20">
      <c r="A130" s="377" t="s">
        <v>2423</v>
      </c>
      <c r="B130" s="68"/>
      <c r="C130" s="7">
        <v>57.954693973258344</v>
      </c>
      <c r="D130" s="7"/>
      <c r="E130" s="7">
        <v>56.810150933001225</v>
      </c>
      <c r="F130" s="7"/>
      <c r="G130" s="384">
        <v>1.9748927339435836</v>
      </c>
      <c r="H130" s="373"/>
      <c r="I130" s="374"/>
      <c r="J130" s="374">
        <v>57.382422453129784</v>
      </c>
      <c r="K130" s="9"/>
    </row>
    <row r="131" spans="1:20">
      <c r="A131" s="377" t="s">
        <v>2424</v>
      </c>
      <c r="B131" s="68"/>
      <c r="C131" s="7">
        <v>64.11608879301599</v>
      </c>
      <c r="D131" s="7"/>
      <c r="E131" s="7">
        <v>62.716943990097903</v>
      </c>
      <c r="F131" s="7"/>
      <c r="G131" s="384">
        <v>2.1822054795558472</v>
      </c>
      <c r="H131" s="373"/>
      <c r="I131" s="374"/>
      <c r="J131" s="374">
        <v>63.649707192043287</v>
      </c>
      <c r="K131" s="9"/>
      <c r="L131" s="16">
        <v>0.74073080190061857</v>
      </c>
    </row>
    <row r="132" spans="1:20">
      <c r="A132" s="133" t="s">
        <v>2425</v>
      </c>
      <c r="B132" s="378"/>
      <c r="C132" s="370">
        <v>87.810907119931088</v>
      </c>
      <c r="D132" s="370"/>
      <c r="E132" s="370">
        <v>88.377161447701837</v>
      </c>
      <c r="F132" s="370"/>
      <c r="G132" s="370">
        <v>0.64485648348600544</v>
      </c>
      <c r="H132" s="383"/>
      <c r="I132" s="379"/>
      <c r="J132" s="379">
        <v>88.188410005111606</v>
      </c>
      <c r="K132" s="380"/>
      <c r="L132" s="16">
        <v>0.27124650074672924</v>
      </c>
      <c r="N132" s="7"/>
    </row>
    <row r="133" spans="1:20">
      <c r="A133" s="133" t="s">
        <v>2426</v>
      </c>
      <c r="B133" s="378"/>
      <c r="C133" s="370"/>
      <c r="D133" s="370"/>
      <c r="E133" s="370"/>
      <c r="F133" s="370"/>
      <c r="G133" s="370"/>
      <c r="H133" s="383"/>
      <c r="I133" s="379"/>
      <c r="J133" s="379"/>
      <c r="K133" s="380"/>
    </row>
    <row r="134" spans="1:20">
      <c r="A134" s="377" t="s">
        <v>2427</v>
      </c>
      <c r="B134" s="68"/>
      <c r="C134" s="7">
        <v>60.927941052597568</v>
      </c>
      <c r="D134" s="7"/>
      <c r="E134" s="7">
        <v>62.261150448006894</v>
      </c>
      <c r="F134" s="7"/>
      <c r="G134" s="384">
        <v>2.1881740501593518</v>
      </c>
      <c r="H134" s="385" t="s">
        <v>2443</v>
      </c>
      <c r="I134" s="374"/>
      <c r="J134" s="374">
        <v>62.261150448006894</v>
      </c>
      <c r="K134" s="9"/>
    </row>
    <row r="135" spans="1:20">
      <c r="A135" s="377" t="s">
        <v>2428</v>
      </c>
      <c r="B135" s="68"/>
      <c r="C135" s="7">
        <v>56.735315125076369</v>
      </c>
      <c r="D135" s="7"/>
      <c r="E135" s="7">
        <v>57.352811376047796</v>
      </c>
      <c r="F135" s="7"/>
      <c r="G135" s="384">
        <v>1.0883807547558704</v>
      </c>
      <c r="H135" s="385" t="s">
        <v>2443</v>
      </c>
      <c r="I135" s="374"/>
      <c r="J135" s="374">
        <v>57.352811376047796</v>
      </c>
      <c r="K135" s="9"/>
    </row>
    <row r="136" spans="1:20">
      <c r="A136" s="377" t="s">
        <v>2429</v>
      </c>
      <c r="B136" s="68"/>
      <c r="C136" s="7">
        <v>44.329462813731986</v>
      </c>
      <c r="D136" s="7"/>
      <c r="E136" s="7">
        <v>44.746647791975761</v>
      </c>
      <c r="F136" s="7"/>
      <c r="G136" s="384">
        <v>0.94110091068945412</v>
      </c>
      <c r="H136" s="385" t="s">
        <v>2443</v>
      </c>
      <c r="I136" s="374"/>
      <c r="J136" s="374">
        <v>44.746647791975761</v>
      </c>
      <c r="K136" s="9"/>
    </row>
    <row r="137" spans="1:20">
      <c r="A137" s="377" t="s">
        <v>2430</v>
      </c>
      <c r="B137" s="68"/>
      <c r="C137" s="7">
        <v>37.201251554566269</v>
      </c>
      <c r="D137" s="7"/>
      <c r="E137" s="7">
        <v>37.36604099534572</v>
      </c>
      <c r="F137" s="7"/>
      <c r="G137" s="384">
        <v>0.44296746451591873</v>
      </c>
      <c r="H137" s="385" t="s">
        <v>2443</v>
      </c>
      <c r="I137" s="374"/>
      <c r="J137" s="374">
        <v>37.36604099534572</v>
      </c>
      <c r="K137" s="9"/>
    </row>
    <row r="138" spans="1:20">
      <c r="A138" s="377" t="s">
        <v>2431</v>
      </c>
      <c r="B138" s="68"/>
      <c r="C138" s="7">
        <v>51.986994377443928</v>
      </c>
      <c r="D138" s="7"/>
      <c r="E138" s="7">
        <v>52.403785054251998</v>
      </c>
      <c r="F138" s="7"/>
      <c r="G138" s="384">
        <v>0.80172104927248233</v>
      </c>
      <c r="H138" s="385" t="s">
        <v>2443</v>
      </c>
      <c r="I138" s="374"/>
      <c r="J138" s="374">
        <v>52.403785054251998</v>
      </c>
      <c r="K138" s="9"/>
    </row>
    <row r="139" spans="1:20">
      <c r="A139" s="377" t="s">
        <v>2432</v>
      </c>
      <c r="B139" s="68"/>
      <c r="C139" s="7">
        <v>65.128423371582898</v>
      </c>
      <c r="D139" s="7"/>
      <c r="E139" s="7">
        <v>66.853776517971767</v>
      </c>
      <c r="F139" s="7"/>
      <c r="G139" s="384">
        <v>2.6491554026190083</v>
      </c>
      <c r="H139" s="385" t="s">
        <v>2443</v>
      </c>
      <c r="I139" s="374"/>
      <c r="J139" s="374">
        <v>66.853776517971767</v>
      </c>
      <c r="K139" s="9"/>
    </row>
    <row r="140" spans="1:20">
      <c r="A140" s="381" t="s">
        <v>2433</v>
      </c>
      <c r="B140" s="68"/>
      <c r="C140" s="7">
        <v>74.576309340659762</v>
      </c>
      <c r="D140" s="7"/>
      <c r="E140" s="7">
        <v>76.068899376052883</v>
      </c>
      <c r="F140" s="7"/>
      <c r="G140" s="386">
        <v>2.001426523502345</v>
      </c>
      <c r="H140" s="373" t="s">
        <v>2444</v>
      </c>
      <c r="I140" s="374"/>
      <c r="J140" s="374">
        <v>76.068899376052883</v>
      </c>
      <c r="K140" s="9"/>
    </row>
    <row r="141" spans="1:20">
      <c r="A141" s="381" t="s">
        <v>2434</v>
      </c>
      <c r="B141" s="68"/>
      <c r="C141" s="7">
        <v>71.180674431646224</v>
      </c>
      <c r="D141" s="7"/>
      <c r="E141" s="7">
        <v>72.93190939780068</v>
      </c>
      <c r="F141" s="7"/>
      <c r="G141" s="386">
        <v>2.4602674534028779</v>
      </c>
      <c r="H141" s="373" t="s">
        <v>2444</v>
      </c>
      <c r="I141" s="374"/>
      <c r="J141" s="374">
        <v>72.93190939780068</v>
      </c>
      <c r="K141" s="9"/>
    </row>
    <row r="142" spans="1:20">
      <c r="A142" s="381" t="s">
        <v>2435</v>
      </c>
      <c r="B142" s="68"/>
      <c r="C142" s="7">
        <v>73.521795520988761</v>
      </c>
      <c r="D142" s="7"/>
      <c r="E142" s="7">
        <v>75.870479109046272</v>
      </c>
      <c r="F142" s="7"/>
      <c r="G142" s="386">
        <v>3.1945405731923628</v>
      </c>
      <c r="H142" s="373" t="s">
        <v>2444</v>
      </c>
      <c r="I142" s="374"/>
      <c r="J142" s="374">
        <v>75.870479109046272</v>
      </c>
      <c r="K142" s="9"/>
    </row>
    <row r="143" spans="1:20">
      <c r="A143" s="161"/>
    </row>
    <row r="144" spans="1:20">
      <c r="A144" s="161">
        <v>43329</v>
      </c>
      <c r="B144">
        <v>1</v>
      </c>
      <c r="C144" t="s">
        <v>2375</v>
      </c>
      <c r="D144">
        <v>0</v>
      </c>
      <c r="H144">
        <v>0.44059999999999999</v>
      </c>
      <c r="O144">
        <v>128</v>
      </c>
      <c r="P144">
        <v>41.7</v>
      </c>
      <c r="Q144">
        <v>100</v>
      </c>
      <c r="R144">
        <v>3</v>
      </c>
      <c r="S144" t="s">
        <v>1715</v>
      </c>
      <c r="T144" t="s">
        <v>1715</v>
      </c>
    </row>
    <row r="145" spans="1:24">
      <c r="A145" s="161">
        <v>43329</v>
      </c>
      <c r="B145">
        <v>2</v>
      </c>
      <c r="C145" t="s">
        <v>2376</v>
      </c>
      <c r="D145">
        <v>0</v>
      </c>
      <c r="H145">
        <v>0</v>
      </c>
      <c r="O145">
        <v>128</v>
      </c>
      <c r="P145">
        <v>41.7</v>
      </c>
      <c r="Q145">
        <v>100</v>
      </c>
      <c r="R145">
        <v>3</v>
      </c>
      <c r="S145" t="s">
        <v>1715</v>
      </c>
      <c r="T145" t="s">
        <v>1715</v>
      </c>
      <c r="U145" s="161">
        <v>43329</v>
      </c>
    </row>
    <row r="146" spans="1:24">
      <c r="A146" s="161">
        <v>43329</v>
      </c>
      <c r="B146">
        <v>3</v>
      </c>
      <c r="C146" t="s">
        <v>2377</v>
      </c>
      <c r="D146">
        <v>0</v>
      </c>
      <c r="G146">
        <v>0</v>
      </c>
      <c r="H146">
        <v>0.63570000000000004</v>
      </c>
      <c r="I146">
        <v>0.49677499999999997</v>
      </c>
      <c r="J146">
        <v>0.49677499999999997</v>
      </c>
      <c r="K146">
        <v>-2.438831485421626</v>
      </c>
      <c r="L146" s="16" t="e">
        <v>#DIV/0!</v>
      </c>
      <c r="M146">
        <v>4.1400674229808487</v>
      </c>
      <c r="N146" t="e">
        <v>#DIV/0!</v>
      </c>
      <c r="O146">
        <v>128</v>
      </c>
      <c r="P146">
        <v>41.7</v>
      </c>
      <c r="Q146">
        <v>100</v>
      </c>
      <c r="R146">
        <v>3</v>
      </c>
      <c r="S146" t="s">
        <v>1715</v>
      </c>
      <c r="T146" t="s">
        <v>1715</v>
      </c>
      <c r="U146" s="7">
        <f>((J146-INDEX(LINEST($J$146:$J$151,$G$146:$G$151),2))/INDEX(LINEST($J$146:$J$151,$G$146:$G$151),1)/100.09)*12.01</f>
        <v>-0.292640285142509</v>
      </c>
      <c r="V146" s="7">
        <f>(J146-U146)^2</f>
        <v>0.62317649241662865</v>
      </c>
    </row>
    <row r="147" spans="1:24">
      <c r="A147" s="161">
        <v>43329</v>
      </c>
      <c r="B147">
        <v>4</v>
      </c>
      <c r="C147" t="s">
        <v>2502</v>
      </c>
      <c r="D147">
        <v>229.8</v>
      </c>
      <c r="G147">
        <v>229.75404</v>
      </c>
      <c r="H147">
        <v>28.206499999999998</v>
      </c>
      <c r="I147">
        <v>0.49677499999999997</v>
      </c>
      <c r="J147">
        <v>27.709724999999999</v>
      </c>
      <c r="K147">
        <v>226.93591345228111</v>
      </c>
      <c r="L147" s="16">
        <v>98.773415889566564</v>
      </c>
      <c r="M147">
        <v>230.92975647377187</v>
      </c>
      <c r="N147">
        <v>100.51172831336149</v>
      </c>
      <c r="O147">
        <v>128</v>
      </c>
      <c r="P147">
        <v>41.7</v>
      </c>
      <c r="Q147">
        <v>100</v>
      </c>
      <c r="R147">
        <v>3</v>
      </c>
      <c r="S147" t="s">
        <v>1715</v>
      </c>
      <c r="T147" t="s">
        <v>1715</v>
      </c>
      <c r="U147" s="7">
        <f t="shared" ref="U147:U151" si="13">((J147-INDEX(LINEST($J$146:$J$151,$G$146:$G$151),2))/INDEX(LINEST($J$146:$J$151,$G$146:$G$151),1)/100.09)*12.01</f>
        <v>27.230495759435467</v>
      </c>
      <c r="V147" s="7">
        <f t="shared" ref="V147:V151" si="14">(J147-U147)^2</f>
        <v>0.22966066501205806</v>
      </c>
    </row>
    <row r="148" spans="1:24">
      <c r="A148" s="161">
        <v>43329</v>
      </c>
      <c r="B148">
        <v>5</v>
      </c>
      <c r="C148" t="s">
        <v>2503</v>
      </c>
      <c r="D148">
        <v>925.2</v>
      </c>
      <c r="G148">
        <v>925.01496000000009</v>
      </c>
      <c r="H148">
        <v>111.67230000000001</v>
      </c>
      <c r="I148">
        <v>0.49677499999999997</v>
      </c>
      <c r="J148">
        <v>111.17552500000001</v>
      </c>
      <c r="K148">
        <v>930.4592942699179</v>
      </c>
      <c r="L148" s="16">
        <v>100.58856715894819</v>
      </c>
      <c r="M148">
        <v>926.52442108659466</v>
      </c>
      <c r="N148">
        <v>100.16318234319093</v>
      </c>
      <c r="O148">
        <v>128</v>
      </c>
      <c r="P148">
        <v>41.7</v>
      </c>
      <c r="Q148">
        <v>100</v>
      </c>
      <c r="R148">
        <v>3</v>
      </c>
      <c r="S148" t="s">
        <v>1715</v>
      </c>
      <c r="T148" t="s">
        <v>1715</v>
      </c>
      <c r="U148" s="7">
        <f t="shared" si="13"/>
        <v>111.64767833131894</v>
      </c>
      <c r="V148" s="7">
        <f t="shared" si="14"/>
        <v>0.22292876827556843</v>
      </c>
    </row>
    <row r="149" spans="1:24">
      <c r="A149" s="161">
        <v>43329</v>
      </c>
      <c r="B149">
        <v>6</v>
      </c>
      <c r="C149" t="s">
        <v>2504</v>
      </c>
      <c r="D149">
        <v>1854.2</v>
      </c>
      <c r="G149">
        <v>1853.82916</v>
      </c>
      <c r="H149">
        <v>222.05269999999999</v>
      </c>
      <c r="I149">
        <v>0.49677499999999997</v>
      </c>
      <c r="J149">
        <v>221.55592499999997</v>
      </c>
      <c r="K149">
        <v>1860.8426630749022</v>
      </c>
      <c r="L149" s="16">
        <v>100.37832521066301</v>
      </c>
      <c r="M149">
        <v>1846.4223591382181</v>
      </c>
      <c r="N149">
        <v>99.60045936154215</v>
      </c>
      <c r="O149">
        <v>128</v>
      </c>
      <c r="P149">
        <v>41.7</v>
      </c>
      <c r="Q149">
        <v>100</v>
      </c>
      <c r="R149">
        <v>3</v>
      </c>
      <c r="S149" t="s">
        <v>1715</v>
      </c>
      <c r="T149" t="s">
        <v>1715</v>
      </c>
      <c r="U149" s="7">
        <f t="shared" si="13"/>
        <v>223.28624621370341</v>
      </c>
      <c r="V149" s="7">
        <f t="shared" si="14"/>
        <v>2.9940115025921235</v>
      </c>
    </row>
    <row r="150" spans="1:24">
      <c r="A150" s="161">
        <v>43329</v>
      </c>
      <c r="B150">
        <v>7</v>
      </c>
      <c r="C150" t="s">
        <v>2505</v>
      </c>
      <c r="D150">
        <v>2931.8</v>
      </c>
      <c r="G150">
        <v>2931.2136400000004</v>
      </c>
      <c r="H150">
        <v>347.77199999999999</v>
      </c>
      <c r="I150">
        <v>0.49677499999999997</v>
      </c>
      <c r="J150">
        <v>347.27522499999998</v>
      </c>
      <c r="K150">
        <v>2920.5158102804248</v>
      </c>
      <c r="L150" s="16">
        <v>99.63503752938405</v>
      </c>
      <c r="M150">
        <v>2894.1529783721899</v>
      </c>
      <c r="N150">
        <v>98.735654708954939</v>
      </c>
      <c r="O150">
        <v>128</v>
      </c>
      <c r="P150">
        <v>41.7</v>
      </c>
      <c r="Q150">
        <v>100</v>
      </c>
      <c r="R150">
        <v>3</v>
      </c>
      <c r="S150" t="s">
        <v>1715</v>
      </c>
      <c r="T150" t="s">
        <v>1715</v>
      </c>
      <c r="U150" s="7">
        <f t="shared" si="13"/>
        <v>350.43855411597463</v>
      </c>
      <c r="V150" s="7">
        <f t="shared" si="14"/>
        <v>10.006651095972947</v>
      </c>
    </row>
    <row r="151" spans="1:24">
      <c r="A151" s="161">
        <v>43329</v>
      </c>
      <c r="B151">
        <v>8</v>
      </c>
      <c r="C151" t="s">
        <v>2506</v>
      </c>
      <c r="D151">
        <v>3994.9</v>
      </c>
      <c r="G151">
        <v>3994.1010200000001</v>
      </c>
      <c r="H151">
        <v>475.55669999999998</v>
      </c>
      <c r="I151">
        <v>0.49677499999999997</v>
      </c>
      <c r="J151">
        <v>475.05992499999996</v>
      </c>
      <c r="K151">
        <v>3997.5979704078959</v>
      </c>
      <c r="L151" s="16">
        <v>100.08755287836702</v>
      </c>
      <c r="M151">
        <v>3959.0964107618652</v>
      </c>
      <c r="N151">
        <v>99.123592291160051</v>
      </c>
      <c r="O151">
        <v>128</v>
      </c>
      <c r="P151">
        <v>41.7</v>
      </c>
      <c r="Q151">
        <v>100</v>
      </c>
      <c r="R151">
        <v>3</v>
      </c>
      <c r="S151" t="s">
        <v>1715</v>
      </c>
      <c r="T151" t="s">
        <v>1715</v>
      </c>
      <c r="U151" s="7">
        <f t="shared" si="13"/>
        <v>479.67980442200843</v>
      </c>
      <c r="V151" s="7">
        <f t="shared" si="14"/>
        <v>21.343285873897283</v>
      </c>
      <c r="X151" s="193" t="s">
        <v>2567</v>
      </c>
    </row>
    <row r="152" spans="1:24">
      <c r="A152" s="161">
        <v>43329</v>
      </c>
      <c r="B152">
        <v>9</v>
      </c>
      <c r="C152" t="s">
        <v>2378</v>
      </c>
      <c r="D152">
        <v>0</v>
      </c>
      <c r="G152">
        <v>0</v>
      </c>
      <c r="H152">
        <v>1.8089</v>
      </c>
      <c r="I152">
        <v>0.49677499999999997</v>
      </c>
      <c r="J152">
        <v>1.312125</v>
      </c>
      <c r="K152">
        <v>4.4336574687327719</v>
      </c>
      <c r="L152" s="16" t="e">
        <v>#DIV/0!</v>
      </c>
      <c r="M152">
        <v>10.935103351373854</v>
      </c>
      <c r="N152" t="e">
        <v>#DIV/0!</v>
      </c>
      <c r="O152">
        <v>128</v>
      </c>
      <c r="P152">
        <v>41.7</v>
      </c>
      <c r="Q152">
        <v>100</v>
      </c>
      <c r="R152">
        <v>3</v>
      </c>
      <c r="S152" t="s">
        <v>1715</v>
      </c>
      <c r="T152" t="s">
        <v>1715</v>
      </c>
      <c r="V152" s="193">
        <f>SQRT(SUM(V146:V151)/(6-2))</f>
        <v>2.9757232061368968</v>
      </c>
      <c r="W152" s="193" t="s">
        <v>2656</v>
      </c>
      <c r="X152" s="192">
        <f>(V152/$AG$15)*100</f>
        <v>1.4515069971256414</v>
      </c>
    </row>
    <row r="153" spans="1:24">
      <c r="A153" s="161">
        <v>43329</v>
      </c>
      <c r="B153">
        <v>10</v>
      </c>
      <c r="C153" t="s">
        <v>2379</v>
      </c>
      <c r="D153">
        <v>0</v>
      </c>
      <c r="G153">
        <v>0</v>
      </c>
      <c r="H153">
        <v>0.41320000000000001</v>
      </c>
      <c r="I153">
        <v>0.49677499999999997</v>
      </c>
      <c r="J153">
        <v>-8.3574999999999955E-2</v>
      </c>
      <c r="K153">
        <v>-7.3305331651217598</v>
      </c>
      <c r="L153" s="16" t="e">
        <v>#DIV/0!</v>
      </c>
      <c r="M153">
        <v>-0.69650472522897544</v>
      </c>
      <c r="N153" t="e">
        <v>#DIV/0!</v>
      </c>
      <c r="O153">
        <v>128</v>
      </c>
      <c r="P153">
        <v>41.7</v>
      </c>
      <c r="Q153">
        <v>100</v>
      </c>
      <c r="R153">
        <v>3</v>
      </c>
      <c r="S153" t="s">
        <v>1715</v>
      </c>
      <c r="T153" t="s">
        <v>1715</v>
      </c>
      <c r="V153" s="192">
        <f>(V152/12.01)*100.09</f>
        <v>24.799345187530559</v>
      </c>
      <c r="W153" s="193" t="s">
        <v>2657</v>
      </c>
    </row>
    <row r="154" spans="1:24" s="16" customFormat="1">
      <c r="A154" s="555">
        <v>43329</v>
      </c>
      <c r="B154" s="16">
        <v>11</v>
      </c>
      <c r="C154" s="16" t="s">
        <v>2382</v>
      </c>
      <c r="D154" s="16">
        <v>1349.2</v>
      </c>
      <c r="H154" s="16">
        <v>18.815000000000001</v>
      </c>
      <c r="I154" s="16">
        <v>0.49677499999999997</v>
      </c>
      <c r="J154" s="16">
        <v>18.318225000000002</v>
      </c>
      <c r="K154" s="16">
        <v>147.77606797127171</v>
      </c>
      <c r="L154" s="16">
        <v>10.952865992534221</v>
      </c>
      <c r="M154" s="16">
        <v>152.6620433180683</v>
      </c>
      <c r="N154" s="16">
        <v>11.315004693008323</v>
      </c>
      <c r="O154" s="16">
        <v>128</v>
      </c>
      <c r="P154" s="16">
        <v>41.7</v>
      </c>
      <c r="Q154" s="16">
        <v>100</v>
      </c>
      <c r="R154" s="16">
        <v>3</v>
      </c>
      <c r="S154" s="16" t="s">
        <v>1715</v>
      </c>
      <c r="T154" s="16" t="s">
        <v>1715</v>
      </c>
    </row>
    <row r="155" spans="1:24" s="16" customFormat="1">
      <c r="A155" s="555">
        <v>43329</v>
      </c>
      <c r="B155" s="16">
        <v>12</v>
      </c>
      <c r="C155" s="16" t="s">
        <v>2382</v>
      </c>
      <c r="D155" s="16">
        <v>1910.1</v>
      </c>
      <c r="H155" s="16">
        <v>27.622199999999999</v>
      </c>
      <c r="I155" s="16">
        <v>0.49677499999999997</v>
      </c>
      <c r="J155" s="16">
        <v>27.125425</v>
      </c>
      <c r="K155" s="16">
        <v>222.0109176886061</v>
      </c>
      <c r="L155" s="16">
        <v>11.622999721931109</v>
      </c>
      <c r="M155" s="16">
        <v>226.06026546627811</v>
      </c>
      <c r="N155" s="16">
        <v>11.834996359681593</v>
      </c>
      <c r="O155" s="16">
        <v>128</v>
      </c>
      <c r="P155" s="16">
        <v>41.7</v>
      </c>
      <c r="Q155" s="16">
        <v>100</v>
      </c>
      <c r="R155" s="16">
        <v>3</v>
      </c>
      <c r="S155" s="16" t="s">
        <v>1715</v>
      </c>
      <c r="T155" s="16" t="s">
        <v>1715</v>
      </c>
    </row>
    <row r="156" spans="1:24">
      <c r="A156" s="161">
        <v>43329</v>
      </c>
      <c r="B156">
        <v>13</v>
      </c>
      <c r="C156" t="s">
        <v>2380</v>
      </c>
      <c r="H156">
        <v>0</v>
      </c>
      <c r="I156">
        <v>0.49677499999999997</v>
      </c>
      <c r="J156">
        <v>-0.49677499999999997</v>
      </c>
      <c r="K156">
        <v>-10.813347215353682</v>
      </c>
      <c r="L156" s="16" t="e">
        <v>#DIV/0!</v>
      </c>
      <c r="M156">
        <v>-4.1400674229808487</v>
      </c>
      <c r="N156" t="e">
        <v>#DIV/0!</v>
      </c>
      <c r="O156">
        <v>128</v>
      </c>
      <c r="P156">
        <v>41.7</v>
      </c>
      <c r="Q156">
        <v>100</v>
      </c>
      <c r="R156">
        <v>3</v>
      </c>
      <c r="S156" t="s">
        <v>1715</v>
      </c>
      <c r="T156" t="s">
        <v>1715</v>
      </c>
    </row>
    <row r="157" spans="1:24">
      <c r="A157" s="459">
        <v>43329</v>
      </c>
      <c r="B157" s="346">
        <v>14</v>
      </c>
      <c r="C157" s="346" t="s">
        <v>2445</v>
      </c>
      <c r="D157" s="346">
        <v>2723.8</v>
      </c>
      <c r="E157" s="346"/>
      <c r="F157" s="346"/>
      <c r="G157" s="346"/>
      <c r="H157" s="346">
        <v>232.744</v>
      </c>
      <c r="I157" s="346">
        <v>0.49677499999999997</v>
      </c>
      <c r="J157" s="346">
        <v>232.24722499999999</v>
      </c>
      <c r="K157" s="346">
        <v>1950.9583694041485</v>
      </c>
      <c r="L157" s="16">
        <v>71.626344423384552</v>
      </c>
      <c r="M157" s="346">
        <v>1935.5224604704415</v>
      </c>
      <c r="N157" s="346">
        <v>71.059639491535407</v>
      </c>
      <c r="O157" s="346">
        <v>128</v>
      </c>
      <c r="P157" s="346">
        <v>41.7</v>
      </c>
      <c r="Q157" s="346">
        <v>100</v>
      </c>
      <c r="R157" s="346">
        <v>3</v>
      </c>
      <c r="S157" s="346" t="s">
        <v>1715</v>
      </c>
      <c r="T157" s="346" t="s">
        <v>1715</v>
      </c>
    </row>
    <row r="158" spans="1:24">
      <c r="A158" s="459">
        <v>43329</v>
      </c>
      <c r="B158" s="346">
        <v>15</v>
      </c>
      <c r="C158" s="346" t="s">
        <v>2446</v>
      </c>
      <c r="D158" s="346">
        <v>2077.5</v>
      </c>
      <c r="E158" s="346"/>
      <c r="F158" s="346"/>
      <c r="G158" s="346"/>
      <c r="H158" s="346">
        <v>158.88300000000001</v>
      </c>
      <c r="I158" s="346">
        <v>0.49677499999999997</v>
      </c>
      <c r="J158" s="346">
        <v>158.386225</v>
      </c>
      <c r="K158" s="346">
        <v>1328.3927146021642</v>
      </c>
      <c r="L158" s="16">
        <v>63.941887586145086</v>
      </c>
      <c r="M158" s="346">
        <v>1319.9731274146545</v>
      </c>
      <c r="N158" s="346">
        <v>63.536612631270977</v>
      </c>
      <c r="O158" s="346">
        <v>128</v>
      </c>
      <c r="P158" s="346">
        <v>41.7</v>
      </c>
      <c r="Q158" s="346">
        <v>100</v>
      </c>
      <c r="R158" s="346">
        <v>3</v>
      </c>
      <c r="S158" s="346" t="s">
        <v>1715</v>
      </c>
      <c r="T158" s="346" t="s">
        <v>1715</v>
      </c>
    </row>
    <row r="159" spans="1:24">
      <c r="A159" s="459">
        <v>43329</v>
      </c>
      <c r="B159" s="346">
        <v>16</v>
      </c>
      <c r="C159" s="346" t="s">
        <v>2447</v>
      </c>
      <c r="D159" s="346">
        <v>2721.5</v>
      </c>
      <c r="E159" s="346"/>
      <c r="F159" s="346"/>
      <c r="G159" s="346"/>
      <c r="H159" s="346">
        <v>206.47280000000001</v>
      </c>
      <c r="I159" s="346">
        <v>0.49677499999999997</v>
      </c>
      <c r="J159" s="346">
        <v>205.97602499999999</v>
      </c>
      <c r="K159" s="346">
        <v>1729.521524107796</v>
      </c>
      <c r="L159" s="16">
        <v>63.550304027477345</v>
      </c>
      <c r="M159" s="346">
        <v>1716.5812108451291</v>
      </c>
      <c r="N159" s="346">
        <v>63.074819432119384</v>
      </c>
      <c r="O159" s="346">
        <v>128</v>
      </c>
      <c r="P159" s="346">
        <v>41.7</v>
      </c>
      <c r="Q159" s="346">
        <v>100</v>
      </c>
      <c r="R159" s="346">
        <v>3</v>
      </c>
      <c r="S159" s="346" t="s">
        <v>1715</v>
      </c>
      <c r="T159" s="346" t="s">
        <v>1715</v>
      </c>
    </row>
    <row r="160" spans="1:24">
      <c r="A160" s="459">
        <v>43329</v>
      </c>
      <c r="B160" s="346">
        <v>17</v>
      </c>
      <c r="C160" s="346" t="s">
        <v>2448</v>
      </c>
      <c r="D160" s="346">
        <v>2841.7</v>
      </c>
      <c r="E160" s="346"/>
      <c r="F160" s="346"/>
      <c r="G160" s="346"/>
      <c r="H160" s="346">
        <v>213.2525</v>
      </c>
      <c r="I160" s="346">
        <v>0.49677499999999997</v>
      </c>
      <c r="J160" s="346">
        <v>212.75572499999998</v>
      </c>
      <c r="K160" s="346">
        <v>1786.6668155317004</v>
      </c>
      <c r="L160" s="16">
        <v>62.873168016740003</v>
      </c>
      <c r="M160" s="346">
        <v>1773.0824742089924</v>
      </c>
      <c r="N160" s="346">
        <v>62.395132287327748</v>
      </c>
      <c r="O160" s="346">
        <v>128</v>
      </c>
      <c r="P160" s="346">
        <v>41.7</v>
      </c>
      <c r="Q160" s="346">
        <v>100</v>
      </c>
      <c r="R160" s="346">
        <v>3</v>
      </c>
      <c r="S160" s="346" t="s">
        <v>1715</v>
      </c>
      <c r="T160" s="346" t="s">
        <v>1715</v>
      </c>
    </row>
    <row r="161" spans="1:20">
      <c r="A161" s="459">
        <v>43329</v>
      </c>
      <c r="B161" s="346">
        <v>18</v>
      </c>
      <c r="C161" s="346" t="s">
        <v>2449</v>
      </c>
      <c r="D161" s="346">
        <v>2803.1</v>
      </c>
      <c r="E161" s="346"/>
      <c r="F161" s="346"/>
      <c r="G161" s="346"/>
      <c r="H161" s="346">
        <v>199.82550000000001</v>
      </c>
      <c r="I161" s="346">
        <v>0.49677499999999997</v>
      </c>
      <c r="J161" s="346">
        <v>199.32872499999999</v>
      </c>
      <c r="K161" s="346">
        <v>1673.4922166632011</v>
      </c>
      <c r="L161" s="16">
        <v>59.701481098184196</v>
      </c>
      <c r="M161" s="346">
        <v>1661.1833543089092</v>
      </c>
      <c r="N161" s="346">
        <v>59.262365035457506</v>
      </c>
      <c r="O161" s="346">
        <v>128</v>
      </c>
      <c r="P161" s="346">
        <v>41.7</v>
      </c>
      <c r="Q161" s="346">
        <v>100</v>
      </c>
      <c r="R161" s="346">
        <v>3</v>
      </c>
      <c r="S161" s="346" t="s">
        <v>1715</v>
      </c>
      <c r="T161" s="346" t="s">
        <v>1715</v>
      </c>
    </row>
    <row r="162" spans="1:20">
      <c r="A162" s="161">
        <v>43329</v>
      </c>
      <c r="B162">
        <v>19</v>
      </c>
      <c r="C162" t="s">
        <v>2450</v>
      </c>
      <c r="D162">
        <v>0</v>
      </c>
      <c r="H162">
        <v>0</v>
      </c>
      <c r="I162">
        <v>0.49677499999999997</v>
      </c>
      <c r="J162">
        <v>-0.49677499999999997</v>
      </c>
      <c r="K162">
        <v>-10.813347215353682</v>
      </c>
      <c r="L162" s="16" t="e">
        <v>#DIV/0!</v>
      </c>
      <c r="M162">
        <v>-4.1400674229808487</v>
      </c>
      <c r="N162" t="e">
        <v>#DIV/0!</v>
      </c>
      <c r="O162">
        <v>128</v>
      </c>
      <c r="P162">
        <v>41.7</v>
      </c>
      <c r="Q162">
        <v>100</v>
      </c>
      <c r="R162">
        <v>3</v>
      </c>
      <c r="S162" t="s">
        <v>1715</v>
      </c>
      <c r="T162" t="s">
        <v>1715</v>
      </c>
    </row>
    <row r="163" spans="1:20">
      <c r="A163" s="161">
        <v>43329</v>
      </c>
      <c r="B163">
        <v>20</v>
      </c>
      <c r="C163" t="s">
        <v>2451</v>
      </c>
      <c r="D163">
        <v>2300.1</v>
      </c>
      <c r="G163">
        <v>1.3721670764218631E-2</v>
      </c>
      <c r="H163">
        <v>199.1499</v>
      </c>
      <c r="I163">
        <v>0.49677499999999997</v>
      </c>
      <c r="J163">
        <v>198.65312499999999</v>
      </c>
      <c r="K163">
        <v>1667.7976639711956</v>
      </c>
      <c r="L163" s="16">
        <v>72.509789312255805</v>
      </c>
      <c r="M163">
        <v>1655.5529792880934</v>
      </c>
      <c r="N163">
        <v>71.977434863183916</v>
      </c>
      <c r="O163">
        <v>128</v>
      </c>
      <c r="P163">
        <v>41.7</v>
      </c>
      <c r="Q163">
        <v>100</v>
      </c>
      <c r="R163">
        <v>3</v>
      </c>
      <c r="S163" t="s">
        <v>1715</v>
      </c>
      <c r="T163" t="s">
        <v>1715</v>
      </c>
    </row>
    <row r="164" spans="1:20">
      <c r="A164" s="161">
        <v>43329</v>
      </c>
      <c r="B164">
        <v>21</v>
      </c>
      <c r="C164" t="s">
        <v>2452</v>
      </c>
      <c r="D164">
        <v>3009.3</v>
      </c>
      <c r="H164">
        <v>256.6311</v>
      </c>
      <c r="I164">
        <v>0.49677499999999997</v>
      </c>
      <c r="J164">
        <v>256.13432499999999</v>
      </c>
      <c r="K164">
        <v>2152.2999170791122</v>
      </c>
      <c r="L164" s="16">
        <v>71.521613567245282</v>
      </c>
      <c r="M164">
        <v>2134.5948866985846</v>
      </c>
      <c r="N164">
        <v>70.933269753716289</v>
      </c>
      <c r="O164">
        <v>128</v>
      </c>
      <c r="P164">
        <v>41.7</v>
      </c>
      <c r="Q164">
        <v>100</v>
      </c>
      <c r="R164">
        <v>3</v>
      </c>
      <c r="S164" t="s">
        <v>1715</v>
      </c>
      <c r="T164" t="s">
        <v>1715</v>
      </c>
    </row>
    <row r="165" spans="1:20">
      <c r="A165" s="459">
        <v>43329</v>
      </c>
      <c r="B165" s="346">
        <v>22</v>
      </c>
      <c r="C165" s="346" t="s">
        <v>2453</v>
      </c>
      <c r="D165" s="346">
        <v>2229.5</v>
      </c>
      <c r="E165" s="346"/>
      <c r="F165" s="346"/>
      <c r="G165" s="346"/>
      <c r="H165" s="346">
        <v>167.9607</v>
      </c>
      <c r="I165" s="346">
        <v>0.49677499999999997</v>
      </c>
      <c r="J165" s="346">
        <v>167.46392499999999</v>
      </c>
      <c r="K165" s="346">
        <v>1404.9075769056258</v>
      </c>
      <c r="L165" s="16">
        <v>63.014468576166216</v>
      </c>
      <c r="M165" s="346">
        <v>1395.6256663821816</v>
      </c>
      <c r="N165" s="346">
        <v>62.59814605885542</v>
      </c>
      <c r="O165" s="346">
        <v>128</v>
      </c>
      <c r="P165" s="346">
        <v>41.7</v>
      </c>
      <c r="Q165" s="346">
        <v>100</v>
      </c>
      <c r="R165" s="346">
        <v>3</v>
      </c>
      <c r="S165" s="346" t="s">
        <v>1715</v>
      </c>
      <c r="T165" s="346" t="s">
        <v>1715</v>
      </c>
    </row>
    <row r="166" spans="1:20">
      <c r="A166" s="161">
        <v>43329</v>
      </c>
      <c r="B166">
        <v>23</v>
      </c>
      <c r="C166" t="s">
        <v>2454</v>
      </c>
      <c r="D166">
        <v>2719.3</v>
      </c>
      <c r="H166">
        <v>209.2449</v>
      </c>
      <c r="I166">
        <v>0.49677499999999997</v>
      </c>
      <c r="J166">
        <v>208.74812499999999</v>
      </c>
      <c r="K166">
        <v>1752.8872279525392</v>
      </c>
      <c r="L166" s="16">
        <v>64.460972601498142</v>
      </c>
      <c r="M166">
        <v>1739.6835829517067</v>
      </c>
      <c r="N166">
        <v>63.975419517953398</v>
      </c>
      <c r="O166">
        <v>128</v>
      </c>
      <c r="P166">
        <v>41.7</v>
      </c>
      <c r="Q166">
        <v>100</v>
      </c>
      <c r="R166">
        <v>3</v>
      </c>
      <c r="S166" t="s">
        <v>1715</v>
      </c>
      <c r="T166" t="s">
        <v>1715</v>
      </c>
    </row>
    <row r="167" spans="1:20">
      <c r="A167" s="161">
        <v>43329</v>
      </c>
      <c r="B167">
        <v>24</v>
      </c>
      <c r="C167" t="s">
        <v>2397</v>
      </c>
      <c r="D167">
        <v>0</v>
      </c>
      <c r="E167" t="s">
        <v>2455</v>
      </c>
      <c r="H167">
        <v>0.67579999999999996</v>
      </c>
      <c r="I167">
        <v>0.49677499999999997</v>
      </c>
      <c r="J167">
        <v>0.17902499999999999</v>
      </c>
      <c r="K167">
        <v>-5.1171087469443579</v>
      </c>
      <c r="L167" s="16" t="e">
        <v>#DIV/0!</v>
      </c>
      <c r="M167">
        <v>1.4919743755203996</v>
      </c>
      <c r="N167" t="e">
        <v>#DIV/0!</v>
      </c>
      <c r="O167">
        <v>128</v>
      </c>
      <c r="P167">
        <v>41.7</v>
      </c>
      <c r="Q167">
        <v>100</v>
      </c>
      <c r="R167">
        <v>3</v>
      </c>
      <c r="S167" t="s">
        <v>1715</v>
      </c>
      <c r="T167" t="s">
        <v>1715</v>
      </c>
    </row>
    <row r="168" spans="1:20">
      <c r="A168" s="161">
        <v>43329</v>
      </c>
      <c r="B168">
        <v>25</v>
      </c>
      <c r="C168" t="s">
        <v>2507</v>
      </c>
      <c r="D168">
        <v>1559</v>
      </c>
      <c r="G168">
        <v>1558.6882000000001</v>
      </c>
      <c r="H168">
        <v>181.85210000000001</v>
      </c>
      <c r="I168">
        <v>0.49677499999999997</v>
      </c>
      <c r="J168">
        <v>181.35532499999999</v>
      </c>
      <c r="K168">
        <v>1521.9965485837276</v>
      </c>
      <c r="L168" s="16">
        <v>97.645991583417882</v>
      </c>
      <c r="M168">
        <v>1511.3950440674439</v>
      </c>
      <c r="N168">
        <v>96.965836019509467</v>
      </c>
      <c r="O168">
        <v>128</v>
      </c>
      <c r="P168">
        <v>41.7</v>
      </c>
      <c r="Q168">
        <v>100</v>
      </c>
      <c r="R168">
        <v>3</v>
      </c>
      <c r="S168" t="s">
        <v>1715</v>
      </c>
      <c r="T168" t="s">
        <v>1715</v>
      </c>
    </row>
    <row r="169" spans="1:20">
      <c r="A169" s="161">
        <v>43329</v>
      </c>
      <c r="B169">
        <v>26</v>
      </c>
      <c r="C169" t="s">
        <v>2420</v>
      </c>
      <c r="D169">
        <v>0</v>
      </c>
      <c r="E169" t="s">
        <v>2456</v>
      </c>
      <c r="H169">
        <v>2.4815</v>
      </c>
      <c r="I169">
        <v>0.49677499999999997</v>
      </c>
      <c r="J169">
        <v>1.9847250000000001</v>
      </c>
      <c r="K169">
        <v>10.102923514681443</v>
      </c>
      <c r="L169" s="16" t="e">
        <v>#DIV/0!</v>
      </c>
      <c r="M169">
        <v>16.540476706910908</v>
      </c>
      <c r="N169" t="e">
        <v>#DIV/0!</v>
      </c>
      <c r="O169">
        <v>128</v>
      </c>
      <c r="P169">
        <v>41.7</v>
      </c>
      <c r="Q169">
        <v>100</v>
      </c>
      <c r="R169">
        <v>3</v>
      </c>
      <c r="S169" t="s">
        <v>1715</v>
      </c>
      <c r="T169" t="s">
        <v>1715</v>
      </c>
    </row>
    <row r="170" spans="1:20">
      <c r="A170" s="161"/>
      <c r="H170" t="s">
        <v>2457</v>
      </c>
    </row>
    <row r="171" spans="1:20" s="193" customFormat="1">
      <c r="A171" s="463" t="s">
        <v>2437</v>
      </c>
      <c r="C171" s="193" t="s">
        <v>2438</v>
      </c>
      <c r="E171" s="193" t="s">
        <v>2438</v>
      </c>
      <c r="L171" s="544"/>
    </row>
    <row r="172" spans="1:20" s="193" customFormat="1">
      <c r="A172" s="463"/>
      <c r="C172" s="193" t="s">
        <v>2439</v>
      </c>
      <c r="E172" s="193" t="s">
        <v>2440</v>
      </c>
      <c r="G172" s="193" t="s">
        <v>2441</v>
      </c>
      <c r="J172" s="193" t="s">
        <v>2442</v>
      </c>
      <c r="L172" s="544"/>
    </row>
    <row r="173" spans="1:20">
      <c r="A173" s="161" t="s">
        <v>2445</v>
      </c>
      <c r="C173">
        <v>71.088524016853995</v>
      </c>
      <c r="E173">
        <v>71.626344423384552</v>
      </c>
      <c r="G173">
        <v>0.75655025050604197</v>
      </c>
      <c r="H173" t="s">
        <v>2444</v>
      </c>
      <c r="J173">
        <v>71.626344423384552</v>
      </c>
    </row>
    <row r="174" spans="1:20">
      <c r="A174" s="161" t="s">
        <v>2446</v>
      </c>
      <c r="C174">
        <v>63.429114223609083</v>
      </c>
      <c r="E174">
        <v>63.941887586145086</v>
      </c>
      <c r="G174">
        <v>0.8084195543521272</v>
      </c>
      <c r="H174" t="s">
        <v>2444</v>
      </c>
      <c r="J174">
        <v>63.941887586145086</v>
      </c>
    </row>
    <row r="175" spans="1:20">
      <c r="A175" s="161" t="s">
        <v>2447</v>
      </c>
      <c r="C175">
        <v>51.219762398231218</v>
      </c>
      <c r="E175">
        <v>63.550304027477345</v>
      </c>
      <c r="G175">
        <v>24.073797010959858</v>
      </c>
      <c r="H175" t="s">
        <v>2444</v>
      </c>
      <c r="J175">
        <v>63.550304027477345</v>
      </c>
    </row>
    <row r="176" spans="1:20">
      <c r="A176" s="161" t="s">
        <v>2448</v>
      </c>
      <c r="C176">
        <v>51.13178122037619</v>
      </c>
      <c r="E176">
        <v>62.873168016740003</v>
      </c>
      <c r="G176">
        <v>22.962991932080062</v>
      </c>
      <c r="H176" t="s">
        <v>2444</v>
      </c>
      <c r="J176">
        <v>62.873168016740003</v>
      </c>
    </row>
    <row r="177" spans="1:24">
      <c r="A177" s="161" t="s">
        <v>2449</v>
      </c>
      <c r="C177">
        <v>48.437385365758615</v>
      </c>
      <c r="E177">
        <v>59.701481098184196</v>
      </c>
      <c r="G177">
        <v>23.254962354736023</v>
      </c>
      <c r="H177" t="s">
        <v>2444</v>
      </c>
      <c r="J177">
        <v>59.701481098184196</v>
      </c>
    </row>
    <row r="178" spans="1:24">
      <c r="A178" s="161" t="s">
        <v>2451</v>
      </c>
      <c r="C178">
        <v>71.692078907073181</v>
      </c>
      <c r="E178">
        <v>72.015701439750543</v>
      </c>
      <c r="G178">
        <v>0.45140626079045576</v>
      </c>
      <c r="J178">
        <v>72.015701439750543</v>
      </c>
    </row>
    <row r="179" spans="1:24">
      <c r="A179" s="161" t="s">
        <v>2452</v>
      </c>
    </row>
    <row r="180" spans="1:24">
      <c r="A180" s="161" t="s">
        <v>2453</v>
      </c>
      <c r="C180">
        <v>47.7479815154962</v>
      </c>
      <c r="E180">
        <v>63.014468576166216</v>
      </c>
      <c r="G180">
        <v>31.973052213139958</v>
      </c>
      <c r="H180" t="s">
        <v>2444</v>
      </c>
      <c r="J180">
        <v>63.014468576166216</v>
      </c>
    </row>
    <row r="181" spans="1:24">
      <c r="A181" s="161"/>
    </row>
    <row r="182" spans="1:24">
      <c r="A182" s="161">
        <v>43333</v>
      </c>
      <c r="B182">
        <v>1</v>
      </c>
      <c r="C182" t="s">
        <v>2375</v>
      </c>
      <c r="D182">
        <v>0</v>
      </c>
      <c r="H182">
        <v>2.4794</v>
      </c>
      <c r="O182">
        <v>128</v>
      </c>
      <c r="P182">
        <v>41.7</v>
      </c>
      <c r="Q182">
        <v>100</v>
      </c>
      <c r="R182">
        <v>3</v>
      </c>
      <c r="S182" t="s">
        <v>1715</v>
      </c>
      <c r="T182" t="s">
        <v>1715</v>
      </c>
    </row>
    <row r="183" spans="1:24">
      <c r="A183" s="161">
        <v>43333</v>
      </c>
      <c r="B183">
        <v>2</v>
      </c>
      <c r="C183" t="s">
        <v>2376</v>
      </c>
      <c r="D183">
        <v>0</v>
      </c>
      <c r="H183">
        <v>2.8275000000000001</v>
      </c>
      <c r="O183">
        <v>128</v>
      </c>
      <c r="P183">
        <v>41.7</v>
      </c>
      <c r="Q183">
        <v>100</v>
      </c>
      <c r="R183">
        <v>3</v>
      </c>
      <c r="S183" t="s">
        <v>1715</v>
      </c>
      <c r="T183" t="s">
        <v>1715</v>
      </c>
      <c r="U183" s="161">
        <v>43333</v>
      </c>
    </row>
    <row r="184" spans="1:24">
      <c r="A184" s="161">
        <v>43333</v>
      </c>
      <c r="B184">
        <v>3</v>
      </c>
      <c r="C184" t="s">
        <v>2377</v>
      </c>
      <c r="D184">
        <v>0</v>
      </c>
      <c r="G184">
        <v>0</v>
      </c>
      <c r="H184">
        <v>2.0750999999999999</v>
      </c>
      <c r="I184">
        <v>1.6442444444444448</v>
      </c>
      <c r="J184">
        <v>1.6442444444444448</v>
      </c>
      <c r="K184">
        <v>4.6812766272023874</v>
      </c>
      <c r="L184" s="16" t="e">
        <v>#DIV/0!</v>
      </c>
      <c r="M184">
        <v>13.702949745582389</v>
      </c>
      <c r="N184" t="e">
        <v>#DIV/0!</v>
      </c>
      <c r="O184">
        <v>128</v>
      </c>
      <c r="P184">
        <v>41.7</v>
      </c>
      <c r="Q184">
        <v>100</v>
      </c>
      <c r="R184">
        <v>3</v>
      </c>
      <c r="S184" t="s">
        <v>1715</v>
      </c>
      <c r="T184" t="s">
        <v>1715</v>
      </c>
      <c r="U184" s="7">
        <f>((J184-INDEX(LINEST($J$184:$J$189,$G$184:$G$189),2))/INDEX(LINEST($J$184:$J$189,$G$184:$G$189),1)/100.09)*12.01</f>
        <v>0.56171577872615308</v>
      </c>
      <c r="V184" s="7">
        <f>(J184-U184)^2</f>
        <v>1.171868312101825</v>
      </c>
    </row>
    <row r="185" spans="1:24">
      <c r="A185" s="161">
        <v>43333</v>
      </c>
      <c r="B185">
        <v>4</v>
      </c>
      <c r="C185" t="s">
        <v>2508</v>
      </c>
      <c r="D185">
        <v>353.1</v>
      </c>
      <c r="G185">
        <v>353.02938</v>
      </c>
      <c r="H185">
        <v>45.865000000000002</v>
      </c>
      <c r="I185">
        <v>1.6442444444444448</v>
      </c>
      <c r="J185">
        <v>44.220755555555556</v>
      </c>
      <c r="K185">
        <v>361.97230332156244</v>
      </c>
      <c r="L185" s="16">
        <v>102.53319520362936</v>
      </c>
      <c r="M185">
        <v>368.53084292719029</v>
      </c>
      <c r="N185">
        <v>104.39098381193948</v>
      </c>
      <c r="O185">
        <v>128</v>
      </c>
      <c r="P185">
        <v>41.7</v>
      </c>
      <c r="Q185">
        <v>100</v>
      </c>
      <c r="R185">
        <v>3</v>
      </c>
      <c r="S185" t="s">
        <v>1715</v>
      </c>
      <c r="T185" t="s">
        <v>1715</v>
      </c>
      <c r="U185" s="7">
        <f t="shared" ref="U185:U189" si="15">((J185-INDEX(LINEST($J$184:$J$189,$G$184:$G$189),2))/INDEX(LINEST($J$184:$J$189,$G$184:$G$189),1)/100.09)*12.01</f>
        <v>43.433783224018029</v>
      </c>
      <c r="V185" s="7">
        <f t="shared" ref="V185:V189" si="16">(J185-U185)^2</f>
        <v>0.61932545060561095</v>
      </c>
    </row>
    <row r="186" spans="1:24">
      <c r="A186" s="161">
        <v>43333</v>
      </c>
      <c r="B186">
        <v>5</v>
      </c>
      <c r="C186" t="s">
        <v>2509</v>
      </c>
      <c r="D186">
        <v>1090.0999999999999</v>
      </c>
      <c r="G186">
        <v>1089.8819799999999</v>
      </c>
      <c r="H186">
        <v>133.1516</v>
      </c>
      <c r="I186">
        <v>1.6442444444444448</v>
      </c>
      <c r="J186">
        <v>131.50735555555556</v>
      </c>
      <c r="K186">
        <v>1094.458787460024</v>
      </c>
      <c r="L186" s="16">
        <v>100.41993606133613</v>
      </c>
      <c r="M186">
        <v>1095.9676284392638</v>
      </c>
      <c r="N186">
        <v>100.5583768289539</v>
      </c>
      <c r="O186">
        <v>128</v>
      </c>
      <c r="P186">
        <v>41.7</v>
      </c>
      <c r="Q186">
        <v>100</v>
      </c>
      <c r="R186">
        <v>3</v>
      </c>
      <c r="S186" t="s">
        <v>1715</v>
      </c>
      <c r="T186" t="s">
        <v>1715</v>
      </c>
      <c r="U186" s="7">
        <f t="shared" si="15"/>
        <v>131.32630669792076</v>
      </c>
      <c r="V186" s="7">
        <f t="shared" si="16"/>
        <v>3.277868885086839E-2</v>
      </c>
    </row>
    <row r="187" spans="1:24">
      <c r="A187" s="161">
        <v>43333</v>
      </c>
      <c r="B187">
        <v>6</v>
      </c>
      <c r="C187" t="s">
        <v>2510</v>
      </c>
      <c r="D187">
        <v>1956.3</v>
      </c>
      <c r="G187">
        <v>1955.9087400000001</v>
      </c>
      <c r="H187">
        <v>233.7672</v>
      </c>
      <c r="I187">
        <v>1.6442444444444448</v>
      </c>
      <c r="J187">
        <v>232.12295555555556</v>
      </c>
      <c r="K187">
        <v>1938.7987788617033</v>
      </c>
      <c r="L187" s="16">
        <v>99.12521679624497</v>
      </c>
      <c r="M187">
        <v>1934.4868127856416</v>
      </c>
      <c r="N187">
        <v>98.904758347040328</v>
      </c>
      <c r="O187">
        <v>128</v>
      </c>
      <c r="P187">
        <v>41.7</v>
      </c>
      <c r="Q187">
        <v>100</v>
      </c>
      <c r="R187">
        <v>3</v>
      </c>
      <c r="S187" t="s">
        <v>1715</v>
      </c>
      <c r="T187" t="s">
        <v>1715</v>
      </c>
      <c r="U187" s="7">
        <f t="shared" si="15"/>
        <v>232.64035701997258</v>
      </c>
      <c r="V187" s="7">
        <f t="shared" si="16"/>
        <v>0.26770427538087677</v>
      </c>
    </row>
    <row r="188" spans="1:24">
      <c r="A188" s="161">
        <v>43333</v>
      </c>
      <c r="B188">
        <v>7</v>
      </c>
      <c r="C188" t="s">
        <v>2511</v>
      </c>
      <c r="D188">
        <v>2518.6</v>
      </c>
      <c r="G188">
        <v>2518.0962799999998</v>
      </c>
      <c r="H188">
        <v>300.4837</v>
      </c>
      <c r="I188">
        <v>1.6442444444444448</v>
      </c>
      <c r="J188">
        <v>298.83945555555556</v>
      </c>
      <c r="K188">
        <v>2498.6663246135558</v>
      </c>
      <c r="L188" s="16">
        <v>99.228387113679233</v>
      </c>
      <c r="M188">
        <v>2490.4946799796467</v>
      </c>
      <c r="N188">
        <v>98.903870346833884</v>
      </c>
      <c r="O188">
        <v>128</v>
      </c>
      <c r="P188">
        <v>41.7</v>
      </c>
      <c r="Q188">
        <v>100</v>
      </c>
      <c r="R188">
        <v>3</v>
      </c>
      <c r="S188" t="s">
        <v>1715</v>
      </c>
      <c r="T188" t="s">
        <v>1715</v>
      </c>
      <c r="U188" s="7">
        <f t="shared" si="15"/>
        <v>299.81998759725053</v>
      </c>
      <c r="V188" s="7">
        <f t="shared" si="16"/>
        <v>0.96144308479050877</v>
      </c>
    </row>
    <row r="189" spans="1:24">
      <c r="A189" s="161">
        <v>43333</v>
      </c>
      <c r="B189">
        <v>8</v>
      </c>
      <c r="C189" t="s">
        <v>2512</v>
      </c>
      <c r="D189">
        <v>4049.4</v>
      </c>
      <c r="G189">
        <v>4048.5901200000003</v>
      </c>
      <c r="H189">
        <v>487.36540000000002</v>
      </c>
      <c r="I189">
        <v>1.6442444444444448</v>
      </c>
      <c r="J189">
        <v>485.72115555555558</v>
      </c>
      <c r="K189">
        <v>4066.9290291159509</v>
      </c>
      <c r="L189" s="16">
        <v>100.45297025809941</v>
      </c>
      <c r="M189">
        <v>4047.9459166990478</v>
      </c>
      <c r="N189">
        <v>99.984088206465501</v>
      </c>
      <c r="O189">
        <v>128</v>
      </c>
      <c r="P189">
        <v>41.7</v>
      </c>
      <c r="Q189">
        <v>100</v>
      </c>
      <c r="R189">
        <v>3</v>
      </c>
      <c r="S189" t="s">
        <v>1715</v>
      </c>
      <c r="T189" t="s">
        <v>1715</v>
      </c>
      <c r="U189" s="7">
        <f t="shared" si="15"/>
        <v>487.99897731724019</v>
      </c>
      <c r="V189" s="7">
        <f t="shared" si="16"/>
        <v>5.1884719780039639</v>
      </c>
      <c r="X189" s="193" t="s">
        <v>2567</v>
      </c>
    </row>
    <row r="190" spans="1:24">
      <c r="A190" s="161">
        <v>43333</v>
      </c>
      <c r="B190">
        <v>9</v>
      </c>
      <c r="C190" t="s">
        <v>2378</v>
      </c>
      <c r="D190">
        <v>0</v>
      </c>
      <c r="G190">
        <v>0</v>
      </c>
      <c r="H190">
        <v>1.6267</v>
      </c>
      <c r="I190">
        <v>1.6442444444444448</v>
      </c>
      <c r="J190">
        <v>-1.7544444444444807E-2</v>
      </c>
      <c r="K190">
        <v>-9.2640242620816906</v>
      </c>
      <c r="L190" s="16" t="e">
        <v>#DIV/0!</v>
      </c>
      <c r="M190">
        <v>-0.14621344250162205</v>
      </c>
      <c r="N190" t="e">
        <v>#DIV/0!</v>
      </c>
      <c r="O190">
        <v>128</v>
      </c>
      <c r="P190">
        <v>41.7</v>
      </c>
      <c r="Q190">
        <v>100</v>
      </c>
      <c r="R190">
        <v>3</v>
      </c>
      <c r="S190" t="s">
        <v>1715</v>
      </c>
      <c r="T190" t="s">
        <v>1715</v>
      </c>
      <c r="V190" s="193">
        <f>SQRT(SUM(V184:V189)/(6-2))</f>
        <v>1.4354086343036305</v>
      </c>
      <c r="W190" s="193" t="s">
        <v>2656</v>
      </c>
      <c r="X190" s="192">
        <f>(V190/$AG$15)*100</f>
        <v>0.70016783554647255</v>
      </c>
    </row>
    <row r="191" spans="1:24">
      <c r="A191" s="161">
        <v>43333</v>
      </c>
      <c r="B191">
        <v>10</v>
      </c>
      <c r="C191" t="s">
        <v>2379</v>
      </c>
      <c r="D191">
        <v>0</v>
      </c>
      <c r="G191">
        <v>0</v>
      </c>
      <c r="H191">
        <v>0.79469999999999996</v>
      </c>
      <c r="I191">
        <v>1.6442444444444448</v>
      </c>
      <c r="J191">
        <v>-0.84954444444444488</v>
      </c>
      <c r="K191">
        <v>-16.2459522418999</v>
      </c>
      <c r="L191" s="16" t="e">
        <v>#DIV/0!</v>
      </c>
      <c r="M191">
        <v>-7.0800086131927138</v>
      </c>
      <c r="N191" t="e">
        <v>#DIV/0!</v>
      </c>
      <c r="O191">
        <v>128</v>
      </c>
      <c r="P191">
        <v>41.7</v>
      </c>
      <c r="Q191">
        <v>100</v>
      </c>
      <c r="R191">
        <v>3</v>
      </c>
      <c r="S191" t="s">
        <v>1715</v>
      </c>
      <c r="T191" t="s">
        <v>1715</v>
      </c>
      <c r="V191" s="192">
        <f>(V190/12.01)*100.09</f>
        <v>11.96253540445049</v>
      </c>
      <c r="W191" s="193" t="s">
        <v>2657</v>
      </c>
    </row>
    <row r="192" spans="1:24" s="16" customFormat="1">
      <c r="A192" s="555">
        <v>43333</v>
      </c>
      <c r="B192" s="16">
        <v>11</v>
      </c>
      <c r="C192" s="16" t="s">
        <v>2382</v>
      </c>
      <c r="D192" s="16">
        <v>1308.5</v>
      </c>
      <c r="H192" s="16">
        <v>18.4358</v>
      </c>
      <c r="I192" s="16">
        <v>1.6442444444444448</v>
      </c>
      <c r="J192" s="16">
        <v>16.791555555555554</v>
      </c>
      <c r="K192" s="16">
        <v>131.7935786292191</v>
      </c>
      <c r="L192" s="16">
        <v>10.072111473383194</v>
      </c>
      <c r="M192" s="16">
        <v>139.93895050420943</v>
      </c>
      <c r="N192" s="16">
        <v>10.694608368682417</v>
      </c>
      <c r="O192" s="16">
        <v>128</v>
      </c>
      <c r="P192" s="16">
        <v>41.7</v>
      </c>
      <c r="Q192" s="16">
        <v>100</v>
      </c>
      <c r="R192" s="16">
        <v>3</v>
      </c>
      <c r="S192" s="16" t="s">
        <v>1715</v>
      </c>
      <c r="T192" s="16" t="s">
        <v>1715</v>
      </c>
    </row>
    <row r="193" spans="1:20" s="16" customFormat="1">
      <c r="A193" s="555">
        <v>43333</v>
      </c>
      <c r="B193" s="16">
        <v>12</v>
      </c>
      <c r="C193" s="16" t="s">
        <v>2382</v>
      </c>
      <c r="D193" s="16">
        <v>2804.6</v>
      </c>
      <c r="H193" s="16">
        <v>43.665599999999998</v>
      </c>
      <c r="I193" s="16">
        <v>1.6442444444444448</v>
      </c>
      <c r="J193" s="16">
        <v>42.021355555555552</v>
      </c>
      <c r="K193" s="16">
        <v>343.51550957299008</v>
      </c>
      <c r="L193" s="16">
        <v>12.248288867324755</v>
      </c>
      <c r="M193" s="16">
        <v>350.20128872236103</v>
      </c>
      <c r="N193" s="16">
        <v>12.486675059629219</v>
      </c>
      <c r="O193" s="16">
        <v>128</v>
      </c>
      <c r="P193" s="16">
        <v>41.7</v>
      </c>
      <c r="Q193" s="16">
        <v>100</v>
      </c>
      <c r="R193" s="16">
        <v>3</v>
      </c>
      <c r="S193" s="16" t="s">
        <v>1715</v>
      </c>
      <c r="T193" s="16" t="s">
        <v>1715</v>
      </c>
    </row>
    <row r="194" spans="1:20">
      <c r="A194" s="161">
        <v>43333</v>
      </c>
      <c r="B194">
        <v>13</v>
      </c>
      <c r="C194" t="s">
        <v>2380</v>
      </c>
      <c r="D194">
        <v>0</v>
      </c>
      <c r="H194">
        <v>0.60640000000000005</v>
      </c>
      <c r="I194">
        <v>1.6442444444444448</v>
      </c>
      <c r="J194">
        <v>-1.0378444444444448</v>
      </c>
      <c r="K194">
        <v>-17.826116951755388</v>
      </c>
      <c r="L194" s="16" t="e">
        <v>#DIV/0!</v>
      </c>
      <c r="M194">
        <v>-8.6492798038671506</v>
      </c>
      <c r="N194" t="e">
        <v>#DIV/0!</v>
      </c>
      <c r="O194">
        <v>128</v>
      </c>
      <c r="P194">
        <v>41.7</v>
      </c>
      <c r="Q194">
        <v>100</v>
      </c>
      <c r="R194">
        <v>3</v>
      </c>
      <c r="S194" t="s">
        <v>1715</v>
      </c>
      <c r="T194" t="s">
        <v>1715</v>
      </c>
    </row>
    <row r="195" spans="1:20">
      <c r="A195" s="459">
        <v>43333</v>
      </c>
      <c r="B195" s="346">
        <v>14</v>
      </c>
      <c r="C195" s="346" t="s">
        <v>2458</v>
      </c>
      <c r="D195" s="346">
        <v>2036.8</v>
      </c>
      <c r="E195" s="346" t="s">
        <v>2459</v>
      </c>
      <c r="F195" s="346"/>
      <c r="G195" s="346"/>
      <c r="H195" s="346">
        <v>227.81540000000001</v>
      </c>
      <c r="I195" s="346">
        <v>1.6442444444444448</v>
      </c>
      <c r="J195" s="346">
        <v>226.17115555555557</v>
      </c>
      <c r="K195" s="346">
        <v>1888.852818584922</v>
      </c>
      <c r="L195" s="16">
        <v>92.736293135551946</v>
      </c>
      <c r="M195" s="346">
        <v>1884.8851756499216</v>
      </c>
      <c r="N195" s="346">
        <v>92.541495269536611</v>
      </c>
      <c r="O195" s="346">
        <v>128</v>
      </c>
      <c r="P195" s="346">
        <v>41.7</v>
      </c>
      <c r="Q195" s="346">
        <v>100</v>
      </c>
      <c r="R195" s="346">
        <v>3</v>
      </c>
      <c r="S195" s="346" t="s">
        <v>1715</v>
      </c>
      <c r="T195" s="346" t="s">
        <v>1715</v>
      </c>
    </row>
    <row r="196" spans="1:20">
      <c r="A196" s="161">
        <v>43333</v>
      </c>
      <c r="B196">
        <v>15</v>
      </c>
      <c r="C196" t="s">
        <v>2460</v>
      </c>
      <c r="D196">
        <v>2135.4</v>
      </c>
      <c r="E196" t="s">
        <v>2461</v>
      </c>
      <c r="H196">
        <v>157.1199</v>
      </c>
      <c r="I196">
        <v>1.6442444444444448</v>
      </c>
      <c r="J196">
        <v>155.47565555555556</v>
      </c>
      <c r="K196">
        <v>1295.5945379392031</v>
      </c>
      <c r="L196" s="16">
        <v>60.672217754950033</v>
      </c>
      <c r="M196">
        <v>1295.7167664076233</v>
      </c>
      <c r="N196">
        <v>60.67794166936514</v>
      </c>
      <c r="O196">
        <v>128</v>
      </c>
      <c r="P196">
        <v>41.7</v>
      </c>
      <c r="Q196">
        <v>100</v>
      </c>
      <c r="R196">
        <v>3</v>
      </c>
      <c r="S196" t="s">
        <v>1715</v>
      </c>
      <c r="T196" t="s">
        <v>1715</v>
      </c>
    </row>
    <row r="197" spans="1:20">
      <c r="A197" s="161">
        <v>43333</v>
      </c>
      <c r="B197">
        <v>16</v>
      </c>
      <c r="C197" t="s">
        <v>2462</v>
      </c>
      <c r="D197">
        <v>2171.3000000000002</v>
      </c>
      <c r="H197">
        <v>178.46639999999999</v>
      </c>
      <c r="I197">
        <v>1.6442444444444448</v>
      </c>
      <c r="J197">
        <v>176.82215555555555</v>
      </c>
      <c r="K197">
        <v>1474.728823541594</v>
      </c>
      <c r="L197" s="16">
        <v>67.919164718905449</v>
      </c>
      <c r="M197">
        <v>1473.6161156998799</v>
      </c>
      <c r="N197">
        <v>67.867918560303949</v>
      </c>
      <c r="O197">
        <v>128</v>
      </c>
      <c r="P197">
        <v>41.7</v>
      </c>
      <c r="Q197">
        <v>100</v>
      </c>
      <c r="R197">
        <v>3</v>
      </c>
      <c r="S197" t="s">
        <v>1715</v>
      </c>
      <c r="T197" t="s">
        <v>1715</v>
      </c>
    </row>
    <row r="198" spans="1:20">
      <c r="A198" s="161">
        <v>43333</v>
      </c>
      <c r="B198">
        <v>17</v>
      </c>
      <c r="C198" t="s">
        <v>2463</v>
      </c>
      <c r="D198">
        <v>2085.9</v>
      </c>
      <c r="G198">
        <v>-8.8886560289440815E-3</v>
      </c>
      <c r="H198">
        <v>168.00489999999999</v>
      </c>
      <c r="I198">
        <v>1.6442444444444448</v>
      </c>
      <c r="J198">
        <v>166.36065555555555</v>
      </c>
      <c r="K198">
        <v>1386.9386317617043</v>
      </c>
      <c r="L198" s="16">
        <v>66.491137243477837</v>
      </c>
      <c r="M198">
        <v>1386.4311419280232</v>
      </c>
      <c r="N198">
        <v>66.466807705451984</v>
      </c>
      <c r="O198">
        <v>128</v>
      </c>
      <c r="P198">
        <v>41.7</v>
      </c>
      <c r="Q198">
        <v>100</v>
      </c>
      <c r="R198">
        <v>3</v>
      </c>
      <c r="S198" t="s">
        <v>1715</v>
      </c>
      <c r="T198" t="s">
        <v>1715</v>
      </c>
    </row>
    <row r="199" spans="1:20">
      <c r="A199" s="161">
        <v>43333</v>
      </c>
      <c r="B199">
        <v>18</v>
      </c>
      <c r="C199" t="s">
        <v>2464</v>
      </c>
      <c r="D199">
        <v>2316.9</v>
      </c>
      <c r="H199">
        <v>187.947</v>
      </c>
      <c r="I199">
        <v>1.6442444444444448</v>
      </c>
      <c r="J199">
        <v>186.30275555555556</v>
      </c>
      <c r="K199">
        <v>1554.2875572020082</v>
      </c>
      <c r="L199" s="16">
        <v>67.084792490051711</v>
      </c>
      <c r="M199">
        <v>1552.6263783143677</v>
      </c>
      <c r="N199">
        <v>67.013094147972183</v>
      </c>
      <c r="O199">
        <v>128</v>
      </c>
      <c r="P199">
        <v>41.7</v>
      </c>
      <c r="Q199">
        <v>100</v>
      </c>
      <c r="R199">
        <v>3</v>
      </c>
      <c r="S199" t="s">
        <v>1715</v>
      </c>
      <c r="T199" t="s">
        <v>1715</v>
      </c>
    </row>
    <row r="200" spans="1:20">
      <c r="A200" s="161">
        <v>43333</v>
      </c>
      <c r="B200">
        <v>19</v>
      </c>
      <c r="C200" t="s">
        <v>2450</v>
      </c>
      <c r="D200">
        <v>0</v>
      </c>
      <c r="E200" t="s">
        <v>2465</v>
      </c>
      <c r="H200">
        <v>1.7355</v>
      </c>
      <c r="I200">
        <v>1.6442444444444448</v>
      </c>
      <c r="J200">
        <v>9.1255555555555201E-2</v>
      </c>
      <c r="K200">
        <v>-8.3510029108746942</v>
      </c>
      <c r="L200" s="16" t="e">
        <v>#DIV/0!</v>
      </c>
      <c r="M200">
        <v>0.76051361828105912</v>
      </c>
      <c r="N200" t="e">
        <v>#DIV/0!</v>
      </c>
      <c r="O200">
        <v>128</v>
      </c>
      <c r="P200">
        <v>41.7</v>
      </c>
      <c r="Q200">
        <v>100</v>
      </c>
      <c r="R200">
        <v>3</v>
      </c>
      <c r="S200" t="s">
        <v>1715</v>
      </c>
      <c r="T200" t="s">
        <v>1715</v>
      </c>
    </row>
    <row r="201" spans="1:20">
      <c r="A201" s="161">
        <v>43333</v>
      </c>
      <c r="B201">
        <v>20</v>
      </c>
      <c r="C201" t="s">
        <v>2466</v>
      </c>
      <c r="D201">
        <v>3001.2</v>
      </c>
      <c r="H201">
        <v>278.81110000000001</v>
      </c>
      <c r="I201">
        <v>1.6442444444444448</v>
      </c>
      <c r="J201">
        <v>277.16685555555557</v>
      </c>
      <c r="K201">
        <v>2316.7954924796518</v>
      </c>
      <c r="L201" s="16">
        <v>77.195638160724116</v>
      </c>
      <c r="M201">
        <v>2309.87764967157</v>
      </c>
      <c r="N201">
        <v>76.965135601478423</v>
      </c>
      <c r="O201">
        <v>128</v>
      </c>
      <c r="P201">
        <v>41.7</v>
      </c>
      <c r="Q201">
        <v>100</v>
      </c>
      <c r="R201">
        <v>3</v>
      </c>
      <c r="S201" t="s">
        <v>1715</v>
      </c>
      <c r="T201" t="s">
        <v>1715</v>
      </c>
    </row>
    <row r="202" spans="1:20">
      <c r="A202" s="161">
        <v>43333</v>
      </c>
      <c r="B202">
        <v>21</v>
      </c>
      <c r="C202" t="s">
        <v>2467</v>
      </c>
      <c r="D202">
        <v>2861.6</v>
      </c>
      <c r="H202">
        <v>242.92830000000001</v>
      </c>
      <c r="I202">
        <v>1.6442444444444448</v>
      </c>
      <c r="J202">
        <v>241.28405555555557</v>
      </c>
      <c r="K202">
        <v>2015.676351476983</v>
      </c>
      <c r="L202" s="16">
        <v>70.438787792737728</v>
      </c>
      <c r="M202">
        <v>2010.8343980479233</v>
      </c>
      <c r="N202">
        <v>70.269583381602018</v>
      </c>
      <c r="O202">
        <v>128</v>
      </c>
      <c r="P202">
        <v>41.7</v>
      </c>
      <c r="Q202">
        <v>100</v>
      </c>
      <c r="R202">
        <v>3</v>
      </c>
      <c r="S202" t="s">
        <v>1715</v>
      </c>
      <c r="T202" t="s">
        <v>1715</v>
      </c>
    </row>
    <row r="203" spans="1:20">
      <c r="A203" s="161">
        <v>43333</v>
      </c>
      <c r="B203">
        <v>22</v>
      </c>
      <c r="C203" t="s">
        <v>2468</v>
      </c>
      <c r="D203">
        <v>2860.1</v>
      </c>
      <c r="H203">
        <v>233.06610000000001</v>
      </c>
      <c r="I203">
        <v>1.6442444444444448</v>
      </c>
      <c r="J203">
        <v>231.42185555555557</v>
      </c>
      <c r="K203">
        <v>1932.915329695056</v>
      </c>
      <c r="L203" s="16">
        <v>67.582089077132139</v>
      </c>
      <c r="M203">
        <v>1928.6439236099548</v>
      </c>
      <c r="N203">
        <v>67.432744435857302</v>
      </c>
      <c r="O203">
        <v>128</v>
      </c>
      <c r="P203">
        <v>41.7</v>
      </c>
      <c r="Q203">
        <v>100</v>
      </c>
      <c r="R203">
        <v>3</v>
      </c>
      <c r="S203" t="s">
        <v>1715</v>
      </c>
      <c r="T203" t="s">
        <v>1715</v>
      </c>
    </row>
    <row r="204" spans="1:20">
      <c r="A204" s="161">
        <v>43333</v>
      </c>
      <c r="B204">
        <v>23</v>
      </c>
      <c r="C204" t="s">
        <v>2469</v>
      </c>
      <c r="D204">
        <v>2734.1</v>
      </c>
      <c r="H204">
        <v>224.40719999999999</v>
      </c>
      <c r="I204">
        <v>1.6442444444444448</v>
      </c>
      <c r="J204">
        <v>222.76295555555555</v>
      </c>
      <c r="K204">
        <v>1860.2520890887483</v>
      </c>
      <c r="L204" s="16">
        <v>68.038919172259554</v>
      </c>
      <c r="M204">
        <v>1856.4816171153668</v>
      </c>
      <c r="N204">
        <v>67.901013756459776</v>
      </c>
      <c r="O204">
        <v>128</v>
      </c>
      <c r="P204">
        <v>41.7</v>
      </c>
      <c r="Q204">
        <v>100</v>
      </c>
      <c r="R204">
        <v>3</v>
      </c>
      <c r="S204" t="s">
        <v>1715</v>
      </c>
      <c r="T204" t="s">
        <v>1715</v>
      </c>
    </row>
    <row r="205" spans="1:20">
      <c r="A205" s="161">
        <v>43333</v>
      </c>
      <c r="B205">
        <v>24</v>
      </c>
      <c r="C205" t="s">
        <v>2419</v>
      </c>
      <c r="D205">
        <v>0</v>
      </c>
      <c r="H205">
        <v>1.2557</v>
      </c>
      <c r="I205">
        <v>1.6442444444444448</v>
      </c>
      <c r="J205">
        <v>-0.3885444444444448</v>
      </c>
      <c r="K205">
        <v>-12.377359935774665</v>
      </c>
      <c r="L205" s="16" t="e">
        <v>#DIV/0!</v>
      </c>
      <c r="M205">
        <v>-3.238086048663154</v>
      </c>
      <c r="N205" t="e">
        <v>#DIV/0!</v>
      </c>
      <c r="O205">
        <v>128</v>
      </c>
      <c r="P205">
        <v>41.7</v>
      </c>
      <c r="Q205">
        <v>100</v>
      </c>
      <c r="R205">
        <v>3</v>
      </c>
      <c r="S205" t="s">
        <v>1715</v>
      </c>
      <c r="T205" t="s">
        <v>1715</v>
      </c>
    </row>
    <row r="206" spans="1:20">
      <c r="A206" s="161">
        <v>43333</v>
      </c>
      <c r="B206">
        <v>25</v>
      </c>
      <c r="C206" t="s">
        <v>2513</v>
      </c>
      <c r="D206">
        <v>1333.1</v>
      </c>
      <c r="G206">
        <v>1332.83338</v>
      </c>
      <c r="H206">
        <v>160.6317</v>
      </c>
      <c r="I206">
        <v>1.6442444444444448</v>
      </c>
      <c r="J206">
        <v>158.98745555555556</v>
      </c>
      <c r="K206">
        <v>1325.0646517367097</v>
      </c>
      <c r="L206" s="16">
        <v>99.417126823212485</v>
      </c>
      <c r="M206">
        <v>1324.9837157831437</v>
      </c>
      <c r="N206">
        <v>99.411054349730023</v>
      </c>
      <c r="O206">
        <v>128</v>
      </c>
      <c r="P206">
        <v>41.7</v>
      </c>
      <c r="Q206">
        <v>100</v>
      </c>
      <c r="R206">
        <v>3</v>
      </c>
      <c r="S206" t="s">
        <v>1715</v>
      </c>
      <c r="T206" t="s">
        <v>1715</v>
      </c>
    </row>
    <row r="207" spans="1:20">
      <c r="A207" s="161">
        <v>43333</v>
      </c>
      <c r="B207">
        <v>26</v>
      </c>
      <c r="C207" t="s">
        <v>2420</v>
      </c>
      <c r="D207">
        <v>0</v>
      </c>
      <c r="H207">
        <v>1.3972</v>
      </c>
      <c r="J207">
        <v>1.3972</v>
      </c>
      <c r="K207">
        <v>2.6081437919556145</v>
      </c>
      <c r="L207" s="16" t="e">
        <v>#DIV/0!</v>
      </c>
      <c r="M207">
        <v>11.6441089092423</v>
      </c>
      <c r="N207" t="e">
        <v>#DIV/0!</v>
      </c>
      <c r="O207">
        <v>128</v>
      </c>
      <c r="P207">
        <v>41.7</v>
      </c>
      <c r="Q207">
        <v>100</v>
      </c>
      <c r="R207">
        <v>3</v>
      </c>
      <c r="S207" t="s">
        <v>1715</v>
      </c>
      <c r="T207" t="s">
        <v>1715</v>
      </c>
    </row>
    <row r="208" spans="1:20">
      <c r="A208" s="161"/>
    </row>
    <row r="209" spans="1:24" s="193" customFormat="1">
      <c r="A209" s="463" t="s">
        <v>2437</v>
      </c>
      <c r="C209" s="193" t="s">
        <v>2438</v>
      </c>
      <c r="E209" s="193" t="s">
        <v>2438</v>
      </c>
      <c r="L209" s="544"/>
    </row>
    <row r="210" spans="1:24" s="193" customFormat="1">
      <c r="A210" s="463"/>
      <c r="C210" s="193" t="s">
        <v>2439</v>
      </c>
      <c r="E210" s="193" t="s">
        <v>2440</v>
      </c>
      <c r="G210" s="193" t="s">
        <v>2441</v>
      </c>
      <c r="J210" s="193" t="s">
        <v>2442</v>
      </c>
      <c r="L210" s="544"/>
    </row>
    <row r="211" spans="1:24">
      <c r="A211" s="161" t="s">
        <v>2458</v>
      </c>
      <c r="C211">
        <v>92.1420053948722</v>
      </c>
      <c r="E211">
        <v>92.736293135551946</v>
      </c>
      <c r="G211">
        <v>0.64496940145044768</v>
      </c>
      <c r="J211">
        <v>92.736293135551946</v>
      </c>
    </row>
    <row r="212" spans="1:24">
      <c r="A212" s="161"/>
    </row>
    <row r="213" spans="1:24">
      <c r="A213" s="161">
        <v>43335</v>
      </c>
      <c r="B213">
        <v>1</v>
      </c>
      <c r="C213" t="s">
        <v>2375</v>
      </c>
      <c r="D213">
        <v>0</v>
      </c>
      <c r="H213">
        <v>1.0225</v>
      </c>
      <c r="O213">
        <v>128</v>
      </c>
      <c r="P213">
        <v>41.7</v>
      </c>
      <c r="Q213">
        <v>100</v>
      </c>
      <c r="R213">
        <v>3</v>
      </c>
      <c r="S213" t="s">
        <v>1715</v>
      </c>
      <c r="T213" t="s">
        <v>1715</v>
      </c>
    </row>
    <row r="214" spans="1:24">
      <c r="A214" s="161">
        <v>43335</v>
      </c>
      <c r="B214">
        <v>2</v>
      </c>
      <c r="C214" t="s">
        <v>2376</v>
      </c>
      <c r="D214">
        <v>0</v>
      </c>
      <c r="H214">
        <v>0.98170000000000002</v>
      </c>
      <c r="O214">
        <v>128</v>
      </c>
      <c r="P214">
        <v>41.7</v>
      </c>
      <c r="Q214">
        <v>100</v>
      </c>
      <c r="R214">
        <v>3</v>
      </c>
      <c r="S214" t="s">
        <v>1715</v>
      </c>
      <c r="T214" t="s">
        <v>1715</v>
      </c>
      <c r="U214" s="161">
        <v>43335</v>
      </c>
    </row>
    <row r="215" spans="1:24">
      <c r="A215" s="161">
        <v>43335</v>
      </c>
      <c r="B215">
        <v>3</v>
      </c>
      <c r="C215" t="s">
        <v>2377</v>
      </c>
      <c r="D215">
        <v>0</v>
      </c>
      <c r="G215">
        <v>0</v>
      </c>
      <c r="H215">
        <v>1.4512</v>
      </c>
      <c r="I215">
        <v>1.2488444444444444</v>
      </c>
      <c r="J215">
        <v>1.2488444444444444</v>
      </c>
      <c r="K215">
        <v>9.691165168529368</v>
      </c>
      <c r="L215" s="16" t="e">
        <v>#DIV/0!</v>
      </c>
      <c r="M215">
        <v>10.407730261818855</v>
      </c>
      <c r="N215" t="e">
        <v>#DIV/0!</v>
      </c>
      <c r="O215">
        <v>128</v>
      </c>
      <c r="P215">
        <v>41.7</v>
      </c>
      <c r="Q215">
        <v>100</v>
      </c>
      <c r="R215">
        <v>3</v>
      </c>
      <c r="S215" t="s">
        <v>1715</v>
      </c>
      <c r="T215" t="s">
        <v>1715</v>
      </c>
      <c r="U215" s="7">
        <f>((J215-INDEX(LINEST($J$215:$J$220,$G$215:$G$220),2))/INDEX(LINEST($J$215:$J$220,$G$215:$G$220),1)/100.09)*12.01</f>
        <v>1.1628623606158228</v>
      </c>
      <c r="V215" s="7">
        <f>(J215-U215)^2</f>
        <v>7.3929187395121122E-3</v>
      </c>
    </row>
    <row r="216" spans="1:24">
      <c r="A216" s="161">
        <v>43335</v>
      </c>
      <c r="B216">
        <v>4</v>
      </c>
      <c r="C216" t="s">
        <v>2514</v>
      </c>
      <c r="D216">
        <v>222.6</v>
      </c>
      <c r="G216">
        <v>222.55547999999999</v>
      </c>
      <c r="H216">
        <v>28.488700000000001</v>
      </c>
      <c r="I216">
        <v>1.2488444444444444</v>
      </c>
      <c r="J216">
        <v>27.239855555555557</v>
      </c>
      <c r="K216">
        <v>227.87032779897999</v>
      </c>
      <c r="L216" s="16">
        <v>102.38810017123821</v>
      </c>
      <c r="M216">
        <v>227.01391694883898</v>
      </c>
      <c r="N216">
        <v>102.00329236954265</v>
      </c>
      <c r="O216">
        <v>128</v>
      </c>
      <c r="P216">
        <v>41.7</v>
      </c>
      <c r="Q216">
        <v>100</v>
      </c>
      <c r="R216">
        <v>3</v>
      </c>
      <c r="S216" t="s">
        <v>1715</v>
      </c>
      <c r="T216" t="s">
        <v>1715</v>
      </c>
      <c r="U216" s="7">
        <f t="shared" ref="U216:U220" si="17">((J216-INDEX(LINEST($J$215:$J$220,$G$215:$G$220),2))/INDEX(LINEST($J$215:$J$220,$G$215:$G$220),1)/100.09)*12.01</f>
        <v>27.342618012446295</v>
      </c>
      <c r="V216" s="7">
        <f t="shared" ref="V216:V220" si="18">(J216-U216)^2</f>
        <v>1.056012254622059E-2</v>
      </c>
    </row>
    <row r="217" spans="1:24">
      <c r="A217" s="161">
        <v>43335</v>
      </c>
      <c r="B217">
        <v>5</v>
      </c>
      <c r="C217" t="s">
        <v>2515</v>
      </c>
      <c r="D217">
        <v>798.3</v>
      </c>
      <c r="G217">
        <v>798.14033999999992</v>
      </c>
      <c r="H217">
        <v>95.976299999999995</v>
      </c>
      <c r="I217">
        <v>1.2488444444444444</v>
      </c>
      <c r="J217">
        <v>94.727455555555551</v>
      </c>
      <c r="K217">
        <v>794.3888057832454</v>
      </c>
      <c r="L217" s="16">
        <v>99.529965592673278</v>
      </c>
      <c r="M217">
        <v>789.44804550837273</v>
      </c>
      <c r="N217">
        <v>98.910931567294639</v>
      </c>
      <c r="O217">
        <v>128</v>
      </c>
      <c r="P217">
        <v>41.7</v>
      </c>
      <c r="Q217">
        <v>100</v>
      </c>
      <c r="R217">
        <v>3</v>
      </c>
      <c r="S217" t="s">
        <v>1715</v>
      </c>
      <c r="T217" t="s">
        <v>1715</v>
      </c>
      <c r="U217" s="7">
        <f t="shared" si="17"/>
        <v>95.320307297999562</v>
      </c>
      <c r="V217" s="7">
        <f t="shared" si="18"/>
        <v>0.35147318851890069</v>
      </c>
    </row>
    <row r="218" spans="1:24">
      <c r="A218" s="161">
        <v>43335</v>
      </c>
      <c r="B218">
        <v>6</v>
      </c>
      <c r="C218" t="s">
        <v>2516</v>
      </c>
      <c r="D218">
        <v>1348.1</v>
      </c>
      <c r="G218">
        <v>1347.8303799999999</v>
      </c>
      <c r="H218">
        <v>159.80340000000001</v>
      </c>
      <c r="I218">
        <v>1.2488444444444444</v>
      </c>
      <c r="J218">
        <v>158.55455555555557</v>
      </c>
      <c r="K218">
        <v>1330.179551729901</v>
      </c>
      <c r="L218" s="16">
        <v>98.690426589872615</v>
      </c>
      <c r="M218">
        <v>1321.3759754833936</v>
      </c>
      <c r="N218">
        <v>98.037260110088468</v>
      </c>
      <c r="O218">
        <v>128</v>
      </c>
      <c r="P218">
        <v>41.7</v>
      </c>
      <c r="Q218">
        <v>100</v>
      </c>
      <c r="R218">
        <v>3</v>
      </c>
      <c r="S218" t="s">
        <v>1715</v>
      </c>
      <c r="T218" t="s">
        <v>1715</v>
      </c>
      <c r="U218" s="7">
        <f t="shared" si="17"/>
        <v>159.61091433985524</v>
      </c>
      <c r="V218" s="7">
        <f t="shared" si="18"/>
        <v>1.115893881167088</v>
      </c>
    </row>
    <row r="219" spans="1:24">
      <c r="A219" s="161">
        <v>43335</v>
      </c>
      <c r="B219">
        <v>7</v>
      </c>
      <c r="C219" t="s">
        <v>2517</v>
      </c>
      <c r="D219">
        <v>2738.7</v>
      </c>
      <c r="G219">
        <v>2738.1522599999998</v>
      </c>
      <c r="H219">
        <v>327.15780000000001</v>
      </c>
      <c r="I219">
        <v>1.2488444444444444</v>
      </c>
      <c r="J219">
        <v>325.90895555555556</v>
      </c>
      <c r="K219">
        <v>2735.0207369545933</v>
      </c>
      <c r="L219" s="16">
        <v>99.88563371397737</v>
      </c>
      <c r="M219">
        <v>2716.0888727356833</v>
      </c>
      <c r="N219">
        <v>99.194223506609646</v>
      </c>
      <c r="O219">
        <v>128</v>
      </c>
      <c r="P219">
        <v>41.7</v>
      </c>
      <c r="Q219">
        <v>100</v>
      </c>
      <c r="R219">
        <v>3</v>
      </c>
      <c r="S219" t="s">
        <v>1715</v>
      </c>
      <c r="T219" t="s">
        <v>1715</v>
      </c>
      <c r="U219" s="7">
        <f t="shared" si="17"/>
        <v>328.18062794309782</v>
      </c>
      <c r="V219" s="7">
        <f t="shared" si="18"/>
        <v>5.1604954363219209</v>
      </c>
    </row>
    <row r="220" spans="1:24">
      <c r="A220" s="161">
        <v>43335</v>
      </c>
      <c r="B220">
        <v>8</v>
      </c>
      <c r="C220" t="s">
        <v>2518</v>
      </c>
      <c r="D220">
        <v>3587.7</v>
      </c>
      <c r="G220">
        <v>3586.9824599999997</v>
      </c>
      <c r="H220">
        <v>429.78440000000001</v>
      </c>
      <c r="I220">
        <v>1.2488444444444444</v>
      </c>
      <c r="J220">
        <v>428.53555555555556</v>
      </c>
      <c r="K220">
        <v>3596.5103325647501</v>
      </c>
      <c r="L220" s="16">
        <v>100.26562361737197</v>
      </c>
      <c r="M220">
        <v>3571.3675067073736</v>
      </c>
      <c r="N220">
        <v>99.564677177355748</v>
      </c>
      <c r="O220">
        <v>128</v>
      </c>
      <c r="P220">
        <v>41.7</v>
      </c>
      <c r="Q220">
        <v>100</v>
      </c>
      <c r="R220">
        <v>3</v>
      </c>
      <c r="S220" t="s">
        <v>1715</v>
      </c>
      <c r="T220" t="s">
        <v>1715</v>
      </c>
      <c r="U220" s="7">
        <f t="shared" si="17"/>
        <v>431.5524936966994</v>
      </c>
      <c r="V220" s="7">
        <f t="shared" si="18"/>
        <v>9.1019157474884445</v>
      </c>
      <c r="X220" s="193" t="s">
        <v>2567</v>
      </c>
    </row>
    <row r="221" spans="1:24">
      <c r="A221" s="161">
        <v>43335</v>
      </c>
      <c r="B221">
        <v>9</v>
      </c>
      <c r="C221" t="s">
        <v>2378</v>
      </c>
      <c r="D221">
        <v>0</v>
      </c>
      <c r="G221">
        <v>0</v>
      </c>
      <c r="H221">
        <v>1.8346</v>
      </c>
      <c r="I221">
        <v>1.2488444444444444</v>
      </c>
      <c r="J221">
        <v>0.58575555555555558</v>
      </c>
      <c r="K221">
        <v>4.1249262134974662</v>
      </c>
      <c r="L221" s="16" t="e">
        <v>#DIV/0!</v>
      </c>
      <c r="M221">
        <v>4.881621445092053</v>
      </c>
      <c r="N221" t="e">
        <v>#DIV/0!</v>
      </c>
      <c r="O221">
        <v>128</v>
      </c>
      <c r="P221">
        <v>41.7</v>
      </c>
      <c r="Q221">
        <v>100</v>
      </c>
      <c r="R221">
        <v>3</v>
      </c>
      <c r="S221" t="s">
        <v>1715</v>
      </c>
      <c r="T221" t="s">
        <v>1715</v>
      </c>
      <c r="V221" s="193">
        <f>SQRT(SUM(V215:V220)/(6-2))</f>
        <v>1.9841705631561823</v>
      </c>
      <c r="W221" s="193" t="s">
        <v>2656</v>
      </c>
      <c r="X221" s="192">
        <f>(V221/$AG$15)*100</f>
        <v>0.96784453942905746</v>
      </c>
    </row>
    <row r="222" spans="1:24">
      <c r="A222" s="161">
        <v>43335</v>
      </c>
      <c r="B222">
        <v>10</v>
      </c>
      <c r="C222" t="s">
        <v>2379</v>
      </c>
      <c r="D222">
        <v>0</v>
      </c>
      <c r="G222">
        <v>0</v>
      </c>
      <c r="H222">
        <v>1.0198</v>
      </c>
      <c r="I222">
        <v>1.2488444444444444</v>
      </c>
      <c r="J222">
        <v>-0.22904444444444438</v>
      </c>
      <c r="K222">
        <v>-2.7148377707245168</v>
      </c>
      <c r="L222" s="16" t="e">
        <v>#DIV/0!</v>
      </c>
      <c r="M222">
        <v>-1.9088308446664812</v>
      </c>
      <c r="N222" t="e">
        <v>#DIV/0!</v>
      </c>
      <c r="O222">
        <v>128</v>
      </c>
      <c r="P222">
        <v>41.7</v>
      </c>
      <c r="Q222">
        <v>100</v>
      </c>
      <c r="R222">
        <v>3</v>
      </c>
      <c r="S222" t="s">
        <v>1715</v>
      </c>
      <c r="T222" t="s">
        <v>1715</v>
      </c>
      <c r="V222" s="192">
        <f>(V221/12.01)*100.09</f>
        <v>16.535856092115097</v>
      </c>
      <c r="W222" s="193" t="s">
        <v>2657</v>
      </c>
    </row>
    <row r="223" spans="1:24" s="16" customFormat="1">
      <c r="A223" s="555">
        <v>43335</v>
      </c>
      <c r="B223" s="16">
        <v>11</v>
      </c>
      <c r="C223" s="16" t="s">
        <v>2382</v>
      </c>
      <c r="D223" s="16">
        <v>1462.1</v>
      </c>
      <c r="H223" s="16">
        <v>21.537600000000001</v>
      </c>
      <c r="I223" s="16">
        <v>1.2488444444444444</v>
      </c>
      <c r="J223" s="16">
        <v>20.288755555555557</v>
      </c>
      <c r="K223" s="16">
        <v>169.51995539995517</v>
      </c>
      <c r="L223" s="16">
        <v>11.594279146430146</v>
      </c>
      <c r="M223" s="16">
        <v>169.08422510870574</v>
      </c>
      <c r="N223" s="16">
        <v>11.56447747135666</v>
      </c>
      <c r="O223" s="16">
        <v>128</v>
      </c>
      <c r="P223" s="16">
        <v>41.7</v>
      </c>
      <c r="Q223" s="16">
        <v>100</v>
      </c>
      <c r="R223" s="16">
        <v>3</v>
      </c>
      <c r="S223" s="16" t="s">
        <v>1715</v>
      </c>
      <c r="T223" s="16" t="s">
        <v>1715</v>
      </c>
    </row>
    <row r="224" spans="1:24" s="16" customFormat="1">
      <c r="A224" s="555">
        <v>43335</v>
      </c>
      <c r="B224" s="16">
        <v>12</v>
      </c>
      <c r="C224" s="16" t="s">
        <v>2382</v>
      </c>
      <c r="D224" s="16">
        <v>2726.5</v>
      </c>
      <c r="H224" s="16">
        <v>40.875300000000003</v>
      </c>
      <c r="I224" s="16">
        <v>1.2488444444444444</v>
      </c>
      <c r="J224" s="16">
        <v>39.626455555555559</v>
      </c>
      <c r="K224" s="16">
        <v>331.84850718897019</v>
      </c>
      <c r="L224" s="16">
        <v>12.171227111277103</v>
      </c>
      <c r="M224" s="16">
        <v>330.24245933018784</v>
      </c>
      <c r="N224" s="16">
        <v>12.112322000006889</v>
      </c>
      <c r="O224" s="16">
        <v>128</v>
      </c>
      <c r="P224" s="16">
        <v>41.7</v>
      </c>
      <c r="Q224" s="16">
        <v>100</v>
      </c>
      <c r="R224" s="16">
        <v>3</v>
      </c>
      <c r="S224" s="16" t="s">
        <v>1715</v>
      </c>
      <c r="T224" s="16" t="s">
        <v>1715</v>
      </c>
    </row>
    <row r="225" spans="1:20">
      <c r="A225" s="161">
        <v>43335</v>
      </c>
      <c r="B225">
        <v>13</v>
      </c>
      <c r="C225" t="s">
        <v>2380</v>
      </c>
      <c r="D225">
        <v>0</v>
      </c>
      <c r="H225">
        <v>0.2762</v>
      </c>
      <c r="I225">
        <v>1.2488444444444444</v>
      </c>
      <c r="J225">
        <v>-0.97264444444444442</v>
      </c>
      <c r="K225">
        <v>-8.9569198751273973</v>
      </c>
      <c r="L225" s="16" t="e">
        <v>#DIV/0!</v>
      </c>
      <c r="M225">
        <v>-8.1059102784716437</v>
      </c>
      <c r="N225" t="e">
        <v>#DIV/0!</v>
      </c>
      <c r="O225">
        <v>128</v>
      </c>
      <c r="P225">
        <v>41.7</v>
      </c>
      <c r="Q225">
        <v>100</v>
      </c>
      <c r="R225">
        <v>3</v>
      </c>
      <c r="S225" t="s">
        <v>1715</v>
      </c>
      <c r="T225" t="s">
        <v>1715</v>
      </c>
    </row>
    <row r="226" spans="1:20">
      <c r="A226" s="161">
        <v>43335</v>
      </c>
      <c r="B226">
        <v>14</v>
      </c>
      <c r="C226" t="s">
        <v>2470</v>
      </c>
      <c r="D226">
        <v>2928</v>
      </c>
      <c r="H226">
        <v>240.5984</v>
      </c>
      <c r="I226">
        <v>1.2488444444444444</v>
      </c>
      <c r="J226">
        <v>239.34955555555555</v>
      </c>
      <c r="K226">
        <v>2008.4057803813678</v>
      </c>
      <c r="L226" s="16">
        <v>68.59309359225982</v>
      </c>
      <c r="M226">
        <v>1994.7124908872238</v>
      </c>
      <c r="N226">
        <v>68.125426601339612</v>
      </c>
      <c r="O226">
        <v>128</v>
      </c>
      <c r="P226">
        <v>41.7</v>
      </c>
      <c r="Q226">
        <v>100</v>
      </c>
      <c r="R226">
        <v>3</v>
      </c>
      <c r="S226" t="s">
        <v>1715</v>
      </c>
      <c r="T226" t="s">
        <v>1715</v>
      </c>
    </row>
    <row r="227" spans="1:20">
      <c r="A227" s="161">
        <v>43335</v>
      </c>
      <c r="B227">
        <v>15</v>
      </c>
      <c r="C227" t="s">
        <v>2471</v>
      </c>
      <c r="D227">
        <v>2115.1</v>
      </c>
      <c r="H227">
        <v>167.88630000000001</v>
      </c>
      <c r="I227">
        <v>1.2488444444444444</v>
      </c>
      <c r="J227">
        <v>166.63745555555556</v>
      </c>
      <c r="K227">
        <v>1398.0307155836908</v>
      </c>
      <c r="L227" s="16">
        <v>66.097617870724363</v>
      </c>
      <c r="M227">
        <v>1388.7379622444262</v>
      </c>
      <c r="N227">
        <v>65.658264963567987</v>
      </c>
      <c r="O227">
        <v>128</v>
      </c>
      <c r="P227">
        <v>41.7</v>
      </c>
      <c r="Q227">
        <v>100</v>
      </c>
      <c r="R227">
        <v>3</v>
      </c>
      <c r="S227" t="s">
        <v>1715</v>
      </c>
      <c r="T227" t="s">
        <v>1715</v>
      </c>
    </row>
    <row r="228" spans="1:20">
      <c r="A228" s="161">
        <v>43335</v>
      </c>
      <c r="B228">
        <v>16</v>
      </c>
      <c r="C228" t="s">
        <v>2472</v>
      </c>
      <c r="D228">
        <v>2340.5</v>
      </c>
      <c r="E228" t="s">
        <v>2473</v>
      </c>
      <c r="H228">
        <v>186.0324</v>
      </c>
      <c r="I228">
        <v>1.2488444444444444</v>
      </c>
      <c r="J228">
        <v>184.78355555555555</v>
      </c>
      <c r="K228">
        <v>1550.35649029416</v>
      </c>
      <c r="L228" s="16">
        <v>66.240396936302503</v>
      </c>
      <c r="M228">
        <v>1539.9655350171154</v>
      </c>
      <c r="N228">
        <v>65.796433882380498</v>
      </c>
      <c r="O228">
        <v>128</v>
      </c>
      <c r="P228">
        <v>41.7</v>
      </c>
      <c r="Q228">
        <v>100</v>
      </c>
      <c r="R228">
        <v>3</v>
      </c>
      <c r="S228" t="s">
        <v>1715</v>
      </c>
      <c r="T228" t="s">
        <v>1715</v>
      </c>
    </row>
    <row r="229" spans="1:20">
      <c r="A229" s="161">
        <v>43335</v>
      </c>
      <c r="B229">
        <v>17</v>
      </c>
      <c r="C229" t="s">
        <v>2474</v>
      </c>
      <c r="D229">
        <v>2229.3000000000002</v>
      </c>
      <c r="H229">
        <v>181.24039999999999</v>
      </c>
      <c r="I229">
        <v>1.2488444444444444</v>
      </c>
      <c r="J229">
        <v>179.99155555555555</v>
      </c>
      <c r="K229">
        <v>1510.1304851243126</v>
      </c>
      <c r="L229" s="16">
        <v>67.740119549827853</v>
      </c>
      <c r="M229">
        <v>1500.029541678231</v>
      </c>
      <c r="N229">
        <v>67.287020216132007</v>
      </c>
      <c r="O229">
        <v>128</v>
      </c>
      <c r="P229">
        <v>41.7</v>
      </c>
      <c r="Q229">
        <v>100</v>
      </c>
      <c r="R229">
        <v>3</v>
      </c>
      <c r="S229" t="s">
        <v>1715</v>
      </c>
      <c r="T229" t="s">
        <v>1715</v>
      </c>
    </row>
    <row r="230" spans="1:20">
      <c r="A230" s="161">
        <v>43335</v>
      </c>
      <c r="B230">
        <v>18</v>
      </c>
      <c r="C230" t="s">
        <v>2475</v>
      </c>
      <c r="D230">
        <v>2620.5</v>
      </c>
      <c r="H230">
        <v>211.137</v>
      </c>
      <c r="I230">
        <v>1.2488444444444444</v>
      </c>
      <c r="J230">
        <v>209.88815555555556</v>
      </c>
      <c r="K230">
        <v>1761.0947560259951</v>
      </c>
      <c r="L230" s="16">
        <v>67.204531807899073</v>
      </c>
      <c r="M230">
        <v>1749.1844704042928</v>
      </c>
      <c r="N230">
        <v>66.750027491100667</v>
      </c>
      <c r="O230">
        <v>128</v>
      </c>
      <c r="P230">
        <v>41.7</v>
      </c>
      <c r="Q230">
        <v>100</v>
      </c>
      <c r="R230">
        <v>3</v>
      </c>
      <c r="S230" t="s">
        <v>1715</v>
      </c>
      <c r="T230" t="s">
        <v>1715</v>
      </c>
    </row>
    <row r="231" spans="1:20">
      <c r="A231" s="161">
        <v>43335</v>
      </c>
      <c r="B231">
        <v>19</v>
      </c>
      <c r="C231" t="s">
        <v>2450</v>
      </c>
      <c r="D231">
        <v>0</v>
      </c>
      <c r="H231">
        <v>1.3883000000000001</v>
      </c>
      <c r="I231">
        <v>1.2488444444444444</v>
      </c>
      <c r="J231">
        <v>0.13945555555555567</v>
      </c>
      <c r="K231">
        <v>0.37850173367631923</v>
      </c>
      <c r="L231" s="16" t="e">
        <v>#DIV/0!</v>
      </c>
      <c r="M231">
        <v>1.1622070404292728</v>
      </c>
      <c r="N231" t="e">
        <v>#DIV/0!</v>
      </c>
      <c r="O231">
        <v>128</v>
      </c>
      <c r="P231">
        <v>41.7</v>
      </c>
      <c r="Q231">
        <v>100</v>
      </c>
      <c r="R231">
        <v>3</v>
      </c>
      <c r="S231" t="s">
        <v>1715</v>
      </c>
      <c r="T231" t="s">
        <v>1715</v>
      </c>
    </row>
    <row r="232" spans="1:20">
      <c r="A232" s="161">
        <v>43335</v>
      </c>
      <c r="B232">
        <v>20</v>
      </c>
      <c r="C232" t="s">
        <v>2476</v>
      </c>
      <c r="D232">
        <v>3171.6</v>
      </c>
      <c r="H232">
        <v>267.41629999999998</v>
      </c>
      <c r="I232">
        <v>1.2488444444444444</v>
      </c>
      <c r="J232">
        <v>266.16745555555553</v>
      </c>
      <c r="K232">
        <v>2233.5261860667711</v>
      </c>
      <c r="L232" s="16">
        <v>70.42269473031817</v>
      </c>
      <c r="M232">
        <v>2218.2098773152002</v>
      </c>
      <c r="N232">
        <v>69.939774161785863</v>
      </c>
      <c r="O232">
        <v>128</v>
      </c>
      <c r="P232">
        <v>41.7</v>
      </c>
      <c r="Q232">
        <v>100</v>
      </c>
      <c r="R232">
        <v>3</v>
      </c>
      <c r="S232" t="s">
        <v>1715</v>
      </c>
      <c r="T232" t="s">
        <v>1715</v>
      </c>
    </row>
    <row r="233" spans="1:20">
      <c r="A233" s="161">
        <v>43335</v>
      </c>
      <c r="B233">
        <v>21</v>
      </c>
      <c r="C233" t="s">
        <v>2477</v>
      </c>
      <c r="D233">
        <v>2805.9</v>
      </c>
      <c r="H233">
        <v>232.75290000000001</v>
      </c>
      <c r="I233">
        <v>1.2488444444444444</v>
      </c>
      <c r="J233">
        <v>231.50405555555557</v>
      </c>
      <c r="K233">
        <v>1942.5474490875367</v>
      </c>
      <c r="L233" s="16">
        <v>69.230815392121485</v>
      </c>
      <c r="M233">
        <v>1929.3289692385974</v>
      </c>
      <c r="N233">
        <v>68.759719492447971</v>
      </c>
      <c r="O233">
        <v>128</v>
      </c>
      <c r="P233">
        <v>41.7</v>
      </c>
      <c r="Q233">
        <v>100</v>
      </c>
      <c r="R233">
        <v>3</v>
      </c>
      <c r="S233" t="s">
        <v>1715</v>
      </c>
      <c r="T233" t="s">
        <v>1715</v>
      </c>
    </row>
    <row r="234" spans="1:20">
      <c r="A234" s="161">
        <v>43335</v>
      </c>
      <c r="B234">
        <v>22</v>
      </c>
      <c r="C234" t="s">
        <v>2419</v>
      </c>
      <c r="D234">
        <v>0</v>
      </c>
      <c r="H234">
        <v>1.4579</v>
      </c>
      <c r="I234">
        <v>1.2488444444444444</v>
      </c>
      <c r="J234">
        <v>0.20905555555555555</v>
      </c>
      <c r="K234">
        <v>0.96275256001634035</v>
      </c>
      <c r="L234" s="16" t="e">
        <v>#DIV/0!</v>
      </c>
      <c r="M234">
        <v>1.7422456749005459</v>
      </c>
      <c r="N234" t="e">
        <v>#DIV/0!</v>
      </c>
      <c r="O234">
        <v>128</v>
      </c>
      <c r="P234">
        <v>41.7</v>
      </c>
      <c r="Q234">
        <v>100</v>
      </c>
      <c r="R234">
        <v>3</v>
      </c>
      <c r="S234" t="s">
        <v>1715</v>
      </c>
      <c r="T234" t="s">
        <v>1715</v>
      </c>
    </row>
    <row r="235" spans="1:20">
      <c r="A235" s="161">
        <v>43335</v>
      </c>
      <c r="B235">
        <v>23</v>
      </c>
      <c r="C235" t="s">
        <v>2519</v>
      </c>
      <c r="D235">
        <v>1570.1</v>
      </c>
      <c r="G235">
        <v>1569.7859799999999</v>
      </c>
      <c r="H235">
        <v>189.05430000000001</v>
      </c>
      <c r="I235">
        <v>1.2488444444444444</v>
      </c>
      <c r="J235">
        <v>187.80545555555557</v>
      </c>
      <c r="K235">
        <v>1575.723553111932</v>
      </c>
      <c r="L235" s="16">
        <v>100.37824093141232</v>
      </c>
      <c r="M235">
        <v>1565.1497124525861</v>
      </c>
      <c r="N235">
        <v>99.70465607372708</v>
      </c>
      <c r="O235">
        <v>128</v>
      </c>
      <c r="P235">
        <v>41.7</v>
      </c>
      <c r="Q235">
        <v>100</v>
      </c>
      <c r="R235">
        <v>3</v>
      </c>
      <c r="S235" t="s">
        <v>1715</v>
      </c>
      <c r="T235" t="s">
        <v>1715</v>
      </c>
    </row>
    <row r="236" spans="1:20">
      <c r="A236" s="161">
        <v>43335</v>
      </c>
      <c r="B236">
        <v>24</v>
      </c>
      <c r="C236" t="s">
        <v>2420</v>
      </c>
      <c r="D236">
        <v>0</v>
      </c>
      <c r="H236">
        <v>1.8073999999999999</v>
      </c>
      <c r="I236">
        <v>1.2488444444444444</v>
      </c>
      <c r="J236">
        <v>0.55855555555555547</v>
      </c>
      <c r="K236">
        <v>3.8965983043530885</v>
      </c>
      <c r="L236" s="16" t="e">
        <v>#DIV/0!</v>
      </c>
      <c r="M236">
        <v>4.6549396798963825</v>
      </c>
      <c r="N236" t="e">
        <v>#DIV/0!</v>
      </c>
      <c r="O236">
        <v>128</v>
      </c>
      <c r="P236">
        <v>41.7</v>
      </c>
      <c r="Q236">
        <v>100</v>
      </c>
      <c r="R236">
        <v>3</v>
      </c>
      <c r="S236" t="s">
        <v>1715</v>
      </c>
      <c r="T236" t="s">
        <v>1715</v>
      </c>
    </row>
    <row r="237" spans="1:20">
      <c r="A237" s="161"/>
    </row>
    <row r="238" spans="1:20">
      <c r="A238" s="161"/>
    </row>
    <row r="239" spans="1:20">
      <c r="A239" s="4" t="s">
        <v>2801</v>
      </c>
      <c r="B239" s="30"/>
      <c r="C239" s="30" t="s">
        <v>2382</v>
      </c>
      <c r="D239" s="30"/>
      <c r="E239" s="30"/>
      <c r="F239" s="30"/>
      <c r="G239" s="30"/>
      <c r="H239" s="30"/>
      <c r="I239" s="30"/>
      <c r="J239" s="30"/>
      <c r="K239" s="30" t="s">
        <v>2304</v>
      </c>
      <c r="L239" s="545">
        <f>AVERAGE(L16,L17,L47,L48,L78,L79,L103,L104,L154,L155,L192,L193,L223,L224)</f>
        <v>11.649011373878547</v>
      </c>
    </row>
    <row r="240" spans="1:20">
      <c r="A240" s="546"/>
      <c r="B240" s="341"/>
      <c r="C240" s="341"/>
      <c r="D240" s="341"/>
      <c r="E240" s="341"/>
      <c r="F240" s="341"/>
      <c r="G240" s="341"/>
      <c r="H240" s="341"/>
      <c r="I240" s="341"/>
      <c r="J240" s="341"/>
      <c r="K240" s="341" t="s">
        <v>2673</v>
      </c>
      <c r="L240" s="547">
        <f>STDEVP(L16,L17,L47,L48,L78,L79,L103,L104,L154,L155,L192,L193,L223,L224)</f>
        <v>0.65526397092588817</v>
      </c>
    </row>
    <row r="241" spans="1:13">
      <c r="A241" s="546"/>
      <c r="B241" s="341"/>
      <c r="C241" s="341"/>
      <c r="D241" s="341"/>
      <c r="E241" s="341"/>
      <c r="F241" s="341"/>
      <c r="G241" s="341"/>
      <c r="H241" s="341"/>
      <c r="I241" s="341"/>
      <c r="J241" s="341"/>
      <c r="K241" s="341" t="s">
        <v>2674</v>
      </c>
      <c r="L241" s="547">
        <f>2.16*(L240/(SQRT(L242)))</f>
        <v>0.37827359132425836</v>
      </c>
    </row>
    <row r="242" spans="1:13">
      <c r="A242" s="548"/>
      <c r="B242" s="310"/>
      <c r="C242" s="554"/>
      <c r="D242" s="310"/>
      <c r="E242" s="310"/>
      <c r="F242" s="310"/>
      <c r="G242" s="310"/>
      <c r="H242" s="310"/>
      <c r="I242" s="310"/>
      <c r="J242" s="310"/>
      <c r="K242" s="551" t="s">
        <v>2806</v>
      </c>
      <c r="L242" s="549">
        <v>14</v>
      </c>
      <c r="M242" t="s">
        <v>2807</v>
      </c>
    </row>
    <row r="243" spans="1:13">
      <c r="A243" s="4" t="s">
        <v>2802</v>
      </c>
      <c r="B243" s="30"/>
      <c r="C243" s="30" t="s">
        <v>2804</v>
      </c>
      <c r="D243" s="552">
        <v>45.662389874294831</v>
      </c>
      <c r="E243" s="30"/>
      <c r="F243" s="30"/>
      <c r="G243" s="30"/>
      <c r="H243" s="30"/>
      <c r="I243" s="30"/>
      <c r="J243" s="30"/>
      <c r="K243" s="30"/>
      <c r="L243" s="545"/>
    </row>
    <row r="244" spans="1:13">
      <c r="A244" s="548" t="s">
        <v>2803</v>
      </c>
      <c r="B244" s="310"/>
      <c r="C244" s="310"/>
      <c r="D244" s="553">
        <v>46.094347768263653</v>
      </c>
      <c r="E244" s="310"/>
      <c r="F244" s="310"/>
      <c r="G244" s="310"/>
      <c r="H244" s="310"/>
      <c r="I244" s="310"/>
      <c r="J244" s="310"/>
      <c r="K244" s="310"/>
      <c r="L244" s="511"/>
    </row>
    <row r="245" spans="1:13">
      <c r="A245" s="161"/>
    </row>
    <row r="246" spans="1:13">
      <c r="A246" s="161"/>
    </row>
    <row r="247" spans="1:13">
      <c r="A247" s="161"/>
    </row>
    <row r="248" spans="1:13">
      <c r="A248" s="161"/>
    </row>
    <row r="249" spans="1:13">
      <c r="A249" s="161"/>
    </row>
    <row r="250" spans="1:13">
      <c r="A250" s="161"/>
    </row>
    <row r="251" spans="1:13">
      <c r="A251" s="161"/>
    </row>
    <row r="252" spans="1:13">
      <c r="A252" s="161"/>
    </row>
    <row r="253" spans="1:13">
      <c r="A253" s="161"/>
    </row>
    <row r="254" spans="1:13">
      <c r="A254" s="161"/>
    </row>
    <row r="255" spans="1:13">
      <c r="A255" s="161"/>
    </row>
    <row r="256" spans="1:13">
      <c r="A256" s="161"/>
    </row>
    <row r="257" spans="1:1">
      <c r="A257" s="161"/>
    </row>
    <row r="258" spans="1:1">
      <c r="A258" s="161"/>
    </row>
    <row r="259" spans="1:1">
      <c r="A259" s="161"/>
    </row>
    <row r="260" spans="1:1">
      <c r="A260" s="161"/>
    </row>
    <row r="261" spans="1:1">
      <c r="A261" s="161"/>
    </row>
    <row r="262" spans="1:1">
      <c r="A262" s="161"/>
    </row>
    <row r="263" spans="1:1">
      <c r="A263" s="161"/>
    </row>
    <row r="264" spans="1:1">
      <c r="A264" s="161"/>
    </row>
    <row r="265" spans="1:1">
      <c r="A265" s="161"/>
    </row>
    <row r="266" spans="1:1">
      <c r="A266" s="161"/>
    </row>
    <row r="267" spans="1:1">
      <c r="A267" s="161"/>
    </row>
    <row r="268" spans="1:1">
      <c r="A268" s="161"/>
    </row>
    <row r="269" spans="1:1">
      <c r="A269" s="161"/>
    </row>
    <row r="270" spans="1:1">
      <c r="A270" s="161"/>
    </row>
    <row r="271" spans="1:1">
      <c r="A271" s="161"/>
    </row>
    <row r="272" spans="1:1">
      <c r="A272" s="161"/>
    </row>
    <row r="273" spans="1:1">
      <c r="A273" s="161"/>
    </row>
    <row r="274" spans="1:1">
      <c r="A274" s="161"/>
    </row>
    <row r="275" spans="1:1">
      <c r="A275" s="161"/>
    </row>
    <row r="276" spans="1:1">
      <c r="A276" s="161"/>
    </row>
    <row r="277" spans="1:1">
      <c r="A277" s="161"/>
    </row>
    <row r="278" spans="1:1">
      <c r="A278" s="161"/>
    </row>
    <row r="279" spans="1:1">
      <c r="A279" s="161"/>
    </row>
    <row r="280" spans="1:1">
      <c r="A280" s="161"/>
    </row>
    <row r="281" spans="1:1">
      <c r="A281" s="161"/>
    </row>
    <row r="282" spans="1:1">
      <c r="A282" s="161"/>
    </row>
    <row r="283" spans="1:1">
      <c r="A283" s="161"/>
    </row>
    <row r="284" spans="1:1">
      <c r="A284" s="161"/>
    </row>
    <row r="285" spans="1:1">
      <c r="A285" s="161"/>
    </row>
    <row r="286" spans="1:1">
      <c r="A286" s="161"/>
    </row>
    <row r="287" spans="1:1">
      <c r="A287" s="161"/>
    </row>
    <row r="288" spans="1:1">
      <c r="A288" s="161"/>
    </row>
    <row r="289" spans="1:1">
      <c r="A289" s="161"/>
    </row>
    <row r="290" spans="1:1">
      <c r="A290" s="161"/>
    </row>
    <row r="291" spans="1:1">
      <c r="A291" s="161"/>
    </row>
    <row r="292" spans="1:1">
      <c r="A292" s="161"/>
    </row>
    <row r="293" spans="1:1">
      <c r="A293" s="161"/>
    </row>
    <row r="294" spans="1:1">
      <c r="A294" s="161"/>
    </row>
    <row r="295" spans="1:1">
      <c r="A295" s="161"/>
    </row>
    <row r="296" spans="1:1">
      <c r="A296" s="161"/>
    </row>
    <row r="297" spans="1:1">
      <c r="A297" s="161"/>
    </row>
    <row r="298" spans="1:1">
      <c r="A298" s="161"/>
    </row>
    <row r="299" spans="1:1">
      <c r="A299" s="161"/>
    </row>
    <row r="300" spans="1:1">
      <c r="A300" s="161"/>
    </row>
    <row r="301" spans="1:1">
      <c r="A301" s="161"/>
    </row>
    <row r="302" spans="1:1">
      <c r="A302" s="161"/>
    </row>
    <row r="303" spans="1:1">
      <c r="A303" s="161"/>
    </row>
    <row r="304" spans="1:1">
      <c r="A304" s="161"/>
    </row>
    <row r="305" spans="1:1">
      <c r="A305" s="161"/>
    </row>
    <row r="306" spans="1:1">
      <c r="A306" s="161"/>
    </row>
    <row r="307" spans="1:1">
      <c r="A307" s="161"/>
    </row>
    <row r="308" spans="1:1">
      <c r="A308" s="161"/>
    </row>
    <row r="309" spans="1:1">
      <c r="A309" s="161"/>
    </row>
    <row r="310" spans="1:1">
      <c r="A310" s="161"/>
    </row>
    <row r="311" spans="1:1">
      <c r="A311" s="161"/>
    </row>
    <row r="312" spans="1:1">
      <c r="A312" s="161"/>
    </row>
    <row r="313" spans="1:1">
      <c r="A313" s="161"/>
    </row>
    <row r="314" spans="1:1">
      <c r="A314" s="161"/>
    </row>
    <row r="315" spans="1:1">
      <c r="A315" s="161"/>
    </row>
    <row r="316" spans="1:1">
      <c r="A316" s="161"/>
    </row>
    <row r="317" spans="1:1">
      <c r="A317" s="161"/>
    </row>
    <row r="318" spans="1:1">
      <c r="A318" s="161"/>
    </row>
    <row r="319" spans="1:1">
      <c r="A319" s="161"/>
    </row>
    <row r="320" spans="1:1">
      <c r="A320" s="161"/>
    </row>
    <row r="321" spans="1:1">
      <c r="A321" s="161"/>
    </row>
    <row r="322" spans="1:1">
      <c r="A322" s="161"/>
    </row>
    <row r="323" spans="1:1">
      <c r="A323" s="161"/>
    </row>
    <row r="324" spans="1:1">
      <c r="A324" s="161"/>
    </row>
    <row r="325" spans="1:1">
      <c r="A325" s="161"/>
    </row>
    <row r="326" spans="1:1">
      <c r="A326" s="161"/>
    </row>
    <row r="327" spans="1:1">
      <c r="A327" s="161"/>
    </row>
    <row r="328" spans="1:1">
      <c r="A328" s="161"/>
    </row>
    <row r="329" spans="1:1">
      <c r="A329" s="161"/>
    </row>
    <row r="330" spans="1:1">
      <c r="A330" s="161"/>
    </row>
    <row r="331" spans="1:1">
      <c r="A331" s="161"/>
    </row>
    <row r="332" spans="1:1">
      <c r="A332" s="161"/>
    </row>
    <row r="333" spans="1:1">
      <c r="A333" s="161"/>
    </row>
    <row r="334" spans="1:1">
      <c r="A334" s="161"/>
    </row>
    <row r="335" spans="1:1">
      <c r="A335" s="161"/>
    </row>
    <row r="336" spans="1:1">
      <c r="A336" s="161"/>
    </row>
    <row r="337" spans="1:1">
      <c r="A337" s="161"/>
    </row>
    <row r="338" spans="1:1">
      <c r="A338" s="161"/>
    </row>
    <row r="339" spans="1:1">
      <c r="A339" s="161"/>
    </row>
    <row r="340" spans="1:1">
      <c r="A340" s="161"/>
    </row>
    <row r="341" spans="1:1">
      <c r="A341" s="161"/>
    </row>
    <row r="342" spans="1:1">
      <c r="A342" s="161"/>
    </row>
    <row r="343" spans="1:1">
      <c r="A343" s="161"/>
    </row>
    <row r="344" spans="1:1">
      <c r="A344" s="161"/>
    </row>
    <row r="345" spans="1:1">
      <c r="A345" s="161"/>
    </row>
    <row r="346" spans="1:1">
      <c r="A346" s="161"/>
    </row>
    <row r="347" spans="1:1">
      <c r="A347" s="161"/>
    </row>
    <row r="348" spans="1:1">
      <c r="A348" s="161"/>
    </row>
    <row r="349" spans="1:1">
      <c r="A349" s="161"/>
    </row>
    <row r="350" spans="1:1">
      <c r="A350" s="161"/>
    </row>
    <row r="351" spans="1:1">
      <c r="A351" s="161"/>
    </row>
    <row r="352" spans="1:1">
      <c r="A352" s="161"/>
    </row>
    <row r="353" spans="1:1">
      <c r="A353" s="161"/>
    </row>
    <row r="354" spans="1:1">
      <c r="A354" s="161"/>
    </row>
    <row r="355" spans="1:1">
      <c r="A355" s="161"/>
    </row>
    <row r="356" spans="1:1">
      <c r="A356" s="161"/>
    </row>
    <row r="357" spans="1:1">
      <c r="A357" s="161"/>
    </row>
    <row r="358" spans="1:1">
      <c r="A358" s="161"/>
    </row>
    <row r="359" spans="1:1">
      <c r="A359" s="161"/>
    </row>
    <row r="360" spans="1:1">
      <c r="A360" s="161"/>
    </row>
    <row r="361" spans="1:1">
      <c r="A361" s="161"/>
    </row>
    <row r="362" spans="1:1">
      <c r="A362" s="161"/>
    </row>
    <row r="363" spans="1:1">
      <c r="A363" s="161"/>
    </row>
    <row r="364" spans="1:1">
      <c r="A364" s="161"/>
    </row>
    <row r="365" spans="1:1">
      <c r="A365" s="161"/>
    </row>
    <row r="366" spans="1:1">
      <c r="A366" s="161"/>
    </row>
    <row r="367" spans="1:1">
      <c r="A367" s="161"/>
    </row>
    <row r="368" spans="1:1">
      <c r="A368" s="161"/>
    </row>
    <row r="369" spans="1:1">
      <c r="A369" s="161"/>
    </row>
    <row r="370" spans="1:1">
      <c r="A370" s="161"/>
    </row>
    <row r="371" spans="1:1">
      <c r="A371" s="161"/>
    </row>
    <row r="372" spans="1:1">
      <c r="A372" s="161"/>
    </row>
    <row r="373" spans="1:1">
      <c r="A373" s="161"/>
    </row>
    <row r="374" spans="1:1">
      <c r="A374" s="161"/>
    </row>
    <row r="375" spans="1:1">
      <c r="A375" s="161"/>
    </row>
    <row r="376" spans="1:1">
      <c r="A376" s="161"/>
    </row>
    <row r="377" spans="1:1">
      <c r="A377" s="161"/>
    </row>
    <row r="378" spans="1:1">
      <c r="A378" s="161"/>
    </row>
    <row r="379" spans="1:1">
      <c r="A379" s="161"/>
    </row>
    <row r="380" spans="1:1">
      <c r="A380" s="161"/>
    </row>
    <row r="381" spans="1:1">
      <c r="A381" s="161"/>
    </row>
    <row r="382" spans="1:1">
      <c r="A382" s="161"/>
    </row>
    <row r="383" spans="1:1">
      <c r="A383" s="161"/>
    </row>
    <row r="384" spans="1:1">
      <c r="A384" s="161"/>
    </row>
    <row r="385" spans="1:1">
      <c r="A385" s="161"/>
    </row>
    <row r="386" spans="1:1">
      <c r="A386" s="161"/>
    </row>
    <row r="387" spans="1:1">
      <c r="A387" s="161"/>
    </row>
    <row r="388" spans="1:1">
      <c r="A388" s="161"/>
    </row>
    <row r="389" spans="1:1">
      <c r="A389" s="161"/>
    </row>
    <row r="390" spans="1:1">
      <c r="A390" s="161"/>
    </row>
    <row r="391" spans="1:1">
      <c r="A391" s="161"/>
    </row>
    <row r="392" spans="1:1">
      <c r="A392" s="161"/>
    </row>
    <row r="393" spans="1:1">
      <c r="A393" s="161"/>
    </row>
    <row r="394" spans="1:1">
      <c r="A394" s="161"/>
    </row>
    <row r="395" spans="1:1">
      <c r="A395" s="161"/>
    </row>
    <row r="396" spans="1:1">
      <c r="A396" s="161"/>
    </row>
    <row r="397" spans="1:1">
      <c r="A397" s="161"/>
    </row>
    <row r="398" spans="1:1">
      <c r="A398" s="161"/>
    </row>
    <row r="399" spans="1:1">
      <c r="A399" s="161"/>
    </row>
    <row r="400" spans="1:1">
      <c r="A400" s="161"/>
    </row>
    <row r="401" spans="1:1">
      <c r="A401" s="161"/>
    </row>
    <row r="402" spans="1:1">
      <c r="A402" s="161"/>
    </row>
    <row r="403" spans="1:1">
      <c r="A403" s="161"/>
    </row>
    <row r="404" spans="1:1">
      <c r="A404" s="161"/>
    </row>
    <row r="405" spans="1:1">
      <c r="A405" s="161"/>
    </row>
    <row r="406" spans="1:1">
      <c r="A406" s="161"/>
    </row>
    <row r="407" spans="1:1">
      <c r="A407" s="161"/>
    </row>
    <row r="408" spans="1:1">
      <c r="A408" s="161"/>
    </row>
    <row r="409" spans="1:1">
      <c r="A409" s="161"/>
    </row>
    <row r="410" spans="1:1">
      <c r="A410" s="161"/>
    </row>
    <row r="411" spans="1:1">
      <c r="A411" s="161"/>
    </row>
    <row r="412" spans="1:1">
      <c r="A412" s="161"/>
    </row>
    <row r="413" spans="1:1">
      <c r="A413" s="161"/>
    </row>
    <row r="414" spans="1:1">
      <c r="A414" s="161"/>
    </row>
    <row r="415" spans="1:1">
      <c r="A415" s="161"/>
    </row>
    <row r="416" spans="1:1">
      <c r="A416" s="161"/>
    </row>
    <row r="417" spans="1:1">
      <c r="A417" s="161"/>
    </row>
    <row r="418" spans="1:1">
      <c r="A418" s="161"/>
    </row>
    <row r="419" spans="1:1">
      <c r="A419" s="161"/>
    </row>
    <row r="420" spans="1:1">
      <c r="A420" s="161"/>
    </row>
    <row r="421" spans="1:1">
      <c r="A421" s="161"/>
    </row>
    <row r="422" spans="1:1">
      <c r="A422" s="161"/>
    </row>
    <row r="423" spans="1:1">
      <c r="A423" s="161"/>
    </row>
    <row r="424" spans="1:1">
      <c r="A424" s="161"/>
    </row>
    <row r="425" spans="1:1">
      <c r="A425" s="161"/>
    </row>
    <row r="426" spans="1:1">
      <c r="A426" s="161"/>
    </row>
    <row r="427" spans="1:1">
      <c r="A427" s="161"/>
    </row>
    <row r="428" spans="1:1">
      <c r="A428" s="161"/>
    </row>
    <row r="429" spans="1:1">
      <c r="A429" s="161"/>
    </row>
    <row r="430" spans="1:1">
      <c r="A430" s="161"/>
    </row>
    <row r="431" spans="1:1">
      <c r="A431" s="161"/>
    </row>
    <row r="432" spans="1:1">
      <c r="A432" s="161"/>
    </row>
    <row r="433" spans="1:1">
      <c r="A433" s="161"/>
    </row>
    <row r="434" spans="1:1">
      <c r="A434" s="161"/>
    </row>
    <row r="435" spans="1:1">
      <c r="A435" s="161"/>
    </row>
    <row r="436" spans="1:1">
      <c r="A436" s="161"/>
    </row>
    <row r="437" spans="1:1">
      <c r="A437" s="161"/>
    </row>
    <row r="438" spans="1:1">
      <c r="A438" s="161"/>
    </row>
    <row r="439" spans="1:1">
      <c r="A439" s="161"/>
    </row>
    <row r="440" spans="1:1">
      <c r="A440" s="161"/>
    </row>
    <row r="441" spans="1:1">
      <c r="A441" s="161"/>
    </row>
    <row r="442" spans="1:1">
      <c r="A442" s="161"/>
    </row>
    <row r="443" spans="1:1">
      <c r="A443" s="161"/>
    </row>
    <row r="444" spans="1:1">
      <c r="A444" s="161"/>
    </row>
    <row r="445" spans="1:1">
      <c r="A445" s="161"/>
    </row>
    <row r="446" spans="1:1">
      <c r="A446" s="161"/>
    </row>
    <row r="447" spans="1:1">
      <c r="A447" s="161"/>
    </row>
    <row r="448" spans="1:1">
      <c r="A448" s="161"/>
    </row>
    <row r="449" spans="1:1">
      <c r="A449" s="161"/>
    </row>
    <row r="450" spans="1:1">
      <c r="A450" s="161"/>
    </row>
    <row r="451" spans="1:1">
      <c r="A451" s="161"/>
    </row>
    <row r="452" spans="1:1">
      <c r="A452" s="161"/>
    </row>
    <row r="453" spans="1:1">
      <c r="A453" s="161"/>
    </row>
    <row r="454" spans="1:1">
      <c r="A454" s="161"/>
    </row>
    <row r="455" spans="1:1">
      <c r="A455" s="161"/>
    </row>
    <row r="456" spans="1:1">
      <c r="A456" s="161"/>
    </row>
    <row r="457" spans="1:1">
      <c r="A457" s="161"/>
    </row>
    <row r="458" spans="1:1">
      <c r="A458" s="161"/>
    </row>
    <row r="459" spans="1:1">
      <c r="A459" s="161"/>
    </row>
    <row r="460" spans="1:1">
      <c r="A460" s="161"/>
    </row>
    <row r="461" spans="1:1">
      <c r="A461" s="161"/>
    </row>
    <row r="462" spans="1:1">
      <c r="A462" s="161"/>
    </row>
    <row r="463" spans="1:1">
      <c r="A463" s="161"/>
    </row>
    <row r="464" spans="1:1">
      <c r="A464" s="161"/>
    </row>
    <row r="465" spans="1:1">
      <c r="A465" s="161"/>
    </row>
    <row r="466" spans="1:1">
      <c r="A466" s="161"/>
    </row>
    <row r="467" spans="1:1">
      <c r="A467" s="161"/>
    </row>
    <row r="468" spans="1:1">
      <c r="A468" s="161"/>
    </row>
    <row r="469" spans="1:1">
      <c r="A469" s="161"/>
    </row>
    <row r="470" spans="1:1">
      <c r="A470" s="161"/>
    </row>
    <row r="471" spans="1:1">
      <c r="A471" s="161"/>
    </row>
    <row r="472" spans="1:1">
      <c r="A472" s="161"/>
    </row>
    <row r="473" spans="1:1">
      <c r="A473" s="161"/>
    </row>
    <row r="474" spans="1:1">
      <c r="A474" s="161"/>
    </row>
    <row r="475" spans="1:1">
      <c r="A475" s="161"/>
    </row>
    <row r="476" spans="1:1">
      <c r="A476" s="161"/>
    </row>
    <row r="477" spans="1:1">
      <c r="A477" s="161"/>
    </row>
    <row r="478" spans="1:1">
      <c r="A478" s="161"/>
    </row>
    <row r="479" spans="1:1">
      <c r="A479" s="161"/>
    </row>
    <row r="480" spans="1:1">
      <c r="A480" s="161"/>
    </row>
    <row r="481" spans="1:1">
      <c r="A481" s="161"/>
    </row>
    <row r="482" spans="1:1">
      <c r="A482" s="161"/>
    </row>
    <row r="483" spans="1:1">
      <c r="A483" s="161"/>
    </row>
    <row r="484" spans="1:1">
      <c r="A484" s="161"/>
    </row>
    <row r="485" spans="1:1">
      <c r="A485" s="161"/>
    </row>
    <row r="486" spans="1:1">
      <c r="A486" s="161"/>
    </row>
    <row r="487" spans="1:1">
      <c r="A487" s="161"/>
    </row>
    <row r="488" spans="1:1">
      <c r="A488" s="161"/>
    </row>
    <row r="489" spans="1:1">
      <c r="A489" s="161"/>
    </row>
    <row r="490" spans="1:1">
      <c r="A490" s="161"/>
    </row>
    <row r="491" spans="1:1">
      <c r="A491" s="161"/>
    </row>
    <row r="492" spans="1:1">
      <c r="A492" s="161"/>
    </row>
    <row r="493" spans="1:1">
      <c r="A493" s="161"/>
    </row>
    <row r="494" spans="1:1">
      <c r="A494" s="161"/>
    </row>
    <row r="495" spans="1:1">
      <c r="A495" s="161"/>
    </row>
    <row r="496" spans="1:1">
      <c r="A496" s="161"/>
    </row>
    <row r="497" spans="1:1">
      <c r="A497" s="161"/>
    </row>
    <row r="498" spans="1:1">
      <c r="A498" s="161"/>
    </row>
    <row r="499" spans="1:1">
      <c r="A499" s="161"/>
    </row>
    <row r="500" spans="1:1">
      <c r="A500" s="161"/>
    </row>
    <row r="501" spans="1:1">
      <c r="A501" s="161"/>
    </row>
    <row r="502" spans="1:1">
      <c r="A502" s="161"/>
    </row>
    <row r="503" spans="1:1">
      <c r="A503" s="161"/>
    </row>
    <row r="504" spans="1:1">
      <c r="A504" s="161"/>
    </row>
    <row r="505" spans="1:1">
      <c r="A505" s="161"/>
    </row>
    <row r="506" spans="1:1">
      <c r="A506" s="161"/>
    </row>
    <row r="507" spans="1:1">
      <c r="A507" s="161"/>
    </row>
    <row r="508" spans="1:1">
      <c r="A508" s="161"/>
    </row>
    <row r="509" spans="1:1">
      <c r="A509" s="161"/>
    </row>
    <row r="510" spans="1:1">
      <c r="A510" s="161"/>
    </row>
    <row r="511" spans="1:1">
      <c r="A511" s="161"/>
    </row>
    <row r="512" spans="1:1">
      <c r="A512" s="161"/>
    </row>
    <row r="513" spans="1:1">
      <c r="A513" s="161"/>
    </row>
    <row r="514" spans="1:1">
      <c r="A514" s="161"/>
    </row>
    <row r="515" spans="1:1">
      <c r="A515" s="161"/>
    </row>
    <row r="516" spans="1:1">
      <c r="A516" s="161"/>
    </row>
    <row r="517" spans="1:1">
      <c r="A517" s="161"/>
    </row>
    <row r="518" spans="1:1">
      <c r="A518" s="161"/>
    </row>
    <row r="519" spans="1:1">
      <c r="A519" s="161"/>
    </row>
    <row r="520" spans="1:1">
      <c r="A520" s="161"/>
    </row>
    <row r="521" spans="1:1">
      <c r="A521" s="161"/>
    </row>
    <row r="522" spans="1:1">
      <c r="A522" s="161"/>
    </row>
    <row r="523" spans="1:1">
      <c r="A523" s="161"/>
    </row>
    <row r="524" spans="1:1">
      <c r="A524" s="161"/>
    </row>
    <row r="525" spans="1:1">
      <c r="A525" s="161"/>
    </row>
    <row r="526" spans="1:1">
      <c r="A526" s="161"/>
    </row>
    <row r="527" spans="1:1">
      <c r="A527" s="161"/>
    </row>
    <row r="528" spans="1:1">
      <c r="A528" s="161"/>
    </row>
    <row r="529" spans="1:1">
      <c r="A529" s="161"/>
    </row>
    <row r="530" spans="1:1">
      <c r="A530" s="161"/>
    </row>
    <row r="531" spans="1:1">
      <c r="A531" s="161"/>
    </row>
    <row r="532" spans="1:1">
      <c r="A532" s="161"/>
    </row>
    <row r="533" spans="1:1">
      <c r="A533" s="161"/>
    </row>
    <row r="534" spans="1:1">
      <c r="A534" s="161"/>
    </row>
    <row r="535" spans="1:1">
      <c r="A535" s="161"/>
    </row>
    <row r="536" spans="1:1">
      <c r="A536" s="161"/>
    </row>
    <row r="537" spans="1:1">
      <c r="A537" s="161"/>
    </row>
    <row r="538" spans="1:1">
      <c r="A538" s="161"/>
    </row>
    <row r="539" spans="1:1">
      <c r="A539" s="161"/>
    </row>
    <row r="540" spans="1:1">
      <c r="A540" s="161"/>
    </row>
    <row r="541" spans="1:1">
      <c r="A541" s="161"/>
    </row>
    <row r="542" spans="1:1">
      <c r="A542" s="161"/>
    </row>
    <row r="543" spans="1:1">
      <c r="A543" s="161"/>
    </row>
    <row r="544" spans="1:1">
      <c r="A544" s="161"/>
    </row>
    <row r="545" spans="1:1">
      <c r="A545" s="161"/>
    </row>
    <row r="546" spans="1:1">
      <c r="A546" s="161"/>
    </row>
    <row r="547" spans="1:1">
      <c r="A547" s="161"/>
    </row>
    <row r="548" spans="1:1">
      <c r="A548" s="161"/>
    </row>
    <row r="549" spans="1:1">
      <c r="A549" s="161"/>
    </row>
    <row r="550" spans="1:1">
      <c r="A550" s="161"/>
    </row>
    <row r="551" spans="1:1">
      <c r="A551" s="161"/>
    </row>
    <row r="552" spans="1:1">
      <c r="A552" s="161"/>
    </row>
    <row r="553" spans="1:1">
      <c r="A553" s="161"/>
    </row>
    <row r="554" spans="1:1">
      <c r="A554" s="161"/>
    </row>
    <row r="555" spans="1:1">
      <c r="A555" s="161"/>
    </row>
  </sheetData>
  <mergeCells count="5">
    <mergeCell ref="K3:L3"/>
    <mergeCell ref="M3:N3"/>
    <mergeCell ref="A5:C5"/>
    <mergeCell ref="AF4:AF6"/>
    <mergeCell ref="U6:V6"/>
  </mergeCells>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U82"/>
  <sheetViews>
    <sheetView workbookViewId="0">
      <pane ySplit="1900" activePane="bottomLeft"/>
      <selection activeCell="E1" sqref="E1:E1048576"/>
      <selection pane="bottomLeft" activeCell="K17" sqref="K17"/>
    </sheetView>
  </sheetViews>
  <sheetFormatPr defaultColWidth="8.83203125" defaultRowHeight="15.5"/>
  <cols>
    <col min="1" max="1" width="10" bestFit="1" customWidth="1"/>
    <col min="7" max="7" width="16.5" bestFit="1" customWidth="1"/>
    <col min="8" max="8" width="11.83203125" bestFit="1" customWidth="1"/>
    <col min="9" max="9" width="9.83203125" bestFit="1" customWidth="1"/>
    <col min="14" max="14" width="9.33203125" bestFit="1" customWidth="1"/>
  </cols>
  <sheetData>
    <row r="1" spans="1:21">
      <c r="A1" t="s">
        <v>1924</v>
      </c>
      <c r="B1" t="s">
        <v>1925</v>
      </c>
      <c r="C1" t="s">
        <v>1683</v>
      </c>
      <c r="D1" t="s">
        <v>1627</v>
      </c>
      <c r="E1" t="s">
        <v>1628</v>
      </c>
      <c r="F1" t="s">
        <v>1629</v>
      </c>
      <c r="G1" t="s">
        <v>1926</v>
      </c>
      <c r="H1" t="s">
        <v>1927</v>
      </c>
      <c r="I1" s="77" t="s">
        <v>1928</v>
      </c>
      <c r="J1" t="s">
        <v>1929</v>
      </c>
      <c r="K1" s="68" t="s">
        <v>1930</v>
      </c>
      <c r="L1" s="68" t="s">
        <v>1930</v>
      </c>
      <c r="M1" t="s">
        <v>1931</v>
      </c>
      <c r="T1" t="s">
        <v>1932</v>
      </c>
    </row>
    <row r="2" spans="1:21">
      <c r="A2" t="s">
        <v>1933</v>
      </c>
      <c r="D2" t="s">
        <v>1934</v>
      </c>
      <c r="I2" t="s">
        <v>1935</v>
      </c>
      <c r="K2" s="68" t="s">
        <v>1675</v>
      </c>
      <c r="L2" s="68" t="s">
        <v>1675</v>
      </c>
      <c r="T2" s="77" t="s">
        <v>1936</v>
      </c>
      <c r="U2" s="77"/>
    </row>
    <row r="3" spans="1:21">
      <c r="K3" s="69" t="s">
        <v>1937</v>
      </c>
      <c r="L3" s="69" t="s">
        <v>1938</v>
      </c>
      <c r="T3" s="77" t="s">
        <v>1939</v>
      </c>
      <c r="U3" s="77"/>
    </row>
    <row r="4" spans="1:21">
      <c r="D4" s="68"/>
      <c r="I4" s="77" t="s">
        <v>1810</v>
      </c>
      <c r="K4" s="68" t="s">
        <v>1940</v>
      </c>
      <c r="L4" s="68" t="s">
        <v>1940</v>
      </c>
      <c r="N4" t="s">
        <v>1924</v>
      </c>
      <c r="O4" t="s">
        <v>1925</v>
      </c>
      <c r="P4" t="s">
        <v>1627</v>
      </c>
      <c r="Q4" t="s">
        <v>1628</v>
      </c>
      <c r="R4" t="s">
        <v>1629</v>
      </c>
      <c r="S4" t="s">
        <v>1810</v>
      </c>
      <c r="T4" s="77" t="s">
        <v>1941</v>
      </c>
      <c r="U4" s="77"/>
    </row>
    <row r="5" spans="1:21">
      <c r="D5" s="68"/>
      <c r="K5" s="68"/>
      <c r="L5" s="68"/>
      <c r="N5" s="161">
        <v>43285</v>
      </c>
      <c r="O5">
        <v>1</v>
      </c>
      <c r="P5" s="275">
        <v>2017</v>
      </c>
      <c r="Q5" s="275" t="s">
        <v>1708</v>
      </c>
      <c r="R5" s="275">
        <v>1</v>
      </c>
      <c r="S5">
        <v>2925.2</v>
      </c>
      <c r="T5" s="77" t="s">
        <v>1942</v>
      </c>
      <c r="U5" s="77"/>
    </row>
    <row r="6" spans="1:21" ht="27" customHeight="1">
      <c r="B6">
        <v>1</v>
      </c>
      <c r="C6" t="s">
        <v>1943</v>
      </c>
      <c r="D6" s="275">
        <v>2017</v>
      </c>
      <c r="E6" s="275" t="s">
        <v>1708</v>
      </c>
      <c r="F6" s="275">
        <v>1</v>
      </c>
      <c r="G6" t="s">
        <v>1944</v>
      </c>
      <c r="H6" s="161">
        <v>43283</v>
      </c>
      <c r="I6">
        <v>2925.2</v>
      </c>
      <c r="M6" t="s">
        <v>1715</v>
      </c>
      <c r="N6" s="161">
        <v>43285</v>
      </c>
      <c r="O6">
        <v>2</v>
      </c>
      <c r="P6" s="275">
        <v>2017</v>
      </c>
      <c r="Q6" s="275" t="s">
        <v>1708</v>
      </c>
      <c r="R6" s="275">
        <v>2</v>
      </c>
      <c r="S6">
        <v>3174.4</v>
      </c>
    </row>
    <row r="7" spans="1:21" ht="27" customHeight="1">
      <c r="B7">
        <v>2</v>
      </c>
      <c r="C7" t="s">
        <v>1943</v>
      </c>
      <c r="D7" s="275">
        <v>2017</v>
      </c>
      <c r="E7" s="275" t="s">
        <v>1708</v>
      </c>
      <c r="F7" s="275">
        <v>2</v>
      </c>
      <c r="G7" t="s">
        <v>1944</v>
      </c>
      <c r="H7" s="161">
        <v>43283</v>
      </c>
      <c r="I7">
        <v>3174.4</v>
      </c>
      <c r="M7" t="s">
        <v>1715</v>
      </c>
      <c r="N7" s="161">
        <v>43285</v>
      </c>
      <c r="O7">
        <v>3</v>
      </c>
      <c r="P7" s="275">
        <v>2017</v>
      </c>
      <c r="Q7" s="275" t="s">
        <v>1708</v>
      </c>
      <c r="R7" s="275">
        <v>3</v>
      </c>
      <c r="S7">
        <v>3540.3</v>
      </c>
    </row>
    <row r="8" spans="1:21" ht="27" customHeight="1">
      <c r="B8">
        <v>3</v>
      </c>
      <c r="C8" t="s">
        <v>1943</v>
      </c>
      <c r="D8" s="275">
        <v>2017</v>
      </c>
      <c r="E8" s="275" t="s">
        <v>1708</v>
      </c>
      <c r="F8" s="275">
        <v>3</v>
      </c>
      <c r="G8" t="s">
        <v>1944</v>
      </c>
      <c r="H8" s="161">
        <v>43283</v>
      </c>
      <c r="I8">
        <v>3540.3</v>
      </c>
      <c r="M8" t="s">
        <v>1715</v>
      </c>
      <c r="N8" s="161">
        <v>43285</v>
      </c>
      <c r="O8">
        <v>4</v>
      </c>
      <c r="P8" s="275">
        <v>2017</v>
      </c>
      <c r="Q8" s="275" t="s">
        <v>1708</v>
      </c>
      <c r="R8" s="275" t="s">
        <v>1914</v>
      </c>
      <c r="S8">
        <v>3174.1</v>
      </c>
    </row>
    <row r="9" spans="1:21" ht="27" customHeight="1">
      <c r="B9">
        <v>4</v>
      </c>
      <c r="C9" t="s">
        <v>1943</v>
      </c>
      <c r="D9" s="275">
        <v>2017</v>
      </c>
      <c r="E9" s="275" t="s">
        <v>1708</v>
      </c>
      <c r="F9" s="275" t="s">
        <v>1914</v>
      </c>
      <c r="G9" t="s">
        <v>1944</v>
      </c>
      <c r="H9" s="161">
        <v>43283</v>
      </c>
      <c r="I9">
        <v>3174.1</v>
      </c>
      <c r="J9" t="s">
        <v>1929</v>
      </c>
      <c r="M9" t="s">
        <v>1715</v>
      </c>
      <c r="N9" s="161">
        <v>43285</v>
      </c>
      <c r="O9">
        <v>5</v>
      </c>
      <c r="P9" s="275">
        <v>2017</v>
      </c>
      <c r="Q9" s="275" t="s">
        <v>1708</v>
      </c>
      <c r="R9" s="275" t="s">
        <v>1915</v>
      </c>
      <c r="S9">
        <v>3401.1</v>
      </c>
    </row>
    <row r="10" spans="1:21" ht="27" customHeight="1">
      <c r="B10">
        <v>5</v>
      </c>
      <c r="C10" t="s">
        <v>1943</v>
      </c>
      <c r="D10" s="275">
        <v>2017</v>
      </c>
      <c r="E10" s="275" t="s">
        <v>1708</v>
      </c>
      <c r="F10" s="275" t="s">
        <v>1915</v>
      </c>
      <c r="G10" t="s">
        <v>1944</v>
      </c>
      <c r="H10" s="161">
        <v>43283</v>
      </c>
      <c r="I10">
        <v>3401.1</v>
      </c>
      <c r="J10" t="s">
        <v>1929</v>
      </c>
      <c r="M10" t="s">
        <v>1715</v>
      </c>
      <c r="N10" s="161">
        <v>43285</v>
      </c>
      <c r="O10">
        <v>6</v>
      </c>
      <c r="P10" s="275">
        <v>2017</v>
      </c>
      <c r="Q10" s="275" t="s">
        <v>1708</v>
      </c>
      <c r="R10" s="275">
        <v>5</v>
      </c>
      <c r="S10">
        <v>2732.7</v>
      </c>
    </row>
    <row r="11" spans="1:21" ht="27" customHeight="1">
      <c r="B11">
        <v>6</v>
      </c>
      <c r="C11" t="s">
        <v>1943</v>
      </c>
      <c r="D11" s="275">
        <v>2017</v>
      </c>
      <c r="E11" s="275" t="s">
        <v>1708</v>
      </c>
      <c r="F11" s="275">
        <v>5</v>
      </c>
      <c r="G11" t="s">
        <v>1944</v>
      </c>
      <c r="H11" s="161">
        <v>43283</v>
      </c>
      <c r="I11">
        <v>2732.7</v>
      </c>
      <c r="M11" t="s">
        <v>1715</v>
      </c>
      <c r="N11" s="161">
        <v>43285</v>
      </c>
      <c r="O11">
        <v>7</v>
      </c>
      <c r="P11" s="275">
        <v>2017</v>
      </c>
      <c r="Q11" s="275" t="s">
        <v>1708</v>
      </c>
      <c r="R11" s="275">
        <v>6</v>
      </c>
      <c r="S11">
        <v>2672.9</v>
      </c>
    </row>
    <row r="12" spans="1:21" ht="27" customHeight="1">
      <c r="B12">
        <v>7</v>
      </c>
      <c r="C12" t="s">
        <v>1943</v>
      </c>
      <c r="D12" s="275">
        <v>2017</v>
      </c>
      <c r="E12" s="275" t="s">
        <v>1708</v>
      </c>
      <c r="F12" s="275">
        <v>6</v>
      </c>
      <c r="G12" t="s">
        <v>1944</v>
      </c>
      <c r="H12" s="161">
        <v>43283</v>
      </c>
      <c r="I12">
        <v>2672.9</v>
      </c>
      <c r="M12" t="s">
        <v>1715</v>
      </c>
      <c r="N12" s="161">
        <v>43285</v>
      </c>
      <c r="O12">
        <v>8</v>
      </c>
      <c r="P12" s="275">
        <v>2017</v>
      </c>
      <c r="Q12" s="275" t="s">
        <v>1708</v>
      </c>
      <c r="R12" s="275">
        <v>7</v>
      </c>
      <c r="S12">
        <v>2530.8000000000002</v>
      </c>
    </row>
    <row r="13" spans="1:21" ht="27" customHeight="1">
      <c r="B13">
        <v>8</v>
      </c>
      <c r="C13" t="s">
        <v>1943</v>
      </c>
      <c r="D13" s="275">
        <v>2017</v>
      </c>
      <c r="E13" s="275" t="s">
        <v>1708</v>
      </c>
      <c r="F13" s="275">
        <v>7</v>
      </c>
      <c r="G13" t="s">
        <v>1944</v>
      </c>
      <c r="H13" s="161">
        <v>43283</v>
      </c>
      <c r="I13">
        <v>2530.8000000000002</v>
      </c>
      <c r="M13" t="s">
        <v>1715</v>
      </c>
      <c r="N13" s="161">
        <v>43285</v>
      </c>
      <c r="O13">
        <v>9</v>
      </c>
      <c r="P13" s="275">
        <v>2017</v>
      </c>
      <c r="Q13" s="275" t="s">
        <v>1708</v>
      </c>
      <c r="R13" s="275">
        <v>8</v>
      </c>
      <c r="S13">
        <v>2418.8000000000002</v>
      </c>
    </row>
    <row r="14" spans="1:21" ht="27" customHeight="1">
      <c r="B14">
        <v>9</v>
      </c>
      <c r="C14" t="s">
        <v>1943</v>
      </c>
      <c r="D14" s="275">
        <v>2017</v>
      </c>
      <c r="E14" s="275" t="s">
        <v>1708</v>
      </c>
      <c r="F14" s="275">
        <v>8</v>
      </c>
      <c r="G14" t="s">
        <v>1944</v>
      </c>
      <c r="H14" s="161">
        <v>43283</v>
      </c>
      <c r="I14">
        <v>2418.8000000000002</v>
      </c>
      <c r="M14" t="s">
        <v>1715</v>
      </c>
      <c r="N14" s="161">
        <v>43285</v>
      </c>
      <c r="O14">
        <v>10</v>
      </c>
      <c r="P14" s="275">
        <v>2017</v>
      </c>
      <c r="Q14" s="275" t="s">
        <v>1708</v>
      </c>
      <c r="R14" s="275">
        <v>9</v>
      </c>
      <c r="S14">
        <v>2071.6999999999998</v>
      </c>
    </row>
    <row r="15" spans="1:21" ht="27" customHeight="1">
      <c r="B15">
        <v>10</v>
      </c>
      <c r="C15" t="s">
        <v>1943</v>
      </c>
      <c r="D15" s="275">
        <v>2017</v>
      </c>
      <c r="E15" s="275" t="s">
        <v>1708</v>
      </c>
      <c r="F15" s="275">
        <v>9</v>
      </c>
      <c r="G15" t="s">
        <v>1944</v>
      </c>
      <c r="H15" s="161">
        <v>43283</v>
      </c>
      <c r="I15">
        <v>2071.6999999999998</v>
      </c>
      <c r="M15" t="s">
        <v>1715</v>
      </c>
      <c r="N15" s="161">
        <v>43285</v>
      </c>
      <c r="O15">
        <v>75</v>
      </c>
      <c r="P15" t="s">
        <v>1945</v>
      </c>
    </row>
    <row r="16" spans="1:21" ht="27" customHeight="1">
      <c r="B16">
        <v>11</v>
      </c>
      <c r="C16" t="s">
        <v>1943</v>
      </c>
      <c r="D16" s="275">
        <v>2017</v>
      </c>
      <c r="E16" s="275" t="s">
        <v>1708</v>
      </c>
      <c r="F16" s="275">
        <v>10</v>
      </c>
      <c r="G16" t="s">
        <v>1944</v>
      </c>
      <c r="H16" s="161">
        <v>43283</v>
      </c>
      <c r="I16">
        <v>2386.9</v>
      </c>
      <c r="M16" t="s">
        <v>1715</v>
      </c>
      <c r="N16" s="161">
        <v>43285</v>
      </c>
      <c r="O16">
        <v>71</v>
      </c>
      <c r="P16" s="277" t="s">
        <v>1946</v>
      </c>
      <c r="Q16" s="275">
        <v>1</v>
      </c>
      <c r="S16">
        <v>2681.2</v>
      </c>
    </row>
    <row r="17" spans="2:19" ht="27" customHeight="1">
      <c r="B17">
        <v>12</v>
      </c>
      <c r="C17" t="s">
        <v>1943</v>
      </c>
      <c r="D17" s="275">
        <v>2017</v>
      </c>
      <c r="E17" s="275" t="s">
        <v>1708</v>
      </c>
      <c r="F17" s="275">
        <v>11</v>
      </c>
      <c r="G17" t="s">
        <v>1944</v>
      </c>
      <c r="H17" s="161">
        <v>43283</v>
      </c>
      <c r="I17">
        <v>2345.5</v>
      </c>
      <c r="M17" t="s">
        <v>1715</v>
      </c>
      <c r="N17" s="161">
        <v>43286</v>
      </c>
      <c r="O17">
        <v>11</v>
      </c>
      <c r="P17" s="275">
        <v>2017</v>
      </c>
      <c r="Q17" s="275" t="s">
        <v>1708</v>
      </c>
      <c r="R17" s="275">
        <v>10</v>
      </c>
      <c r="S17">
        <v>2386.9</v>
      </c>
    </row>
    <row r="18" spans="2:19" ht="27" customHeight="1">
      <c r="B18">
        <v>13</v>
      </c>
      <c r="C18" t="s">
        <v>1943</v>
      </c>
      <c r="D18" s="275">
        <v>2017</v>
      </c>
      <c r="E18" s="275" t="s">
        <v>1708</v>
      </c>
      <c r="F18" s="275">
        <v>12</v>
      </c>
      <c r="G18" t="s">
        <v>1944</v>
      </c>
      <c r="H18" s="161">
        <v>43283</v>
      </c>
      <c r="I18">
        <v>2567.1</v>
      </c>
      <c r="M18" t="s">
        <v>1715</v>
      </c>
      <c r="N18" s="161">
        <v>43286</v>
      </c>
      <c r="O18">
        <v>12</v>
      </c>
      <c r="P18" s="275">
        <v>2017</v>
      </c>
      <c r="Q18" s="275" t="s">
        <v>1708</v>
      </c>
      <c r="R18" s="275">
        <v>11</v>
      </c>
      <c r="S18">
        <v>2345.5</v>
      </c>
    </row>
    <row r="19" spans="2:19" ht="27" customHeight="1">
      <c r="B19">
        <v>14</v>
      </c>
      <c r="C19" t="s">
        <v>1943</v>
      </c>
      <c r="D19" s="275">
        <v>2017</v>
      </c>
      <c r="E19" s="275" t="s">
        <v>1708</v>
      </c>
      <c r="F19" s="275">
        <v>13</v>
      </c>
      <c r="G19" t="s">
        <v>1944</v>
      </c>
      <c r="H19" s="161">
        <v>43283</v>
      </c>
      <c r="I19">
        <v>2789.9</v>
      </c>
      <c r="M19" t="s">
        <v>1715</v>
      </c>
      <c r="N19" s="161">
        <v>43286</v>
      </c>
      <c r="O19">
        <v>13</v>
      </c>
      <c r="P19" s="275">
        <v>2017</v>
      </c>
      <c r="Q19" s="275" t="s">
        <v>1708</v>
      </c>
      <c r="R19" s="275">
        <v>12</v>
      </c>
      <c r="S19">
        <v>2567.1</v>
      </c>
    </row>
    <row r="20" spans="2:19" ht="27" customHeight="1">
      <c r="B20">
        <v>15</v>
      </c>
      <c r="C20" t="s">
        <v>1943</v>
      </c>
      <c r="D20" s="275">
        <v>2017</v>
      </c>
      <c r="E20" s="275" t="s">
        <v>1708</v>
      </c>
      <c r="F20" s="275" t="s">
        <v>1832</v>
      </c>
      <c r="G20" t="s">
        <v>1944</v>
      </c>
      <c r="H20" s="161">
        <v>43283</v>
      </c>
      <c r="I20">
        <v>2401.9</v>
      </c>
      <c r="J20" t="s">
        <v>1929</v>
      </c>
      <c r="M20" t="s">
        <v>1715</v>
      </c>
      <c r="N20" s="161">
        <v>43286</v>
      </c>
      <c r="O20">
        <v>14</v>
      </c>
      <c r="P20" s="275">
        <v>2017</v>
      </c>
      <c r="Q20" s="275" t="s">
        <v>1708</v>
      </c>
      <c r="R20" s="275">
        <v>13</v>
      </c>
      <c r="S20">
        <v>2789.9</v>
      </c>
    </row>
    <row r="21" spans="2:19" ht="27" customHeight="1">
      <c r="B21">
        <v>16</v>
      </c>
      <c r="C21" t="s">
        <v>1943</v>
      </c>
      <c r="D21" s="275">
        <v>2017</v>
      </c>
      <c r="E21" s="275" t="s">
        <v>1708</v>
      </c>
      <c r="F21" s="275" t="s">
        <v>1834</v>
      </c>
      <c r="G21" t="s">
        <v>1944</v>
      </c>
      <c r="H21" s="161">
        <v>43283</v>
      </c>
      <c r="I21">
        <v>3128.5</v>
      </c>
      <c r="J21" t="s">
        <v>1929</v>
      </c>
      <c r="M21" t="s">
        <v>1715</v>
      </c>
      <c r="N21" s="161">
        <v>43286</v>
      </c>
      <c r="O21">
        <v>15</v>
      </c>
      <c r="P21" s="275">
        <v>2017</v>
      </c>
      <c r="Q21" s="275" t="s">
        <v>1708</v>
      </c>
      <c r="R21" s="275" t="s">
        <v>1832</v>
      </c>
      <c r="S21">
        <v>2401.9</v>
      </c>
    </row>
    <row r="22" spans="2:19" ht="27" customHeight="1">
      <c r="B22">
        <v>17</v>
      </c>
      <c r="C22" t="s">
        <v>1943</v>
      </c>
      <c r="D22" s="275">
        <v>2017</v>
      </c>
      <c r="E22" s="275" t="s">
        <v>1708</v>
      </c>
      <c r="F22" s="275">
        <v>15</v>
      </c>
      <c r="G22" t="s">
        <v>1944</v>
      </c>
      <c r="H22" s="161">
        <v>43283</v>
      </c>
      <c r="I22">
        <v>2320.6</v>
      </c>
      <c r="M22" t="s">
        <v>1715</v>
      </c>
      <c r="N22" s="161">
        <v>43286</v>
      </c>
      <c r="O22">
        <v>16</v>
      </c>
      <c r="P22" s="275">
        <v>2017</v>
      </c>
      <c r="Q22" s="275" t="s">
        <v>1708</v>
      </c>
      <c r="R22" s="275" t="s">
        <v>1834</v>
      </c>
      <c r="S22">
        <v>3128.5</v>
      </c>
    </row>
    <row r="23" spans="2:19" ht="27" customHeight="1">
      <c r="B23">
        <v>18</v>
      </c>
      <c r="C23" t="s">
        <v>1943</v>
      </c>
      <c r="D23" s="275">
        <v>2017</v>
      </c>
      <c r="E23" s="275" t="s">
        <v>1708</v>
      </c>
      <c r="F23" s="275">
        <v>16</v>
      </c>
      <c r="G23" t="s">
        <v>1944</v>
      </c>
      <c r="H23" s="161">
        <v>43283</v>
      </c>
      <c r="I23">
        <v>2584.1999999999998</v>
      </c>
      <c r="M23" t="s">
        <v>1715</v>
      </c>
      <c r="N23" s="161">
        <v>43286</v>
      </c>
      <c r="O23">
        <v>17</v>
      </c>
      <c r="P23" s="275">
        <v>2017</v>
      </c>
      <c r="Q23" s="275" t="s">
        <v>1708</v>
      </c>
      <c r="R23" s="275">
        <v>15</v>
      </c>
      <c r="S23">
        <v>2320.6</v>
      </c>
    </row>
    <row r="24" spans="2:19" ht="27" customHeight="1">
      <c r="B24">
        <v>19</v>
      </c>
      <c r="C24" t="s">
        <v>1943</v>
      </c>
      <c r="D24" s="275">
        <v>2017</v>
      </c>
      <c r="E24" s="275" t="s">
        <v>1708</v>
      </c>
      <c r="F24" s="275">
        <v>17</v>
      </c>
      <c r="G24" t="s">
        <v>1944</v>
      </c>
      <c r="H24" s="161">
        <v>43283</v>
      </c>
      <c r="I24">
        <v>2380.9</v>
      </c>
      <c r="M24" t="s">
        <v>1715</v>
      </c>
      <c r="N24" s="161">
        <v>43286</v>
      </c>
      <c r="O24">
        <v>18</v>
      </c>
      <c r="P24" s="275">
        <v>2017</v>
      </c>
      <c r="Q24" s="275" t="s">
        <v>1708</v>
      </c>
      <c r="R24" s="275">
        <v>16</v>
      </c>
      <c r="S24">
        <v>2584.1999999999998</v>
      </c>
    </row>
    <row r="25" spans="2:19" ht="27" customHeight="1">
      <c r="B25">
        <v>20</v>
      </c>
      <c r="C25" t="s">
        <v>1943</v>
      </c>
      <c r="D25" s="275">
        <v>2017</v>
      </c>
      <c r="E25" s="275" t="s">
        <v>1708</v>
      </c>
      <c r="F25" s="275">
        <v>18</v>
      </c>
      <c r="G25" t="s">
        <v>1944</v>
      </c>
      <c r="H25" s="161">
        <v>43283</v>
      </c>
      <c r="I25">
        <v>2525.9</v>
      </c>
      <c r="M25" t="s">
        <v>1715</v>
      </c>
      <c r="N25" s="161">
        <v>43286</v>
      </c>
      <c r="O25">
        <v>19</v>
      </c>
      <c r="P25" s="275">
        <v>2017</v>
      </c>
      <c r="Q25" s="275" t="s">
        <v>1708</v>
      </c>
      <c r="R25" s="275">
        <v>17</v>
      </c>
      <c r="S25">
        <v>2380.9</v>
      </c>
    </row>
    <row r="26" spans="2:19" ht="27" customHeight="1">
      <c r="B26">
        <v>21</v>
      </c>
      <c r="C26" t="s">
        <v>1943</v>
      </c>
      <c r="D26" s="275">
        <v>2017</v>
      </c>
      <c r="E26" s="275" t="s">
        <v>1708</v>
      </c>
      <c r="F26" s="275">
        <v>19</v>
      </c>
      <c r="G26" t="s">
        <v>1944</v>
      </c>
      <c r="H26" s="161">
        <v>43283</v>
      </c>
      <c r="I26">
        <v>2905.3</v>
      </c>
      <c r="M26" t="s">
        <v>1715</v>
      </c>
      <c r="N26" s="161">
        <v>43286</v>
      </c>
      <c r="O26">
        <v>20</v>
      </c>
      <c r="P26" s="275">
        <v>2017</v>
      </c>
      <c r="Q26" s="275" t="s">
        <v>1708</v>
      </c>
      <c r="R26" s="275">
        <v>18</v>
      </c>
      <c r="S26">
        <v>2525.9</v>
      </c>
    </row>
    <row r="27" spans="2:19" ht="27" customHeight="1">
      <c r="B27">
        <v>22</v>
      </c>
      <c r="C27" t="s">
        <v>1943</v>
      </c>
      <c r="D27" s="275">
        <v>2017</v>
      </c>
      <c r="E27" s="275" t="s">
        <v>1708</v>
      </c>
      <c r="F27" s="275">
        <v>20</v>
      </c>
      <c r="G27" t="s">
        <v>1944</v>
      </c>
      <c r="H27" s="161">
        <v>43283</v>
      </c>
      <c r="I27">
        <v>2649.9</v>
      </c>
      <c r="M27" t="s">
        <v>1715</v>
      </c>
      <c r="N27" s="161">
        <v>43286</v>
      </c>
      <c r="O27">
        <v>21</v>
      </c>
      <c r="P27" s="275">
        <v>2017</v>
      </c>
      <c r="Q27" s="275" t="s">
        <v>1708</v>
      </c>
      <c r="R27" s="275">
        <v>19</v>
      </c>
      <c r="S27">
        <v>2905.3</v>
      </c>
    </row>
    <row r="28" spans="2:19" ht="27" customHeight="1">
      <c r="B28">
        <v>23</v>
      </c>
      <c r="C28" t="s">
        <v>1943</v>
      </c>
      <c r="D28" s="275">
        <v>2017</v>
      </c>
      <c r="E28" s="275" t="s">
        <v>1708</v>
      </c>
      <c r="F28" s="275">
        <v>21</v>
      </c>
      <c r="G28" t="s">
        <v>1944</v>
      </c>
      <c r="H28" s="161">
        <v>43283</v>
      </c>
      <c r="I28">
        <v>3317.7</v>
      </c>
      <c r="M28" t="s">
        <v>1715</v>
      </c>
      <c r="N28" s="161">
        <v>43286</v>
      </c>
      <c r="O28">
        <v>76</v>
      </c>
      <c r="P28" t="s">
        <v>1947</v>
      </c>
    </row>
    <row r="29" spans="2:19">
      <c r="B29">
        <v>24</v>
      </c>
      <c r="C29" t="s">
        <v>1948</v>
      </c>
      <c r="D29" s="275">
        <v>2017</v>
      </c>
      <c r="E29" s="275" t="s">
        <v>1750</v>
      </c>
      <c r="F29" s="275" t="s">
        <v>1847</v>
      </c>
      <c r="G29" t="s">
        <v>1917</v>
      </c>
      <c r="H29" s="161">
        <v>43276</v>
      </c>
      <c r="I29">
        <v>2577.1999999999998</v>
      </c>
      <c r="J29" t="s">
        <v>1929</v>
      </c>
      <c r="M29" t="s">
        <v>1715</v>
      </c>
      <c r="N29" s="161">
        <v>43286</v>
      </c>
      <c r="O29">
        <v>22</v>
      </c>
      <c r="P29" s="275">
        <v>2017</v>
      </c>
      <c r="Q29" s="275" t="s">
        <v>1708</v>
      </c>
      <c r="R29" s="275">
        <v>20</v>
      </c>
      <c r="S29">
        <v>2649.9</v>
      </c>
    </row>
    <row r="30" spans="2:19">
      <c r="B30">
        <v>25</v>
      </c>
      <c r="C30" t="s">
        <v>1948</v>
      </c>
      <c r="D30" s="275">
        <v>2017</v>
      </c>
      <c r="E30" s="275" t="s">
        <v>1750</v>
      </c>
      <c r="F30" s="275" t="s">
        <v>1849</v>
      </c>
      <c r="G30" t="s">
        <v>1917</v>
      </c>
      <c r="H30" s="161">
        <v>43276</v>
      </c>
      <c r="I30">
        <v>2917.7</v>
      </c>
      <c r="J30" t="s">
        <v>1929</v>
      </c>
      <c r="M30" t="s">
        <v>1715</v>
      </c>
      <c r="N30" s="161">
        <v>43286</v>
      </c>
      <c r="O30">
        <v>23</v>
      </c>
      <c r="P30" s="275">
        <v>2017</v>
      </c>
      <c r="Q30" s="275" t="s">
        <v>1708</v>
      </c>
      <c r="R30" s="275">
        <v>21</v>
      </c>
      <c r="S30">
        <v>3317.7</v>
      </c>
    </row>
    <row r="31" spans="2:19">
      <c r="B31">
        <v>26</v>
      </c>
      <c r="C31" t="s">
        <v>1948</v>
      </c>
      <c r="D31" s="275">
        <v>2017</v>
      </c>
      <c r="E31" s="275" t="s">
        <v>1750</v>
      </c>
      <c r="F31" s="275">
        <v>2</v>
      </c>
      <c r="G31" t="s">
        <v>1917</v>
      </c>
      <c r="H31" s="161">
        <v>43276</v>
      </c>
      <c r="I31">
        <v>2532.4</v>
      </c>
      <c r="M31" t="s">
        <v>1715</v>
      </c>
      <c r="N31" s="161">
        <v>43286</v>
      </c>
      <c r="O31">
        <v>24</v>
      </c>
      <c r="P31" s="275">
        <v>2017</v>
      </c>
      <c r="Q31" s="275" t="s">
        <v>1750</v>
      </c>
      <c r="R31" s="275" t="s">
        <v>1847</v>
      </c>
      <c r="S31">
        <v>2577.1999999999998</v>
      </c>
    </row>
    <row r="32" spans="2:19">
      <c r="B32">
        <v>27</v>
      </c>
      <c r="C32" t="s">
        <v>1948</v>
      </c>
      <c r="D32" s="275">
        <v>2017</v>
      </c>
      <c r="E32" s="275" t="s">
        <v>1750</v>
      </c>
      <c r="F32" s="275">
        <v>3</v>
      </c>
      <c r="G32" t="s">
        <v>1917</v>
      </c>
      <c r="H32" s="161">
        <v>43276</v>
      </c>
      <c r="I32">
        <v>2565.6</v>
      </c>
      <c r="M32" t="s">
        <v>1715</v>
      </c>
      <c r="N32" s="161">
        <v>43286</v>
      </c>
      <c r="O32">
        <v>25</v>
      </c>
      <c r="P32" s="275">
        <v>2017</v>
      </c>
      <c r="Q32" s="275" t="s">
        <v>1750</v>
      </c>
      <c r="R32" s="275" t="s">
        <v>1849</v>
      </c>
      <c r="S32">
        <v>2917.7</v>
      </c>
    </row>
    <row r="33" spans="2:19">
      <c r="B33">
        <v>28</v>
      </c>
      <c r="C33" t="s">
        <v>1948</v>
      </c>
      <c r="D33" s="275">
        <v>2017</v>
      </c>
      <c r="E33" s="275" t="s">
        <v>1750</v>
      </c>
      <c r="F33" s="275">
        <v>4</v>
      </c>
      <c r="G33" t="s">
        <v>1917</v>
      </c>
      <c r="H33" s="161">
        <v>43276</v>
      </c>
      <c r="I33">
        <v>2514.3000000000002</v>
      </c>
      <c r="M33" t="s">
        <v>1715</v>
      </c>
      <c r="N33" s="161">
        <v>43286</v>
      </c>
      <c r="O33">
        <v>26</v>
      </c>
      <c r="P33" s="275">
        <v>2017</v>
      </c>
      <c r="Q33" s="275" t="s">
        <v>1750</v>
      </c>
      <c r="R33" s="275">
        <v>2</v>
      </c>
      <c r="S33">
        <v>2532.4</v>
      </c>
    </row>
    <row r="34" spans="2:19">
      <c r="B34">
        <v>29</v>
      </c>
      <c r="C34" t="s">
        <v>1948</v>
      </c>
      <c r="D34" s="275">
        <v>2017</v>
      </c>
      <c r="E34" s="275" t="s">
        <v>1750</v>
      </c>
      <c r="F34" s="275">
        <v>5</v>
      </c>
      <c r="G34" t="s">
        <v>1917</v>
      </c>
      <c r="H34" s="161">
        <v>43276</v>
      </c>
      <c r="I34">
        <v>3191.4</v>
      </c>
      <c r="M34" t="s">
        <v>1715</v>
      </c>
      <c r="N34" s="161">
        <v>43286</v>
      </c>
      <c r="O34">
        <v>27</v>
      </c>
      <c r="P34" s="275">
        <v>2017</v>
      </c>
      <c r="Q34" s="275" t="s">
        <v>1750</v>
      </c>
      <c r="R34" s="275">
        <v>3</v>
      </c>
      <c r="S34">
        <v>2565.6</v>
      </c>
    </row>
    <row r="35" spans="2:19">
      <c r="B35">
        <v>30</v>
      </c>
      <c r="C35" t="s">
        <v>1948</v>
      </c>
      <c r="D35" s="275">
        <v>2017</v>
      </c>
      <c r="E35" s="275" t="s">
        <v>1750</v>
      </c>
      <c r="F35" s="275">
        <v>6</v>
      </c>
      <c r="G35" t="s">
        <v>1917</v>
      </c>
      <c r="H35" s="161">
        <v>43276</v>
      </c>
      <c r="I35">
        <v>2170.3000000000002</v>
      </c>
      <c r="M35" t="s">
        <v>1715</v>
      </c>
      <c r="N35" s="161">
        <v>43286</v>
      </c>
      <c r="O35">
        <v>28</v>
      </c>
      <c r="P35" s="275">
        <v>2017</v>
      </c>
      <c r="Q35" s="275" t="s">
        <v>1750</v>
      </c>
      <c r="R35" s="275">
        <v>4</v>
      </c>
      <c r="S35">
        <v>2514.3000000000002</v>
      </c>
    </row>
    <row r="36" spans="2:19">
      <c r="B36">
        <v>31</v>
      </c>
      <c r="C36" t="s">
        <v>1948</v>
      </c>
      <c r="D36" s="275">
        <v>2017</v>
      </c>
      <c r="E36" s="275" t="s">
        <v>1750</v>
      </c>
      <c r="F36" s="275">
        <v>7</v>
      </c>
      <c r="G36" t="s">
        <v>1917</v>
      </c>
      <c r="H36" s="161">
        <v>43276</v>
      </c>
      <c r="I36">
        <v>3088.6</v>
      </c>
      <c r="M36" t="s">
        <v>1715</v>
      </c>
      <c r="N36" s="161">
        <v>43286</v>
      </c>
      <c r="O36">
        <v>29</v>
      </c>
      <c r="P36" s="275">
        <v>2017</v>
      </c>
      <c r="Q36" s="275" t="s">
        <v>1750</v>
      </c>
      <c r="R36" s="275">
        <v>5</v>
      </c>
      <c r="S36">
        <v>3191.4</v>
      </c>
    </row>
    <row r="37" spans="2:19">
      <c r="B37">
        <v>32</v>
      </c>
      <c r="C37" t="s">
        <v>1948</v>
      </c>
      <c r="D37" s="275">
        <v>2017</v>
      </c>
      <c r="E37" s="275" t="s">
        <v>1750</v>
      </c>
      <c r="F37" s="275">
        <v>8</v>
      </c>
      <c r="G37" t="s">
        <v>1917</v>
      </c>
      <c r="H37" s="161">
        <v>43276</v>
      </c>
      <c r="I37">
        <v>2856.3</v>
      </c>
      <c r="M37" t="s">
        <v>1715</v>
      </c>
      <c r="N37" s="161">
        <v>43286</v>
      </c>
      <c r="O37">
        <v>30</v>
      </c>
      <c r="P37" s="275">
        <v>2017</v>
      </c>
      <c r="Q37" s="275" t="s">
        <v>1750</v>
      </c>
      <c r="R37" s="275">
        <v>6</v>
      </c>
      <c r="S37">
        <v>2170.3000000000002</v>
      </c>
    </row>
    <row r="38" spans="2:19">
      <c r="B38">
        <v>33</v>
      </c>
      <c r="C38" t="s">
        <v>1948</v>
      </c>
      <c r="D38" s="275">
        <v>2017</v>
      </c>
      <c r="E38" s="275" t="s">
        <v>1750</v>
      </c>
      <c r="F38" s="275">
        <v>9</v>
      </c>
      <c r="G38" t="s">
        <v>1917</v>
      </c>
      <c r="H38" s="161">
        <v>43276</v>
      </c>
      <c r="I38">
        <v>2816.3</v>
      </c>
      <c r="M38" t="s">
        <v>1715</v>
      </c>
      <c r="N38" s="161">
        <v>43286</v>
      </c>
      <c r="O38">
        <v>31</v>
      </c>
      <c r="P38" s="275">
        <v>2017</v>
      </c>
      <c r="Q38" s="275" t="s">
        <v>1750</v>
      </c>
      <c r="R38" s="275">
        <v>7</v>
      </c>
      <c r="S38">
        <v>3088.6</v>
      </c>
    </row>
    <row r="39" spans="2:19">
      <c r="B39">
        <v>34</v>
      </c>
      <c r="C39" t="s">
        <v>1948</v>
      </c>
      <c r="D39" s="275">
        <v>2017</v>
      </c>
      <c r="E39" s="275" t="s">
        <v>1750</v>
      </c>
      <c r="F39" s="275">
        <v>10</v>
      </c>
      <c r="G39" t="s">
        <v>1917</v>
      </c>
      <c r="H39" s="161">
        <v>43276</v>
      </c>
      <c r="I39">
        <v>2753.2</v>
      </c>
      <c r="M39" t="s">
        <v>1715</v>
      </c>
      <c r="N39" s="161">
        <v>43286</v>
      </c>
      <c r="O39">
        <v>32</v>
      </c>
      <c r="P39" s="275">
        <v>2017</v>
      </c>
      <c r="Q39" s="275" t="s">
        <v>1750</v>
      </c>
      <c r="R39" s="275">
        <v>8</v>
      </c>
      <c r="S39">
        <v>2856.3</v>
      </c>
    </row>
    <row r="40" spans="2:19">
      <c r="B40">
        <v>35</v>
      </c>
      <c r="C40" t="s">
        <v>1948</v>
      </c>
      <c r="D40" s="275">
        <v>2017</v>
      </c>
      <c r="E40" s="275" t="s">
        <v>1750</v>
      </c>
      <c r="F40" s="275">
        <v>11</v>
      </c>
      <c r="G40" t="s">
        <v>1917</v>
      </c>
      <c r="H40" s="161">
        <v>43276</v>
      </c>
      <c r="I40">
        <v>3065.1</v>
      </c>
      <c r="M40" t="s">
        <v>1715</v>
      </c>
      <c r="N40" s="161">
        <v>43286</v>
      </c>
      <c r="O40">
        <v>72</v>
      </c>
      <c r="P40" s="277" t="s">
        <v>1946</v>
      </c>
      <c r="Q40" s="275">
        <v>2</v>
      </c>
      <c r="S40">
        <v>2982.5</v>
      </c>
    </row>
    <row r="41" spans="2:19">
      <c r="B41">
        <v>36</v>
      </c>
      <c r="C41" t="s">
        <v>1948</v>
      </c>
      <c r="D41" s="275">
        <v>2017</v>
      </c>
      <c r="E41" s="275" t="s">
        <v>1750</v>
      </c>
      <c r="F41" s="275">
        <v>12</v>
      </c>
      <c r="G41" t="s">
        <v>1917</v>
      </c>
      <c r="H41" s="161">
        <v>43276</v>
      </c>
      <c r="I41">
        <v>3114.8</v>
      </c>
      <c r="M41" t="s">
        <v>1715</v>
      </c>
      <c r="N41" s="161">
        <v>43286</v>
      </c>
      <c r="O41">
        <v>33</v>
      </c>
      <c r="P41" s="275">
        <v>2017</v>
      </c>
      <c r="Q41" s="275" t="s">
        <v>1750</v>
      </c>
      <c r="R41" s="275">
        <v>9</v>
      </c>
      <c r="S41">
        <v>2816.3</v>
      </c>
    </row>
    <row r="42" spans="2:19">
      <c r="B42">
        <v>37</v>
      </c>
      <c r="C42" t="s">
        <v>1948</v>
      </c>
      <c r="D42" s="275">
        <v>2017</v>
      </c>
      <c r="E42" s="275" t="s">
        <v>1750</v>
      </c>
      <c r="F42" s="275">
        <v>13</v>
      </c>
      <c r="G42" t="s">
        <v>1917</v>
      </c>
      <c r="H42" s="161">
        <v>43276</v>
      </c>
      <c r="I42">
        <v>2475</v>
      </c>
      <c r="M42" t="s">
        <v>1715</v>
      </c>
      <c r="N42" s="161">
        <v>43286</v>
      </c>
      <c r="O42">
        <v>34</v>
      </c>
      <c r="P42" s="275">
        <v>2017</v>
      </c>
      <c r="Q42" s="275" t="s">
        <v>1750</v>
      </c>
      <c r="R42" s="275">
        <v>10</v>
      </c>
      <c r="S42">
        <v>2753.2</v>
      </c>
    </row>
    <row r="43" spans="2:19">
      <c r="B43">
        <v>38</v>
      </c>
      <c r="C43" t="s">
        <v>1948</v>
      </c>
      <c r="D43" s="275">
        <v>2017</v>
      </c>
      <c r="E43" s="275" t="s">
        <v>1750</v>
      </c>
      <c r="F43" s="275">
        <v>14</v>
      </c>
      <c r="G43" t="s">
        <v>1917</v>
      </c>
      <c r="H43" s="161">
        <v>43276</v>
      </c>
      <c r="I43">
        <v>2210</v>
      </c>
      <c r="M43" t="s">
        <v>1715</v>
      </c>
      <c r="N43" s="161">
        <v>43286</v>
      </c>
      <c r="O43">
        <v>35</v>
      </c>
      <c r="P43" s="275">
        <v>2017</v>
      </c>
      <c r="Q43" s="275" t="s">
        <v>1750</v>
      </c>
      <c r="R43" s="275">
        <v>11</v>
      </c>
      <c r="S43">
        <v>3065.1</v>
      </c>
    </row>
    <row r="44" spans="2:19">
      <c r="B44">
        <v>39</v>
      </c>
      <c r="C44" t="s">
        <v>1949</v>
      </c>
      <c r="D44" s="275">
        <v>2017</v>
      </c>
      <c r="E44" s="275" t="s">
        <v>1750</v>
      </c>
      <c r="F44" s="275" t="s">
        <v>1731</v>
      </c>
      <c r="G44" t="s">
        <v>1917</v>
      </c>
      <c r="H44" s="161">
        <v>43276</v>
      </c>
      <c r="I44">
        <v>2966.5</v>
      </c>
      <c r="J44" t="s">
        <v>1929</v>
      </c>
      <c r="M44" t="s">
        <v>1715</v>
      </c>
      <c r="N44" s="161">
        <v>43286</v>
      </c>
      <c r="O44">
        <v>36</v>
      </c>
      <c r="P44" s="275">
        <v>2017</v>
      </c>
      <c r="Q44" s="275" t="s">
        <v>1750</v>
      </c>
      <c r="R44" s="275">
        <v>12</v>
      </c>
      <c r="S44">
        <v>3114.8</v>
      </c>
    </row>
    <row r="45" spans="2:19">
      <c r="B45">
        <v>40</v>
      </c>
      <c r="C45" t="s">
        <v>1948</v>
      </c>
      <c r="D45" s="275">
        <v>2017</v>
      </c>
      <c r="E45" s="275" t="s">
        <v>1750</v>
      </c>
      <c r="F45" s="275" t="s">
        <v>1732</v>
      </c>
      <c r="G45" t="s">
        <v>1917</v>
      </c>
      <c r="H45" s="161">
        <v>43276</v>
      </c>
      <c r="I45">
        <v>2354.4</v>
      </c>
      <c r="J45" t="s">
        <v>1929</v>
      </c>
      <c r="M45" t="s">
        <v>1715</v>
      </c>
      <c r="N45" s="161">
        <v>43286</v>
      </c>
      <c r="O45">
        <v>37</v>
      </c>
      <c r="P45" s="275">
        <v>2017</v>
      </c>
      <c r="Q45" s="275" t="s">
        <v>1750</v>
      </c>
      <c r="R45" s="275">
        <v>13</v>
      </c>
      <c r="S45">
        <v>2475</v>
      </c>
    </row>
    <row r="46" spans="2:19">
      <c r="B46">
        <v>41</v>
      </c>
      <c r="C46" t="s">
        <v>1948</v>
      </c>
      <c r="D46" s="275">
        <v>2017</v>
      </c>
      <c r="E46" s="275" t="s">
        <v>1750</v>
      </c>
      <c r="F46" s="275">
        <v>16</v>
      </c>
      <c r="G46" t="s">
        <v>1917</v>
      </c>
      <c r="H46" s="161">
        <v>43276</v>
      </c>
      <c r="I46">
        <v>2735.1</v>
      </c>
      <c r="M46" t="s">
        <v>1715</v>
      </c>
      <c r="N46" s="161">
        <v>43286</v>
      </c>
      <c r="O46">
        <v>38</v>
      </c>
      <c r="P46" s="275">
        <v>2017</v>
      </c>
      <c r="Q46" s="275" t="s">
        <v>1750</v>
      </c>
      <c r="R46" s="275">
        <v>14</v>
      </c>
      <c r="S46">
        <v>2210</v>
      </c>
    </row>
    <row r="47" spans="2:19">
      <c r="B47">
        <v>42</v>
      </c>
      <c r="C47" t="s">
        <v>1948</v>
      </c>
      <c r="D47" s="275">
        <v>2017</v>
      </c>
      <c r="E47" s="275" t="s">
        <v>1750</v>
      </c>
      <c r="F47" s="275">
        <v>17</v>
      </c>
      <c r="G47" t="s">
        <v>1917</v>
      </c>
      <c r="H47" s="161">
        <v>43276</v>
      </c>
      <c r="I47">
        <v>2584.1999999999998</v>
      </c>
      <c r="M47" t="s">
        <v>1715</v>
      </c>
      <c r="N47" s="161">
        <v>43286</v>
      </c>
      <c r="O47">
        <v>39</v>
      </c>
      <c r="P47" s="275">
        <v>2017</v>
      </c>
      <c r="Q47" s="275" t="s">
        <v>1750</v>
      </c>
      <c r="R47" s="275" t="s">
        <v>1731</v>
      </c>
      <c r="S47">
        <v>2966.5</v>
      </c>
    </row>
    <row r="48" spans="2:19">
      <c r="B48">
        <v>43</v>
      </c>
      <c r="C48" t="s">
        <v>1948</v>
      </c>
      <c r="D48" s="275">
        <v>2017</v>
      </c>
      <c r="E48" s="275" t="s">
        <v>1750</v>
      </c>
      <c r="F48" s="275" t="s">
        <v>1869</v>
      </c>
      <c r="G48" t="s">
        <v>1917</v>
      </c>
      <c r="H48" s="161">
        <v>43276</v>
      </c>
      <c r="I48">
        <v>3409.9</v>
      </c>
      <c r="J48" t="s">
        <v>1929</v>
      </c>
      <c r="M48" t="s">
        <v>1715</v>
      </c>
      <c r="N48" s="161">
        <v>43286</v>
      </c>
      <c r="O48">
        <v>40</v>
      </c>
      <c r="P48" s="275">
        <v>2017</v>
      </c>
      <c r="Q48" s="275" t="s">
        <v>1750</v>
      </c>
      <c r="R48" s="275" t="s">
        <v>1732</v>
      </c>
      <c r="S48">
        <v>2354.4</v>
      </c>
    </row>
    <row r="49" spans="2:19">
      <c r="B49">
        <v>44</v>
      </c>
      <c r="C49" t="s">
        <v>1948</v>
      </c>
      <c r="D49" s="275">
        <v>2017</v>
      </c>
      <c r="E49" s="275" t="s">
        <v>1750</v>
      </c>
      <c r="F49" s="275" t="s">
        <v>1871</v>
      </c>
      <c r="G49" t="s">
        <v>1917</v>
      </c>
      <c r="H49" s="161">
        <v>43276</v>
      </c>
      <c r="I49">
        <v>2248</v>
      </c>
      <c r="J49" t="s">
        <v>1929</v>
      </c>
      <c r="M49" t="s">
        <v>1715</v>
      </c>
      <c r="N49" s="161">
        <v>43286</v>
      </c>
      <c r="O49">
        <v>41</v>
      </c>
      <c r="P49" s="275">
        <v>2017</v>
      </c>
      <c r="Q49" s="275" t="s">
        <v>1750</v>
      </c>
      <c r="R49" s="275">
        <v>16</v>
      </c>
      <c r="S49">
        <v>2735.1</v>
      </c>
    </row>
    <row r="50" spans="2:19">
      <c r="B50">
        <v>45</v>
      </c>
      <c r="C50" t="s">
        <v>1948</v>
      </c>
      <c r="D50" s="275">
        <v>2017</v>
      </c>
      <c r="E50" s="275" t="s">
        <v>1750</v>
      </c>
      <c r="F50" s="275">
        <v>19</v>
      </c>
      <c r="G50" t="s">
        <v>1917</v>
      </c>
      <c r="H50" s="161">
        <v>43276</v>
      </c>
      <c r="I50">
        <v>2684.1</v>
      </c>
      <c r="M50" t="s">
        <v>1715</v>
      </c>
      <c r="N50" s="161">
        <v>43286</v>
      </c>
      <c r="O50">
        <v>42</v>
      </c>
      <c r="P50" s="275">
        <v>2017</v>
      </c>
      <c r="Q50" s="275" t="s">
        <v>1750</v>
      </c>
      <c r="R50" s="275">
        <v>17</v>
      </c>
      <c r="S50">
        <v>2584.1999999999998</v>
      </c>
    </row>
    <row r="51" spans="2:19">
      <c r="B51">
        <v>46</v>
      </c>
      <c r="C51" t="s">
        <v>1948</v>
      </c>
      <c r="D51" s="275">
        <v>2017</v>
      </c>
      <c r="E51" s="275" t="s">
        <v>1750</v>
      </c>
      <c r="F51" s="275">
        <v>20</v>
      </c>
      <c r="G51" t="s">
        <v>1917</v>
      </c>
      <c r="H51" s="161">
        <v>43276</v>
      </c>
      <c r="I51">
        <v>2672.9</v>
      </c>
      <c r="M51" t="s">
        <v>1715</v>
      </c>
      <c r="N51" s="161">
        <v>43286</v>
      </c>
      <c r="O51">
        <v>43</v>
      </c>
      <c r="P51" s="275">
        <v>2017</v>
      </c>
      <c r="Q51" s="275" t="s">
        <v>1750</v>
      </c>
      <c r="R51" s="275" t="s">
        <v>1869</v>
      </c>
      <c r="S51">
        <v>3409.9</v>
      </c>
    </row>
    <row r="52" spans="2:19">
      <c r="B52">
        <v>47</v>
      </c>
      <c r="C52" t="s">
        <v>1948</v>
      </c>
      <c r="D52" s="275">
        <v>2017</v>
      </c>
      <c r="E52" s="275" t="s">
        <v>1750</v>
      </c>
      <c r="F52" s="275">
        <v>21</v>
      </c>
      <c r="G52" t="s">
        <v>1917</v>
      </c>
      <c r="H52" s="161">
        <v>43276</v>
      </c>
      <c r="I52">
        <v>2172.3000000000002</v>
      </c>
      <c r="M52" t="s">
        <v>1715</v>
      </c>
      <c r="N52" s="161">
        <v>43286</v>
      </c>
      <c r="O52">
        <v>77</v>
      </c>
      <c r="P52" t="s">
        <v>1950</v>
      </c>
    </row>
    <row r="53" spans="2:19">
      <c r="B53">
        <v>48</v>
      </c>
      <c r="C53" t="s">
        <v>1948</v>
      </c>
      <c r="D53" s="275">
        <v>2017</v>
      </c>
      <c r="E53" s="275" t="s">
        <v>1776</v>
      </c>
      <c r="F53" s="275" t="s">
        <v>1847</v>
      </c>
      <c r="G53" t="s">
        <v>1919</v>
      </c>
      <c r="H53" s="161">
        <v>43280</v>
      </c>
      <c r="I53">
        <v>3408.5</v>
      </c>
      <c r="J53" t="s">
        <v>1929</v>
      </c>
      <c r="M53" t="s">
        <v>1715</v>
      </c>
      <c r="N53" s="161">
        <v>43287</v>
      </c>
      <c r="O53">
        <v>44</v>
      </c>
      <c r="P53" s="275">
        <v>2017</v>
      </c>
      <c r="Q53" s="275" t="s">
        <v>1750</v>
      </c>
      <c r="R53" s="275" t="s">
        <v>1871</v>
      </c>
      <c r="S53">
        <v>2248</v>
      </c>
    </row>
    <row r="54" spans="2:19">
      <c r="B54">
        <v>49</v>
      </c>
      <c r="C54" t="s">
        <v>1948</v>
      </c>
      <c r="D54" s="275">
        <v>2017</v>
      </c>
      <c r="E54" s="275" t="s">
        <v>1776</v>
      </c>
      <c r="F54" s="275" t="s">
        <v>1849</v>
      </c>
      <c r="G54" t="s">
        <v>1919</v>
      </c>
      <c r="H54" s="161">
        <v>43280</v>
      </c>
      <c r="I54">
        <v>3029.5</v>
      </c>
      <c r="J54" t="s">
        <v>1929</v>
      </c>
      <c r="M54" t="s">
        <v>1715</v>
      </c>
      <c r="N54" s="161">
        <v>43287</v>
      </c>
      <c r="O54">
        <v>45</v>
      </c>
      <c r="P54" s="275">
        <v>2017</v>
      </c>
      <c r="Q54" s="275" t="s">
        <v>1750</v>
      </c>
      <c r="R54" s="275">
        <v>19</v>
      </c>
      <c r="S54">
        <v>2684.1</v>
      </c>
    </row>
    <row r="55" spans="2:19">
      <c r="B55">
        <v>50</v>
      </c>
      <c r="C55" t="s">
        <v>1948</v>
      </c>
      <c r="D55" s="275">
        <v>2017</v>
      </c>
      <c r="E55" s="275" t="s">
        <v>1776</v>
      </c>
      <c r="F55" s="275">
        <v>2</v>
      </c>
      <c r="G55" t="s">
        <v>1919</v>
      </c>
      <c r="H55" s="161">
        <v>43280</v>
      </c>
      <c r="I55">
        <v>2758.9</v>
      </c>
      <c r="M55" t="s">
        <v>1715</v>
      </c>
      <c r="N55" s="161">
        <v>43287</v>
      </c>
      <c r="O55">
        <v>46</v>
      </c>
      <c r="P55" s="275">
        <v>2017</v>
      </c>
      <c r="Q55" s="275" t="s">
        <v>1750</v>
      </c>
      <c r="R55" s="275">
        <v>20</v>
      </c>
      <c r="S55">
        <v>2672.9</v>
      </c>
    </row>
    <row r="56" spans="2:19">
      <c r="B56">
        <v>51</v>
      </c>
      <c r="C56" t="s">
        <v>1948</v>
      </c>
      <c r="D56" s="275">
        <v>2017</v>
      </c>
      <c r="E56" s="275" t="s">
        <v>1776</v>
      </c>
      <c r="F56" s="275">
        <v>3</v>
      </c>
      <c r="G56" t="s">
        <v>1919</v>
      </c>
      <c r="H56" s="161">
        <v>43280</v>
      </c>
      <c r="I56">
        <v>2770</v>
      </c>
      <c r="M56" t="s">
        <v>1715</v>
      </c>
      <c r="N56" s="161">
        <v>43287</v>
      </c>
      <c r="O56">
        <v>47</v>
      </c>
      <c r="P56" s="275">
        <v>2017</v>
      </c>
      <c r="Q56" s="275" t="s">
        <v>1750</v>
      </c>
      <c r="R56" s="275">
        <v>21</v>
      </c>
      <c r="S56">
        <v>2172.3000000000002</v>
      </c>
    </row>
    <row r="57" spans="2:19">
      <c r="B57">
        <v>52</v>
      </c>
      <c r="C57" t="s">
        <v>1948</v>
      </c>
      <c r="D57" s="275">
        <v>2017</v>
      </c>
      <c r="E57" s="275" t="s">
        <v>1776</v>
      </c>
      <c r="F57" s="275">
        <v>4</v>
      </c>
      <c r="G57" t="s">
        <v>1919</v>
      </c>
      <c r="H57" s="161">
        <v>43280</v>
      </c>
      <c r="I57">
        <v>2956.9</v>
      </c>
      <c r="M57" t="s">
        <v>1715</v>
      </c>
      <c r="N57" s="161">
        <v>43287</v>
      </c>
      <c r="O57">
        <v>48</v>
      </c>
      <c r="P57" s="275">
        <v>2017</v>
      </c>
      <c r="Q57" s="275" t="s">
        <v>1776</v>
      </c>
      <c r="R57" s="275" t="s">
        <v>1847</v>
      </c>
      <c r="S57">
        <v>3408.5</v>
      </c>
    </row>
    <row r="58" spans="2:19">
      <c r="B58">
        <v>53</v>
      </c>
      <c r="C58" t="s">
        <v>1948</v>
      </c>
      <c r="D58" s="275">
        <v>2017</v>
      </c>
      <c r="E58" s="275" t="s">
        <v>1776</v>
      </c>
      <c r="F58" s="275">
        <v>5</v>
      </c>
      <c r="G58" t="s">
        <v>1919</v>
      </c>
      <c r="H58" s="161">
        <v>43280</v>
      </c>
      <c r="I58">
        <v>2398.1999999999998</v>
      </c>
      <c r="M58" t="s">
        <v>1715</v>
      </c>
      <c r="N58" s="161">
        <v>43287</v>
      </c>
      <c r="O58">
        <v>49</v>
      </c>
      <c r="P58" s="275">
        <v>2017</v>
      </c>
      <c r="Q58" s="275" t="s">
        <v>1776</v>
      </c>
      <c r="R58" s="275" t="s">
        <v>1849</v>
      </c>
      <c r="S58">
        <v>3029.5</v>
      </c>
    </row>
    <row r="59" spans="2:19">
      <c r="B59">
        <v>54</v>
      </c>
      <c r="C59" t="s">
        <v>1948</v>
      </c>
      <c r="D59" s="275">
        <v>2017</v>
      </c>
      <c r="E59" s="275" t="s">
        <v>1776</v>
      </c>
      <c r="F59" s="275">
        <v>6</v>
      </c>
      <c r="G59" t="s">
        <v>1919</v>
      </c>
      <c r="H59" s="161">
        <v>43280</v>
      </c>
      <c r="I59">
        <v>3193.8</v>
      </c>
      <c r="M59" t="s">
        <v>1715</v>
      </c>
      <c r="N59" s="161">
        <v>43287</v>
      </c>
      <c r="O59">
        <v>50</v>
      </c>
      <c r="P59" s="275">
        <v>2017</v>
      </c>
      <c r="Q59" s="275" t="s">
        <v>1776</v>
      </c>
      <c r="R59" s="275">
        <v>2</v>
      </c>
      <c r="S59">
        <v>2758.9</v>
      </c>
    </row>
    <row r="60" spans="2:19">
      <c r="B60">
        <v>55</v>
      </c>
      <c r="C60" t="s">
        <v>1948</v>
      </c>
      <c r="D60" s="275">
        <v>2017</v>
      </c>
      <c r="E60" s="275" t="s">
        <v>1776</v>
      </c>
      <c r="F60" s="275">
        <v>7</v>
      </c>
      <c r="G60" t="s">
        <v>1919</v>
      </c>
      <c r="H60" s="161">
        <v>43280</v>
      </c>
      <c r="I60">
        <v>2351</v>
      </c>
      <c r="M60" t="s">
        <v>1715</v>
      </c>
      <c r="N60" s="161">
        <v>43287</v>
      </c>
      <c r="O60">
        <v>51</v>
      </c>
      <c r="P60" s="275">
        <v>2017</v>
      </c>
      <c r="Q60" s="275" t="s">
        <v>1776</v>
      </c>
      <c r="R60" s="275">
        <v>3</v>
      </c>
      <c r="S60">
        <v>2770</v>
      </c>
    </row>
    <row r="61" spans="2:19">
      <c r="B61">
        <v>56</v>
      </c>
      <c r="C61" t="s">
        <v>1948</v>
      </c>
      <c r="D61" s="275">
        <v>2017</v>
      </c>
      <c r="E61" s="275" t="s">
        <v>1776</v>
      </c>
      <c r="F61" s="275">
        <v>8</v>
      </c>
      <c r="G61" t="s">
        <v>1919</v>
      </c>
      <c r="H61" s="161">
        <v>43280</v>
      </c>
      <c r="I61">
        <v>2383.1999999999998</v>
      </c>
      <c r="M61" t="s">
        <v>1715</v>
      </c>
      <c r="N61" s="161">
        <v>43287</v>
      </c>
      <c r="O61">
        <v>52</v>
      </c>
      <c r="P61" s="275">
        <v>2017</v>
      </c>
      <c r="Q61" s="275" t="s">
        <v>1776</v>
      </c>
      <c r="R61" s="275">
        <v>4</v>
      </c>
      <c r="S61">
        <v>2956.9</v>
      </c>
    </row>
    <row r="62" spans="2:19">
      <c r="B62">
        <v>57</v>
      </c>
      <c r="C62" t="s">
        <v>1948</v>
      </c>
      <c r="D62" s="275">
        <v>2017</v>
      </c>
      <c r="E62" s="275" t="s">
        <v>1776</v>
      </c>
      <c r="F62" s="275">
        <v>9</v>
      </c>
      <c r="G62" t="s">
        <v>1919</v>
      </c>
      <c r="H62" s="161">
        <v>43280</v>
      </c>
      <c r="I62">
        <v>2423.6999999999998</v>
      </c>
      <c r="M62" t="s">
        <v>1715</v>
      </c>
      <c r="N62" s="161">
        <v>43287</v>
      </c>
      <c r="O62">
        <v>53</v>
      </c>
      <c r="P62" s="275">
        <v>2017</v>
      </c>
      <c r="Q62" s="275" t="s">
        <v>1776</v>
      </c>
      <c r="R62" s="275">
        <v>5</v>
      </c>
      <c r="S62">
        <v>2398.1999999999998</v>
      </c>
    </row>
    <row r="63" spans="2:19">
      <c r="B63">
        <v>58</v>
      </c>
      <c r="C63" t="s">
        <v>1948</v>
      </c>
      <c r="D63" s="275">
        <v>2017</v>
      </c>
      <c r="E63" s="275" t="s">
        <v>1776</v>
      </c>
      <c r="F63" s="275">
        <v>10</v>
      </c>
      <c r="G63" t="s">
        <v>1919</v>
      </c>
      <c r="H63" s="161">
        <v>43280</v>
      </c>
      <c r="I63">
        <v>2450.1999999999998</v>
      </c>
      <c r="M63" t="s">
        <v>1715</v>
      </c>
      <c r="N63" s="161">
        <v>43287</v>
      </c>
      <c r="O63">
        <v>54</v>
      </c>
      <c r="P63" s="275">
        <v>2017</v>
      </c>
      <c r="Q63" s="275" t="s">
        <v>1776</v>
      </c>
      <c r="R63" s="275">
        <v>6</v>
      </c>
      <c r="S63">
        <v>3193.8</v>
      </c>
    </row>
    <row r="64" spans="2:19">
      <c r="B64">
        <v>59</v>
      </c>
      <c r="C64" t="s">
        <v>1948</v>
      </c>
      <c r="D64" s="275">
        <v>2017</v>
      </c>
      <c r="E64" s="275" t="s">
        <v>1776</v>
      </c>
      <c r="F64" s="275">
        <v>11</v>
      </c>
      <c r="G64" t="s">
        <v>1919</v>
      </c>
      <c r="H64" s="161">
        <v>43280</v>
      </c>
      <c r="I64">
        <v>2446.1</v>
      </c>
      <c r="M64" t="s">
        <v>1715</v>
      </c>
      <c r="N64" s="161">
        <v>43287</v>
      </c>
      <c r="O64">
        <v>78</v>
      </c>
      <c r="P64" t="s">
        <v>1951</v>
      </c>
    </row>
    <row r="65" spans="2:19">
      <c r="B65">
        <v>60</v>
      </c>
      <c r="C65" t="s">
        <v>1948</v>
      </c>
      <c r="D65" s="275">
        <v>2017</v>
      </c>
      <c r="E65" s="275" t="s">
        <v>1776</v>
      </c>
      <c r="F65" s="275">
        <v>12</v>
      </c>
      <c r="G65" t="s">
        <v>1919</v>
      </c>
      <c r="H65" s="161">
        <v>43280</v>
      </c>
      <c r="I65">
        <v>2591.5</v>
      </c>
      <c r="M65" t="s">
        <v>1715</v>
      </c>
      <c r="N65" s="161">
        <v>43287</v>
      </c>
      <c r="O65">
        <v>55</v>
      </c>
      <c r="P65" s="275">
        <v>2017</v>
      </c>
      <c r="Q65" s="275" t="s">
        <v>1776</v>
      </c>
      <c r="R65" s="275">
        <v>7</v>
      </c>
      <c r="S65">
        <v>2351</v>
      </c>
    </row>
    <row r="66" spans="2:19">
      <c r="B66">
        <v>61</v>
      </c>
      <c r="C66" t="s">
        <v>1948</v>
      </c>
      <c r="D66" s="275">
        <v>2017</v>
      </c>
      <c r="E66" s="275" t="s">
        <v>1776</v>
      </c>
      <c r="F66" s="275">
        <v>13</v>
      </c>
      <c r="G66" t="s">
        <v>1919</v>
      </c>
      <c r="H66" s="161">
        <v>43280</v>
      </c>
      <c r="I66">
        <v>2334.5</v>
      </c>
      <c r="M66" t="s">
        <v>1715</v>
      </c>
      <c r="N66" s="161">
        <v>43287</v>
      </c>
      <c r="O66">
        <v>56</v>
      </c>
      <c r="P66" s="275">
        <v>2017</v>
      </c>
      <c r="Q66" s="275" t="s">
        <v>1776</v>
      </c>
      <c r="R66" s="275">
        <v>8</v>
      </c>
      <c r="S66">
        <v>2383.1999999999998</v>
      </c>
    </row>
    <row r="67" spans="2:19">
      <c r="B67">
        <v>62</v>
      </c>
      <c r="C67" t="s">
        <v>1948</v>
      </c>
      <c r="D67" s="275">
        <v>2017</v>
      </c>
      <c r="E67" s="275" t="s">
        <v>1776</v>
      </c>
      <c r="F67" s="275">
        <v>14</v>
      </c>
      <c r="G67" t="s">
        <v>1919</v>
      </c>
      <c r="H67" s="161">
        <v>43280</v>
      </c>
      <c r="I67">
        <v>2673.6</v>
      </c>
      <c r="M67" t="s">
        <v>1715</v>
      </c>
      <c r="N67" s="161">
        <v>43287</v>
      </c>
      <c r="O67">
        <v>57</v>
      </c>
      <c r="P67" s="275">
        <v>2017</v>
      </c>
      <c r="Q67" s="275" t="s">
        <v>1776</v>
      </c>
      <c r="R67" s="275">
        <v>9</v>
      </c>
      <c r="S67">
        <v>2423.6999999999998</v>
      </c>
    </row>
    <row r="68" spans="2:19">
      <c r="B68">
        <v>63</v>
      </c>
      <c r="C68" t="s">
        <v>1948</v>
      </c>
      <c r="D68" s="275">
        <v>2017</v>
      </c>
      <c r="E68" s="275" t="s">
        <v>1776</v>
      </c>
      <c r="F68" s="275">
        <v>15</v>
      </c>
      <c r="G68" t="s">
        <v>1919</v>
      </c>
      <c r="H68" s="161">
        <v>43280</v>
      </c>
      <c r="I68">
        <v>2475</v>
      </c>
      <c r="M68" t="s">
        <v>1715</v>
      </c>
      <c r="N68" s="161">
        <v>43287</v>
      </c>
      <c r="O68">
        <v>58</v>
      </c>
      <c r="P68" s="275">
        <v>2017</v>
      </c>
      <c r="Q68" s="275" t="s">
        <v>1776</v>
      </c>
      <c r="R68" s="275">
        <v>10</v>
      </c>
      <c r="S68">
        <v>2450.1999999999998</v>
      </c>
    </row>
    <row r="69" spans="2:19">
      <c r="B69">
        <v>64</v>
      </c>
      <c r="C69" t="s">
        <v>1948</v>
      </c>
      <c r="D69" s="275">
        <v>2017</v>
      </c>
      <c r="E69" s="275" t="s">
        <v>1776</v>
      </c>
      <c r="F69" s="275">
        <v>16</v>
      </c>
      <c r="G69" t="s">
        <v>1919</v>
      </c>
      <c r="H69" s="161">
        <v>43280</v>
      </c>
      <c r="I69">
        <v>2745.6</v>
      </c>
      <c r="M69" t="s">
        <v>1715</v>
      </c>
      <c r="N69" s="161">
        <v>43287</v>
      </c>
      <c r="O69">
        <v>59</v>
      </c>
      <c r="P69" s="275">
        <v>2017</v>
      </c>
      <c r="Q69" s="275" t="s">
        <v>1776</v>
      </c>
      <c r="R69" s="275">
        <v>11</v>
      </c>
      <c r="S69">
        <v>2446.1</v>
      </c>
    </row>
    <row r="70" spans="2:19">
      <c r="B70">
        <v>65</v>
      </c>
      <c r="C70" t="s">
        <v>1948</v>
      </c>
      <c r="D70" s="275">
        <v>2017</v>
      </c>
      <c r="E70" s="275" t="s">
        <v>1776</v>
      </c>
      <c r="F70" s="275">
        <v>17</v>
      </c>
      <c r="G70" t="s">
        <v>1919</v>
      </c>
      <c r="H70" s="161">
        <v>43280</v>
      </c>
      <c r="I70">
        <v>2127.9</v>
      </c>
      <c r="M70" t="s">
        <v>1715</v>
      </c>
      <c r="N70" s="161">
        <v>43287</v>
      </c>
      <c r="O70">
        <v>60</v>
      </c>
      <c r="P70" s="275">
        <v>2017</v>
      </c>
      <c r="Q70" s="275" t="s">
        <v>1776</v>
      </c>
      <c r="R70" s="275">
        <v>12</v>
      </c>
      <c r="S70">
        <v>2591.5</v>
      </c>
    </row>
    <row r="71" spans="2:19">
      <c r="B71">
        <v>66</v>
      </c>
      <c r="C71" t="s">
        <v>1948</v>
      </c>
      <c r="D71" s="275">
        <v>2017</v>
      </c>
      <c r="E71" s="275" t="s">
        <v>1776</v>
      </c>
      <c r="F71" s="275">
        <v>18</v>
      </c>
      <c r="G71" t="s">
        <v>1919</v>
      </c>
      <c r="H71" s="161">
        <v>43280</v>
      </c>
      <c r="I71">
        <v>2484.9</v>
      </c>
      <c r="M71" t="s">
        <v>1715</v>
      </c>
      <c r="N71" s="161">
        <v>43287</v>
      </c>
      <c r="O71">
        <v>61</v>
      </c>
      <c r="P71" s="275">
        <v>2017</v>
      </c>
      <c r="Q71" s="275" t="s">
        <v>1776</v>
      </c>
      <c r="R71" s="275">
        <v>13</v>
      </c>
      <c r="S71">
        <v>2334.5</v>
      </c>
    </row>
    <row r="72" spans="2:19">
      <c r="B72">
        <v>67</v>
      </c>
      <c r="C72" t="s">
        <v>1948</v>
      </c>
      <c r="D72" s="275">
        <v>2017</v>
      </c>
      <c r="E72" s="275" t="s">
        <v>1776</v>
      </c>
      <c r="F72" s="275">
        <v>19</v>
      </c>
      <c r="G72" t="s">
        <v>1919</v>
      </c>
      <c r="H72" s="161">
        <v>43280</v>
      </c>
      <c r="I72">
        <v>2853.1</v>
      </c>
      <c r="M72" t="s">
        <v>1715</v>
      </c>
      <c r="N72" s="161">
        <v>43287</v>
      </c>
      <c r="O72">
        <v>62</v>
      </c>
      <c r="P72" s="275">
        <v>2017</v>
      </c>
      <c r="Q72" s="275" t="s">
        <v>1776</v>
      </c>
      <c r="R72" s="275">
        <v>14</v>
      </c>
      <c r="S72">
        <v>2673.6</v>
      </c>
    </row>
    <row r="73" spans="2:19">
      <c r="B73">
        <v>68</v>
      </c>
      <c r="C73" t="s">
        <v>1948</v>
      </c>
      <c r="D73" s="275">
        <v>2017</v>
      </c>
      <c r="E73" s="275" t="s">
        <v>1776</v>
      </c>
      <c r="F73" s="275" t="s">
        <v>1896</v>
      </c>
      <c r="G73" t="s">
        <v>1919</v>
      </c>
      <c r="H73" s="161">
        <v>43280</v>
      </c>
      <c r="I73">
        <v>2999.6</v>
      </c>
      <c r="J73" t="s">
        <v>1929</v>
      </c>
      <c r="M73" t="s">
        <v>1715</v>
      </c>
      <c r="N73" s="161">
        <v>43287</v>
      </c>
      <c r="O73">
        <v>63</v>
      </c>
      <c r="P73" s="275">
        <v>2017</v>
      </c>
      <c r="Q73" s="275" t="s">
        <v>1776</v>
      </c>
      <c r="R73" s="275">
        <v>15</v>
      </c>
      <c r="S73">
        <v>2475</v>
      </c>
    </row>
    <row r="74" spans="2:19">
      <c r="B74">
        <v>69</v>
      </c>
      <c r="C74" t="s">
        <v>1948</v>
      </c>
      <c r="D74" s="275">
        <v>2017</v>
      </c>
      <c r="E74" s="275" t="s">
        <v>1776</v>
      </c>
      <c r="F74" s="275" t="s">
        <v>1898</v>
      </c>
      <c r="G74" t="s">
        <v>1919</v>
      </c>
      <c r="H74" s="161">
        <v>43280</v>
      </c>
      <c r="I74">
        <v>2781.8</v>
      </c>
      <c r="J74" t="s">
        <v>1929</v>
      </c>
      <c r="M74" t="s">
        <v>1715</v>
      </c>
      <c r="N74" s="161">
        <v>43287</v>
      </c>
      <c r="O74">
        <v>64</v>
      </c>
      <c r="P74" s="275">
        <v>2017</v>
      </c>
      <c r="Q74" s="275" t="s">
        <v>1776</v>
      </c>
      <c r="R74" s="275">
        <v>16</v>
      </c>
      <c r="S74">
        <v>2745.6</v>
      </c>
    </row>
    <row r="75" spans="2:19">
      <c r="B75">
        <v>70</v>
      </c>
      <c r="C75" t="s">
        <v>1948</v>
      </c>
      <c r="D75" s="275">
        <v>2017</v>
      </c>
      <c r="E75" s="275" t="s">
        <v>1776</v>
      </c>
      <c r="F75" s="275">
        <v>21</v>
      </c>
      <c r="G75" t="s">
        <v>1919</v>
      </c>
      <c r="H75" s="161">
        <v>43280</v>
      </c>
      <c r="I75">
        <v>2478.3000000000002</v>
      </c>
      <c r="M75" t="s">
        <v>1715</v>
      </c>
      <c r="N75" s="161">
        <v>43287</v>
      </c>
      <c r="O75">
        <v>65</v>
      </c>
      <c r="P75" s="275">
        <v>2017</v>
      </c>
      <c r="Q75" s="275" t="s">
        <v>1776</v>
      </c>
      <c r="R75" s="275">
        <v>17</v>
      </c>
      <c r="S75">
        <v>2127.9</v>
      </c>
    </row>
    <row r="76" spans="2:19">
      <c r="B76">
        <v>71</v>
      </c>
      <c r="C76" t="s">
        <v>1948</v>
      </c>
      <c r="D76" s="275"/>
      <c r="E76" s="277" t="s">
        <v>1946</v>
      </c>
      <c r="F76" s="275">
        <v>1</v>
      </c>
      <c r="H76" s="161">
        <v>43279</v>
      </c>
      <c r="I76">
        <v>2681.2</v>
      </c>
      <c r="M76" t="s">
        <v>1715</v>
      </c>
      <c r="N76" s="161">
        <v>43287</v>
      </c>
      <c r="O76">
        <v>73</v>
      </c>
      <c r="P76" s="277" t="s">
        <v>1946</v>
      </c>
      <c r="Q76" s="275">
        <v>3</v>
      </c>
      <c r="S76">
        <v>3352.1</v>
      </c>
    </row>
    <row r="77" spans="2:19">
      <c r="B77">
        <v>72</v>
      </c>
      <c r="C77" t="s">
        <v>1948</v>
      </c>
      <c r="D77" s="275"/>
      <c r="E77" s="277" t="s">
        <v>1946</v>
      </c>
      <c r="F77" s="275">
        <v>2</v>
      </c>
      <c r="H77" s="161">
        <v>43279</v>
      </c>
      <c r="I77">
        <v>2982.5</v>
      </c>
      <c r="M77" t="s">
        <v>1715</v>
      </c>
      <c r="N77" s="161">
        <v>43287</v>
      </c>
      <c r="O77">
        <v>66</v>
      </c>
      <c r="P77" s="275">
        <v>2017</v>
      </c>
      <c r="Q77" s="275" t="s">
        <v>1776</v>
      </c>
      <c r="R77" s="275">
        <v>18</v>
      </c>
      <c r="S77">
        <v>2484.9</v>
      </c>
    </row>
    <row r="78" spans="2:19">
      <c r="B78">
        <v>73</v>
      </c>
      <c r="C78" t="s">
        <v>1948</v>
      </c>
      <c r="D78" s="275"/>
      <c r="E78" s="277" t="s">
        <v>1946</v>
      </c>
      <c r="F78" s="275">
        <v>3</v>
      </c>
      <c r="H78" s="161">
        <v>43279</v>
      </c>
      <c r="I78">
        <v>3352.1</v>
      </c>
      <c r="M78" t="s">
        <v>1715</v>
      </c>
      <c r="N78" s="161">
        <v>43287</v>
      </c>
      <c r="O78">
        <v>67</v>
      </c>
      <c r="P78" s="275">
        <v>2017</v>
      </c>
      <c r="Q78" s="275" t="s">
        <v>1776</v>
      </c>
      <c r="R78" s="275">
        <v>19</v>
      </c>
      <c r="S78">
        <v>2853.1</v>
      </c>
    </row>
    <row r="79" spans="2:19">
      <c r="B79">
        <v>74</v>
      </c>
      <c r="C79" t="s">
        <v>1948</v>
      </c>
      <c r="D79" s="275"/>
      <c r="E79" s="277" t="s">
        <v>1946</v>
      </c>
      <c r="F79" s="275">
        <v>4</v>
      </c>
      <c r="H79" s="161">
        <v>43279</v>
      </c>
      <c r="I79">
        <v>2554.8000000000002</v>
      </c>
      <c r="M79" t="s">
        <v>1715</v>
      </c>
      <c r="N79" s="161">
        <v>43287</v>
      </c>
      <c r="O79">
        <v>68</v>
      </c>
      <c r="P79" s="275">
        <v>2017</v>
      </c>
      <c r="Q79" s="275" t="s">
        <v>1776</v>
      </c>
      <c r="R79" s="275" t="s">
        <v>1896</v>
      </c>
      <c r="S79">
        <v>2999.6</v>
      </c>
    </row>
    <row r="80" spans="2:19">
      <c r="B80">
        <v>75</v>
      </c>
      <c r="D80" s="275"/>
      <c r="E80" s="277"/>
      <c r="F80" s="275"/>
      <c r="M80" t="s">
        <v>1715</v>
      </c>
      <c r="N80" s="161">
        <v>43287</v>
      </c>
      <c r="O80">
        <v>69</v>
      </c>
      <c r="P80" s="275">
        <v>2017</v>
      </c>
      <c r="Q80" s="275" t="s">
        <v>1776</v>
      </c>
      <c r="R80" s="275" t="s">
        <v>1898</v>
      </c>
      <c r="S80">
        <v>2781.8</v>
      </c>
    </row>
    <row r="81" spans="2:19">
      <c r="B81">
        <v>76</v>
      </c>
      <c r="D81" s="275"/>
      <c r="E81" s="277"/>
      <c r="F81" s="275"/>
      <c r="M81" t="s">
        <v>1715</v>
      </c>
      <c r="N81" s="161">
        <v>43287</v>
      </c>
      <c r="O81">
        <v>70</v>
      </c>
      <c r="P81" s="275">
        <v>2017</v>
      </c>
      <c r="Q81" s="275" t="s">
        <v>1776</v>
      </c>
      <c r="R81" s="275">
        <v>21</v>
      </c>
      <c r="S81">
        <v>2478.3000000000002</v>
      </c>
    </row>
    <row r="82" spans="2:19">
      <c r="M82" t="s">
        <v>1715</v>
      </c>
      <c r="N82" s="161">
        <v>43287</v>
      </c>
      <c r="O82">
        <v>74</v>
      </c>
      <c r="P82" s="277" t="s">
        <v>1946</v>
      </c>
      <c r="Q82" s="275">
        <v>4</v>
      </c>
      <c r="S82">
        <v>2554.8000000000002</v>
      </c>
    </row>
  </sheetData>
  <pageMargins left="0.7" right="0.7" top="0.75" bottom="0.75" header="0.3" footer="0.3"/>
  <pageSetup paperSize="9" orientation="portrait"/>
  <rowBreaks count="1" manualBreakCount="1">
    <brk id="28"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Q98"/>
  <sheetViews>
    <sheetView workbookViewId="0">
      <selection activeCell="B14" sqref="B14"/>
    </sheetView>
  </sheetViews>
  <sheetFormatPr defaultColWidth="8.83203125" defaultRowHeight="15.5"/>
  <cols>
    <col min="1" max="1" width="35.5" customWidth="1"/>
    <col min="2" max="2" width="17.5" bestFit="1" customWidth="1"/>
    <col min="3" max="3" width="12" bestFit="1" customWidth="1"/>
  </cols>
  <sheetData>
    <row r="1" spans="1:17">
      <c r="A1" s="193" t="s">
        <v>2662</v>
      </c>
    </row>
    <row r="3" spans="1:17" ht="18">
      <c r="B3" s="449" t="s">
        <v>2014</v>
      </c>
      <c r="C3" s="449"/>
      <c r="D3" s="449"/>
      <c r="J3" s="686" t="s">
        <v>1971</v>
      </c>
      <c r="K3" s="685"/>
      <c r="L3" s="685"/>
      <c r="M3" s="685"/>
      <c r="N3" s="685"/>
      <c r="O3" s="685"/>
      <c r="P3" s="685"/>
      <c r="Q3" s="685"/>
    </row>
    <row r="4" spans="1:17">
      <c r="B4" s="704" t="s">
        <v>1962</v>
      </c>
      <c r="C4" s="704"/>
      <c r="D4" s="2"/>
    </row>
    <row r="5" spans="1:17">
      <c r="E5" s="377"/>
      <c r="F5" s="377"/>
      <c r="G5" s="377"/>
      <c r="H5" s="377"/>
      <c r="N5" s="687" t="s">
        <v>1974</v>
      </c>
      <c r="O5" s="688"/>
      <c r="P5" s="688"/>
      <c r="Q5" s="689"/>
    </row>
    <row r="6" spans="1:17">
      <c r="A6" s="1" t="s">
        <v>2018</v>
      </c>
      <c r="B6" s="705">
        <v>111.821</v>
      </c>
      <c r="C6" s="705"/>
      <c r="D6" s="427"/>
      <c r="E6" s="377"/>
      <c r="F6" s="377"/>
      <c r="G6" s="377"/>
      <c r="H6" s="377"/>
      <c r="J6" s="450" t="s">
        <v>1976</v>
      </c>
      <c r="K6" s="690">
        <v>43301</v>
      </c>
      <c r="L6" s="689"/>
      <c r="N6" s="691" t="s">
        <v>1977</v>
      </c>
      <c r="O6" s="685"/>
      <c r="P6" s="685"/>
      <c r="Q6" s="692"/>
    </row>
    <row r="7" spans="1:17">
      <c r="B7" s="446" t="s">
        <v>2020</v>
      </c>
      <c r="C7" s="446" t="s">
        <v>2021</v>
      </c>
      <c r="E7" s="377"/>
      <c r="F7" s="377"/>
      <c r="G7" s="377"/>
      <c r="H7" s="377"/>
      <c r="J7" s="451" t="s">
        <v>1979</v>
      </c>
      <c r="K7" s="693">
        <v>43292</v>
      </c>
      <c r="L7" s="692"/>
      <c r="N7" s="691" t="s">
        <v>1980</v>
      </c>
      <c r="O7" s="685"/>
      <c r="P7" s="685"/>
      <c r="Q7" s="692"/>
    </row>
    <row r="8" spans="1:17">
      <c r="A8" s="1" t="s">
        <v>2023</v>
      </c>
      <c r="B8" s="321">
        <v>114.4</v>
      </c>
      <c r="C8" s="321">
        <v>113.3</v>
      </c>
      <c r="D8" s="411" t="s">
        <v>1715</v>
      </c>
      <c r="E8" s="133"/>
      <c r="F8" s="133"/>
      <c r="G8" s="133"/>
      <c r="H8" s="377"/>
      <c r="J8" s="452" t="s">
        <v>1982</v>
      </c>
      <c r="K8" s="694">
        <v>43301</v>
      </c>
      <c r="L8" s="695"/>
      <c r="N8" s="696" t="s">
        <v>1983</v>
      </c>
      <c r="O8" s="697"/>
      <c r="P8" s="697"/>
      <c r="Q8" s="695"/>
    </row>
    <row r="9" spans="1:17">
      <c r="A9" t="s">
        <v>2025</v>
      </c>
      <c r="B9" s="321">
        <v>0.1</v>
      </c>
      <c r="C9" s="321">
        <v>0.2</v>
      </c>
      <c r="D9" s="133" t="s">
        <v>2663</v>
      </c>
      <c r="E9" s="133"/>
      <c r="F9" s="133"/>
      <c r="G9" s="133"/>
    </row>
    <row r="10" spans="1:17">
      <c r="A10" s="77" t="s">
        <v>2027</v>
      </c>
      <c r="B10" s="447" t="s">
        <v>2028</v>
      </c>
      <c r="C10" s="323" t="s">
        <v>2029</v>
      </c>
      <c r="E10" s="210">
        <f>B8-B6</f>
        <v>2.5790000000000077</v>
      </c>
      <c r="F10" s="193" t="s">
        <v>1955</v>
      </c>
      <c r="J10" s="3" t="s">
        <v>1986</v>
      </c>
      <c r="K10" s="698" t="s">
        <v>1987</v>
      </c>
      <c r="L10" s="699"/>
      <c r="M10" s="700"/>
      <c r="O10" s="453" t="s">
        <v>1988</v>
      </c>
    </row>
    <row r="11" spans="1:17">
      <c r="E11" s="454">
        <f>E10/B6</f>
        <v>2.3063646363384406E-2</v>
      </c>
      <c r="K11" s="701" t="s">
        <v>1990</v>
      </c>
      <c r="L11" s="685"/>
      <c r="M11" s="702"/>
      <c r="O11" s="703" t="s">
        <v>1991</v>
      </c>
      <c r="P11" s="685"/>
      <c r="Q11">
        <v>78</v>
      </c>
    </row>
    <row r="12" spans="1:17">
      <c r="A12" s="448" t="s">
        <v>2032</v>
      </c>
      <c r="K12" s="701" t="s">
        <v>1977</v>
      </c>
      <c r="L12" s="685"/>
      <c r="M12" s="702"/>
      <c r="O12" s="684" t="s">
        <v>1993</v>
      </c>
      <c r="P12" s="685"/>
      <c r="Q12" s="685"/>
    </row>
    <row r="13" spans="1:17">
      <c r="A13" s="1" t="s">
        <v>2034</v>
      </c>
      <c r="B13" s="672">
        <v>0.2</v>
      </c>
      <c r="C13" s="672"/>
      <c r="K13" s="701" t="s">
        <v>1995</v>
      </c>
      <c r="L13" s="685"/>
      <c r="M13" s="702"/>
    </row>
    <row r="14" spans="1:17">
      <c r="D14" s="427"/>
      <c r="K14" s="701" t="s">
        <v>1996</v>
      </c>
      <c r="L14" s="685"/>
      <c r="M14" s="702"/>
    </row>
    <row r="15" spans="1:17">
      <c r="A15" s="1" t="s">
        <v>2037</v>
      </c>
      <c r="B15" s="706" t="s">
        <v>2038</v>
      </c>
      <c r="C15" s="706"/>
      <c r="K15" s="707" t="s">
        <v>1998</v>
      </c>
      <c r="L15" s="708"/>
      <c r="M15" s="709"/>
    </row>
    <row r="16" spans="1:17">
      <c r="A16" s="144" t="s">
        <v>2040</v>
      </c>
    </row>
    <row r="17" spans="1:16">
      <c r="A17" s="127" t="s">
        <v>2042</v>
      </c>
    </row>
    <row r="19" spans="1:16">
      <c r="J19" s="3" t="s">
        <v>2003</v>
      </c>
      <c r="K19" s="680" t="s">
        <v>2004</v>
      </c>
      <c r="L19" s="681"/>
      <c r="M19" s="681"/>
      <c r="N19" s="681"/>
      <c r="O19" s="681"/>
      <c r="P19" s="681"/>
    </row>
    <row r="20" spans="1:16">
      <c r="A20" s="1" t="s">
        <v>1959</v>
      </c>
      <c r="B20" s="1" t="s">
        <v>1960</v>
      </c>
      <c r="C20" s="1" t="s">
        <v>1961</v>
      </c>
      <c r="D20" s="1" t="s">
        <v>1962</v>
      </c>
      <c r="K20" s="681"/>
      <c r="L20" s="681"/>
      <c r="M20" s="681"/>
      <c r="N20" s="681"/>
      <c r="O20" s="681"/>
      <c r="P20" s="681"/>
    </row>
    <row r="21" spans="1:16">
      <c r="A21">
        <v>14758</v>
      </c>
      <c r="B21" t="s">
        <v>1972</v>
      </c>
      <c r="C21">
        <v>1</v>
      </c>
      <c r="D21" s="71">
        <v>190.9</v>
      </c>
      <c r="K21" s="681"/>
      <c r="L21" s="681"/>
      <c r="M21" s="681"/>
      <c r="N21" s="681"/>
      <c r="O21" s="681"/>
      <c r="P21" s="681"/>
    </row>
    <row r="22" spans="1:16">
      <c r="A22">
        <v>14759</v>
      </c>
      <c r="B22" t="s">
        <v>1973</v>
      </c>
      <c r="C22">
        <v>2</v>
      </c>
      <c r="D22" s="71">
        <v>70</v>
      </c>
      <c r="K22" s="681"/>
      <c r="L22" s="681"/>
      <c r="M22" s="681"/>
      <c r="N22" s="681"/>
      <c r="O22" s="681"/>
      <c r="P22" s="681"/>
    </row>
    <row r="23" spans="1:16">
      <c r="A23">
        <v>14760</v>
      </c>
      <c r="B23" t="s">
        <v>1975</v>
      </c>
      <c r="C23">
        <v>3</v>
      </c>
      <c r="D23" s="71">
        <v>4.5</v>
      </c>
      <c r="K23" s="681"/>
      <c r="L23" s="681"/>
      <c r="M23" s="681"/>
      <c r="N23" s="681"/>
      <c r="O23" s="681"/>
      <c r="P23" s="681"/>
    </row>
    <row r="24" spans="1:16">
      <c r="A24">
        <v>14761</v>
      </c>
      <c r="B24" t="s">
        <v>1978</v>
      </c>
      <c r="C24">
        <v>4</v>
      </c>
      <c r="D24" s="71">
        <v>56.1</v>
      </c>
    </row>
    <row r="25" spans="1:16">
      <c r="A25">
        <v>14762</v>
      </c>
      <c r="B25" t="s">
        <v>1981</v>
      </c>
      <c r="C25">
        <v>5</v>
      </c>
      <c r="D25" s="71">
        <v>61.4</v>
      </c>
      <c r="K25" s="682" t="s">
        <v>2011</v>
      </c>
      <c r="L25" s="683"/>
      <c r="M25" s="683"/>
      <c r="N25" s="683"/>
      <c r="O25" s="683"/>
      <c r="P25" s="683"/>
    </row>
    <row r="26" spans="1:16">
      <c r="A26">
        <v>14763</v>
      </c>
      <c r="B26" t="s">
        <v>1984</v>
      </c>
      <c r="C26">
        <v>6</v>
      </c>
      <c r="D26" s="71">
        <v>186.7</v>
      </c>
      <c r="K26" s="683"/>
      <c r="L26" s="683"/>
      <c r="M26" s="683"/>
      <c r="N26" s="683"/>
      <c r="O26" s="683"/>
      <c r="P26" s="683"/>
    </row>
    <row r="27" spans="1:16">
      <c r="A27">
        <v>14764</v>
      </c>
      <c r="B27" t="s">
        <v>1985</v>
      </c>
      <c r="C27">
        <v>7</v>
      </c>
      <c r="D27" s="71">
        <v>62.8</v>
      </c>
    </row>
    <row r="28" spans="1:16">
      <c r="A28">
        <v>14765</v>
      </c>
      <c r="B28" t="s">
        <v>1989</v>
      </c>
      <c r="C28">
        <v>8</v>
      </c>
      <c r="D28" s="71">
        <v>139.69999999999999</v>
      </c>
    </row>
    <row r="29" spans="1:16">
      <c r="A29">
        <v>14766</v>
      </c>
      <c r="B29" t="s">
        <v>1992</v>
      </c>
      <c r="C29">
        <v>9</v>
      </c>
      <c r="D29" s="71">
        <v>250.6</v>
      </c>
    </row>
    <row r="30" spans="1:16">
      <c r="A30">
        <v>14767</v>
      </c>
      <c r="B30" t="s">
        <v>1994</v>
      </c>
      <c r="C30">
        <v>10</v>
      </c>
      <c r="D30" s="71">
        <v>179.9</v>
      </c>
    </row>
    <row r="31" spans="1:16">
      <c r="A31">
        <v>14768</v>
      </c>
      <c r="B31" t="s">
        <v>1945</v>
      </c>
      <c r="C31">
        <v>11</v>
      </c>
      <c r="D31" s="71">
        <v>0.6</v>
      </c>
    </row>
    <row r="32" spans="1:16">
      <c r="A32">
        <v>14769</v>
      </c>
      <c r="B32" t="s">
        <v>1997</v>
      </c>
      <c r="C32">
        <v>12</v>
      </c>
      <c r="D32" s="71">
        <v>314.3</v>
      </c>
    </row>
    <row r="33" spans="1:4">
      <c r="A33">
        <v>14770</v>
      </c>
      <c r="B33" t="s">
        <v>1999</v>
      </c>
      <c r="C33">
        <v>13</v>
      </c>
      <c r="D33" s="71">
        <v>281.89999999999998</v>
      </c>
    </row>
    <row r="34" spans="1:4">
      <c r="A34">
        <v>14771</v>
      </c>
      <c r="B34" t="s">
        <v>2000</v>
      </c>
      <c r="C34">
        <v>14</v>
      </c>
      <c r="D34" s="71">
        <v>287.39999999999998</v>
      </c>
    </row>
    <row r="35" spans="1:4">
      <c r="A35">
        <v>14772</v>
      </c>
      <c r="B35" t="s">
        <v>2001</v>
      </c>
      <c r="C35">
        <v>15</v>
      </c>
      <c r="D35" s="71">
        <v>174.3</v>
      </c>
    </row>
    <row r="36" spans="1:4">
      <c r="A36">
        <v>14773</v>
      </c>
      <c r="B36" t="s">
        <v>2002</v>
      </c>
      <c r="C36">
        <v>16</v>
      </c>
      <c r="D36" s="71">
        <v>142.80000000000001</v>
      </c>
    </row>
    <row r="37" spans="1:4">
      <c r="A37">
        <v>14774</v>
      </c>
      <c r="B37" t="s">
        <v>2005</v>
      </c>
      <c r="C37">
        <v>17</v>
      </c>
      <c r="D37" s="71">
        <v>204.1</v>
      </c>
    </row>
    <row r="38" spans="1:4">
      <c r="A38">
        <v>14775</v>
      </c>
      <c r="B38" t="s">
        <v>2006</v>
      </c>
      <c r="C38">
        <v>18</v>
      </c>
      <c r="D38" s="71">
        <v>268.89999999999998</v>
      </c>
    </row>
    <row r="39" spans="1:4">
      <c r="A39">
        <v>14776</v>
      </c>
      <c r="B39" t="s">
        <v>2007</v>
      </c>
      <c r="C39">
        <v>19</v>
      </c>
      <c r="D39" s="71">
        <v>432</v>
      </c>
    </row>
    <row r="40" spans="1:4">
      <c r="A40">
        <v>14777</v>
      </c>
      <c r="B40" t="s">
        <v>2008</v>
      </c>
      <c r="C40">
        <v>20</v>
      </c>
      <c r="D40" s="71">
        <v>385.3</v>
      </c>
    </row>
    <row r="41" spans="1:4">
      <c r="A41">
        <v>14778</v>
      </c>
      <c r="B41" t="s">
        <v>2009</v>
      </c>
      <c r="C41">
        <v>21</v>
      </c>
      <c r="D41" s="71">
        <v>462.1</v>
      </c>
    </row>
    <row r="42" spans="1:4">
      <c r="A42">
        <v>14779</v>
      </c>
      <c r="B42" t="s">
        <v>2010</v>
      </c>
      <c r="C42">
        <v>22</v>
      </c>
      <c r="D42" s="71">
        <v>810.5</v>
      </c>
    </row>
    <row r="43" spans="1:4">
      <c r="A43">
        <v>14780</v>
      </c>
      <c r="B43" t="s">
        <v>2012</v>
      </c>
      <c r="C43">
        <v>23</v>
      </c>
      <c r="D43" s="71">
        <v>622.1</v>
      </c>
    </row>
    <row r="44" spans="1:4">
      <c r="A44">
        <v>14781</v>
      </c>
      <c r="B44" t="s">
        <v>1947</v>
      </c>
      <c r="C44">
        <v>24</v>
      </c>
      <c r="D44" s="71">
        <v>0.6</v>
      </c>
    </row>
    <row r="45" spans="1:4">
      <c r="A45">
        <v>14782</v>
      </c>
      <c r="B45" t="s">
        <v>2013</v>
      </c>
      <c r="C45">
        <v>25</v>
      </c>
      <c r="D45" s="71">
        <v>315.2</v>
      </c>
    </row>
    <row r="46" spans="1:4">
      <c r="A46">
        <v>14783</v>
      </c>
      <c r="B46" t="s">
        <v>2015</v>
      </c>
      <c r="C46">
        <v>26</v>
      </c>
      <c r="D46" s="71">
        <v>25.3</v>
      </c>
    </row>
    <row r="47" spans="1:4">
      <c r="A47">
        <v>14784</v>
      </c>
      <c r="B47" t="s">
        <v>2016</v>
      </c>
      <c r="C47">
        <v>27</v>
      </c>
      <c r="D47" s="71">
        <v>313</v>
      </c>
    </row>
    <row r="48" spans="1:4">
      <c r="A48">
        <v>14785</v>
      </c>
      <c r="B48" t="s">
        <v>2017</v>
      </c>
      <c r="C48">
        <v>28</v>
      </c>
      <c r="D48" s="71">
        <v>348.5</v>
      </c>
    </row>
    <row r="49" spans="1:4">
      <c r="A49">
        <v>14786</v>
      </c>
      <c r="B49" t="s">
        <v>2019</v>
      </c>
      <c r="C49">
        <v>29</v>
      </c>
      <c r="D49" s="71">
        <v>209.4</v>
      </c>
    </row>
    <row r="50" spans="1:4">
      <c r="A50">
        <v>14787</v>
      </c>
      <c r="B50" t="s">
        <v>2022</v>
      </c>
      <c r="C50">
        <v>30</v>
      </c>
      <c r="D50" s="71">
        <v>183.8</v>
      </c>
    </row>
    <row r="51" spans="1:4">
      <c r="A51">
        <v>14788</v>
      </c>
      <c r="B51" t="s">
        <v>2024</v>
      </c>
      <c r="C51">
        <v>31</v>
      </c>
      <c r="D51" s="71">
        <v>168.8</v>
      </c>
    </row>
    <row r="52" spans="1:4">
      <c r="A52">
        <v>14789</v>
      </c>
      <c r="B52" t="s">
        <v>2026</v>
      </c>
      <c r="C52">
        <v>32</v>
      </c>
      <c r="D52" s="71">
        <v>242.8</v>
      </c>
    </row>
    <row r="53" spans="1:4">
      <c r="A53">
        <v>14790</v>
      </c>
      <c r="B53" t="s">
        <v>2030</v>
      </c>
      <c r="C53">
        <v>33</v>
      </c>
      <c r="D53" s="71">
        <v>177.9</v>
      </c>
    </row>
    <row r="54" spans="1:4">
      <c r="A54">
        <v>14791</v>
      </c>
      <c r="B54" t="s">
        <v>2031</v>
      </c>
      <c r="C54">
        <v>34</v>
      </c>
      <c r="D54" s="71">
        <v>245.3</v>
      </c>
    </row>
    <row r="55" spans="1:4">
      <c r="A55">
        <v>14792</v>
      </c>
      <c r="B55" t="s">
        <v>2033</v>
      </c>
      <c r="C55">
        <v>35</v>
      </c>
      <c r="D55" s="71">
        <v>264.10000000000002</v>
      </c>
    </row>
    <row r="56" spans="1:4">
      <c r="A56">
        <v>14793</v>
      </c>
      <c r="B56" t="s">
        <v>2035</v>
      </c>
      <c r="C56">
        <v>36</v>
      </c>
      <c r="D56" s="71">
        <v>366.3</v>
      </c>
    </row>
    <row r="57" spans="1:4">
      <c r="A57">
        <v>14794</v>
      </c>
      <c r="B57" t="s">
        <v>2036</v>
      </c>
      <c r="C57">
        <v>37</v>
      </c>
      <c r="D57" s="71">
        <v>292.7</v>
      </c>
    </row>
    <row r="58" spans="1:4">
      <c r="A58">
        <v>14795</v>
      </c>
      <c r="B58" t="s">
        <v>2039</v>
      </c>
      <c r="C58">
        <v>38</v>
      </c>
      <c r="D58" s="71">
        <v>328.1</v>
      </c>
    </row>
    <row r="59" spans="1:4">
      <c r="A59">
        <v>14796</v>
      </c>
      <c r="B59" t="s">
        <v>2041</v>
      </c>
      <c r="C59">
        <v>39</v>
      </c>
      <c r="D59" s="71">
        <v>392.9</v>
      </c>
    </row>
    <row r="60" spans="1:4">
      <c r="A60">
        <v>14797</v>
      </c>
      <c r="B60" t="s">
        <v>2043</v>
      </c>
      <c r="C60">
        <v>40</v>
      </c>
      <c r="D60" s="71">
        <v>390.9</v>
      </c>
    </row>
    <row r="61" spans="1:4">
      <c r="A61">
        <v>14798</v>
      </c>
      <c r="B61" t="s">
        <v>2044</v>
      </c>
      <c r="C61">
        <v>41</v>
      </c>
      <c r="D61" s="71">
        <v>262.5</v>
      </c>
    </row>
    <row r="62" spans="1:4">
      <c r="A62">
        <v>14799</v>
      </c>
      <c r="B62" t="s">
        <v>2045</v>
      </c>
      <c r="C62">
        <v>42</v>
      </c>
      <c r="D62" s="71">
        <v>213.8</v>
      </c>
    </row>
    <row r="63" spans="1:4">
      <c r="A63">
        <v>14800</v>
      </c>
      <c r="B63" t="s">
        <v>2046</v>
      </c>
      <c r="C63">
        <v>43</v>
      </c>
      <c r="D63" s="71">
        <v>504.2</v>
      </c>
    </row>
    <row r="64" spans="1:4">
      <c r="A64">
        <v>14801</v>
      </c>
      <c r="B64" t="s">
        <v>2047</v>
      </c>
      <c r="C64">
        <v>44</v>
      </c>
      <c r="D64" s="71">
        <v>400.3</v>
      </c>
    </row>
    <row r="65" spans="1:4">
      <c r="A65">
        <v>14802</v>
      </c>
      <c r="B65" t="s">
        <v>2048</v>
      </c>
      <c r="C65">
        <v>45</v>
      </c>
      <c r="D65" s="71">
        <v>609.79999999999995</v>
      </c>
    </row>
    <row r="66" spans="1:4">
      <c r="A66">
        <v>14803</v>
      </c>
      <c r="B66" t="s">
        <v>2049</v>
      </c>
      <c r="C66">
        <v>46</v>
      </c>
      <c r="D66" s="71">
        <v>591.9</v>
      </c>
    </row>
    <row r="67" spans="1:4">
      <c r="A67">
        <v>14804</v>
      </c>
      <c r="B67" t="s">
        <v>2050</v>
      </c>
      <c r="C67">
        <v>47</v>
      </c>
      <c r="D67" s="71">
        <v>998.2</v>
      </c>
    </row>
    <row r="68" spans="1:4">
      <c r="A68">
        <v>14805</v>
      </c>
      <c r="B68" t="s">
        <v>1950</v>
      </c>
      <c r="C68">
        <v>48</v>
      </c>
      <c r="D68" s="71">
        <v>0.6</v>
      </c>
    </row>
    <row r="69" spans="1:4">
      <c r="A69">
        <v>14806</v>
      </c>
      <c r="B69" t="s">
        <v>2051</v>
      </c>
      <c r="C69">
        <v>49</v>
      </c>
      <c r="D69" s="71">
        <v>664.2</v>
      </c>
    </row>
    <row r="70" spans="1:4">
      <c r="A70">
        <v>14807</v>
      </c>
      <c r="B70" t="s">
        <v>2052</v>
      </c>
      <c r="C70">
        <v>50</v>
      </c>
      <c r="D70" s="71">
        <v>696.8</v>
      </c>
    </row>
    <row r="71" spans="1:4">
      <c r="A71">
        <v>14808</v>
      </c>
      <c r="B71" t="s">
        <v>2053</v>
      </c>
      <c r="C71">
        <v>51</v>
      </c>
      <c r="D71" s="71">
        <v>405.6</v>
      </c>
    </row>
    <row r="72" spans="1:4">
      <c r="A72">
        <v>14809</v>
      </c>
      <c r="B72" t="s">
        <v>2054</v>
      </c>
      <c r="C72">
        <v>52</v>
      </c>
      <c r="D72" s="71">
        <v>228.7</v>
      </c>
    </row>
    <row r="73" spans="1:4">
      <c r="A73">
        <v>14810</v>
      </c>
      <c r="B73" t="s">
        <v>2055</v>
      </c>
      <c r="C73">
        <v>53</v>
      </c>
      <c r="D73" s="71">
        <v>451.7</v>
      </c>
    </row>
    <row r="74" spans="1:4">
      <c r="A74">
        <v>14811</v>
      </c>
      <c r="B74" t="s">
        <v>2056</v>
      </c>
      <c r="C74">
        <v>54</v>
      </c>
      <c r="D74" s="71">
        <v>401.1</v>
      </c>
    </row>
    <row r="75" spans="1:4">
      <c r="A75">
        <v>14812</v>
      </c>
      <c r="B75" t="s">
        <v>2057</v>
      </c>
      <c r="C75">
        <v>55</v>
      </c>
      <c r="D75" s="71">
        <v>242</v>
      </c>
    </row>
    <row r="76" spans="1:4">
      <c r="A76">
        <v>14813</v>
      </c>
      <c r="B76" t="s">
        <v>2058</v>
      </c>
      <c r="C76">
        <v>56</v>
      </c>
      <c r="D76" s="71">
        <v>205.3</v>
      </c>
    </row>
    <row r="77" spans="1:4">
      <c r="A77">
        <v>14814</v>
      </c>
      <c r="B77" t="s">
        <v>2059</v>
      </c>
      <c r="C77">
        <v>57</v>
      </c>
      <c r="D77" s="71">
        <v>215.9</v>
      </c>
    </row>
    <row r="78" spans="1:4">
      <c r="A78">
        <v>14815</v>
      </c>
      <c r="B78" t="s">
        <v>2060</v>
      </c>
      <c r="C78">
        <v>58</v>
      </c>
      <c r="D78" s="71">
        <v>180.8</v>
      </c>
    </row>
    <row r="79" spans="1:4">
      <c r="A79">
        <v>14816</v>
      </c>
      <c r="B79" t="s">
        <v>2061</v>
      </c>
      <c r="C79">
        <v>59</v>
      </c>
      <c r="D79" s="71">
        <v>271</v>
      </c>
    </row>
    <row r="80" spans="1:4">
      <c r="A80">
        <v>14817</v>
      </c>
      <c r="B80" t="s">
        <v>1951</v>
      </c>
      <c r="C80">
        <v>60</v>
      </c>
      <c r="D80" s="71">
        <v>0.6</v>
      </c>
    </row>
    <row r="81" spans="1:4">
      <c r="A81">
        <v>14818</v>
      </c>
      <c r="B81" t="s">
        <v>2062</v>
      </c>
      <c r="C81">
        <v>61</v>
      </c>
      <c r="D81" s="71">
        <v>212.3</v>
      </c>
    </row>
    <row r="82" spans="1:4">
      <c r="A82">
        <v>14819</v>
      </c>
      <c r="B82" t="s">
        <v>2063</v>
      </c>
      <c r="C82">
        <v>62</v>
      </c>
      <c r="D82" s="71">
        <v>236.4</v>
      </c>
    </row>
    <row r="83" spans="1:4">
      <c r="A83">
        <v>14820</v>
      </c>
      <c r="B83" t="s">
        <v>2064</v>
      </c>
      <c r="C83">
        <v>63</v>
      </c>
      <c r="D83" s="71">
        <v>231.7</v>
      </c>
    </row>
    <row r="84" spans="1:4">
      <c r="A84">
        <v>14821</v>
      </c>
      <c r="B84" t="s">
        <v>2065</v>
      </c>
      <c r="C84">
        <v>64</v>
      </c>
      <c r="D84" s="71">
        <v>250.7</v>
      </c>
    </row>
    <row r="85" spans="1:4">
      <c r="A85">
        <v>14822</v>
      </c>
      <c r="B85" t="s">
        <v>2066</v>
      </c>
      <c r="C85">
        <v>65</v>
      </c>
      <c r="D85" s="71">
        <v>274.8</v>
      </c>
    </row>
    <row r="86" spans="1:4">
      <c r="A86">
        <v>14823</v>
      </c>
      <c r="B86" t="s">
        <v>2067</v>
      </c>
      <c r="C86">
        <v>66</v>
      </c>
      <c r="D86" s="71">
        <v>286.7</v>
      </c>
    </row>
    <row r="87" spans="1:4">
      <c r="A87">
        <v>14824</v>
      </c>
      <c r="B87" t="s">
        <v>2068</v>
      </c>
      <c r="C87">
        <v>67</v>
      </c>
      <c r="D87" s="71">
        <v>247.6</v>
      </c>
    </row>
    <row r="88" spans="1:4">
      <c r="A88">
        <v>14825</v>
      </c>
      <c r="B88" t="s">
        <v>2069</v>
      </c>
      <c r="C88">
        <v>68</v>
      </c>
      <c r="D88" s="71">
        <v>247</v>
      </c>
    </row>
    <row r="89" spans="1:4">
      <c r="A89">
        <v>14826</v>
      </c>
      <c r="B89" t="s">
        <v>2070</v>
      </c>
      <c r="C89">
        <v>69</v>
      </c>
      <c r="D89" s="71">
        <v>314.39999999999998</v>
      </c>
    </row>
    <row r="90" spans="1:4">
      <c r="A90">
        <v>14827</v>
      </c>
      <c r="B90" t="s">
        <v>2071</v>
      </c>
      <c r="C90">
        <v>70</v>
      </c>
      <c r="D90" s="71">
        <v>565.1</v>
      </c>
    </row>
    <row r="91" spans="1:4">
      <c r="A91">
        <v>14828</v>
      </c>
      <c r="B91" t="s">
        <v>2072</v>
      </c>
      <c r="C91">
        <v>71</v>
      </c>
      <c r="D91" s="71">
        <v>464.3</v>
      </c>
    </row>
    <row r="92" spans="1:4">
      <c r="A92">
        <v>14829</v>
      </c>
      <c r="B92" t="s">
        <v>2073</v>
      </c>
      <c r="C92">
        <v>72</v>
      </c>
      <c r="D92" s="71">
        <v>394</v>
      </c>
    </row>
    <row r="93" spans="1:4">
      <c r="A93">
        <v>14830</v>
      </c>
      <c r="B93" t="s">
        <v>2074</v>
      </c>
      <c r="C93">
        <v>73</v>
      </c>
      <c r="D93" s="71">
        <v>639.20000000000005</v>
      </c>
    </row>
    <row r="94" spans="1:4">
      <c r="A94">
        <v>14831</v>
      </c>
      <c r="B94" t="s">
        <v>2075</v>
      </c>
      <c r="C94">
        <v>74</v>
      </c>
      <c r="D94" s="71">
        <v>692.9</v>
      </c>
    </row>
    <row r="95" spans="1:4">
      <c r="A95">
        <v>14832</v>
      </c>
      <c r="B95" t="s">
        <v>2076</v>
      </c>
      <c r="C95">
        <v>75</v>
      </c>
      <c r="D95" s="71">
        <v>576.9</v>
      </c>
    </row>
    <row r="96" spans="1:4">
      <c r="A96">
        <v>14833</v>
      </c>
      <c r="B96" t="s">
        <v>2077</v>
      </c>
      <c r="C96">
        <v>76</v>
      </c>
      <c r="D96" s="71">
        <v>536</v>
      </c>
    </row>
    <row r="97" spans="1:4">
      <c r="A97">
        <v>14834</v>
      </c>
      <c r="B97" t="s">
        <v>2078</v>
      </c>
      <c r="C97">
        <v>77</v>
      </c>
      <c r="D97" s="71">
        <v>419.2</v>
      </c>
    </row>
    <row r="98" spans="1:4">
      <c r="A98">
        <v>14835</v>
      </c>
      <c r="B98" t="s">
        <v>2079</v>
      </c>
      <c r="C98">
        <v>78</v>
      </c>
      <c r="D98" s="71">
        <v>307.89999999999998</v>
      </c>
    </row>
  </sheetData>
  <mergeCells count="22">
    <mergeCell ref="B4:C4"/>
    <mergeCell ref="B6:C6"/>
    <mergeCell ref="B13:C13"/>
    <mergeCell ref="B15:C15"/>
    <mergeCell ref="K12:M12"/>
    <mergeCell ref="K13:M13"/>
    <mergeCell ref="K14:M14"/>
    <mergeCell ref="K15:M15"/>
    <mergeCell ref="K19:P23"/>
    <mergeCell ref="K25:P26"/>
    <mergeCell ref="O12:Q12"/>
    <mergeCell ref="J3:Q3"/>
    <mergeCell ref="N5:Q5"/>
    <mergeCell ref="K6:L6"/>
    <mergeCell ref="N6:Q6"/>
    <mergeCell ref="K7:L7"/>
    <mergeCell ref="N7:Q7"/>
    <mergeCell ref="K8:L8"/>
    <mergeCell ref="N8:Q8"/>
    <mergeCell ref="K10:M10"/>
    <mergeCell ref="K11:M11"/>
    <mergeCell ref="O11:P11"/>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FB93"/>
  <sheetViews>
    <sheetView topLeftCell="G1" workbookViewId="0">
      <pane ySplit="4" topLeftCell="A5" activePane="bottomLeft" state="frozen"/>
      <selection pane="bottomLeft" activeCell="M9" sqref="M9"/>
    </sheetView>
  </sheetViews>
  <sheetFormatPr defaultColWidth="8.83203125" defaultRowHeight="15.5"/>
  <cols>
    <col min="2" max="2" width="11" bestFit="1" customWidth="1"/>
    <col min="3" max="3" width="9" bestFit="1" customWidth="1"/>
    <col min="4" max="4" width="10.5" bestFit="1" customWidth="1"/>
    <col min="5" max="5" width="15.33203125" customWidth="1"/>
    <col min="6" max="6" width="21.5" customWidth="1"/>
    <col min="7" max="7" width="18.5" bestFit="1" customWidth="1"/>
    <col min="8" max="8" width="20.33203125" customWidth="1"/>
    <col min="13" max="13" width="6.33203125" customWidth="1"/>
    <col min="14" max="15" width="43.5" customWidth="1"/>
    <col min="16" max="16" width="21.5" customWidth="1"/>
    <col min="19" max="19" width="30.5" customWidth="1"/>
    <col min="20" max="20" width="24.5" customWidth="1"/>
    <col min="21" max="21" width="14.5" customWidth="1"/>
  </cols>
  <sheetData>
    <row r="1" spans="1:16382">
      <c r="A1" s="1" t="s">
        <v>1952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row>
    <row r="2" spans="1:16382">
      <c r="A2" s="1"/>
      <c r="B2" s="1"/>
      <c r="C2" s="1"/>
      <c r="F2" s="1" t="s">
        <v>1953</v>
      </c>
      <c r="G2" s="1"/>
      <c r="H2" s="1"/>
      <c r="I2" s="455" t="s">
        <v>1954</v>
      </c>
      <c r="J2" s="133"/>
      <c r="K2" s="133"/>
      <c r="L2" s="456">
        <f>AVERAGE(D15,D28,D52,D64)</f>
        <v>0.6</v>
      </c>
      <c r="M2" s="457" t="s">
        <v>1955</v>
      </c>
      <c r="N2" s="457" t="s">
        <v>42</v>
      </c>
      <c r="O2" s="193"/>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ht="40.5" customHeight="1">
      <c r="A3" s="1"/>
      <c r="B3" s="1"/>
      <c r="C3" s="1"/>
      <c r="D3" s="1"/>
      <c r="E3" s="1"/>
      <c r="F3" s="1" t="s">
        <v>1956</v>
      </c>
      <c r="G3" s="1" t="s">
        <v>1957</v>
      </c>
      <c r="H3" s="298" t="s">
        <v>1958</v>
      </c>
      <c r="I3" s="281"/>
      <c r="L3" s="210"/>
      <c r="M3" s="193"/>
      <c r="N3" s="193"/>
      <c r="O3" s="193"/>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row>
    <row r="4" spans="1:16382" ht="40.5" customHeight="1">
      <c r="A4" s="281" t="s">
        <v>1959</v>
      </c>
      <c r="B4" s="281" t="s">
        <v>1960</v>
      </c>
      <c r="C4" s="281" t="s">
        <v>1961</v>
      </c>
      <c r="D4" s="281" t="s">
        <v>1962</v>
      </c>
      <c r="E4" s="281" t="s">
        <v>1963</v>
      </c>
      <c r="F4" s="298" t="s">
        <v>1964</v>
      </c>
      <c r="G4" s="1" t="s">
        <v>1965</v>
      </c>
      <c r="H4" s="1" t="s">
        <v>1965</v>
      </c>
      <c r="I4" s="1" t="s">
        <v>1966</v>
      </c>
      <c r="J4" s="1" t="s">
        <v>1967</v>
      </c>
      <c r="K4" s="1" t="s">
        <v>1968</v>
      </c>
      <c r="L4" s="1" t="s">
        <v>1969</v>
      </c>
      <c r="M4" s="1" t="s">
        <v>1970</v>
      </c>
      <c r="P4" s="729" t="s">
        <v>1971</v>
      </c>
      <c r="Q4" s="714"/>
      <c r="R4" s="714"/>
      <c r="S4" s="714"/>
      <c r="T4" s="714"/>
      <c r="U4" s="714"/>
      <c r="V4" s="714"/>
      <c r="W4" s="714"/>
    </row>
    <row r="5" spans="1:16382">
      <c r="A5" s="279">
        <v>14758</v>
      </c>
      <c r="B5" s="279" t="s">
        <v>1972</v>
      </c>
      <c r="C5" s="279">
        <v>1</v>
      </c>
      <c r="D5" s="280">
        <v>190.9</v>
      </c>
      <c r="E5" s="280">
        <f>'BSi sample list'!S5</f>
        <v>2925.2</v>
      </c>
      <c r="F5" s="71">
        <f>D5-$L$2</f>
        <v>190.3</v>
      </c>
      <c r="G5">
        <f>(F5/1000)*10</f>
        <v>1.9030000000000002</v>
      </c>
      <c r="H5">
        <f>G5*(5/4)</f>
        <v>2.3787500000000001</v>
      </c>
      <c r="I5">
        <f>H5*28.09</f>
        <v>66.819087500000009</v>
      </c>
      <c r="J5">
        <f>H5*(28.09+2*16)</f>
        <v>142.93908750000003</v>
      </c>
      <c r="K5">
        <f>(I5/E5)*100</f>
        <v>2.2842570593463698</v>
      </c>
      <c r="L5">
        <f>(J5/E5)*100</f>
        <v>4.8864722924928223</v>
      </c>
    </row>
    <row r="6" spans="1:16382">
      <c r="A6" s="279">
        <v>14759</v>
      </c>
      <c r="B6" s="279" t="s">
        <v>1973</v>
      </c>
      <c r="C6" s="279">
        <v>2</v>
      </c>
      <c r="D6" s="280">
        <v>70</v>
      </c>
      <c r="E6" s="280">
        <f>'BSi sample list'!S6</f>
        <v>3174.4</v>
      </c>
      <c r="F6" s="71">
        <f t="shared" ref="F6:F69" si="0">D6-$L$2</f>
        <v>69.400000000000006</v>
      </c>
      <c r="G6">
        <f t="shared" ref="G6:G69" si="1">(F6/1000)*10</f>
        <v>0.69400000000000006</v>
      </c>
      <c r="H6">
        <f t="shared" ref="H6:H69" si="2">G6*(5/4)</f>
        <v>0.86750000000000005</v>
      </c>
      <c r="I6">
        <f t="shared" ref="I6:I69" si="3">H6*28.09</f>
        <v>24.368075000000001</v>
      </c>
      <c r="J6">
        <f t="shared" ref="J6:J69" si="4">H6*(28.09+2*16)</f>
        <v>52.128075000000003</v>
      </c>
      <c r="K6">
        <f t="shared" ref="K6:K69" si="5">(I6/E6)*100</f>
        <v>0.76764349168346779</v>
      </c>
      <c r="L6">
        <f t="shared" ref="L6:L69" si="6">(J6/E6)*100</f>
        <v>1.6421394594254033</v>
      </c>
      <c r="P6" s="279"/>
      <c r="Q6" s="279"/>
      <c r="R6" s="279"/>
      <c r="S6" s="279"/>
      <c r="T6" s="736" t="s">
        <v>1974</v>
      </c>
      <c r="U6" s="737"/>
      <c r="V6" s="737"/>
      <c r="W6" s="731"/>
    </row>
    <row r="7" spans="1:16382">
      <c r="A7" s="279">
        <v>14760</v>
      </c>
      <c r="B7" s="279" t="s">
        <v>1975</v>
      </c>
      <c r="C7" s="279">
        <v>3</v>
      </c>
      <c r="D7" s="280">
        <v>4.5</v>
      </c>
      <c r="E7" s="280">
        <f>'BSi sample list'!S7</f>
        <v>3540.3</v>
      </c>
      <c r="F7" s="71">
        <f t="shared" si="0"/>
        <v>3.9</v>
      </c>
      <c r="G7">
        <f t="shared" si="1"/>
        <v>3.9E-2</v>
      </c>
      <c r="H7">
        <f t="shared" si="2"/>
        <v>4.8750000000000002E-2</v>
      </c>
      <c r="I7">
        <f t="shared" si="3"/>
        <v>1.3693875</v>
      </c>
      <c r="J7">
        <f t="shared" si="4"/>
        <v>2.9293875000000003</v>
      </c>
      <c r="K7">
        <f t="shared" si="5"/>
        <v>3.8679984747055335E-2</v>
      </c>
      <c r="L7">
        <f t="shared" si="6"/>
        <v>8.2744047114651303E-2</v>
      </c>
      <c r="P7" s="282" t="s">
        <v>1976</v>
      </c>
      <c r="Q7" s="730">
        <v>43301</v>
      </c>
      <c r="R7" s="731"/>
      <c r="S7" s="279"/>
      <c r="T7" s="738" t="s">
        <v>1977</v>
      </c>
      <c r="U7" s="714"/>
      <c r="V7" s="714"/>
      <c r="W7" s="733"/>
    </row>
    <row r="8" spans="1:16382">
      <c r="A8" s="279">
        <v>14761</v>
      </c>
      <c r="B8" s="279" t="s">
        <v>1978</v>
      </c>
      <c r="C8" s="279">
        <v>4</v>
      </c>
      <c r="D8" s="280">
        <v>56.1</v>
      </c>
      <c r="E8" s="280">
        <f>'BSi sample list'!S8</f>
        <v>3174.1</v>
      </c>
      <c r="F8" s="71">
        <f t="shared" si="0"/>
        <v>55.5</v>
      </c>
      <c r="G8">
        <f t="shared" si="1"/>
        <v>0.55500000000000005</v>
      </c>
      <c r="H8">
        <f t="shared" si="2"/>
        <v>0.69375000000000009</v>
      </c>
      <c r="I8">
        <f t="shared" si="3"/>
        <v>19.487437500000002</v>
      </c>
      <c r="J8">
        <f t="shared" si="4"/>
        <v>41.687437500000009</v>
      </c>
      <c r="K8">
        <f t="shared" si="5"/>
        <v>0.6139515925774236</v>
      </c>
      <c r="L8">
        <f t="shared" si="6"/>
        <v>1.3133624491981983</v>
      </c>
      <c r="M8" s="7">
        <f>ABS(((K8-K9)/AVERAGE(K8:K9))*100)</f>
        <v>2.2131083748729217</v>
      </c>
      <c r="P8" s="283" t="s">
        <v>1979</v>
      </c>
      <c r="Q8" s="732">
        <v>43292</v>
      </c>
      <c r="R8" s="733"/>
      <c r="S8" s="279"/>
      <c r="T8" s="738" t="s">
        <v>1980</v>
      </c>
      <c r="U8" s="714"/>
      <c r="V8" s="714"/>
      <c r="W8" s="733"/>
    </row>
    <row r="9" spans="1:16382">
      <c r="A9" s="279">
        <v>14762</v>
      </c>
      <c r="B9" s="279" t="s">
        <v>1981</v>
      </c>
      <c r="C9" s="279">
        <v>5</v>
      </c>
      <c r="D9" s="280">
        <v>61.4</v>
      </c>
      <c r="E9" s="280">
        <f>'BSi sample list'!S9</f>
        <v>3401.1</v>
      </c>
      <c r="F9" s="71">
        <f t="shared" si="0"/>
        <v>60.8</v>
      </c>
      <c r="G9">
        <f t="shared" si="1"/>
        <v>0.60799999999999998</v>
      </c>
      <c r="H9">
        <f t="shared" si="2"/>
        <v>0.76</v>
      </c>
      <c r="I9">
        <f t="shared" si="3"/>
        <v>21.348400000000002</v>
      </c>
      <c r="J9">
        <f t="shared" si="4"/>
        <v>45.668400000000005</v>
      </c>
      <c r="K9">
        <f t="shared" si="5"/>
        <v>0.62769104113375096</v>
      </c>
      <c r="L9">
        <f t="shared" si="6"/>
        <v>1.3427538149422249</v>
      </c>
      <c r="P9" s="284" t="s">
        <v>1982</v>
      </c>
      <c r="Q9" s="734">
        <v>43301</v>
      </c>
      <c r="R9" s="735"/>
      <c r="S9" s="279"/>
      <c r="T9" s="739" t="s">
        <v>1983</v>
      </c>
      <c r="U9" s="740"/>
      <c r="V9" s="740"/>
      <c r="W9" s="735"/>
    </row>
    <row r="10" spans="1:16382">
      <c r="A10" s="279">
        <v>14763</v>
      </c>
      <c r="B10" s="279" t="s">
        <v>1984</v>
      </c>
      <c r="C10" s="279">
        <v>6</v>
      </c>
      <c r="D10" s="280">
        <v>186.7</v>
      </c>
      <c r="E10" s="280">
        <f>'BSi sample list'!S10</f>
        <v>2732.7</v>
      </c>
      <c r="F10" s="71">
        <f t="shared" si="0"/>
        <v>186.1</v>
      </c>
      <c r="G10">
        <f t="shared" si="1"/>
        <v>1.8609999999999998</v>
      </c>
      <c r="H10">
        <f t="shared" si="2"/>
        <v>2.3262499999999999</v>
      </c>
      <c r="I10">
        <f t="shared" si="3"/>
        <v>65.344362500000003</v>
      </c>
      <c r="J10">
        <f t="shared" si="4"/>
        <v>139.78436250000001</v>
      </c>
      <c r="K10">
        <f t="shared" si="5"/>
        <v>2.3912014674131816</v>
      </c>
      <c r="L10">
        <f t="shared" si="6"/>
        <v>5.1152472829070161</v>
      </c>
    </row>
    <row r="11" spans="1:16382">
      <c r="A11" s="279">
        <v>14764</v>
      </c>
      <c r="B11" s="279" t="s">
        <v>1985</v>
      </c>
      <c r="C11" s="279">
        <v>7</v>
      </c>
      <c r="D11" s="280">
        <v>62.8</v>
      </c>
      <c r="E11" s="280">
        <f>'BSi sample list'!S11</f>
        <v>2672.9</v>
      </c>
      <c r="F11" s="71">
        <f t="shared" si="0"/>
        <v>62.199999999999996</v>
      </c>
      <c r="G11">
        <f t="shared" si="1"/>
        <v>0.622</v>
      </c>
      <c r="H11">
        <f t="shared" si="2"/>
        <v>0.77749999999999997</v>
      </c>
      <c r="I11">
        <f t="shared" si="3"/>
        <v>21.839974999999999</v>
      </c>
      <c r="J11">
        <f t="shared" si="4"/>
        <v>46.719974999999998</v>
      </c>
      <c r="K11">
        <f t="shared" si="5"/>
        <v>0.81708911668973772</v>
      </c>
      <c r="L11">
        <f t="shared" si="6"/>
        <v>1.747913315125893</v>
      </c>
      <c r="P11" s="286" t="s">
        <v>1986</v>
      </c>
      <c r="Q11" s="710" t="s">
        <v>1987</v>
      </c>
      <c r="R11" s="711"/>
      <c r="S11" s="712"/>
      <c r="T11" s="279"/>
      <c r="U11" s="285" t="s">
        <v>1988</v>
      </c>
      <c r="V11" s="279"/>
      <c r="W11" s="279"/>
    </row>
    <row r="12" spans="1:16382">
      <c r="A12" s="279">
        <v>14765</v>
      </c>
      <c r="B12" s="279" t="s">
        <v>1989</v>
      </c>
      <c r="C12" s="279">
        <v>8</v>
      </c>
      <c r="D12" s="280">
        <v>139.69999999999999</v>
      </c>
      <c r="E12" s="280">
        <f>'BSi sample list'!S12</f>
        <v>2530.8000000000002</v>
      </c>
      <c r="F12" s="71">
        <f t="shared" si="0"/>
        <v>139.1</v>
      </c>
      <c r="G12">
        <f t="shared" si="1"/>
        <v>1.391</v>
      </c>
      <c r="H12">
        <f t="shared" si="2"/>
        <v>1.73875</v>
      </c>
      <c r="I12">
        <f t="shared" si="3"/>
        <v>48.841487499999999</v>
      </c>
      <c r="J12">
        <f t="shared" si="4"/>
        <v>104.4814875</v>
      </c>
      <c r="K12">
        <f t="shared" si="5"/>
        <v>1.9298833372846529</v>
      </c>
      <c r="L12">
        <f t="shared" si="6"/>
        <v>4.1283976410621142</v>
      </c>
      <c r="P12" s="279"/>
      <c r="Q12" s="713" t="s">
        <v>1990</v>
      </c>
      <c r="R12" s="714"/>
      <c r="S12" s="715"/>
      <c r="T12" s="279"/>
      <c r="U12" s="727" t="s">
        <v>1991</v>
      </c>
      <c r="V12" s="714"/>
      <c r="W12" s="279">
        <v>78</v>
      </c>
    </row>
    <row r="13" spans="1:16382">
      <c r="A13" s="279">
        <v>14766</v>
      </c>
      <c r="B13" s="279" t="s">
        <v>1992</v>
      </c>
      <c r="C13" s="279">
        <v>9</v>
      </c>
      <c r="D13" s="280">
        <v>250.6</v>
      </c>
      <c r="E13" s="280">
        <f>'BSi sample list'!S13</f>
        <v>2418.8000000000002</v>
      </c>
      <c r="F13" s="71">
        <f t="shared" si="0"/>
        <v>250</v>
      </c>
      <c r="G13">
        <f t="shared" si="1"/>
        <v>2.5</v>
      </c>
      <c r="H13">
        <f t="shared" si="2"/>
        <v>3.125</v>
      </c>
      <c r="I13">
        <f t="shared" si="3"/>
        <v>87.78125</v>
      </c>
      <c r="J13">
        <f t="shared" si="4"/>
        <v>187.78125</v>
      </c>
      <c r="K13">
        <f t="shared" si="5"/>
        <v>3.6291239457582267</v>
      </c>
      <c r="L13">
        <f t="shared" si="6"/>
        <v>7.7634054076401515</v>
      </c>
      <c r="P13" s="279"/>
      <c r="Q13" s="713" t="s">
        <v>1977</v>
      </c>
      <c r="R13" s="714"/>
      <c r="S13" s="715"/>
      <c r="T13" s="279"/>
      <c r="U13" s="728" t="s">
        <v>1993</v>
      </c>
      <c r="V13" s="714"/>
      <c r="W13" s="714"/>
    </row>
    <row r="14" spans="1:16382">
      <c r="A14" s="279">
        <v>14767</v>
      </c>
      <c r="B14" s="279" t="s">
        <v>1994</v>
      </c>
      <c r="C14" s="279">
        <v>10</v>
      </c>
      <c r="D14" s="280">
        <v>179.9</v>
      </c>
      <c r="E14" s="280">
        <f>'BSi sample list'!S14</f>
        <v>2071.6999999999998</v>
      </c>
      <c r="F14" s="71">
        <f t="shared" si="0"/>
        <v>179.3</v>
      </c>
      <c r="G14">
        <f t="shared" si="1"/>
        <v>1.7930000000000001</v>
      </c>
      <c r="H14">
        <f t="shared" si="2"/>
        <v>2.24125</v>
      </c>
      <c r="I14">
        <f t="shared" si="3"/>
        <v>62.956712500000002</v>
      </c>
      <c r="J14">
        <f t="shared" si="4"/>
        <v>134.67671250000001</v>
      </c>
      <c r="K14">
        <f t="shared" si="5"/>
        <v>3.0388913694067679</v>
      </c>
      <c r="L14">
        <f t="shared" si="6"/>
        <v>6.5007825698701556</v>
      </c>
      <c r="P14" s="279"/>
      <c r="Q14" s="713" t="s">
        <v>1995</v>
      </c>
      <c r="R14" s="714"/>
      <c r="S14" s="715"/>
      <c r="T14" s="279"/>
      <c r="U14" s="279"/>
      <c r="V14" s="279"/>
      <c r="W14" s="279"/>
    </row>
    <row r="15" spans="1:16382">
      <c r="A15" s="279">
        <v>14768</v>
      </c>
      <c r="B15" s="279" t="s">
        <v>1945</v>
      </c>
      <c r="C15" s="279">
        <v>11</v>
      </c>
      <c r="D15" s="280">
        <v>0.6</v>
      </c>
      <c r="E15" s="280">
        <f>'BSi sample list'!S15</f>
        <v>0</v>
      </c>
      <c r="F15" s="71">
        <f>D15</f>
        <v>0.6</v>
      </c>
      <c r="G15">
        <f>(F15/1000)*10</f>
        <v>5.9999999999999993E-3</v>
      </c>
      <c r="H15" s="256">
        <f t="shared" si="2"/>
        <v>7.4999999999999989E-3</v>
      </c>
      <c r="I15" s="256">
        <f>H15*28.09</f>
        <v>0.21067499999999997</v>
      </c>
      <c r="J15" s="256">
        <f t="shared" si="4"/>
        <v>0.45067499999999994</v>
      </c>
      <c r="K15" t="e">
        <f t="shared" si="5"/>
        <v>#DIV/0!</v>
      </c>
      <c r="L15" t="e">
        <f t="shared" si="6"/>
        <v>#DIV/0!</v>
      </c>
      <c r="P15" s="279"/>
      <c r="Q15" s="713" t="s">
        <v>1996</v>
      </c>
      <c r="R15" s="714"/>
      <c r="S15" s="715"/>
      <c r="T15" s="279"/>
      <c r="U15" s="279"/>
      <c r="V15" s="279"/>
      <c r="W15" s="279"/>
    </row>
    <row r="16" spans="1:16382" s="133" customFormat="1">
      <c r="A16" s="409">
        <v>14769</v>
      </c>
      <c r="B16" s="409" t="s">
        <v>1997</v>
      </c>
      <c r="C16" s="409">
        <v>12</v>
      </c>
      <c r="D16" s="410">
        <v>314.3</v>
      </c>
      <c r="E16" s="410">
        <f>'BSi sample list'!S16</f>
        <v>2681.2</v>
      </c>
      <c r="F16" s="411">
        <f t="shared" si="0"/>
        <v>313.7</v>
      </c>
      <c r="G16" s="133">
        <f t="shared" si="1"/>
        <v>3.1369999999999996</v>
      </c>
      <c r="H16" s="133">
        <f t="shared" si="2"/>
        <v>3.9212499999999997</v>
      </c>
      <c r="I16" s="133">
        <f t="shared" si="3"/>
        <v>110.14791249999999</v>
      </c>
      <c r="J16" s="133">
        <f t="shared" si="4"/>
        <v>235.62791250000001</v>
      </c>
      <c r="K16" s="133">
        <f t="shared" si="5"/>
        <v>4.1081572616738775</v>
      </c>
      <c r="L16" s="133">
        <f t="shared" si="6"/>
        <v>8.7881512941966289</v>
      </c>
      <c r="P16" s="409"/>
      <c r="Q16" s="720" t="s">
        <v>1998</v>
      </c>
      <c r="R16" s="721"/>
      <c r="S16" s="722"/>
      <c r="T16" s="409"/>
      <c r="U16" s="409"/>
      <c r="V16" s="409"/>
      <c r="W16" s="409"/>
    </row>
    <row r="17" spans="1:22">
      <c r="A17" s="279">
        <v>14770</v>
      </c>
      <c r="B17" s="279" t="s">
        <v>1999</v>
      </c>
      <c r="C17" s="279">
        <v>13</v>
      </c>
      <c r="D17" s="280">
        <v>281.89999999999998</v>
      </c>
      <c r="E17" s="280">
        <f>'BSi sample list'!S17</f>
        <v>2386.9</v>
      </c>
      <c r="F17" s="71">
        <f t="shared" si="0"/>
        <v>281.29999999999995</v>
      </c>
      <c r="G17">
        <f t="shared" si="1"/>
        <v>2.8129999999999993</v>
      </c>
      <c r="H17">
        <f t="shared" si="2"/>
        <v>3.516249999999999</v>
      </c>
      <c r="I17">
        <f t="shared" si="3"/>
        <v>98.77146249999997</v>
      </c>
      <c r="J17">
        <f t="shared" si="4"/>
        <v>211.29146249999994</v>
      </c>
      <c r="K17">
        <f t="shared" si="5"/>
        <v>4.138064539779629</v>
      </c>
      <c r="L17">
        <f t="shared" si="6"/>
        <v>8.852128807239513</v>
      </c>
    </row>
    <row r="18" spans="1:22">
      <c r="A18" s="279">
        <v>14771</v>
      </c>
      <c r="B18" s="279" t="s">
        <v>2000</v>
      </c>
      <c r="C18" s="279">
        <v>14</v>
      </c>
      <c r="D18" s="280">
        <v>287.39999999999998</v>
      </c>
      <c r="E18" s="280">
        <f>'BSi sample list'!S18</f>
        <v>2345.5</v>
      </c>
      <c r="F18" s="71">
        <f t="shared" si="0"/>
        <v>286.79999999999995</v>
      </c>
      <c r="G18">
        <f t="shared" si="1"/>
        <v>2.8679999999999994</v>
      </c>
      <c r="H18">
        <f t="shared" si="2"/>
        <v>3.5849999999999991</v>
      </c>
      <c r="I18">
        <f t="shared" si="3"/>
        <v>100.70264999999998</v>
      </c>
      <c r="J18">
        <f t="shared" si="4"/>
        <v>215.42264999999995</v>
      </c>
      <c r="K18">
        <f t="shared" si="5"/>
        <v>4.293440630995522</v>
      </c>
      <c r="L18">
        <f t="shared" si="6"/>
        <v>9.1845086335536106</v>
      </c>
    </row>
    <row r="19" spans="1:22">
      <c r="A19" s="279">
        <v>14772</v>
      </c>
      <c r="B19" s="279" t="s">
        <v>2001</v>
      </c>
      <c r="C19" s="279">
        <v>15</v>
      </c>
      <c r="D19" s="280">
        <v>174.3</v>
      </c>
      <c r="E19" s="280">
        <f>'BSi sample list'!S19</f>
        <v>2567.1</v>
      </c>
      <c r="F19" s="71">
        <f t="shared" si="0"/>
        <v>173.70000000000002</v>
      </c>
      <c r="G19">
        <f t="shared" si="1"/>
        <v>1.7370000000000001</v>
      </c>
      <c r="H19">
        <f t="shared" si="2"/>
        <v>2.1712500000000001</v>
      </c>
      <c r="I19">
        <f t="shared" si="3"/>
        <v>60.990412500000005</v>
      </c>
      <c r="J19">
        <f t="shared" si="4"/>
        <v>130.47041250000001</v>
      </c>
      <c r="K19">
        <f t="shared" si="5"/>
        <v>2.3758487203459158</v>
      </c>
      <c r="L19">
        <f t="shared" si="6"/>
        <v>5.0824047563398391</v>
      </c>
    </row>
    <row r="20" spans="1:22">
      <c r="A20" s="279">
        <v>14773</v>
      </c>
      <c r="B20" s="279" t="s">
        <v>2002</v>
      </c>
      <c r="C20" s="279">
        <v>16</v>
      </c>
      <c r="D20" s="280">
        <v>142.80000000000001</v>
      </c>
      <c r="E20" s="280">
        <f>'BSi sample list'!S20</f>
        <v>2789.9</v>
      </c>
      <c r="F20" s="71">
        <f t="shared" si="0"/>
        <v>142.20000000000002</v>
      </c>
      <c r="G20">
        <f t="shared" si="1"/>
        <v>1.4220000000000002</v>
      </c>
      <c r="H20">
        <f t="shared" si="2"/>
        <v>1.7775000000000003</v>
      </c>
      <c r="I20">
        <f t="shared" si="3"/>
        <v>49.929975000000006</v>
      </c>
      <c r="J20">
        <f t="shared" si="4"/>
        <v>106.80997500000002</v>
      </c>
      <c r="K20">
        <f t="shared" si="5"/>
        <v>1.7896689845514175</v>
      </c>
      <c r="L20">
        <f t="shared" si="6"/>
        <v>3.8284517366213846</v>
      </c>
      <c r="P20" s="286" t="s">
        <v>2003</v>
      </c>
      <c r="Q20" s="723" t="s">
        <v>2004</v>
      </c>
      <c r="R20" s="724"/>
      <c r="S20" s="724"/>
      <c r="T20" s="724"/>
      <c r="U20" s="724"/>
      <c r="V20" s="724"/>
    </row>
    <row r="21" spans="1:22">
      <c r="A21" s="279">
        <v>14774</v>
      </c>
      <c r="B21" s="279" t="s">
        <v>2005</v>
      </c>
      <c r="C21" s="279">
        <v>17</v>
      </c>
      <c r="D21" s="280">
        <v>204.1</v>
      </c>
      <c r="E21" s="280">
        <f>'BSi sample list'!S21</f>
        <v>2401.9</v>
      </c>
      <c r="F21" s="71">
        <f t="shared" si="0"/>
        <v>203.5</v>
      </c>
      <c r="G21">
        <f t="shared" si="1"/>
        <v>2.0349999999999997</v>
      </c>
      <c r="H21">
        <f t="shared" si="2"/>
        <v>2.5437499999999997</v>
      </c>
      <c r="I21">
        <f t="shared" si="3"/>
        <v>71.453937499999995</v>
      </c>
      <c r="J21">
        <f t="shared" si="4"/>
        <v>152.8539375</v>
      </c>
      <c r="K21">
        <f t="shared" si="5"/>
        <v>2.9748922727840457</v>
      </c>
      <c r="L21">
        <f t="shared" si="6"/>
        <v>6.3638759940047462</v>
      </c>
      <c r="M21" s="7">
        <f>ABS(((K21-K22)/AVERAGE(K21:K22))*100)</f>
        <v>1.2146037585551186</v>
      </c>
      <c r="P21" s="279"/>
      <c r="Q21" s="724"/>
      <c r="R21" s="724"/>
      <c r="S21" s="724"/>
      <c r="T21" s="724"/>
      <c r="U21" s="724"/>
      <c r="V21" s="724"/>
    </row>
    <row r="22" spans="1:22">
      <c r="A22" s="279">
        <v>14775</v>
      </c>
      <c r="B22" s="279" t="s">
        <v>2006</v>
      </c>
      <c r="C22" s="279">
        <v>18</v>
      </c>
      <c r="D22" s="280">
        <v>268.89999999999998</v>
      </c>
      <c r="E22" s="280">
        <f>'BSi sample list'!S22</f>
        <v>3128.5</v>
      </c>
      <c r="F22" s="71">
        <f t="shared" si="0"/>
        <v>268.29999999999995</v>
      </c>
      <c r="G22">
        <f t="shared" si="1"/>
        <v>2.6829999999999994</v>
      </c>
      <c r="H22">
        <f t="shared" si="2"/>
        <v>3.3537499999999993</v>
      </c>
      <c r="I22">
        <f t="shared" si="3"/>
        <v>94.206837499999978</v>
      </c>
      <c r="J22">
        <f t="shared" si="4"/>
        <v>201.52683749999997</v>
      </c>
      <c r="K22">
        <f t="shared" si="5"/>
        <v>3.011246204251238</v>
      </c>
      <c r="L22">
        <f t="shared" si="6"/>
        <v>6.4416441585424309</v>
      </c>
      <c r="P22" s="279"/>
      <c r="Q22" s="724"/>
      <c r="R22" s="724"/>
      <c r="S22" s="724"/>
      <c r="T22" s="724"/>
      <c r="U22" s="724"/>
      <c r="V22" s="724"/>
    </row>
    <row r="23" spans="1:22">
      <c r="A23" s="279">
        <v>14776</v>
      </c>
      <c r="B23" s="279" t="s">
        <v>2007</v>
      </c>
      <c r="C23" s="279">
        <v>19</v>
      </c>
      <c r="D23" s="280">
        <v>432</v>
      </c>
      <c r="E23" s="280">
        <f>'BSi sample list'!S23</f>
        <v>2320.6</v>
      </c>
      <c r="F23" s="71">
        <f t="shared" si="0"/>
        <v>431.4</v>
      </c>
      <c r="G23">
        <f t="shared" si="1"/>
        <v>4.3139999999999992</v>
      </c>
      <c r="H23">
        <f t="shared" si="2"/>
        <v>5.3924999999999992</v>
      </c>
      <c r="I23">
        <f t="shared" si="3"/>
        <v>151.47532499999997</v>
      </c>
      <c r="J23">
        <f t="shared" si="4"/>
        <v>324.03532499999994</v>
      </c>
      <c r="K23">
        <f t="shared" si="5"/>
        <v>6.5274207101611639</v>
      </c>
      <c r="L23">
        <f t="shared" si="6"/>
        <v>13.963428639145048</v>
      </c>
      <c r="P23" s="279"/>
      <c r="Q23" s="724"/>
      <c r="R23" s="724"/>
      <c r="S23" s="724"/>
      <c r="T23" s="724"/>
      <c r="U23" s="724"/>
      <c r="V23" s="724"/>
    </row>
    <row r="24" spans="1:22">
      <c r="A24" s="279">
        <v>14777</v>
      </c>
      <c r="B24" s="279" t="s">
        <v>2008</v>
      </c>
      <c r="C24" s="279">
        <v>20</v>
      </c>
      <c r="D24" s="280">
        <v>385.3</v>
      </c>
      <c r="E24" s="280">
        <f>'BSi sample list'!S24</f>
        <v>2584.1999999999998</v>
      </c>
      <c r="F24" s="71">
        <f t="shared" si="0"/>
        <v>384.7</v>
      </c>
      <c r="G24">
        <f t="shared" si="1"/>
        <v>3.847</v>
      </c>
      <c r="H24">
        <f t="shared" si="2"/>
        <v>4.8087499999999999</v>
      </c>
      <c r="I24">
        <f t="shared" si="3"/>
        <v>135.0777875</v>
      </c>
      <c r="J24">
        <f t="shared" si="4"/>
        <v>288.95778749999999</v>
      </c>
      <c r="K24">
        <f t="shared" si="5"/>
        <v>5.2270639849856826</v>
      </c>
      <c r="L24">
        <f t="shared" si="6"/>
        <v>11.181711458091479</v>
      </c>
      <c r="P24" s="279"/>
      <c r="Q24" s="724"/>
      <c r="R24" s="724"/>
      <c r="S24" s="724"/>
      <c r="T24" s="724"/>
      <c r="U24" s="724"/>
      <c r="V24" s="724"/>
    </row>
    <row r="25" spans="1:22">
      <c r="A25" s="279">
        <v>14778</v>
      </c>
      <c r="B25" s="279" t="s">
        <v>2009</v>
      </c>
      <c r="C25" s="279">
        <v>21</v>
      </c>
      <c r="D25" s="280">
        <v>462.1</v>
      </c>
      <c r="E25" s="280">
        <f>'BSi sample list'!S25</f>
        <v>2380.9</v>
      </c>
      <c r="F25" s="71">
        <f t="shared" si="0"/>
        <v>461.5</v>
      </c>
      <c r="G25">
        <f t="shared" si="1"/>
        <v>4.6150000000000002</v>
      </c>
      <c r="H25">
        <f t="shared" si="2"/>
        <v>5.7687500000000007</v>
      </c>
      <c r="I25">
        <f t="shared" si="3"/>
        <v>162.04418750000002</v>
      </c>
      <c r="J25">
        <f t="shared" si="4"/>
        <v>346.64418750000004</v>
      </c>
      <c r="K25">
        <f t="shared" si="5"/>
        <v>6.8060056071233568</v>
      </c>
      <c r="L25">
        <f t="shared" si="6"/>
        <v>14.55937618127599</v>
      </c>
    </row>
    <row r="26" spans="1:22">
      <c r="A26" s="279">
        <v>14779</v>
      </c>
      <c r="B26" s="279" t="s">
        <v>2010</v>
      </c>
      <c r="C26" s="279">
        <v>22</v>
      </c>
      <c r="D26" s="280">
        <v>810.5</v>
      </c>
      <c r="E26" s="280">
        <f>'BSi sample list'!S26</f>
        <v>2525.9</v>
      </c>
      <c r="F26" s="71">
        <f t="shared" si="0"/>
        <v>809.9</v>
      </c>
      <c r="G26">
        <f t="shared" si="1"/>
        <v>8.0990000000000002</v>
      </c>
      <c r="H26">
        <f t="shared" si="2"/>
        <v>10.123750000000001</v>
      </c>
      <c r="I26">
        <f t="shared" si="3"/>
        <v>284.37613750000003</v>
      </c>
      <c r="J26">
        <f t="shared" si="4"/>
        <v>608.33613750000006</v>
      </c>
      <c r="K26">
        <f t="shared" si="5"/>
        <v>11.258408389089038</v>
      </c>
      <c r="L26">
        <f t="shared" si="6"/>
        <v>24.083935923829131</v>
      </c>
      <c r="P26" s="279"/>
      <c r="Q26" s="725" t="s">
        <v>2011</v>
      </c>
      <c r="R26" s="726"/>
      <c r="S26" s="726"/>
      <c r="T26" s="726"/>
      <c r="U26" s="726"/>
      <c r="V26" s="726"/>
    </row>
    <row r="27" spans="1:22">
      <c r="A27" s="279">
        <v>14780</v>
      </c>
      <c r="B27" s="279" t="s">
        <v>2012</v>
      </c>
      <c r="C27" s="279">
        <v>23</v>
      </c>
      <c r="D27" s="280">
        <v>622.1</v>
      </c>
      <c r="E27" s="280">
        <f>'BSi sample list'!S27</f>
        <v>2905.3</v>
      </c>
      <c r="F27" s="71">
        <f t="shared" si="0"/>
        <v>621.5</v>
      </c>
      <c r="G27">
        <f t="shared" si="1"/>
        <v>6.2150000000000007</v>
      </c>
      <c r="H27">
        <f t="shared" si="2"/>
        <v>7.7687500000000007</v>
      </c>
      <c r="I27">
        <f t="shared" si="3"/>
        <v>218.22418750000003</v>
      </c>
      <c r="J27">
        <f t="shared" si="4"/>
        <v>466.82418750000005</v>
      </c>
      <c r="K27">
        <f t="shared" si="5"/>
        <v>7.5112445358482773</v>
      </c>
      <c r="L27">
        <f t="shared" si="6"/>
        <v>16.068020083984443</v>
      </c>
      <c r="P27" s="279"/>
      <c r="Q27" s="726"/>
      <c r="R27" s="726"/>
      <c r="S27" s="726"/>
      <c r="T27" s="726"/>
      <c r="U27" s="726"/>
      <c r="V27" s="726"/>
    </row>
    <row r="28" spans="1:22">
      <c r="A28" s="279">
        <v>14781</v>
      </c>
      <c r="B28" s="279" t="s">
        <v>1947</v>
      </c>
      <c r="C28" s="279">
        <v>24</v>
      </c>
      <c r="D28" s="280">
        <v>0.6</v>
      </c>
      <c r="E28" s="280">
        <f>'BSi sample list'!S28</f>
        <v>0</v>
      </c>
      <c r="F28" s="71">
        <f>D28</f>
        <v>0.6</v>
      </c>
      <c r="G28">
        <f t="shared" si="1"/>
        <v>5.9999999999999993E-3</v>
      </c>
      <c r="H28">
        <f t="shared" si="2"/>
        <v>7.4999999999999989E-3</v>
      </c>
      <c r="I28">
        <f t="shared" si="3"/>
        <v>0.21067499999999997</v>
      </c>
      <c r="J28">
        <f t="shared" si="4"/>
        <v>0.45067499999999994</v>
      </c>
      <c r="K28" t="e">
        <f t="shared" si="5"/>
        <v>#DIV/0!</v>
      </c>
      <c r="L28" t="e">
        <f t="shared" si="6"/>
        <v>#DIV/0!</v>
      </c>
    </row>
    <row r="29" spans="1:22">
      <c r="A29" s="279">
        <v>14782</v>
      </c>
      <c r="B29" s="279" t="s">
        <v>2013</v>
      </c>
      <c r="C29" s="279">
        <v>25</v>
      </c>
      <c r="D29" s="280">
        <v>315.2</v>
      </c>
      <c r="E29" s="280">
        <f>'BSi sample list'!S29</f>
        <v>2649.9</v>
      </c>
      <c r="F29" s="71">
        <f t="shared" si="0"/>
        <v>314.59999999999997</v>
      </c>
      <c r="G29">
        <f t="shared" si="1"/>
        <v>3.1459999999999999</v>
      </c>
      <c r="H29">
        <f t="shared" si="2"/>
        <v>3.9325000000000001</v>
      </c>
      <c r="I29">
        <f t="shared" si="3"/>
        <v>110.463925</v>
      </c>
      <c r="J29">
        <f t="shared" si="4"/>
        <v>236.30392500000002</v>
      </c>
      <c r="K29">
        <f t="shared" si="5"/>
        <v>4.1686073059360726</v>
      </c>
      <c r="L29">
        <f t="shared" si="6"/>
        <v>8.9174657534246577</v>
      </c>
      <c r="N29" s="71"/>
      <c r="S29" s="279"/>
      <c r="T29" s="717" t="s">
        <v>2014</v>
      </c>
      <c r="U29" s="717"/>
      <c r="V29" s="294"/>
    </row>
    <row r="30" spans="1:22">
      <c r="A30" s="279">
        <v>14783</v>
      </c>
      <c r="B30" s="279" t="s">
        <v>2015</v>
      </c>
      <c r="C30" s="279">
        <v>26</v>
      </c>
      <c r="D30" s="280">
        <v>25.3</v>
      </c>
      <c r="E30" s="280">
        <f>'BSi sample list'!S30</f>
        <v>3317.7</v>
      </c>
      <c r="F30" s="71">
        <f t="shared" si="0"/>
        <v>24.7</v>
      </c>
      <c r="G30">
        <f t="shared" si="1"/>
        <v>0.247</v>
      </c>
      <c r="H30">
        <f t="shared" si="2"/>
        <v>0.30874999999999997</v>
      </c>
      <c r="I30">
        <f t="shared" si="3"/>
        <v>8.6727874999999983</v>
      </c>
      <c r="J30">
        <f t="shared" si="4"/>
        <v>18.552787500000001</v>
      </c>
      <c r="K30">
        <f t="shared" si="5"/>
        <v>0.26140963619374863</v>
      </c>
      <c r="L30">
        <f t="shared" si="6"/>
        <v>0.55920630255900172</v>
      </c>
      <c r="N30" s="71"/>
      <c r="S30" s="279"/>
      <c r="T30" s="717" t="s">
        <v>1962</v>
      </c>
      <c r="U30" s="717"/>
      <c r="V30" s="288"/>
    </row>
    <row r="31" spans="1:22">
      <c r="A31" s="279">
        <v>14784</v>
      </c>
      <c r="B31" s="279" t="s">
        <v>2016</v>
      </c>
      <c r="C31" s="279">
        <v>27</v>
      </c>
      <c r="D31" s="280">
        <v>313</v>
      </c>
      <c r="E31" s="280">
        <f>'BSi sample list'!S31</f>
        <v>2577.1999999999998</v>
      </c>
      <c r="F31" s="71">
        <f t="shared" si="0"/>
        <v>312.39999999999998</v>
      </c>
      <c r="G31">
        <f t="shared" si="1"/>
        <v>3.1239999999999997</v>
      </c>
      <c r="H31">
        <f t="shared" si="2"/>
        <v>3.9049999999999994</v>
      </c>
      <c r="I31">
        <f t="shared" si="3"/>
        <v>109.69144999999997</v>
      </c>
      <c r="J31">
        <f t="shared" si="4"/>
        <v>234.65144999999998</v>
      </c>
      <c r="K31">
        <f t="shared" si="5"/>
        <v>4.2562257488747468</v>
      </c>
      <c r="L31">
        <f t="shared" si="6"/>
        <v>9.104898727300947</v>
      </c>
      <c r="M31" s="7">
        <f>ABS(((K31-K32)/AVERAGE(K31:K32))*100)</f>
        <v>1.6461060481831435</v>
      </c>
      <c r="N31" s="71"/>
    </row>
    <row r="32" spans="1:22">
      <c r="A32" s="279">
        <v>14785</v>
      </c>
      <c r="B32" s="279" t="s">
        <v>2017</v>
      </c>
      <c r="C32" s="279">
        <v>28</v>
      </c>
      <c r="D32" s="280">
        <v>348.5</v>
      </c>
      <c r="E32" s="280">
        <f>'BSi sample list'!S32</f>
        <v>2917.7</v>
      </c>
      <c r="F32" s="71">
        <f t="shared" si="0"/>
        <v>347.9</v>
      </c>
      <c r="G32">
        <f t="shared" si="1"/>
        <v>3.4790000000000001</v>
      </c>
      <c r="H32">
        <f t="shared" si="2"/>
        <v>4.3487499999999999</v>
      </c>
      <c r="I32">
        <f t="shared" si="3"/>
        <v>122.15638749999999</v>
      </c>
      <c r="J32">
        <f t="shared" si="4"/>
        <v>261.31638750000002</v>
      </c>
      <c r="K32">
        <f t="shared" si="5"/>
        <v>4.1867356993522291</v>
      </c>
      <c r="L32">
        <f t="shared" si="6"/>
        <v>8.9562459300133686</v>
      </c>
      <c r="S32" s="281" t="s">
        <v>2018</v>
      </c>
      <c r="T32" s="718">
        <v>111.821</v>
      </c>
      <c r="U32" s="718"/>
      <c r="V32" s="287"/>
    </row>
    <row r="33" spans="1:22">
      <c r="A33" s="279">
        <v>14786</v>
      </c>
      <c r="B33" s="279" t="s">
        <v>2019</v>
      </c>
      <c r="C33" s="279">
        <v>29</v>
      </c>
      <c r="D33" s="280">
        <v>209.4</v>
      </c>
      <c r="E33" s="280">
        <f>'BSi sample list'!S33</f>
        <v>2532.4</v>
      </c>
      <c r="F33" s="71">
        <f t="shared" si="0"/>
        <v>208.8</v>
      </c>
      <c r="G33">
        <f t="shared" si="1"/>
        <v>2.0880000000000001</v>
      </c>
      <c r="H33">
        <f t="shared" si="2"/>
        <v>2.6100000000000003</v>
      </c>
      <c r="I33">
        <f t="shared" si="3"/>
        <v>73.314900000000009</v>
      </c>
      <c r="J33">
        <f t="shared" si="4"/>
        <v>156.83490000000003</v>
      </c>
      <c r="K33">
        <f t="shared" si="5"/>
        <v>2.8950758174064131</v>
      </c>
      <c r="L33">
        <f t="shared" si="6"/>
        <v>6.1931329963670834</v>
      </c>
      <c r="S33" s="279"/>
      <c r="T33" s="295" t="s">
        <v>2020</v>
      </c>
      <c r="U33" s="295" t="s">
        <v>2021</v>
      </c>
      <c r="V33" s="279"/>
    </row>
    <row r="34" spans="1:22">
      <c r="A34" s="279">
        <v>14787</v>
      </c>
      <c r="B34" s="279" t="s">
        <v>2022</v>
      </c>
      <c r="C34" s="279">
        <v>30</v>
      </c>
      <c r="D34" s="280">
        <v>183.8</v>
      </c>
      <c r="E34" s="280">
        <f>'BSi sample list'!S34</f>
        <v>2565.6</v>
      </c>
      <c r="F34" s="71">
        <f t="shared" si="0"/>
        <v>183.20000000000002</v>
      </c>
      <c r="G34">
        <f t="shared" si="1"/>
        <v>1.8320000000000003</v>
      </c>
      <c r="H34">
        <f t="shared" si="2"/>
        <v>2.2900000000000005</v>
      </c>
      <c r="I34">
        <f t="shared" si="3"/>
        <v>64.326100000000011</v>
      </c>
      <c r="J34">
        <f t="shared" si="4"/>
        <v>137.60610000000003</v>
      </c>
      <c r="K34">
        <f t="shared" si="5"/>
        <v>2.5072536638603062</v>
      </c>
      <c r="L34">
        <f t="shared" si="6"/>
        <v>5.3635056127221716</v>
      </c>
      <c r="S34" s="281" t="s">
        <v>2023</v>
      </c>
      <c r="T34" s="290">
        <v>114.4</v>
      </c>
      <c r="U34" s="290">
        <v>113.3</v>
      </c>
      <c r="V34" s="289"/>
    </row>
    <row r="35" spans="1:22">
      <c r="A35" s="279">
        <v>14788</v>
      </c>
      <c r="B35" s="279" t="s">
        <v>2024</v>
      </c>
      <c r="C35" s="279">
        <v>31</v>
      </c>
      <c r="D35" s="280">
        <v>168.8</v>
      </c>
      <c r="E35" s="280">
        <f>'BSi sample list'!S35</f>
        <v>2514.3000000000002</v>
      </c>
      <c r="F35" s="71">
        <f t="shared" si="0"/>
        <v>168.20000000000002</v>
      </c>
      <c r="G35">
        <f t="shared" si="1"/>
        <v>1.6820000000000002</v>
      </c>
      <c r="H35">
        <f t="shared" si="2"/>
        <v>2.1025</v>
      </c>
      <c r="I35">
        <f t="shared" si="3"/>
        <v>59.059224999999998</v>
      </c>
      <c r="J35">
        <f t="shared" si="4"/>
        <v>126.33922500000001</v>
      </c>
      <c r="K35">
        <f t="shared" si="5"/>
        <v>2.348933102652826</v>
      </c>
      <c r="L35">
        <f t="shared" si="6"/>
        <v>5.0248269896193767</v>
      </c>
      <c r="S35" s="279" t="s">
        <v>2025</v>
      </c>
      <c r="T35" s="290">
        <v>0.1</v>
      </c>
      <c r="U35" s="290">
        <v>0.2</v>
      </c>
      <c r="V35" s="289"/>
    </row>
    <row r="36" spans="1:22">
      <c r="A36" s="279">
        <v>14789</v>
      </c>
      <c r="B36" s="279" t="s">
        <v>2026</v>
      </c>
      <c r="C36" s="279">
        <v>32</v>
      </c>
      <c r="D36" s="280">
        <v>242.8</v>
      </c>
      <c r="E36" s="280">
        <f>'BSi sample list'!S36</f>
        <v>3191.4</v>
      </c>
      <c r="F36" s="71">
        <f t="shared" si="0"/>
        <v>242.20000000000002</v>
      </c>
      <c r="G36">
        <f t="shared" si="1"/>
        <v>2.4220000000000002</v>
      </c>
      <c r="H36">
        <f t="shared" si="2"/>
        <v>3.0275000000000003</v>
      </c>
      <c r="I36">
        <f t="shared" si="3"/>
        <v>85.04247500000001</v>
      </c>
      <c r="J36">
        <f t="shared" si="4"/>
        <v>181.92247500000002</v>
      </c>
      <c r="K36">
        <f t="shared" si="5"/>
        <v>2.6647388293538889</v>
      </c>
      <c r="L36">
        <f t="shared" si="6"/>
        <v>5.7003971611205122</v>
      </c>
      <c r="S36" s="294" t="s">
        <v>2027</v>
      </c>
      <c r="T36" s="297" t="s">
        <v>2028</v>
      </c>
      <c r="U36" s="293" t="s">
        <v>2029</v>
      </c>
      <c r="V36" s="279"/>
    </row>
    <row r="37" spans="1:22">
      <c r="A37" s="279">
        <v>14790</v>
      </c>
      <c r="B37" s="279" t="s">
        <v>2030</v>
      </c>
      <c r="C37" s="279">
        <v>33</v>
      </c>
      <c r="D37" s="280">
        <v>177.9</v>
      </c>
      <c r="E37" s="280">
        <f>'BSi sample list'!S37</f>
        <v>2170.3000000000002</v>
      </c>
      <c r="F37" s="71">
        <f t="shared" si="0"/>
        <v>177.3</v>
      </c>
      <c r="G37">
        <f t="shared" si="1"/>
        <v>1.7730000000000001</v>
      </c>
      <c r="H37">
        <f t="shared" si="2"/>
        <v>2.2162500000000001</v>
      </c>
      <c r="I37">
        <f t="shared" si="3"/>
        <v>62.254462500000002</v>
      </c>
      <c r="J37">
        <f t="shared" si="4"/>
        <v>133.1744625</v>
      </c>
      <c r="K37">
        <f t="shared" si="5"/>
        <v>2.8684726765884898</v>
      </c>
      <c r="L37">
        <f t="shared" si="6"/>
        <v>6.1362236787540887</v>
      </c>
    </row>
    <row r="38" spans="1:22">
      <c r="A38" s="279">
        <v>14791</v>
      </c>
      <c r="B38" s="279" t="s">
        <v>2031</v>
      </c>
      <c r="C38" s="279">
        <v>34</v>
      </c>
      <c r="D38" s="280">
        <v>245.3</v>
      </c>
      <c r="E38" s="280">
        <f>'BSi sample list'!S38</f>
        <v>3088.6</v>
      </c>
      <c r="F38" s="71">
        <f t="shared" si="0"/>
        <v>244.70000000000002</v>
      </c>
      <c r="G38">
        <f t="shared" si="1"/>
        <v>2.4470000000000001</v>
      </c>
      <c r="H38">
        <f t="shared" si="2"/>
        <v>3.0587499999999999</v>
      </c>
      <c r="I38">
        <f t="shared" si="3"/>
        <v>85.920287500000001</v>
      </c>
      <c r="J38">
        <f t="shared" si="4"/>
        <v>183.8002875</v>
      </c>
      <c r="K38">
        <f t="shared" si="5"/>
        <v>2.7818522145956095</v>
      </c>
      <c r="L38">
        <f t="shared" si="6"/>
        <v>5.9509255811694617</v>
      </c>
      <c r="S38" s="296" t="s">
        <v>2032</v>
      </c>
      <c r="T38" s="279"/>
      <c r="U38" s="279"/>
      <c r="V38" s="279"/>
    </row>
    <row r="39" spans="1:22">
      <c r="A39" s="279">
        <v>14792</v>
      </c>
      <c r="B39" s="279" t="s">
        <v>2033</v>
      </c>
      <c r="C39" s="279">
        <v>35</v>
      </c>
      <c r="D39" s="280">
        <v>264.10000000000002</v>
      </c>
      <c r="E39" s="280">
        <f>'BSi sample list'!S39</f>
        <v>2856.3</v>
      </c>
      <c r="F39" s="71">
        <f t="shared" si="0"/>
        <v>263.5</v>
      </c>
      <c r="G39">
        <f t="shared" si="1"/>
        <v>2.6350000000000002</v>
      </c>
      <c r="H39">
        <f t="shared" si="2"/>
        <v>3.2937500000000002</v>
      </c>
      <c r="I39">
        <f t="shared" si="3"/>
        <v>92.521437500000005</v>
      </c>
      <c r="J39">
        <f t="shared" si="4"/>
        <v>197.92143750000002</v>
      </c>
      <c r="K39">
        <f t="shared" si="5"/>
        <v>3.2392058782340789</v>
      </c>
      <c r="L39">
        <f t="shared" si="6"/>
        <v>6.9292944543640376</v>
      </c>
      <c r="S39" s="281" t="s">
        <v>2034</v>
      </c>
      <c r="T39" s="719">
        <v>0.2</v>
      </c>
      <c r="U39" s="719"/>
      <c r="V39" s="279"/>
    </row>
    <row r="40" spans="1:22" s="133" customFormat="1">
      <c r="A40" s="409">
        <v>14793</v>
      </c>
      <c r="B40" s="409" t="s">
        <v>2035</v>
      </c>
      <c r="C40" s="409">
        <v>36</v>
      </c>
      <c r="D40" s="410">
        <v>366.3</v>
      </c>
      <c r="E40" s="410">
        <f>'BSi sample list'!S40</f>
        <v>2982.5</v>
      </c>
      <c r="F40" s="411">
        <f t="shared" si="0"/>
        <v>365.7</v>
      </c>
      <c r="G40" s="133">
        <f t="shared" si="1"/>
        <v>3.6569999999999996</v>
      </c>
      <c r="H40" s="133">
        <f t="shared" si="2"/>
        <v>4.5712499999999991</v>
      </c>
      <c r="I40" s="133">
        <f t="shared" si="3"/>
        <v>128.40641249999999</v>
      </c>
      <c r="J40" s="133">
        <f t="shared" si="4"/>
        <v>274.68641249999996</v>
      </c>
      <c r="K40" s="133">
        <f t="shared" si="5"/>
        <v>4.3053281642917014</v>
      </c>
      <c r="L40" s="133">
        <f t="shared" si="6"/>
        <v>9.2099383906119012</v>
      </c>
      <c r="S40" s="409"/>
      <c r="T40" s="409"/>
      <c r="U40" s="409"/>
      <c r="V40" s="412"/>
    </row>
    <row r="41" spans="1:22">
      <c r="A41" s="279">
        <v>14794</v>
      </c>
      <c r="B41" s="279" t="s">
        <v>2036</v>
      </c>
      <c r="C41" s="279">
        <v>37</v>
      </c>
      <c r="D41" s="280">
        <v>292.7</v>
      </c>
      <c r="E41" s="280">
        <f>'BSi sample list'!S41</f>
        <v>2816.3</v>
      </c>
      <c r="F41" s="71">
        <f t="shared" si="0"/>
        <v>292.09999999999997</v>
      </c>
      <c r="G41">
        <f t="shared" si="1"/>
        <v>2.9209999999999998</v>
      </c>
      <c r="H41">
        <f t="shared" si="2"/>
        <v>3.6512499999999997</v>
      </c>
      <c r="I41">
        <f t="shared" si="3"/>
        <v>102.56361249999999</v>
      </c>
      <c r="J41">
        <f t="shared" si="4"/>
        <v>219.40361249999998</v>
      </c>
      <c r="K41">
        <f t="shared" si="5"/>
        <v>3.641785765010829</v>
      </c>
      <c r="L41">
        <f t="shared" si="6"/>
        <v>7.7904915136881705</v>
      </c>
      <c r="S41" s="281" t="s">
        <v>2037</v>
      </c>
      <c r="T41" s="716" t="s">
        <v>2038</v>
      </c>
      <c r="U41" s="716"/>
      <c r="V41" s="279"/>
    </row>
    <row r="42" spans="1:22">
      <c r="A42" s="279">
        <v>14795</v>
      </c>
      <c r="B42" s="279" t="s">
        <v>2039</v>
      </c>
      <c r="C42" s="279">
        <v>38</v>
      </c>
      <c r="D42" s="280">
        <v>328.1</v>
      </c>
      <c r="E42" s="280">
        <f>'BSi sample list'!S42</f>
        <v>2753.2</v>
      </c>
      <c r="F42" s="71">
        <f t="shared" si="0"/>
        <v>327.5</v>
      </c>
      <c r="G42">
        <f t="shared" si="1"/>
        <v>3.2750000000000004</v>
      </c>
      <c r="H42">
        <f t="shared" si="2"/>
        <v>4.09375</v>
      </c>
      <c r="I42">
        <f t="shared" si="3"/>
        <v>114.9934375</v>
      </c>
      <c r="J42">
        <f t="shared" si="4"/>
        <v>245.99343750000003</v>
      </c>
      <c r="K42">
        <f t="shared" si="5"/>
        <v>4.1767193629231443</v>
      </c>
      <c r="L42">
        <f t="shared" si="6"/>
        <v>8.9348190287665279</v>
      </c>
      <c r="S42" s="291" t="s">
        <v>2040</v>
      </c>
      <c r="T42" s="279"/>
      <c r="U42" s="279"/>
      <c r="V42" s="279"/>
    </row>
    <row r="43" spans="1:22">
      <c r="A43" s="279">
        <v>14796</v>
      </c>
      <c r="B43" s="279" t="s">
        <v>2041</v>
      </c>
      <c r="C43" s="279">
        <v>39</v>
      </c>
      <c r="D43" s="280">
        <v>392.9</v>
      </c>
      <c r="E43" s="280">
        <f>'BSi sample list'!S43</f>
        <v>3065.1</v>
      </c>
      <c r="F43" s="71">
        <f t="shared" si="0"/>
        <v>392.29999999999995</v>
      </c>
      <c r="G43">
        <f t="shared" si="1"/>
        <v>3.923</v>
      </c>
      <c r="H43">
        <f t="shared" si="2"/>
        <v>4.9037500000000005</v>
      </c>
      <c r="I43">
        <f t="shared" si="3"/>
        <v>137.74633750000001</v>
      </c>
      <c r="J43">
        <f t="shared" si="4"/>
        <v>294.66633750000005</v>
      </c>
      <c r="K43">
        <f t="shared" si="5"/>
        <v>4.494024256957359</v>
      </c>
      <c r="L43">
        <f t="shared" si="6"/>
        <v>9.6135962121953629</v>
      </c>
      <c r="S43" s="292" t="s">
        <v>2042</v>
      </c>
      <c r="T43" s="279"/>
      <c r="U43" s="279"/>
      <c r="V43" s="279"/>
    </row>
    <row r="44" spans="1:22">
      <c r="A44" s="279">
        <v>14797</v>
      </c>
      <c r="B44" s="279" t="s">
        <v>2043</v>
      </c>
      <c r="C44" s="279">
        <v>40</v>
      </c>
      <c r="D44" s="280">
        <v>390.9</v>
      </c>
      <c r="E44" s="280">
        <f>'BSi sample list'!S44</f>
        <v>3114.8</v>
      </c>
      <c r="F44" s="71">
        <f t="shared" si="0"/>
        <v>390.29999999999995</v>
      </c>
      <c r="G44">
        <f t="shared" si="1"/>
        <v>3.9029999999999996</v>
      </c>
      <c r="H44">
        <f t="shared" si="2"/>
        <v>4.8787499999999993</v>
      </c>
      <c r="I44">
        <f t="shared" si="3"/>
        <v>137.04408749999999</v>
      </c>
      <c r="J44">
        <f t="shared" si="4"/>
        <v>293.16408749999999</v>
      </c>
      <c r="K44">
        <f t="shared" si="5"/>
        <v>4.3997716546808778</v>
      </c>
      <c r="L44">
        <f t="shared" si="6"/>
        <v>9.4119714748940524</v>
      </c>
      <c r="M44" s="292"/>
      <c r="N44" s="292"/>
      <c r="O44" s="292"/>
      <c r="P44" s="279"/>
      <c r="Q44" s="279"/>
      <c r="R44" s="279"/>
    </row>
    <row r="45" spans="1:22">
      <c r="A45" s="279">
        <v>14798</v>
      </c>
      <c r="B45" s="279" t="s">
        <v>2044</v>
      </c>
      <c r="C45" s="279">
        <v>41</v>
      </c>
      <c r="D45" s="280">
        <v>262.5</v>
      </c>
      <c r="E45" s="280">
        <f>'BSi sample list'!S45</f>
        <v>2475</v>
      </c>
      <c r="F45" s="71">
        <f t="shared" si="0"/>
        <v>261.89999999999998</v>
      </c>
      <c r="G45">
        <f t="shared" si="1"/>
        <v>2.6189999999999998</v>
      </c>
      <c r="H45">
        <f t="shared" si="2"/>
        <v>3.2737499999999997</v>
      </c>
      <c r="I45">
        <f t="shared" si="3"/>
        <v>91.959637499999985</v>
      </c>
      <c r="J45">
        <f t="shared" si="4"/>
        <v>196.7196375</v>
      </c>
      <c r="K45">
        <f t="shared" si="5"/>
        <v>3.7155409090909086</v>
      </c>
      <c r="L45">
        <f t="shared" si="6"/>
        <v>7.9482681818181815</v>
      </c>
    </row>
    <row r="46" spans="1:22">
      <c r="A46" s="279">
        <v>14799</v>
      </c>
      <c r="B46" s="279" t="s">
        <v>2045</v>
      </c>
      <c r="C46" s="279">
        <v>42</v>
      </c>
      <c r="D46" s="280">
        <v>213.8</v>
      </c>
      <c r="E46" s="280">
        <f>'BSi sample list'!S46</f>
        <v>2210</v>
      </c>
      <c r="F46" s="71">
        <f t="shared" si="0"/>
        <v>213.20000000000002</v>
      </c>
      <c r="G46">
        <f t="shared" si="1"/>
        <v>2.1320000000000001</v>
      </c>
      <c r="H46">
        <f t="shared" si="2"/>
        <v>2.665</v>
      </c>
      <c r="I46">
        <f t="shared" si="3"/>
        <v>74.859849999999994</v>
      </c>
      <c r="J46">
        <f t="shared" si="4"/>
        <v>160.13985000000002</v>
      </c>
      <c r="K46">
        <f t="shared" si="5"/>
        <v>3.3873235294117641</v>
      </c>
      <c r="L46">
        <f t="shared" si="6"/>
        <v>7.2461470588235306</v>
      </c>
    </row>
    <row r="47" spans="1:22">
      <c r="A47" s="279">
        <v>14800</v>
      </c>
      <c r="B47" s="279" t="s">
        <v>2046</v>
      </c>
      <c r="C47" s="279">
        <v>43</v>
      </c>
      <c r="D47" s="280">
        <v>504.2</v>
      </c>
      <c r="E47" s="280">
        <f>'BSi sample list'!S47</f>
        <v>2966.5</v>
      </c>
      <c r="F47" s="71">
        <f t="shared" si="0"/>
        <v>503.59999999999997</v>
      </c>
      <c r="G47">
        <f t="shared" si="1"/>
        <v>5.0359999999999996</v>
      </c>
      <c r="H47">
        <f t="shared" si="2"/>
        <v>6.2949999999999999</v>
      </c>
      <c r="I47">
        <f t="shared" si="3"/>
        <v>176.82655</v>
      </c>
      <c r="J47">
        <f t="shared" si="4"/>
        <v>378.26655</v>
      </c>
      <c r="K47">
        <f t="shared" si="5"/>
        <v>5.9607803809202764</v>
      </c>
      <c r="L47">
        <f t="shared" si="6"/>
        <v>12.751274228889265</v>
      </c>
      <c r="M47" s="224">
        <f>ABS(((K47-K48)/AVERAGE(K47:K48))*100)</f>
        <v>2.8852326518617301E-3</v>
      </c>
    </row>
    <row r="48" spans="1:22">
      <c r="A48" s="279">
        <v>14801</v>
      </c>
      <c r="B48" s="279" t="s">
        <v>2047</v>
      </c>
      <c r="C48" s="279">
        <v>44</v>
      </c>
      <c r="D48" s="280">
        <v>400.3</v>
      </c>
      <c r="E48" s="280">
        <f>'BSi sample list'!S48</f>
        <v>2354.4</v>
      </c>
      <c r="F48" s="71">
        <f t="shared" si="0"/>
        <v>399.7</v>
      </c>
      <c r="G48">
        <f t="shared" si="1"/>
        <v>3.9969999999999999</v>
      </c>
      <c r="H48">
        <f t="shared" si="2"/>
        <v>4.9962499999999999</v>
      </c>
      <c r="I48">
        <f t="shared" si="3"/>
        <v>140.3446625</v>
      </c>
      <c r="J48">
        <f t="shared" si="4"/>
        <v>300.22466250000002</v>
      </c>
      <c r="K48">
        <f t="shared" si="5"/>
        <v>5.9609523657832142</v>
      </c>
      <c r="L48">
        <f t="shared" si="6"/>
        <v>12.751642138124364</v>
      </c>
      <c r="M48" s="224"/>
    </row>
    <row r="49" spans="1:13">
      <c r="A49" s="279">
        <v>14802</v>
      </c>
      <c r="B49" s="279" t="s">
        <v>2048</v>
      </c>
      <c r="C49" s="279">
        <v>45</v>
      </c>
      <c r="D49" s="280">
        <v>609.79999999999995</v>
      </c>
      <c r="E49" s="280">
        <f>'BSi sample list'!S49</f>
        <v>2735.1</v>
      </c>
      <c r="F49" s="71">
        <f t="shared" si="0"/>
        <v>609.19999999999993</v>
      </c>
      <c r="G49">
        <f t="shared" si="1"/>
        <v>6.0919999999999996</v>
      </c>
      <c r="H49">
        <f t="shared" si="2"/>
        <v>7.6149999999999993</v>
      </c>
      <c r="I49">
        <f t="shared" si="3"/>
        <v>213.90534999999997</v>
      </c>
      <c r="J49">
        <f t="shared" si="4"/>
        <v>457.58535000000001</v>
      </c>
      <c r="K49">
        <f t="shared" si="5"/>
        <v>7.8207506124090509</v>
      </c>
      <c r="L49">
        <f t="shared" si="6"/>
        <v>16.730114072611606</v>
      </c>
    </row>
    <row r="50" spans="1:13">
      <c r="A50" s="279">
        <v>14803</v>
      </c>
      <c r="B50" s="279" t="s">
        <v>2049</v>
      </c>
      <c r="C50" s="279">
        <v>46</v>
      </c>
      <c r="D50" s="280">
        <v>591.9</v>
      </c>
      <c r="E50" s="280">
        <f>'BSi sample list'!S50</f>
        <v>2584.1999999999998</v>
      </c>
      <c r="F50" s="71">
        <f t="shared" si="0"/>
        <v>591.29999999999995</v>
      </c>
      <c r="G50">
        <f t="shared" si="1"/>
        <v>5.9129999999999994</v>
      </c>
      <c r="H50">
        <f t="shared" si="2"/>
        <v>7.3912499999999994</v>
      </c>
      <c r="I50">
        <f t="shared" si="3"/>
        <v>207.62021249999998</v>
      </c>
      <c r="J50">
        <f t="shared" si="4"/>
        <v>444.14021250000002</v>
      </c>
      <c r="K50">
        <f t="shared" si="5"/>
        <v>8.0342161016949145</v>
      </c>
      <c r="L50">
        <f t="shared" si="6"/>
        <v>17.186758474576273</v>
      </c>
    </row>
    <row r="51" spans="1:13">
      <c r="A51" s="279">
        <v>14804</v>
      </c>
      <c r="B51" s="279" t="s">
        <v>2050</v>
      </c>
      <c r="C51" s="279">
        <v>47</v>
      </c>
      <c r="D51" s="280">
        <v>998.2</v>
      </c>
      <c r="E51" s="280">
        <f>'BSi sample list'!S51</f>
        <v>3409.9</v>
      </c>
      <c r="F51" s="71">
        <f t="shared" si="0"/>
        <v>997.6</v>
      </c>
      <c r="G51">
        <f t="shared" si="1"/>
        <v>9.9760000000000009</v>
      </c>
      <c r="H51">
        <f t="shared" si="2"/>
        <v>12.47</v>
      </c>
      <c r="I51">
        <f t="shared" si="3"/>
        <v>350.28230000000002</v>
      </c>
      <c r="J51">
        <f t="shared" si="4"/>
        <v>749.32230000000004</v>
      </c>
      <c r="K51">
        <f t="shared" si="5"/>
        <v>10.272509457755358</v>
      </c>
      <c r="L51">
        <f t="shared" si="6"/>
        <v>21.974905422446405</v>
      </c>
      <c r="M51" s="224">
        <f>ABS(((K51-K53)/AVERAGE(K51,K53))*100)</f>
        <v>0.89691371433521982</v>
      </c>
    </row>
    <row r="52" spans="1:13">
      <c r="A52" s="279">
        <v>14805</v>
      </c>
      <c r="B52" s="279" t="s">
        <v>1950</v>
      </c>
      <c r="C52" s="279">
        <v>48</v>
      </c>
      <c r="D52" s="280">
        <v>0.6</v>
      </c>
      <c r="E52" s="280">
        <f>'BSi sample list'!S52</f>
        <v>0</v>
      </c>
      <c r="F52" s="71">
        <f>D52</f>
        <v>0.6</v>
      </c>
      <c r="G52">
        <f t="shared" si="1"/>
        <v>5.9999999999999993E-3</v>
      </c>
      <c r="H52">
        <f t="shared" si="2"/>
        <v>7.4999999999999989E-3</v>
      </c>
      <c r="I52">
        <f t="shared" si="3"/>
        <v>0.21067499999999997</v>
      </c>
      <c r="J52">
        <f t="shared" si="4"/>
        <v>0.45067499999999994</v>
      </c>
      <c r="K52" t="e">
        <f t="shared" si="5"/>
        <v>#DIV/0!</v>
      </c>
      <c r="L52" t="e">
        <f t="shared" si="6"/>
        <v>#DIV/0!</v>
      </c>
    </row>
    <row r="53" spans="1:13">
      <c r="A53" s="279">
        <v>14806</v>
      </c>
      <c r="B53" s="279" t="s">
        <v>2051</v>
      </c>
      <c r="C53" s="279">
        <v>49</v>
      </c>
      <c r="D53" s="280">
        <v>664.2</v>
      </c>
      <c r="E53" s="280">
        <f>'BSi sample list'!S53</f>
        <v>2248</v>
      </c>
      <c r="F53" s="71">
        <f t="shared" si="0"/>
        <v>663.6</v>
      </c>
      <c r="G53">
        <f t="shared" si="1"/>
        <v>6.6359999999999992</v>
      </c>
      <c r="H53">
        <f t="shared" si="2"/>
        <v>8.2949999999999982</v>
      </c>
      <c r="I53">
        <f t="shared" si="3"/>
        <v>233.00654999999995</v>
      </c>
      <c r="J53">
        <f t="shared" si="4"/>
        <v>498.44654999999995</v>
      </c>
      <c r="K53">
        <f t="shared" si="5"/>
        <v>10.36506005338078</v>
      </c>
      <c r="L53">
        <f t="shared" si="6"/>
        <v>22.172889234875441</v>
      </c>
    </row>
    <row r="54" spans="1:13">
      <c r="A54" s="279">
        <v>14807</v>
      </c>
      <c r="B54" s="279" t="s">
        <v>2052</v>
      </c>
      <c r="C54" s="279">
        <v>50</v>
      </c>
      <c r="D54" s="280">
        <v>696.8</v>
      </c>
      <c r="E54" s="280">
        <f>'BSi sample list'!S54</f>
        <v>2684.1</v>
      </c>
      <c r="F54" s="71">
        <f t="shared" si="0"/>
        <v>696.19999999999993</v>
      </c>
      <c r="G54">
        <f t="shared" si="1"/>
        <v>6.9619999999999997</v>
      </c>
      <c r="H54">
        <f t="shared" si="2"/>
        <v>8.7025000000000006</v>
      </c>
      <c r="I54">
        <f t="shared" si="3"/>
        <v>244.453225</v>
      </c>
      <c r="J54">
        <f t="shared" si="4"/>
        <v>522.93322500000011</v>
      </c>
      <c r="K54">
        <f t="shared" si="5"/>
        <v>9.1074559442643732</v>
      </c>
      <c r="L54">
        <f t="shared" si="6"/>
        <v>19.482628255281103</v>
      </c>
    </row>
    <row r="55" spans="1:13">
      <c r="A55" s="279">
        <v>14808</v>
      </c>
      <c r="B55" s="279" t="s">
        <v>2053</v>
      </c>
      <c r="C55" s="279">
        <v>51</v>
      </c>
      <c r="D55" s="280">
        <v>405.6</v>
      </c>
      <c r="E55" s="280">
        <f>'BSi sample list'!S55</f>
        <v>2672.9</v>
      </c>
      <c r="F55" s="71">
        <f t="shared" si="0"/>
        <v>405</v>
      </c>
      <c r="G55">
        <f t="shared" si="1"/>
        <v>4.0500000000000007</v>
      </c>
      <c r="H55">
        <f t="shared" si="2"/>
        <v>5.0625000000000009</v>
      </c>
      <c r="I55">
        <f t="shared" si="3"/>
        <v>142.20562500000003</v>
      </c>
      <c r="J55">
        <f t="shared" si="4"/>
        <v>304.20562500000005</v>
      </c>
      <c r="K55">
        <f t="shared" si="5"/>
        <v>5.3202747951662994</v>
      </c>
      <c r="L55">
        <f t="shared" si="6"/>
        <v>11.381107598488535</v>
      </c>
    </row>
    <row r="56" spans="1:13">
      <c r="A56" s="279">
        <v>14809</v>
      </c>
      <c r="B56" s="279" t="s">
        <v>2054</v>
      </c>
      <c r="C56" s="279">
        <v>52</v>
      </c>
      <c r="D56" s="280">
        <v>228.7</v>
      </c>
      <c r="E56" s="280">
        <f>'BSi sample list'!S56</f>
        <v>2172.3000000000002</v>
      </c>
      <c r="F56" s="71">
        <f t="shared" si="0"/>
        <v>228.1</v>
      </c>
      <c r="G56">
        <f t="shared" si="1"/>
        <v>2.2810000000000001</v>
      </c>
      <c r="H56">
        <f t="shared" si="2"/>
        <v>2.8512500000000003</v>
      </c>
      <c r="I56">
        <f t="shared" si="3"/>
        <v>80.091612500000011</v>
      </c>
      <c r="J56">
        <f t="shared" si="4"/>
        <v>171.33161250000003</v>
      </c>
      <c r="K56">
        <f t="shared" si="5"/>
        <v>3.6869498918197303</v>
      </c>
      <c r="L56">
        <f t="shared" si="6"/>
        <v>7.8871064079547022</v>
      </c>
    </row>
    <row r="57" spans="1:13">
      <c r="A57" s="279">
        <v>14810</v>
      </c>
      <c r="B57" s="279" t="s">
        <v>2055</v>
      </c>
      <c r="C57" s="279">
        <v>53</v>
      </c>
      <c r="D57" s="280">
        <v>451.7</v>
      </c>
      <c r="E57" s="280">
        <f>'BSi sample list'!S57</f>
        <v>3408.5</v>
      </c>
      <c r="F57" s="71">
        <f t="shared" si="0"/>
        <v>451.09999999999997</v>
      </c>
      <c r="G57">
        <f t="shared" si="1"/>
        <v>4.5109999999999992</v>
      </c>
      <c r="H57">
        <f t="shared" si="2"/>
        <v>5.638749999999999</v>
      </c>
      <c r="I57">
        <f t="shared" si="3"/>
        <v>158.39248749999996</v>
      </c>
      <c r="J57">
        <f t="shared" si="4"/>
        <v>338.83248749999996</v>
      </c>
      <c r="K57">
        <f t="shared" si="5"/>
        <v>4.6469851107525297</v>
      </c>
      <c r="L57">
        <f t="shared" si="6"/>
        <v>9.9408093736247611</v>
      </c>
      <c r="M57" s="224">
        <f>ABS(((K57-K58)/AVERAGE(K57:K58))*100)</f>
        <v>0.11005553770552154</v>
      </c>
    </row>
    <row r="58" spans="1:13">
      <c r="A58" s="279">
        <v>14811</v>
      </c>
      <c r="B58" s="279" t="s">
        <v>2056</v>
      </c>
      <c r="C58" s="279">
        <v>54</v>
      </c>
      <c r="D58" s="280">
        <v>401.1</v>
      </c>
      <c r="E58" s="280">
        <f>'BSi sample list'!S58</f>
        <v>3029.5</v>
      </c>
      <c r="F58" s="71">
        <f t="shared" si="0"/>
        <v>400.5</v>
      </c>
      <c r="G58">
        <f t="shared" si="1"/>
        <v>4.0049999999999999</v>
      </c>
      <c r="H58">
        <f t="shared" si="2"/>
        <v>5.0062499999999996</v>
      </c>
      <c r="I58">
        <f t="shared" si="3"/>
        <v>140.6255625</v>
      </c>
      <c r="J58">
        <f t="shared" si="4"/>
        <v>300.82556249999999</v>
      </c>
      <c r="K58">
        <f t="shared" si="5"/>
        <v>4.6418736590196401</v>
      </c>
      <c r="L58">
        <f t="shared" si="6"/>
        <v>9.9298749793695329</v>
      </c>
    </row>
    <row r="59" spans="1:13">
      <c r="A59" s="279">
        <v>14812</v>
      </c>
      <c r="B59" s="279" t="s">
        <v>2057</v>
      </c>
      <c r="C59" s="279">
        <v>55</v>
      </c>
      <c r="D59" s="280">
        <v>242</v>
      </c>
      <c r="E59" s="280">
        <f>'BSi sample list'!S59</f>
        <v>2758.9</v>
      </c>
      <c r="F59" s="71">
        <f t="shared" si="0"/>
        <v>241.4</v>
      </c>
      <c r="G59">
        <f t="shared" si="1"/>
        <v>2.4140000000000001</v>
      </c>
      <c r="H59">
        <f t="shared" si="2"/>
        <v>3.0175000000000001</v>
      </c>
      <c r="I59">
        <f t="shared" si="3"/>
        <v>84.761575000000008</v>
      </c>
      <c r="J59">
        <f t="shared" si="4"/>
        <v>181.32157500000002</v>
      </c>
      <c r="K59">
        <f t="shared" si="5"/>
        <v>3.0722960237775929</v>
      </c>
      <c r="L59">
        <f t="shared" si="6"/>
        <v>6.5722416542825037</v>
      </c>
    </row>
    <row r="60" spans="1:13">
      <c r="A60" s="279">
        <v>14813</v>
      </c>
      <c r="B60" s="279" t="s">
        <v>2058</v>
      </c>
      <c r="C60" s="279">
        <v>56</v>
      </c>
      <c r="D60" s="280">
        <v>205.3</v>
      </c>
      <c r="E60" s="280">
        <f>'BSi sample list'!S60</f>
        <v>2770</v>
      </c>
      <c r="F60" s="71">
        <f t="shared" si="0"/>
        <v>204.70000000000002</v>
      </c>
      <c r="G60">
        <f t="shared" si="1"/>
        <v>2.0470000000000002</v>
      </c>
      <c r="H60">
        <f t="shared" si="2"/>
        <v>2.5587500000000003</v>
      </c>
      <c r="I60">
        <f t="shared" si="3"/>
        <v>71.875287500000013</v>
      </c>
      <c r="J60">
        <f t="shared" si="4"/>
        <v>153.75528750000004</v>
      </c>
      <c r="K60">
        <f t="shared" si="5"/>
        <v>2.594775722021661</v>
      </c>
      <c r="L60">
        <f t="shared" si="6"/>
        <v>5.5507324007220227</v>
      </c>
    </row>
    <row r="61" spans="1:13">
      <c r="A61" s="279">
        <v>14814</v>
      </c>
      <c r="B61" s="279" t="s">
        <v>2059</v>
      </c>
      <c r="C61" s="279">
        <v>57</v>
      </c>
      <c r="D61" s="280">
        <v>215.9</v>
      </c>
      <c r="E61" s="280">
        <f>'BSi sample list'!S61</f>
        <v>2956.9</v>
      </c>
      <c r="F61" s="71">
        <f t="shared" si="0"/>
        <v>215.3</v>
      </c>
      <c r="G61">
        <f t="shared" si="1"/>
        <v>2.153</v>
      </c>
      <c r="H61">
        <f t="shared" si="2"/>
        <v>2.6912500000000001</v>
      </c>
      <c r="I61">
        <f t="shared" si="3"/>
        <v>75.597212499999998</v>
      </c>
      <c r="J61">
        <f t="shared" si="4"/>
        <v>161.71721250000002</v>
      </c>
      <c r="K61">
        <f t="shared" si="5"/>
        <v>2.5566374412391353</v>
      </c>
      <c r="L61">
        <f t="shared" si="6"/>
        <v>5.4691471642598675</v>
      </c>
    </row>
    <row r="62" spans="1:13">
      <c r="A62" s="279">
        <v>14815</v>
      </c>
      <c r="B62" s="279" t="s">
        <v>2060</v>
      </c>
      <c r="C62" s="279">
        <v>58</v>
      </c>
      <c r="D62" s="280">
        <v>180.8</v>
      </c>
      <c r="E62" s="280">
        <f>'BSi sample list'!S62</f>
        <v>2398.1999999999998</v>
      </c>
      <c r="F62" s="71">
        <f t="shared" si="0"/>
        <v>180.20000000000002</v>
      </c>
      <c r="G62">
        <f t="shared" si="1"/>
        <v>1.8020000000000003</v>
      </c>
      <c r="H62">
        <f t="shared" si="2"/>
        <v>2.2525000000000004</v>
      </c>
      <c r="I62">
        <f t="shared" si="3"/>
        <v>63.272725000000008</v>
      </c>
      <c r="J62">
        <f t="shared" si="4"/>
        <v>135.35272500000002</v>
      </c>
      <c r="K62">
        <f t="shared" si="5"/>
        <v>2.6383422983904601</v>
      </c>
      <c r="L62">
        <f t="shared" si="6"/>
        <v>5.6439298223667764</v>
      </c>
    </row>
    <row r="63" spans="1:13">
      <c r="A63" s="279">
        <v>14816</v>
      </c>
      <c r="B63" s="279" t="s">
        <v>2061</v>
      </c>
      <c r="C63" s="279">
        <v>59</v>
      </c>
      <c r="D63" s="280">
        <v>271</v>
      </c>
      <c r="E63" s="280">
        <f>'BSi sample list'!S63</f>
        <v>3193.8</v>
      </c>
      <c r="F63" s="71">
        <f t="shared" si="0"/>
        <v>270.39999999999998</v>
      </c>
      <c r="G63">
        <f t="shared" si="1"/>
        <v>2.7039999999999997</v>
      </c>
      <c r="H63">
        <f t="shared" si="2"/>
        <v>3.38</v>
      </c>
      <c r="I63">
        <f t="shared" si="3"/>
        <v>94.944199999999995</v>
      </c>
      <c r="J63">
        <f t="shared" si="4"/>
        <v>203.10419999999999</v>
      </c>
      <c r="K63">
        <f t="shared" si="5"/>
        <v>2.9727659840941825</v>
      </c>
      <c r="L63">
        <f t="shared" si="6"/>
        <v>6.3593274469284227</v>
      </c>
    </row>
    <row r="64" spans="1:13">
      <c r="A64" s="279">
        <v>14817</v>
      </c>
      <c r="B64" s="279" t="s">
        <v>1951</v>
      </c>
      <c r="C64" s="279">
        <v>60</v>
      </c>
      <c r="D64" s="280">
        <v>0.6</v>
      </c>
      <c r="E64" s="280">
        <f>'BSi sample list'!S64</f>
        <v>0</v>
      </c>
      <c r="F64" s="71">
        <f>D64</f>
        <v>0.6</v>
      </c>
      <c r="G64">
        <f t="shared" si="1"/>
        <v>5.9999999999999993E-3</v>
      </c>
      <c r="H64">
        <f t="shared" si="2"/>
        <v>7.4999999999999989E-3</v>
      </c>
      <c r="I64">
        <f t="shared" si="3"/>
        <v>0.21067499999999997</v>
      </c>
      <c r="J64">
        <f t="shared" si="4"/>
        <v>0.45067499999999994</v>
      </c>
      <c r="K64" t="e">
        <f t="shared" si="5"/>
        <v>#DIV/0!</v>
      </c>
      <c r="L64" t="e">
        <f t="shared" si="6"/>
        <v>#DIV/0!</v>
      </c>
    </row>
    <row r="65" spans="1:13">
      <c r="A65" s="279">
        <v>14818</v>
      </c>
      <c r="B65" s="279" t="s">
        <v>2062</v>
      </c>
      <c r="C65" s="279">
        <v>61</v>
      </c>
      <c r="D65" s="280">
        <v>212.3</v>
      </c>
      <c r="E65" s="280">
        <f>'BSi sample list'!S65</f>
        <v>2351</v>
      </c>
      <c r="F65" s="71">
        <f t="shared" si="0"/>
        <v>211.70000000000002</v>
      </c>
      <c r="G65">
        <f t="shared" si="1"/>
        <v>2.1170000000000004</v>
      </c>
      <c r="H65">
        <f t="shared" si="2"/>
        <v>2.6462500000000007</v>
      </c>
      <c r="I65">
        <f t="shared" si="3"/>
        <v>74.333162500000014</v>
      </c>
      <c r="J65">
        <f t="shared" si="4"/>
        <v>159.01316250000005</v>
      </c>
      <c r="K65">
        <f t="shared" si="5"/>
        <v>3.16176786473841</v>
      </c>
      <c r="L65">
        <f t="shared" si="6"/>
        <v>6.7636394087622316</v>
      </c>
    </row>
    <row r="66" spans="1:13">
      <c r="A66" s="279">
        <v>14819</v>
      </c>
      <c r="B66" s="279" t="s">
        <v>2063</v>
      </c>
      <c r="C66" s="279">
        <v>62</v>
      </c>
      <c r="D66" s="280">
        <v>236.4</v>
      </c>
      <c r="E66" s="280">
        <f>'BSi sample list'!S66</f>
        <v>2383.1999999999998</v>
      </c>
      <c r="F66" s="71">
        <f t="shared" si="0"/>
        <v>235.8</v>
      </c>
      <c r="G66">
        <f t="shared" si="1"/>
        <v>2.3580000000000001</v>
      </c>
      <c r="H66">
        <f t="shared" si="2"/>
        <v>2.9475000000000002</v>
      </c>
      <c r="I66">
        <f t="shared" si="3"/>
        <v>82.795275000000004</v>
      </c>
      <c r="J66">
        <f t="shared" si="4"/>
        <v>177.11527500000003</v>
      </c>
      <c r="K66">
        <f t="shared" si="5"/>
        <v>3.4741219788519642</v>
      </c>
      <c r="L66">
        <f t="shared" si="6"/>
        <v>7.4318259063444119</v>
      </c>
    </row>
    <row r="67" spans="1:13">
      <c r="A67" s="279">
        <v>14820</v>
      </c>
      <c r="B67" s="279" t="s">
        <v>2064</v>
      </c>
      <c r="C67" s="279">
        <v>63</v>
      </c>
      <c r="D67" s="280">
        <v>231.7</v>
      </c>
      <c r="E67" s="280">
        <f>'BSi sample list'!S67</f>
        <v>2423.6999999999998</v>
      </c>
      <c r="F67" s="71">
        <f t="shared" si="0"/>
        <v>231.1</v>
      </c>
      <c r="G67">
        <f t="shared" si="1"/>
        <v>2.3109999999999999</v>
      </c>
      <c r="H67">
        <f t="shared" si="2"/>
        <v>2.8887499999999999</v>
      </c>
      <c r="I67">
        <f t="shared" si="3"/>
        <v>81.144987499999999</v>
      </c>
      <c r="J67">
        <f t="shared" si="4"/>
        <v>173.58498750000001</v>
      </c>
      <c r="K67">
        <f t="shared" si="5"/>
        <v>3.3479798448652889</v>
      </c>
      <c r="L67">
        <f t="shared" si="6"/>
        <v>7.1619832281222928</v>
      </c>
    </row>
    <row r="68" spans="1:13">
      <c r="A68" s="279">
        <v>14821</v>
      </c>
      <c r="B68" s="279" t="s">
        <v>2065</v>
      </c>
      <c r="C68" s="279">
        <v>64</v>
      </c>
      <c r="D68" s="280">
        <v>250.7</v>
      </c>
      <c r="E68" s="280">
        <f>'BSi sample list'!S68</f>
        <v>2450.1999999999998</v>
      </c>
      <c r="F68" s="71">
        <f t="shared" si="0"/>
        <v>250.1</v>
      </c>
      <c r="G68">
        <f t="shared" si="1"/>
        <v>2.5009999999999999</v>
      </c>
      <c r="H68">
        <f t="shared" si="2"/>
        <v>3.1262499999999998</v>
      </c>
      <c r="I68">
        <f t="shared" si="3"/>
        <v>87.816362499999997</v>
      </c>
      <c r="J68">
        <f t="shared" si="4"/>
        <v>187.85636249999999</v>
      </c>
      <c r="K68">
        <f t="shared" si="5"/>
        <v>3.5840487511223573</v>
      </c>
      <c r="L68">
        <f t="shared" si="6"/>
        <v>7.6669807566729258</v>
      </c>
    </row>
    <row r="69" spans="1:13">
      <c r="A69" s="279">
        <v>14822</v>
      </c>
      <c r="B69" s="279" t="s">
        <v>2066</v>
      </c>
      <c r="C69" s="279">
        <v>65</v>
      </c>
      <c r="D69" s="280">
        <v>274.8</v>
      </c>
      <c r="E69" s="280">
        <f>'BSi sample list'!S69</f>
        <v>2446.1</v>
      </c>
      <c r="F69" s="71">
        <f t="shared" si="0"/>
        <v>274.2</v>
      </c>
      <c r="G69">
        <f t="shared" si="1"/>
        <v>2.742</v>
      </c>
      <c r="H69">
        <f t="shared" si="2"/>
        <v>3.4275000000000002</v>
      </c>
      <c r="I69">
        <f t="shared" si="3"/>
        <v>96.278475</v>
      </c>
      <c r="J69">
        <f t="shared" si="4"/>
        <v>205.95847500000002</v>
      </c>
      <c r="K69">
        <f t="shared" si="5"/>
        <v>3.9359991414905364</v>
      </c>
      <c r="L69">
        <f t="shared" si="6"/>
        <v>8.4198714279874096</v>
      </c>
    </row>
    <row r="70" spans="1:13">
      <c r="A70" s="279">
        <v>14823</v>
      </c>
      <c r="B70" s="279" t="s">
        <v>2067</v>
      </c>
      <c r="C70" s="279">
        <v>66</v>
      </c>
      <c r="D70" s="280">
        <v>286.7</v>
      </c>
      <c r="E70" s="280">
        <f>'BSi sample list'!S70</f>
        <v>2591.5</v>
      </c>
      <c r="F70" s="71">
        <f t="shared" ref="F70:F82" si="7">D70-$L$2</f>
        <v>286.09999999999997</v>
      </c>
      <c r="G70">
        <f t="shared" ref="G70:G82" si="8">(F70/1000)*10</f>
        <v>2.8609999999999998</v>
      </c>
      <c r="H70">
        <f t="shared" ref="H70:H82" si="9">G70*(5/4)</f>
        <v>3.5762499999999999</v>
      </c>
      <c r="I70">
        <f t="shared" ref="I70:I82" si="10">H70*28.09</f>
        <v>100.4568625</v>
      </c>
      <c r="J70">
        <f t="shared" ref="J70:J82" si="11">H70*(28.09+2*16)</f>
        <v>214.8968625</v>
      </c>
      <c r="K70">
        <f t="shared" ref="K70:K82" si="12">(I70/E70)*100</f>
        <v>3.8763983214354618</v>
      </c>
      <c r="L70">
        <f t="shared" ref="L70:L82" si="13">(J70/E70)*100</f>
        <v>8.292373625313525</v>
      </c>
    </row>
    <row r="71" spans="1:13">
      <c r="A71" s="279">
        <v>14824</v>
      </c>
      <c r="B71" s="279" t="s">
        <v>2068</v>
      </c>
      <c r="C71" s="279">
        <v>67</v>
      </c>
      <c r="D71" s="280">
        <v>247.6</v>
      </c>
      <c r="E71" s="280">
        <f>'BSi sample list'!S71</f>
        <v>2334.5</v>
      </c>
      <c r="F71" s="71">
        <f t="shared" si="7"/>
        <v>247</v>
      </c>
      <c r="G71">
        <f t="shared" si="8"/>
        <v>2.4699999999999998</v>
      </c>
      <c r="H71">
        <f t="shared" si="9"/>
        <v>3.0874999999999995</v>
      </c>
      <c r="I71">
        <f t="shared" si="10"/>
        <v>86.727874999999983</v>
      </c>
      <c r="J71">
        <f t="shared" si="11"/>
        <v>185.52787499999997</v>
      </c>
      <c r="K71">
        <f t="shared" si="12"/>
        <v>3.7150514028699928</v>
      </c>
      <c r="L71">
        <f t="shared" si="13"/>
        <v>7.9472210323409707</v>
      </c>
    </row>
    <row r="72" spans="1:13">
      <c r="A72" s="279">
        <v>14825</v>
      </c>
      <c r="B72" s="279" t="s">
        <v>2069</v>
      </c>
      <c r="C72" s="279">
        <v>68</v>
      </c>
      <c r="D72" s="280">
        <v>247</v>
      </c>
      <c r="E72" s="280">
        <f>'BSi sample list'!S72</f>
        <v>2673.6</v>
      </c>
      <c r="F72" s="71">
        <f t="shared" si="7"/>
        <v>246.4</v>
      </c>
      <c r="G72">
        <f t="shared" si="8"/>
        <v>2.464</v>
      </c>
      <c r="H72">
        <f t="shared" si="9"/>
        <v>3.08</v>
      </c>
      <c r="I72">
        <f t="shared" si="10"/>
        <v>86.517200000000003</v>
      </c>
      <c r="J72">
        <f t="shared" si="11"/>
        <v>185.0772</v>
      </c>
      <c r="K72">
        <f t="shared" si="12"/>
        <v>3.2359814482345901</v>
      </c>
      <c r="L72">
        <f t="shared" si="13"/>
        <v>6.9223967684021543</v>
      </c>
    </row>
    <row r="73" spans="1:13">
      <c r="A73" s="279">
        <v>14826</v>
      </c>
      <c r="B73" s="279" t="s">
        <v>2070</v>
      </c>
      <c r="C73" s="279">
        <v>69</v>
      </c>
      <c r="D73" s="280">
        <v>314.39999999999998</v>
      </c>
      <c r="E73" s="280">
        <f>'BSi sample list'!S73</f>
        <v>2475</v>
      </c>
      <c r="F73" s="71">
        <f t="shared" si="7"/>
        <v>313.79999999999995</v>
      </c>
      <c r="G73">
        <f t="shared" si="8"/>
        <v>3.1379999999999999</v>
      </c>
      <c r="H73">
        <f t="shared" si="9"/>
        <v>3.9224999999999999</v>
      </c>
      <c r="I73">
        <f t="shared" si="10"/>
        <v>110.183025</v>
      </c>
      <c r="J73">
        <f t="shared" si="11"/>
        <v>235.703025</v>
      </c>
      <c r="K73">
        <f t="shared" si="12"/>
        <v>4.4518393939393945</v>
      </c>
      <c r="L73">
        <f t="shared" si="13"/>
        <v>9.5233545454545467</v>
      </c>
    </row>
    <row r="74" spans="1:13">
      <c r="A74" s="279">
        <v>14827</v>
      </c>
      <c r="B74" s="279" t="s">
        <v>2071</v>
      </c>
      <c r="C74" s="279">
        <v>70</v>
      </c>
      <c r="D74" s="280">
        <v>565.1</v>
      </c>
      <c r="E74" s="280">
        <f>'BSi sample list'!S74</f>
        <v>2745.6</v>
      </c>
      <c r="F74" s="71">
        <f t="shared" si="7"/>
        <v>564.5</v>
      </c>
      <c r="G74">
        <f t="shared" si="8"/>
        <v>5.6449999999999996</v>
      </c>
      <c r="H74">
        <f t="shared" si="9"/>
        <v>7.0562499999999995</v>
      </c>
      <c r="I74">
        <f t="shared" si="10"/>
        <v>198.21006249999999</v>
      </c>
      <c r="J74">
        <f t="shared" si="11"/>
        <v>424.0100625</v>
      </c>
      <c r="K74">
        <f t="shared" si="12"/>
        <v>7.219189339306527</v>
      </c>
      <c r="L74">
        <f t="shared" si="13"/>
        <v>15.443256938374125</v>
      </c>
    </row>
    <row r="75" spans="1:13">
      <c r="A75" s="279">
        <v>14828</v>
      </c>
      <c r="B75" s="279" t="s">
        <v>2072</v>
      </c>
      <c r="C75" s="279">
        <v>71</v>
      </c>
      <c r="D75" s="280">
        <v>464.3</v>
      </c>
      <c r="E75" s="280">
        <f>'BSi sample list'!S75</f>
        <v>2127.9</v>
      </c>
      <c r="F75" s="71">
        <f t="shared" si="7"/>
        <v>463.7</v>
      </c>
      <c r="G75">
        <f t="shared" si="8"/>
        <v>4.6370000000000005</v>
      </c>
      <c r="H75">
        <f t="shared" si="9"/>
        <v>5.7962500000000006</v>
      </c>
      <c r="I75">
        <f t="shared" si="10"/>
        <v>162.81666250000001</v>
      </c>
      <c r="J75">
        <f t="shared" si="11"/>
        <v>348.29666250000008</v>
      </c>
      <c r="K75">
        <f t="shared" si="12"/>
        <v>7.6515185159077026</v>
      </c>
      <c r="L75">
        <f t="shared" si="13"/>
        <v>16.36809354292965</v>
      </c>
    </row>
    <row r="76" spans="1:13" s="133" customFormat="1">
      <c r="A76" s="409">
        <v>14829</v>
      </c>
      <c r="B76" s="409" t="s">
        <v>2073</v>
      </c>
      <c r="C76" s="409">
        <v>72</v>
      </c>
      <c r="D76" s="410">
        <v>394</v>
      </c>
      <c r="E76" s="410">
        <f>'BSi sample list'!S76</f>
        <v>3352.1</v>
      </c>
      <c r="F76" s="411">
        <f t="shared" si="7"/>
        <v>393.4</v>
      </c>
      <c r="G76" s="133">
        <f t="shared" si="8"/>
        <v>3.9339999999999997</v>
      </c>
      <c r="H76" s="133">
        <f t="shared" si="9"/>
        <v>4.9174999999999995</v>
      </c>
      <c r="I76" s="133">
        <f t="shared" si="10"/>
        <v>138.13257499999997</v>
      </c>
      <c r="J76" s="133">
        <f t="shared" si="11"/>
        <v>295.49257499999999</v>
      </c>
      <c r="K76" s="133">
        <f t="shared" si="12"/>
        <v>4.1207772739476738</v>
      </c>
      <c r="L76" s="133">
        <f t="shared" si="13"/>
        <v>8.8151479669460944</v>
      </c>
    </row>
    <row r="77" spans="1:13">
      <c r="A77" s="279">
        <v>14830</v>
      </c>
      <c r="B77" s="279" t="s">
        <v>2074</v>
      </c>
      <c r="C77" s="279">
        <v>73</v>
      </c>
      <c r="D77" s="280">
        <v>639.20000000000005</v>
      </c>
      <c r="E77" s="280">
        <f>'BSi sample list'!S77</f>
        <v>2484.9</v>
      </c>
      <c r="F77" s="71">
        <f t="shared" si="7"/>
        <v>638.6</v>
      </c>
      <c r="G77">
        <f t="shared" si="8"/>
        <v>6.386000000000001</v>
      </c>
      <c r="H77">
        <f t="shared" si="9"/>
        <v>7.9825000000000017</v>
      </c>
      <c r="I77">
        <f t="shared" si="10"/>
        <v>224.22842500000004</v>
      </c>
      <c r="J77">
        <f t="shared" si="11"/>
        <v>479.66842500000013</v>
      </c>
      <c r="K77">
        <f t="shared" si="12"/>
        <v>9.0236397842971563</v>
      </c>
      <c r="L77">
        <f t="shared" si="13"/>
        <v>19.303329107811184</v>
      </c>
    </row>
    <row r="78" spans="1:13">
      <c r="A78" s="279">
        <v>14831</v>
      </c>
      <c r="B78" s="279" t="s">
        <v>2075</v>
      </c>
      <c r="C78" s="279">
        <v>74</v>
      </c>
      <c r="D78" s="280">
        <v>692.9</v>
      </c>
      <c r="E78" s="280">
        <f>'BSi sample list'!S78</f>
        <v>2853.1</v>
      </c>
      <c r="F78" s="71">
        <f t="shared" si="7"/>
        <v>692.3</v>
      </c>
      <c r="G78">
        <f t="shared" si="8"/>
        <v>6.9229999999999992</v>
      </c>
      <c r="H78">
        <f t="shared" si="9"/>
        <v>8.6537499999999987</v>
      </c>
      <c r="I78">
        <f t="shared" si="10"/>
        <v>243.08383749999996</v>
      </c>
      <c r="J78">
        <f t="shared" si="11"/>
        <v>520.00383749999992</v>
      </c>
      <c r="K78">
        <f t="shared" si="12"/>
        <v>8.5199900984893606</v>
      </c>
      <c r="L78">
        <f t="shared" si="13"/>
        <v>18.225923994952854</v>
      </c>
    </row>
    <row r="79" spans="1:13">
      <c r="A79" s="279">
        <v>14832</v>
      </c>
      <c r="B79" s="279" t="s">
        <v>2076</v>
      </c>
      <c r="C79" s="279">
        <v>75</v>
      </c>
      <c r="D79" s="280">
        <v>576.9</v>
      </c>
      <c r="E79" s="280">
        <f>'BSi sample list'!S79</f>
        <v>2999.6</v>
      </c>
      <c r="F79" s="71">
        <f t="shared" si="7"/>
        <v>576.29999999999995</v>
      </c>
      <c r="G79">
        <f t="shared" si="8"/>
        <v>5.762999999999999</v>
      </c>
      <c r="H79">
        <f t="shared" si="9"/>
        <v>7.2037499999999985</v>
      </c>
      <c r="I79">
        <f t="shared" si="10"/>
        <v>202.35333749999995</v>
      </c>
      <c r="J79">
        <f t="shared" si="11"/>
        <v>432.87333749999993</v>
      </c>
      <c r="K79">
        <f t="shared" si="12"/>
        <v>6.7460107180957447</v>
      </c>
      <c r="L79">
        <f t="shared" si="13"/>
        <v>14.431035388051738</v>
      </c>
      <c r="M79" s="224">
        <f>ABS(((K79-K80)/AVERAGE(K79:K80))*100)</f>
        <v>0.17665184384547702</v>
      </c>
    </row>
    <row r="80" spans="1:13">
      <c r="A80" s="279">
        <v>14833</v>
      </c>
      <c r="B80" s="279" t="s">
        <v>2077</v>
      </c>
      <c r="C80" s="279">
        <v>76</v>
      </c>
      <c r="D80" s="280">
        <v>536</v>
      </c>
      <c r="E80" s="280">
        <f>'BSi sample list'!S80</f>
        <v>2781.8</v>
      </c>
      <c r="F80" s="71">
        <f t="shared" si="7"/>
        <v>535.4</v>
      </c>
      <c r="G80">
        <f t="shared" si="8"/>
        <v>5.3540000000000001</v>
      </c>
      <c r="H80">
        <f t="shared" si="9"/>
        <v>6.6924999999999999</v>
      </c>
      <c r="I80">
        <f t="shared" si="10"/>
        <v>187.99232499999999</v>
      </c>
      <c r="J80">
        <f t="shared" si="11"/>
        <v>402.15232500000002</v>
      </c>
      <c r="K80">
        <f t="shared" si="12"/>
        <v>6.7579382054784674</v>
      </c>
      <c r="L80">
        <f t="shared" si="13"/>
        <v>14.456550614709901</v>
      </c>
    </row>
    <row r="81" spans="1:13">
      <c r="A81" s="279">
        <v>14834</v>
      </c>
      <c r="B81" s="279" t="s">
        <v>2078</v>
      </c>
      <c r="C81" s="279">
        <v>77</v>
      </c>
      <c r="D81" s="280">
        <v>419.2</v>
      </c>
      <c r="E81" s="280">
        <f>'BSi sample list'!S81</f>
        <v>2478.3000000000002</v>
      </c>
      <c r="F81" s="71">
        <f t="shared" si="7"/>
        <v>418.59999999999997</v>
      </c>
      <c r="G81">
        <f t="shared" si="8"/>
        <v>4.1859999999999999</v>
      </c>
      <c r="H81">
        <f t="shared" si="9"/>
        <v>5.2324999999999999</v>
      </c>
      <c r="I81">
        <f t="shared" si="10"/>
        <v>146.98092499999998</v>
      </c>
      <c r="J81">
        <f t="shared" si="11"/>
        <v>314.42092500000001</v>
      </c>
      <c r="K81">
        <f t="shared" si="12"/>
        <v>5.9307156115078881</v>
      </c>
      <c r="L81">
        <f t="shared" si="13"/>
        <v>12.686959811160875</v>
      </c>
    </row>
    <row r="82" spans="1:13" s="133" customFormat="1">
      <c r="A82" s="409">
        <v>14835</v>
      </c>
      <c r="B82" s="409" t="s">
        <v>2079</v>
      </c>
      <c r="C82" s="409">
        <v>78</v>
      </c>
      <c r="D82" s="410">
        <v>307.89999999999998</v>
      </c>
      <c r="E82" s="410">
        <f>'BSi sample list'!S82</f>
        <v>2554.8000000000002</v>
      </c>
      <c r="F82" s="411">
        <f t="shared" si="7"/>
        <v>307.29999999999995</v>
      </c>
      <c r="G82" s="133">
        <f t="shared" si="8"/>
        <v>3.0729999999999995</v>
      </c>
      <c r="H82" s="133">
        <f t="shared" si="9"/>
        <v>3.8412499999999996</v>
      </c>
      <c r="I82" s="133">
        <f t="shared" si="10"/>
        <v>107.90071249999998</v>
      </c>
      <c r="J82" s="133">
        <f t="shared" si="11"/>
        <v>230.82071249999998</v>
      </c>
      <c r="K82" s="133">
        <f t="shared" si="12"/>
        <v>4.2234504657898846</v>
      </c>
      <c r="L82" s="133">
        <f t="shared" si="13"/>
        <v>9.034785991075621</v>
      </c>
    </row>
    <row r="83" spans="1:13" s="377" customFormat="1">
      <c r="E83" s="574"/>
      <c r="I83" s="558"/>
    </row>
    <row r="84" spans="1:13">
      <c r="D84" s="1" t="s">
        <v>1968</v>
      </c>
      <c r="E84" s="193" t="s">
        <v>2304</v>
      </c>
      <c r="F84" s="193" t="s">
        <v>2562</v>
      </c>
      <c r="G84" s="573" t="s">
        <v>2817</v>
      </c>
      <c r="H84" s="573"/>
      <c r="M84" s="573" t="s">
        <v>2818</v>
      </c>
    </row>
    <row r="85" spans="1:13">
      <c r="B85" s="409" t="s">
        <v>1997</v>
      </c>
      <c r="D85" s="370">
        <f>K16</f>
        <v>4.1081572616738775</v>
      </c>
      <c r="E85" s="192">
        <f>AVERAGE(D85:D88)</f>
        <v>4.1894282914257843</v>
      </c>
      <c r="F85" s="435">
        <f>_xlfn.STDEV.P(D85:D88)</f>
        <v>8.0480170471539353E-2</v>
      </c>
      <c r="G85" s="573">
        <f>3.182*F85/SQRT(E92)</f>
        <v>0.12804395122021911</v>
      </c>
      <c r="H85" s="573" t="s">
        <v>2816</v>
      </c>
      <c r="L85">
        <f>AVERAGE(L82,L76,L40,L16)</f>
        <v>8.9620059107075623</v>
      </c>
      <c r="M85" s="573">
        <f>3.182*L86/SQRT(E92)</f>
        <v>0.2739110369819483</v>
      </c>
    </row>
    <row r="86" spans="1:13">
      <c r="B86" s="409" t="s">
        <v>2035</v>
      </c>
      <c r="D86" s="370">
        <f>K40</f>
        <v>4.3053281642917014</v>
      </c>
      <c r="L86" s="556">
        <f>STDEVP(L82,L76,L40,L16)</f>
        <v>0.17216281394214222</v>
      </c>
    </row>
    <row r="87" spans="1:13">
      <c r="B87" s="409" t="s">
        <v>2073</v>
      </c>
      <c r="D87" s="370">
        <f>K76</f>
        <v>4.1207772739476738</v>
      </c>
      <c r="L87" t="s">
        <v>2819</v>
      </c>
    </row>
    <row r="88" spans="1:13">
      <c r="B88" s="409" t="s">
        <v>2079</v>
      </c>
      <c r="D88" s="370">
        <f>K82</f>
        <v>4.2234504657898846</v>
      </c>
    </row>
    <row r="90" spans="1:13">
      <c r="B90" s="455" t="s">
        <v>1954</v>
      </c>
      <c r="C90" s="133"/>
      <c r="D90" s="133"/>
      <c r="E90" s="458">
        <f>AVERAGE(H15,H28,H52,H64)</f>
        <v>7.4999999999999989E-3</v>
      </c>
      <c r="F90" s="457" t="s">
        <v>1955</v>
      </c>
      <c r="G90" s="82" t="s">
        <v>2665</v>
      </c>
      <c r="H90" s="192">
        <f>(E90/E93)*100</f>
        <v>0.18364910777141796</v>
      </c>
      <c r="I90" s="193" t="s">
        <v>2666</v>
      </c>
      <c r="J90" s="193"/>
    </row>
    <row r="91" spans="1:13">
      <c r="B91" s="281" t="s">
        <v>2562</v>
      </c>
      <c r="C91" s="193"/>
      <c r="D91" s="193"/>
      <c r="E91" s="572">
        <f>_xlfn.STDEV.P(H15,H28,H52,H64)</f>
        <v>0</v>
      </c>
      <c r="F91" s="193" t="s">
        <v>1955</v>
      </c>
    </row>
    <row r="92" spans="1:13">
      <c r="B92" s="281" t="s">
        <v>2565</v>
      </c>
      <c r="C92" s="193"/>
      <c r="D92" s="193"/>
      <c r="E92" s="193">
        <f>COUNT(D15,D28,D52,D64)</f>
        <v>4</v>
      </c>
    </row>
    <row r="93" spans="1:13">
      <c r="B93" s="281" t="s">
        <v>2664</v>
      </c>
      <c r="C93" s="193"/>
      <c r="D93" s="193"/>
      <c r="E93" s="193">
        <f>AVERAGE(H5:H14,H17:H27,H29:H39,H41:H51,H53:H63,H65:H75,H77:H81)</f>
        <v>4.0838750000000017</v>
      </c>
      <c r="F93" s="193" t="s">
        <v>1955</v>
      </c>
    </row>
  </sheetData>
  <mergeCells count="23">
    <mergeCell ref="P4:W4"/>
    <mergeCell ref="Q7:R7"/>
    <mergeCell ref="Q8:R8"/>
    <mergeCell ref="Q9:R9"/>
    <mergeCell ref="T6:W6"/>
    <mergeCell ref="T7:W7"/>
    <mergeCell ref="T8:W8"/>
    <mergeCell ref="T9:W9"/>
    <mergeCell ref="Q11:S11"/>
    <mergeCell ref="Q12:S12"/>
    <mergeCell ref="Q13:S13"/>
    <mergeCell ref="Q14:S14"/>
    <mergeCell ref="T41:U41"/>
    <mergeCell ref="T30:U30"/>
    <mergeCell ref="T32:U32"/>
    <mergeCell ref="T39:U39"/>
    <mergeCell ref="T29:U29"/>
    <mergeCell ref="Q15:S15"/>
    <mergeCell ref="Q16:S16"/>
    <mergeCell ref="Q20:V24"/>
    <mergeCell ref="Q26:V27"/>
    <mergeCell ref="U12:V12"/>
    <mergeCell ref="U13:W13"/>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B050"/>
  </sheetPr>
  <dimension ref="A1:AT105"/>
  <sheetViews>
    <sheetView zoomScale="75" zoomScaleNormal="75" workbookViewId="0">
      <pane ySplit="1660" activePane="bottomLeft"/>
      <selection activeCell="AI1" sqref="AI1:AI1048576"/>
      <selection pane="bottomLeft" activeCell="B54" sqref="B54"/>
    </sheetView>
  </sheetViews>
  <sheetFormatPr defaultColWidth="8.83203125" defaultRowHeight="15.5"/>
  <cols>
    <col min="1" max="1" width="26" bestFit="1" customWidth="1"/>
    <col min="5" max="5" width="10" bestFit="1" customWidth="1"/>
    <col min="6" max="6" width="9" bestFit="1" customWidth="1"/>
    <col min="7" max="7" width="20" customWidth="1"/>
    <col min="8" max="8" width="21.5" customWidth="1"/>
    <col min="9" max="9" width="24.5" bestFit="1" customWidth="1"/>
    <col min="10" max="15" width="8.83203125" bestFit="1" customWidth="1"/>
    <col min="18" max="19" width="8.83203125" bestFit="1" customWidth="1"/>
    <col min="20" max="21" width="10.5" bestFit="1" customWidth="1"/>
    <col min="22" max="22" width="8.83203125" bestFit="1" customWidth="1"/>
    <col min="23" max="23" width="11.5" bestFit="1" customWidth="1"/>
    <col min="24" max="24" width="12" bestFit="1" customWidth="1"/>
    <col min="28" max="29" width="8.83203125" bestFit="1" customWidth="1"/>
    <col min="34" max="34" width="16.5" bestFit="1" customWidth="1"/>
    <col min="35" max="35" width="35" style="617" bestFit="1" customWidth="1"/>
    <col min="36" max="36" width="35" style="611" bestFit="1" customWidth="1"/>
    <col min="38" max="38" width="14" style="578" bestFit="1" customWidth="1"/>
  </cols>
  <sheetData>
    <row r="1" spans="1:46" s="1" customFormat="1" ht="27" customHeight="1">
      <c r="A1" s="1" t="s">
        <v>1627</v>
      </c>
      <c r="B1" s="1" t="s">
        <v>1628</v>
      </c>
      <c r="C1" s="1" t="s">
        <v>1629</v>
      </c>
      <c r="D1" s="53" t="s">
        <v>2080</v>
      </c>
      <c r="E1" s="54" t="s">
        <v>1930</v>
      </c>
      <c r="F1" s="55" t="s">
        <v>2081</v>
      </c>
      <c r="G1" s="58" t="s">
        <v>2082</v>
      </c>
      <c r="H1" s="1" t="s">
        <v>2083</v>
      </c>
      <c r="I1" s="55" t="s">
        <v>2084</v>
      </c>
      <c r="J1" s="56" t="s">
        <v>2084</v>
      </c>
      <c r="K1" s="56" t="s">
        <v>2556</v>
      </c>
      <c r="L1" s="56" t="s">
        <v>2085</v>
      </c>
      <c r="M1" s="57" t="s">
        <v>2086</v>
      </c>
      <c r="N1" s="57" t="s">
        <v>2087</v>
      </c>
      <c r="O1" s="57" t="s">
        <v>2088</v>
      </c>
      <c r="P1" s="57" t="s">
        <v>2089</v>
      </c>
      <c r="Q1" s="56" t="s">
        <v>2090</v>
      </c>
      <c r="R1" s="56" t="s">
        <v>1630</v>
      </c>
      <c r="S1" s="56" t="s">
        <v>1634</v>
      </c>
      <c r="T1" s="59" t="s">
        <v>2083</v>
      </c>
      <c r="U1" s="59" t="s">
        <v>2083</v>
      </c>
      <c r="V1" s="60" t="s">
        <v>2091</v>
      </c>
      <c r="W1" s="1" t="s">
        <v>2083</v>
      </c>
      <c r="X1" s="1" t="s">
        <v>2083</v>
      </c>
      <c r="Y1" s="54" t="s">
        <v>2080</v>
      </c>
      <c r="Z1" s="1" t="s">
        <v>1683</v>
      </c>
      <c r="AB1" s="61" t="s">
        <v>2092</v>
      </c>
      <c r="AC1" s="61" t="s">
        <v>2092</v>
      </c>
      <c r="AD1" s="7" t="s">
        <v>2093</v>
      </c>
      <c r="AE1" s="7" t="s">
        <v>2094</v>
      </c>
      <c r="AF1" t="s">
        <v>2095</v>
      </c>
      <c r="AG1" s="7" t="s">
        <v>2096</v>
      </c>
      <c r="AH1" s="62" t="s">
        <v>2097</v>
      </c>
      <c r="AI1" s="613" t="s">
        <v>2098</v>
      </c>
      <c r="AJ1" s="63" t="s">
        <v>2098</v>
      </c>
      <c r="AK1" s="64" t="s">
        <v>2099</v>
      </c>
      <c r="AL1" s="579" t="s">
        <v>2822</v>
      </c>
      <c r="AM1" s="56" t="s">
        <v>2100</v>
      </c>
      <c r="AO1" s="65" t="s">
        <v>2101</v>
      </c>
      <c r="AP1" s="40"/>
    </row>
    <row r="2" spans="1:46" ht="29.25" customHeight="1">
      <c r="A2" s="66" t="s">
        <v>1934</v>
      </c>
      <c r="D2" s="67" t="s">
        <v>2102</v>
      </c>
      <c r="E2" s="7" t="s">
        <v>1675</v>
      </c>
      <c r="F2" s="68"/>
      <c r="G2" s="73" t="s">
        <v>2103</v>
      </c>
      <c r="H2" t="s">
        <v>2104</v>
      </c>
      <c r="I2" s="69" t="s">
        <v>2105</v>
      </c>
      <c r="J2" s="70"/>
      <c r="K2" s="70"/>
      <c r="L2" s="71" t="s">
        <v>2106</v>
      </c>
      <c r="M2" s="72" t="s">
        <v>2107</v>
      </c>
      <c r="N2" s="72"/>
      <c r="O2" s="72" t="s">
        <v>2108</v>
      </c>
      <c r="P2" s="72"/>
      <c r="Q2" s="70" t="s">
        <v>2109</v>
      </c>
      <c r="R2" s="71"/>
      <c r="S2" s="71"/>
      <c r="T2" s="74" t="s">
        <v>2110</v>
      </c>
      <c r="U2" s="74" t="s">
        <v>2110</v>
      </c>
      <c r="V2" s="75" t="s">
        <v>2110</v>
      </c>
      <c r="W2" t="s">
        <v>2104</v>
      </c>
      <c r="X2" t="s">
        <v>2104</v>
      </c>
      <c r="Y2" s="7" t="s">
        <v>2111</v>
      </c>
      <c r="AB2" s="61" t="s">
        <v>2112</v>
      </c>
      <c r="AC2" s="61" t="s">
        <v>2113</v>
      </c>
      <c r="AD2" s="7" t="s">
        <v>2114</v>
      </c>
      <c r="AE2" s="7" t="s">
        <v>2114</v>
      </c>
      <c r="AF2" t="s">
        <v>2092</v>
      </c>
      <c r="AG2" s="7" t="s">
        <v>2092</v>
      </c>
      <c r="AH2" s="62" t="s">
        <v>2092</v>
      </c>
      <c r="AI2" s="614" t="s">
        <v>2115</v>
      </c>
      <c r="AJ2" s="612" t="s">
        <v>2115</v>
      </c>
      <c r="AK2" s="77"/>
      <c r="AL2" s="193" t="s">
        <v>2823</v>
      </c>
      <c r="AM2" s="56" t="s">
        <v>2116</v>
      </c>
      <c r="AO2" s="78">
        <v>1</v>
      </c>
      <c r="AP2" s="79" t="s">
        <v>2117</v>
      </c>
    </row>
    <row r="3" spans="1:46" ht="19" customHeight="1">
      <c r="A3" s="80"/>
      <c r="D3" s="67"/>
      <c r="E3" s="81" t="s">
        <v>1937</v>
      </c>
      <c r="F3" s="69"/>
      <c r="G3" s="73"/>
      <c r="H3" t="s">
        <v>1675</v>
      </c>
      <c r="I3" s="69" t="s">
        <v>1937</v>
      </c>
      <c r="J3" s="82" t="s">
        <v>1937</v>
      </c>
      <c r="K3" s="82"/>
      <c r="L3" s="83"/>
      <c r="M3" s="72" t="s">
        <v>2118</v>
      </c>
      <c r="N3" s="72"/>
      <c r="O3" s="72" t="s">
        <v>2118</v>
      </c>
      <c r="P3" s="72"/>
      <c r="Q3" s="71"/>
      <c r="R3" s="70" t="s">
        <v>2119</v>
      </c>
      <c r="S3" s="71"/>
      <c r="T3" s="74" t="s">
        <v>2120</v>
      </c>
      <c r="U3" s="74" t="s">
        <v>2121</v>
      </c>
      <c r="V3" s="75" t="s">
        <v>2122</v>
      </c>
      <c r="W3" t="s">
        <v>2123</v>
      </c>
      <c r="X3" t="s">
        <v>2123</v>
      </c>
      <c r="Y3" s="81" t="s">
        <v>2124</v>
      </c>
      <c r="AB3" s="61" t="s">
        <v>2118</v>
      </c>
      <c r="AC3" s="61" t="s">
        <v>2118</v>
      </c>
      <c r="AD3" s="84" t="s">
        <v>2118</v>
      </c>
      <c r="AE3" s="84" t="s">
        <v>2118</v>
      </c>
      <c r="AF3" s="84" t="s">
        <v>2118</v>
      </c>
      <c r="AG3" s="84" t="s">
        <v>2118</v>
      </c>
      <c r="AH3" s="85" t="s">
        <v>2118</v>
      </c>
      <c r="AI3" s="615" t="s">
        <v>2125</v>
      </c>
      <c r="AJ3" s="76" t="s">
        <v>2125</v>
      </c>
      <c r="AK3" s="77"/>
      <c r="AO3" s="78">
        <v>2</v>
      </c>
      <c r="AP3" s="40" t="s">
        <v>2126</v>
      </c>
    </row>
    <row r="4" spans="1:46" s="1" customFormat="1" ht="18" customHeight="1">
      <c r="A4" s="86" t="s">
        <v>2127</v>
      </c>
      <c r="B4" s="87"/>
      <c r="D4" s="53" t="s">
        <v>2128</v>
      </c>
      <c r="E4" s="54" t="s">
        <v>1940</v>
      </c>
      <c r="F4" s="55" t="s">
        <v>2129</v>
      </c>
      <c r="G4" s="58"/>
      <c r="H4" s="1" t="s">
        <v>2130</v>
      </c>
      <c r="I4" s="55" t="s">
        <v>2131</v>
      </c>
      <c r="J4" s="56" t="s">
        <v>2132</v>
      </c>
      <c r="K4" s="56"/>
      <c r="L4" s="88"/>
      <c r="M4" s="89" t="s">
        <v>2133</v>
      </c>
      <c r="N4" s="57"/>
      <c r="O4" s="89" t="s">
        <v>2133</v>
      </c>
      <c r="P4" s="89"/>
      <c r="Q4" s="56"/>
      <c r="R4" s="56" t="s">
        <v>1652</v>
      </c>
      <c r="T4" s="59"/>
      <c r="U4" s="59"/>
      <c r="V4" s="60"/>
      <c r="W4" s="1" t="s">
        <v>2130</v>
      </c>
      <c r="X4" s="1" t="s">
        <v>2130</v>
      </c>
      <c r="Y4" s="54" t="s">
        <v>2134</v>
      </c>
      <c r="AB4" s="61" t="s">
        <v>2133</v>
      </c>
      <c r="AC4" s="61" t="s">
        <v>2133</v>
      </c>
      <c r="AD4" s="7" t="s">
        <v>2135</v>
      </c>
      <c r="AE4" s="7" t="s">
        <v>2135</v>
      </c>
      <c r="AF4" s="61" t="s">
        <v>2133</v>
      </c>
      <c r="AG4" s="61" t="s">
        <v>2133</v>
      </c>
      <c r="AH4" s="85" t="s">
        <v>2133</v>
      </c>
      <c r="AI4" s="613" t="s">
        <v>1662</v>
      </c>
      <c r="AJ4" s="63" t="s">
        <v>1662</v>
      </c>
      <c r="AK4" s="77"/>
      <c r="AL4" s="579"/>
      <c r="AO4" s="78">
        <v>3</v>
      </c>
      <c r="AP4" s="40" t="s">
        <v>2136</v>
      </c>
    </row>
    <row r="5" spans="1:46" ht="13" customHeight="1">
      <c r="A5" s="90"/>
      <c r="B5" s="90"/>
      <c r="C5" s="90"/>
      <c r="D5" s="91"/>
      <c r="E5" s="7"/>
      <c r="F5" s="92"/>
      <c r="G5" s="73"/>
      <c r="H5" s="90"/>
      <c r="I5" s="92"/>
      <c r="J5" s="93"/>
      <c r="K5" s="93"/>
      <c r="L5" s="93"/>
      <c r="M5" s="94"/>
      <c r="N5" s="94"/>
      <c r="O5" s="94"/>
      <c r="P5" s="94"/>
      <c r="Q5" s="71"/>
      <c r="R5" s="95"/>
      <c r="S5" s="93"/>
      <c r="T5" s="96"/>
      <c r="U5" s="96"/>
      <c r="V5" s="97"/>
      <c r="W5" t="s">
        <v>2137</v>
      </c>
      <c r="X5" t="s">
        <v>2138</v>
      </c>
      <c r="Y5" s="98"/>
      <c r="Z5" s="90"/>
      <c r="AA5" s="90"/>
      <c r="AB5" s="61"/>
      <c r="AC5" s="61"/>
      <c r="AD5" s="7"/>
      <c r="AE5" s="7"/>
      <c r="AG5" s="7"/>
      <c r="AH5" s="99"/>
      <c r="AI5" s="616"/>
      <c r="AJ5" s="100"/>
      <c r="AK5" s="77"/>
      <c r="AO5" s="101">
        <v>4</v>
      </c>
      <c r="AP5" s="40" t="s">
        <v>2139</v>
      </c>
    </row>
    <row r="6" spans="1:46" s="105" customFormat="1">
      <c r="A6" s="102" t="s">
        <v>1706</v>
      </c>
      <c r="B6" s="103" t="s">
        <v>2889</v>
      </c>
      <c r="C6" s="104"/>
      <c r="E6" s="106"/>
      <c r="F6" s="107"/>
      <c r="G6" s="73"/>
      <c r="H6" s="108" t="s">
        <v>2690</v>
      </c>
      <c r="I6" s="109" t="s">
        <v>2140</v>
      </c>
      <c r="J6" s="110"/>
      <c r="K6" s="110"/>
      <c r="L6" s="110"/>
      <c r="M6" s="111"/>
      <c r="N6" s="111"/>
      <c r="O6" s="111"/>
      <c r="P6" s="111"/>
      <c r="Q6" s="112"/>
      <c r="R6" s="110"/>
      <c r="S6" s="110"/>
      <c r="T6" s="113"/>
      <c r="U6" s="113"/>
      <c r="V6" s="114"/>
      <c r="W6" s="108">
        <v>0</v>
      </c>
      <c r="X6" s="115"/>
      <c r="Y6" s="115"/>
      <c r="Z6" s="110"/>
      <c r="AA6" s="110"/>
      <c r="AB6" s="61"/>
      <c r="AC6" s="61"/>
      <c r="AD6" s="7"/>
      <c r="AE6" s="7"/>
      <c r="AF6"/>
      <c r="AG6" s="7"/>
      <c r="AH6" s="99"/>
      <c r="AI6" s="617" t="s">
        <v>2141</v>
      </c>
      <c r="AJ6" s="611" t="s">
        <v>2141</v>
      </c>
      <c r="AK6" s="77"/>
      <c r="AL6" s="581" t="s">
        <v>2824</v>
      </c>
      <c r="AM6" s="377"/>
      <c r="AN6" s="414"/>
      <c r="AO6" s="101">
        <v>5</v>
      </c>
      <c r="AP6" s="40" t="s">
        <v>2142</v>
      </c>
      <c r="AQ6" s="110"/>
      <c r="AR6" s="110"/>
      <c r="AS6" s="110"/>
      <c r="AT6" s="110"/>
    </row>
    <row r="7" spans="1:46">
      <c r="A7">
        <v>2017</v>
      </c>
      <c r="B7" t="s">
        <v>1708</v>
      </c>
      <c r="C7" t="s">
        <v>2143</v>
      </c>
      <c r="D7">
        <v>5</v>
      </c>
      <c r="E7" s="68">
        <f>mass_filt!V6</f>
        <v>297.18571428571431</v>
      </c>
      <c r="F7">
        <v>0.5</v>
      </c>
      <c r="G7" t="s">
        <v>2144</v>
      </c>
      <c r="H7">
        <f>U7-T7</f>
        <v>16</v>
      </c>
      <c r="I7" s="7">
        <f>E7/F7/H7</f>
        <v>37.148214285714289</v>
      </c>
      <c r="J7" s="7">
        <f>0.001*365.25*E7/F7/H7</f>
        <v>13.568385267857145</v>
      </c>
      <c r="K7" s="68">
        <v>1</v>
      </c>
      <c r="L7">
        <v>1</v>
      </c>
      <c r="M7" s="7">
        <f>'CHN raw data'!E5</f>
        <v>15.688009262084961</v>
      </c>
      <c r="N7" s="7">
        <f>'CHN raw data'!F5</f>
        <v>0.9077301025390625</v>
      </c>
      <c r="O7" s="7">
        <f>'CHN raw data'!D5</f>
        <v>1.185608983039856</v>
      </c>
      <c r="Q7" s="741" t="s">
        <v>2563</v>
      </c>
      <c r="R7">
        <f>sal_pH!D25</f>
        <v>35.83</v>
      </c>
      <c r="S7" s="7">
        <f>AVERAGE(sal_pH!I25,sal_pH!I47)</f>
        <v>8.2609999999999992</v>
      </c>
      <c r="T7" s="161">
        <f>'traps and logs'!E37</f>
        <v>42824</v>
      </c>
      <c r="U7" s="161">
        <f>T8</f>
        <v>42840</v>
      </c>
      <c r="V7" s="190">
        <f>AVERAGE(T7:U7)</f>
        <v>42832</v>
      </c>
      <c r="W7" s="68">
        <f t="shared" ref="W7:W27" si="0">H7+W6</f>
        <v>16</v>
      </c>
      <c r="X7">
        <v>0</v>
      </c>
      <c r="AB7">
        <f>'BSi_results and calculations'!$K$5</f>
        <v>2.2842570593463698</v>
      </c>
      <c r="AC7">
        <f>'BSi_results and calculations'!$L$5</f>
        <v>4.8864722924928223</v>
      </c>
      <c r="AF7" s="7">
        <f>'PIC raw data'!AC8</f>
        <v>74.211274839316005</v>
      </c>
      <c r="AG7" s="224">
        <f>AF7*12.01/100.0869</f>
        <v>8.9050356322374373</v>
      </c>
      <c r="AH7" s="7">
        <f>M7-AG7</f>
        <v>6.7829736298475236</v>
      </c>
      <c r="AI7" s="618">
        <f>AF7+(AC7*1.11)+(AH7*2.79)+3.7</f>
        <v>102.25975551125764</v>
      </c>
      <c r="AJ7" s="7">
        <f>AF7+AC7*1.11+AH7*2.2+3.7</f>
        <v>98.257801069647599</v>
      </c>
      <c r="AL7" s="578">
        <f>E7/E31</f>
        <v>0.74552035550458728</v>
      </c>
      <c r="AM7" s="366">
        <f>(AH7/12.01)/(O7/14.01)</f>
        <v>6.6738090321115786</v>
      </c>
      <c r="AN7" s="465"/>
      <c r="AO7" s="7"/>
    </row>
    <row r="8" spans="1:46">
      <c r="A8">
        <v>2017</v>
      </c>
      <c r="B8" t="s">
        <v>1708</v>
      </c>
      <c r="C8">
        <v>2</v>
      </c>
      <c r="D8">
        <v>3</v>
      </c>
      <c r="E8" s="68">
        <f>mass_filt!V7</f>
        <v>231.91428571428565</v>
      </c>
      <c r="F8">
        <v>0.5</v>
      </c>
      <c r="G8" t="s">
        <v>2144</v>
      </c>
      <c r="H8">
        <f t="shared" ref="H8:H27" si="1">U8-T8</f>
        <v>16</v>
      </c>
      <c r="I8" s="7">
        <f t="shared" ref="I8:I27" si="2">E8/F8/H8</f>
        <v>28.989285714285707</v>
      </c>
      <c r="J8" s="7">
        <f t="shared" ref="J8:J27" si="3">0.001*365.25*E8/F8/H8</f>
        <v>10.588336607142855</v>
      </c>
      <c r="K8" s="68">
        <v>1</v>
      </c>
      <c r="L8">
        <v>1</v>
      </c>
      <c r="M8" s="7">
        <f>'CHN raw data'!E6</f>
        <v>14.482656478881836</v>
      </c>
      <c r="N8" s="7">
        <f>'CHN raw data'!F6</f>
        <v>0.49787583947181702</v>
      </c>
      <c r="O8" s="7">
        <f>'CHN raw data'!D6</f>
        <v>0.64278417825698853</v>
      </c>
      <c r="Q8" s="741"/>
      <c r="R8" s="254">
        <f>sal_pH!D26</f>
        <v>34.549999999999997</v>
      </c>
      <c r="S8" s="278">
        <f>AVERAGE(sal_pH!I26,sal_pH!I48)</f>
        <v>7.9279999999999999</v>
      </c>
      <c r="T8" s="161">
        <f>'traps and logs'!E38</f>
        <v>42840</v>
      </c>
      <c r="U8" s="161">
        <f t="shared" ref="U8:U26" si="4">T9</f>
        <v>42856</v>
      </c>
      <c r="V8" s="190">
        <f t="shared" ref="V8:V27" si="5">AVERAGE(T8:U8)</f>
        <v>42848</v>
      </c>
      <c r="W8" s="68">
        <f t="shared" si="0"/>
        <v>32</v>
      </c>
      <c r="X8">
        <f t="shared" ref="X8:X27" si="6">X7+H8</f>
        <v>16</v>
      </c>
      <c r="AB8">
        <f>'BSi_results and calculations'!K6</f>
        <v>0.76764349168346779</v>
      </c>
      <c r="AC8">
        <f>'BSi_results and calculations'!L6</f>
        <v>1.6421394594254033</v>
      </c>
      <c r="AF8" s="7">
        <f>'PIC raw data'!AC9</f>
        <v>85.926931186063783</v>
      </c>
      <c r="AG8" s="224">
        <f t="shared" ref="AG8:AG27" si="7">AF8*12.01/100.0869</f>
        <v>10.310864294374449</v>
      </c>
      <c r="AH8" s="7">
        <f t="shared" ref="AH8:AH27" si="8">M8-AG8</f>
        <v>4.1717921845073871</v>
      </c>
      <c r="AI8" s="618">
        <f t="shared" ref="AI8:AI27" si="9">AF8+(AC8*1.11)+(AH8*2.79)+3.7</f>
        <v>103.0890061808016</v>
      </c>
      <c r="AJ8" s="7">
        <f t="shared" ref="AJ8:AJ27" si="10">AF8+AC8*1.11+AH8*2.2+3.7</f>
        <v>100.62764879194224</v>
      </c>
      <c r="AK8" t="s">
        <v>2555</v>
      </c>
      <c r="AL8" s="578">
        <f t="shared" ref="AL8:AL27" si="11">E8/E32</f>
        <v>0.46490449325582039</v>
      </c>
      <c r="AM8" s="366">
        <f t="shared" ref="AM8:AM27" si="12">(AH8/12.01)/(O8/14.01)</f>
        <v>7.570989009070983</v>
      </c>
      <c r="AN8" s="254"/>
      <c r="AO8" s="278"/>
    </row>
    <row r="9" spans="1:46">
      <c r="A9">
        <v>2017</v>
      </c>
      <c r="B9" t="s">
        <v>1708</v>
      </c>
      <c r="C9">
        <v>3</v>
      </c>
      <c r="D9" t="s">
        <v>2145</v>
      </c>
      <c r="E9" s="68">
        <f>mass_filt!V8</f>
        <v>93.357142857142861</v>
      </c>
      <c r="F9">
        <v>0.5</v>
      </c>
      <c r="G9" t="s">
        <v>2144</v>
      </c>
      <c r="H9">
        <f t="shared" si="1"/>
        <v>16</v>
      </c>
      <c r="I9" s="7">
        <f t="shared" si="2"/>
        <v>11.669642857142858</v>
      </c>
      <c r="J9" s="7">
        <f t="shared" si="3"/>
        <v>4.2623370535714287</v>
      </c>
      <c r="K9" s="68">
        <v>1</v>
      </c>
      <c r="L9">
        <v>1</v>
      </c>
      <c r="M9" s="370">
        <f>AVERAGE('CHN raw data'!E7:E8)</f>
        <v>12.423464775085449</v>
      </c>
      <c r="N9" s="370">
        <f>AVERAGE('CHN raw data'!F7:F8)</f>
        <v>0.11835524439811707</v>
      </c>
      <c r="O9" s="370">
        <f>AVERAGE('CHN raw data'!D7:D8)</f>
        <v>0.12038497626781464</v>
      </c>
      <c r="Q9" s="741"/>
      <c r="R9">
        <f>sal_pH!D27</f>
        <v>34.67</v>
      </c>
      <c r="S9" s="7">
        <f>AVERAGE(sal_pH!I27,sal_pH!I49)</f>
        <v>8.0730000000000004</v>
      </c>
      <c r="T9" s="161">
        <f>'traps and logs'!E39</f>
        <v>42856</v>
      </c>
      <c r="U9" s="161">
        <f t="shared" si="4"/>
        <v>42872</v>
      </c>
      <c r="V9" s="190">
        <f t="shared" si="5"/>
        <v>42864</v>
      </c>
      <c r="W9" s="68">
        <f t="shared" si="0"/>
        <v>48</v>
      </c>
      <c r="X9">
        <f t="shared" si="6"/>
        <v>32</v>
      </c>
      <c r="AB9">
        <f>'BSi_results and calculations'!K7</f>
        <v>3.8679984747055335E-2</v>
      </c>
      <c r="AC9">
        <f>'BSi_results and calculations'!L7</f>
        <v>8.2744047114651303E-2</v>
      </c>
      <c r="AF9" s="424">
        <f>'PIC raw data'!AC10</f>
        <v>95.480731055373369</v>
      </c>
      <c r="AG9" s="224">
        <f t="shared" si="7"/>
        <v>11.457279423930947</v>
      </c>
      <c r="AH9" s="7">
        <f t="shared" si="8"/>
        <v>0.96618535115450221</v>
      </c>
      <c r="AI9" s="618">
        <f t="shared" si="9"/>
        <v>101.96823407739168</v>
      </c>
      <c r="AJ9" s="7">
        <f t="shared" si="10"/>
        <v>101.39818472021054</v>
      </c>
      <c r="AK9" t="s">
        <v>2555</v>
      </c>
      <c r="AL9" s="578">
        <f t="shared" si="11"/>
        <v>0.15928534867282521</v>
      </c>
      <c r="AM9" s="366">
        <f t="shared" si="12"/>
        <v>9.3623157746049213</v>
      </c>
      <c r="AN9" s="465"/>
      <c r="AO9" s="7"/>
    </row>
    <row r="10" spans="1:46">
      <c r="A10">
        <v>2017</v>
      </c>
      <c r="B10" t="s">
        <v>1708</v>
      </c>
      <c r="C10">
        <v>4</v>
      </c>
      <c r="D10">
        <v>2</v>
      </c>
      <c r="E10" s="68">
        <f>mass_filt!V9</f>
        <v>298.58571428571429</v>
      </c>
      <c r="F10">
        <v>0.5</v>
      </c>
      <c r="G10" t="s">
        <v>2144</v>
      </c>
      <c r="H10">
        <f t="shared" si="1"/>
        <v>16</v>
      </c>
      <c r="I10" s="7">
        <f t="shared" si="2"/>
        <v>37.323214285714286</v>
      </c>
      <c r="J10" s="7">
        <f t="shared" si="3"/>
        <v>13.632304017857143</v>
      </c>
      <c r="K10" s="68">
        <v>1</v>
      </c>
      <c r="L10">
        <v>1</v>
      </c>
      <c r="M10" s="7">
        <f>'CHN raw data'!E9</f>
        <v>14.00540828704834</v>
      </c>
      <c r="N10" s="7">
        <f>'CHN raw data'!F9</f>
        <v>0.43924158811569214</v>
      </c>
      <c r="O10" s="7">
        <f>'CHN raw data'!D9</f>
        <v>0.5119737982749939</v>
      </c>
      <c r="Q10" s="741"/>
      <c r="R10">
        <f>sal_pH!D28</f>
        <v>34.54</v>
      </c>
      <c r="S10" s="7">
        <f>AVERAGE(sal_pH!I28,sal_pH!I50)</f>
        <v>8.0500000000000007</v>
      </c>
      <c r="T10" s="161">
        <f>'traps and logs'!E40</f>
        <v>42872</v>
      </c>
      <c r="U10" s="161">
        <f t="shared" si="4"/>
        <v>42888</v>
      </c>
      <c r="V10" s="190">
        <f t="shared" si="5"/>
        <v>42880</v>
      </c>
      <c r="W10" s="68">
        <f t="shared" si="0"/>
        <v>64</v>
      </c>
      <c r="X10">
        <f t="shared" si="6"/>
        <v>48</v>
      </c>
      <c r="AB10">
        <f>AVERAGE('BSi_results and calculations'!K8:K9)</f>
        <v>0.62082131685558728</v>
      </c>
      <c r="AC10">
        <f>AVERAGE('BSi_results and calculations'!L8:L9)</f>
        <v>1.3280581320702116</v>
      </c>
      <c r="AF10" s="7">
        <f>'PIC raw data'!AC11</f>
        <v>88.188410005111606</v>
      </c>
      <c r="AG10" s="224">
        <f t="shared" si="7"/>
        <v>10.582232081934702</v>
      </c>
      <c r="AH10" s="7">
        <f t="shared" si="8"/>
        <v>3.4231762051136378</v>
      </c>
      <c r="AI10" s="618">
        <f t="shared" si="9"/>
        <v>102.9132161439766</v>
      </c>
      <c r="AJ10" s="7">
        <f t="shared" si="10"/>
        <v>100.89354218295955</v>
      </c>
      <c r="AK10" t="s">
        <v>2555</v>
      </c>
      <c r="AL10" s="578">
        <f t="shared" si="11"/>
        <v>0.45686244508076684</v>
      </c>
      <c r="AM10" s="366">
        <f t="shared" si="12"/>
        <v>7.7996775241594918</v>
      </c>
      <c r="AN10" s="465"/>
      <c r="AO10" s="7"/>
    </row>
    <row r="11" spans="1:46">
      <c r="A11">
        <v>2017</v>
      </c>
      <c r="B11" t="s">
        <v>1708</v>
      </c>
      <c r="C11">
        <v>5</v>
      </c>
      <c r="D11">
        <v>7</v>
      </c>
      <c r="E11" s="68">
        <f>mass_filt!V10</f>
        <v>807.67142857142858</v>
      </c>
      <c r="F11">
        <v>0.5</v>
      </c>
      <c r="G11" t="s">
        <v>2144</v>
      </c>
      <c r="H11">
        <f t="shared" si="1"/>
        <v>16</v>
      </c>
      <c r="I11" s="7">
        <f t="shared" si="2"/>
        <v>100.95892857142857</v>
      </c>
      <c r="J11" s="7">
        <f t="shared" si="3"/>
        <v>36.875248660714291</v>
      </c>
      <c r="K11" s="68">
        <v>1</v>
      </c>
      <c r="L11">
        <v>1</v>
      </c>
      <c r="M11" s="7">
        <f>'CHN raw data'!E10</f>
        <v>17.728116989135742</v>
      </c>
      <c r="N11" s="7">
        <f>'CHN raw data'!F10</f>
        <v>1.3283381462097168</v>
      </c>
      <c r="O11" s="7">
        <f>'CHN raw data'!D10</f>
        <v>1.6142473220825195</v>
      </c>
      <c r="Q11" s="741"/>
      <c r="R11" s="254">
        <f>sal_pH!D29</f>
        <v>37.020000000000003</v>
      </c>
      <c r="S11" s="278">
        <f>AVERAGE(sal_pH!I29,sal_pH!I51)</f>
        <v>7.9260000000000002</v>
      </c>
      <c r="T11" s="161">
        <f>'traps and logs'!E41</f>
        <v>42888</v>
      </c>
      <c r="U11" s="161">
        <f t="shared" si="4"/>
        <v>42904</v>
      </c>
      <c r="V11" s="190">
        <f t="shared" si="5"/>
        <v>42896</v>
      </c>
      <c r="W11" s="68">
        <f t="shared" si="0"/>
        <v>80</v>
      </c>
      <c r="X11">
        <f t="shared" si="6"/>
        <v>64</v>
      </c>
      <c r="AB11">
        <f>'BSi_results and calculations'!K10</f>
        <v>2.3912014674131816</v>
      </c>
      <c r="AC11">
        <f>'BSi_results and calculations'!L10</f>
        <v>5.1152472829070161</v>
      </c>
      <c r="AF11" s="7">
        <f>'PIC raw data'!AC12</f>
        <v>64.193545296942489</v>
      </c>
      <c r="AG11" s="224">
        <f t="shared" si="7"/>
        <v>7.7029509258082651</v>
      </c>
      <c r="AH11" s="7">
        <f t="shared" si="8"/>
        <v>10.025166063327477</v>
      </c>
      <c r="AI11" s="618">
        <f t="shared" si="9"/>
        <v>101.54168309765295</v>
      </c>
      <c r="AJ11" s="7">
        <f t="shared" si="10"/>
        <v>95.626835120289726</v>
      </c>
      <c r="AL11" s="578">
        <f t="shared" si="11"/>
        <v>1.5526171252814853</v>
      </c>
      <c r="AM11" s="366">
        <f t="shared" si="12"/>
        <v>7.2446369828716914</v>
      </c>
      <c r="AN11" s="254"/>
      <c r="AO11" s="278"/>
    </row>
    <row r="12" spans="1:46" s="415" customFormat="1">
      <c r="A12" s="415">
        <v>2017</v>
      </c>
      <c r="B12" s="415" t="s">
        <v>1708</v>
      </c>
      <c r="C12" s="415">
        <v>6</v>
      </c>
      <c r="D12" s="415">
        <v>1</v>
      </c>
      <c r="E12" s="416">
        <f>mass_filt!V12</f>
        <v>121.02857142857141</v>
      </c>
      <c r="F12" s="415">
        <v>0.5</v>
      </c>
      <c r="G12" s="415" t="s">
        <v>2144</v>
      </c>
      <c r="H12" s="415">
        <f t="shared" si="1"/>
        <v>16</v>
      </c>
      <c r="I12" s="417">
        <f t="shared" si="2"/>
        <v>15.128571428571426</v>
      </c>
      <c r="J12" s="417">
        <f t="shared" si="3"/>
        <v>5.5257107142857134</v>
      </c>
      <c r="K12" s="68">
        <v>1</v>
      </c>
      <c r="L12" s="415">
        <v>1</v>
      </c>
      <c r="M12" s="417">
        <f>'CHN raw data'!E11</f>
        <v>20.443384170532227</v>
      </c>
      <c r="N12" s="417">
        <f>'CHN raw data'!F11</f>
        <v>1.7048006057739258</v>
      </c>
      <c r="O12" s="417">
        <f>'CHN raw data'!D11</f>
        <v>1.6545096635818481</v>
      </c>
      <c r="P12" s="415" t="s">
        <v>2549</v>
      </c>
      <c r="R12" s="418">
        <f>sal_pH!D30</f>
        <v>34.71</v>
      </c>
      <c r="S12" s="419">
        <f>AVERAGE(sal_pH!I30,sal_pH!I52)</f>
        <v>7.6440000000000001</v>
      </c>
      <c r="T12" s="420">
        <f>'traps and logs'!E42</f>
        <v>42904</v>
      </c>
      <c r="U12" s="420">
        <f t="shared" si="4"/>
        <v>42920</v>
      </c>
      <c r="V12" s="421">
        <f t="shared" si="5"/>
        <v>42912</v>
      </c>
      <c r="W12" s="416">
        <f t="shared" si="0"/>
        <v>96</v>
      </c>
      <c r="X12" s="415">
        <f t="shared" si="6"/>
        <v>80</v>
      </c>
      <c r="AB12" s="415">
        <f>'BSi_results and calculations'!K11</f>
        <v>0.81708911668973772</v>
      </c>
      <c r="AC12" s="415">
        <f>'BSi_results and calculations'!L11</f>
        <v>1.747913315125893</v>
      </c>
      <c r="AF12" s="417">
        <f>'PIC raw data'!AC13</f>
        <v>69.233938958028205</v>
      </c>
      <c r="AG12" s="422">
        <f t="shared" si="7"/>
        <v>8.3077766109842415</v>
      </c>
      <c r="AH12" s="417">
        <f t="shared" si="8"/>
        <v>12.135607559547985</v>
      </c>
      <c r="AI12" s="619">
        <f t="shared" si="9"/>
        <v>108.73246782895684</v>
      </c>
      <c r="AJ12" s="7">
        <f t="shared" si="10"/>
        <v>101.57245936882353</v>
      </c>
      <c r="AL12" s="578">
        <f t="shared" si="11"/>
        <v>0.25775046396300461</v>
      </c>
      <c r="AM12" s="423">
        <f t="shared" si="12"/>
        <v>8.5563264050026433</v>
      </c>
      <c r="AN12" s="418"/>
      <c r="AO12" s="419"/>
    </row>
    <row r="13" spans="1:46" s="415" customFormat="1">
      <c r="A13" s="415">
        <v>2017</v>
      </c>
      <c r="B13" s="415" t="s">
        <v>1708</v>
      </c>
      <c r="C13" s="415">
        <v>7</v>
      </c>
      <c r="D13" s="415" t="s">
        <v>2145</v>
      </c>
      <c r="E13" s="416">
        <f>mass_filt!V14</f>
        <v>54.342857142857142</v>
      </c>
      <c r="F13" s="415">
        <v>0.5</v>
      </c>
      <c r="G13" s="415" t="s">
        <v>2144</v>
      </c>
      <c r="H13" s="415">
        <f t="shared" si="1"/>
        <v>16</v>
      </c>
      <c r="I13" s="417">
        <f t="shared" si="2"/>
        <v>6.7928571428571427</v>
      </c>
      <c r="J13" s="417">
        <f t="shared" si="3"/>
        <v>2.4810910714285717</v>
      </c>
      <c r="K13" s="68">
        <v>1</v>
      </c>
      <c r="L13" s="415">
        <v>1</v>
      </c>
      <c r="M13" s="417">
        <f>'CHN raw data'!E12</f>
        <v>20.057174682617188</v>
      </c>
      <c r="N13" s="417">
        <f>'CHN raw data'!F12</f>
        <v>1.7310969829559326</v>
      </c>
      <c r="O13" s="417">
        <f>'CHN raw data'!D12</f>
        <v>1.737897515296936</v>
      </c>
      <c r="P13" s="415" t="s">
        <v>2550</v>
      </c>
      <c r="R13" s="415">
        <f>sal_pH!D31</f>
        <v>34.53</v>
      </c>
      <c r="S13" s="417">
        <f>AVERAGE(sal_pH!I31,sal_pH!I53)</f>
        <v>8.0755000000000017</v>
      </c>
      <c r="T13" s="420">
        <f>'traps and logs'!E43</f>
        <v>42920</v>
      </c>
      <c r="U13" s="420">
        <f t="shared" si="4"/>
        <v>42936</v>
      </c>
      <c r="V13" s="421">
        <f t="shared" si="5"/>
        <v>42928</v>
      </c>
      <c r="W13" s="416">
        <f t="shared" si="0"/>
        <v>112</v>
      </c>
      <c r="X13" s="415">
        <f t="shared" si="6"/>
        <v>96</v>
      </c>
      <c r="AB13" s="415">
        <f>'BSi_results and calculations'!K12</f>
        <v>1.9298833372846529</v>
      </c>
      <c r="AC13" s="415">
        <f>'BSi_results and calculations'!L12</f>
        <v>4.1283976410621142</v>
      </c>
      <c r="AF13" s="417">
        <f>'PIC raw data'!AC14</f>
        <v>62.011577941900164</v>
      </c>
      <c r="AG13" s="422">
        <f t="shared" si="7"/>
        <v>7.4411241739150773</v>
      </c>
      <c r="AH13" s="417">
        <f t="shared" si="8"/>
        <v>12.616050508702109</v>
      </c>
      <c r="AI13" s="619">
        <f t="shared" si="9"/>
        <v>105.49288024275801</v>
      </c>
      <c r="AJ13" s="7">
        <f t="shared" si="10"/>
        <v>98.049410442623767</v>
      </c>
      <c r="AL13" s="578">
        <f t="shared" si="11"/>
        <v>0.13224864413850645</v>
      </c>
      <c r="AM13" s="423">
        <f t="shared" si="12"/>
        <v>8.4682639187208686</v>
      </c>
      <c r="AO13" s="417"/>
    </row>
    <row r="14" spans="1:46" s="415" customFormat="1">
      <c r="A14" s="415">
        <v>2017</v>
      </c>
      <c r="B14" s="415" t="s">
        <v>1708</v>
      </c>
      <c r="C14" s="415">
        <v>8</v>
      </c>
      <c r="D14" s="415" t="s">
        <v>2145</v>
      </c>
      <c r="E14" s="416">
        <f>mass_filt!V15</f>
        <v>63.328571428571436</v>
      </c>
      <c r="F14" s="415">
        <v>0.5</v>
      </c>
      <c r="G14" s="415" t="s">
        <v>2144</v>
      </c>
      <c r="H14" s="415">
        <f t="shared" si="1"/>
        <v>16</v>
      </c>
      <c r="I14" s="417">
        <f t="shared" si="2"/>
        <v>7.9160714285714295</v>
      </c>
      <c r="J14" s="417">
        <f t="shared" si="3"/>
        <v>2.8913450892857147</v>
      </c>
      <c r="K14" s="68">
        <v>1</v>
      </c>
      <c r="L14" s="415">
        <v>1</v>
      </c>
      <c r="M14" s="417">
        <f>'CHN raw data'!E13</f>
        <v>23.31474494934082</v>
      </c>
      <c r="N14" s="417">
        <f>'CHN raw data'!F13</f>
        <v>2.5063073635101318</v>
      </c>
      <c r="O14" s="417">
        <f>'CHN raw data'!D13</f>
        <v>2.5397510528564453</v>
      </c>
      <c r="P14" s="415" t="s">
        <v>2551</v>
      </c>
      <c r="R14" s="415">
        <f>sal_pH!D32</f>
        <v>34.53</v>
      </c>
      <c r="S14" s="417">
        <f>AVERAGE(sal_pH!I32,sal_pH!I54)</f>
        <v>8.17</v>
      </c>
      <c r="T14" s="420">
        <f>'traps and logs'!E44</f>
        <v>42936</v>
      </c>
      <c r="U14" s="420">
        <f t="shared" si="4"/>
        <v>42952</v>
      </c>
      <c r="V14" s="421">
        <f t="shared" si="5"/>
        <v>42944</v>
      </c>
      <c r="W14" s="416">
        <f t="shared" si="0"/>
        <v>128</v>
      </c>
      <c r="X14" s="415">
        <f t="shared" si="6"/>
        <v>112</v>
      </c>
      <c r="AB14" s="415">
        <f>'BSi_results and calculations'!K13</f>
        <v>3.6291239457582267</v>
      </c>
      <c r="AC14" s="415">
        <f>'BSi_results and calculations'!L13</f>
        <v>7.7634054076401515</v>
      </c>
      <c r="AF14" s="417">
        <f>'PIC raw data'!AC15</f>
        <v>48.290357873480851</v>
      </c>
      <c r="AG14" s="422">
        <f t="shared" si="7"/>
        <v>5.7946364415373539</v>
      </c>
      <c r="AH14" s="417">
        <f t="shared" si="8"/>
        <v>17.520108507803467</v>
      </c>
      <c r="AI14" s="619">
        <f t="shared" si="9"/>
        <v>109.48884061273309</v>
      </c>
      <c r="AJ14" s="7">
        <f t="shared" si="10"/>
        <v>99.151976593129049</v>
      </c>
      <c r="AL14" s="578">
        <f t="shared" si="11"/>
        <v>0.16332621030137795</v>
      </c>
      <c r="AM14" s="423">
        <f t="shared" si="12"/>
        <v>8.0471254248125064</v>
      </c>
      <c r="AO14" s="417"/>
    </row>
    <row r="15" spans="1:46">
      <c r="A15">
        <v>2017</v>
      </c>
      <c r="B15" t="s">
        <v>1708</v>
      </c>
      <c r="C15">
        <v>9</v>
      </c>
      <c r="D15">
        <v>1</v>
      </c>
      <c r="E15" s="68">
        <f>mass_filt!V16</f>
        <v>99.17142857142855</v>
      </c>
      <c r="F15">
        <v>0.5</v>
      </c>
      <c r="G15" t="s">
        <v>2144</v>
      </c>
      <c r="H15">
        <f t="shared" si="1"/>
        <v>16</v>
      </c>
      <c r="I15" s="7">
        <f t="shared" si="2"/>
        <v>12.396428571428569</v>
      </c>
      <c r="J15" s="7">
        <f t="shared" si="3"/>
        <v>4.5277955357142847</v>
      </c>
      <c r="K15" s="68">
        <v>1</v>
      </c>
      <c r="L15">
        <v>1</v>
      </c>
      <c r="M15" s="7">
        <f>'CHN raw data'!E14</f>
        <v>19.85919189453125</v>
      </c>
      <c r="N15" s="7">
        <f>'CHN raw data'!F14</f>
        <v>1.8855147361755371</v>
      </c>
      <c r="O15" s="7">
        <f>'CHN raw data'!D14</f>
        <v>1.8146072626113892</v>
      </c>
      <c r="R15">
        <f>sal_pH!D33</f>
        <v>34.53</v>
      </c>
      <c r="S15" s="7">
        <f>AVERAGE(sal_pH!I33,sal_pH!I55)</f>
        <v>8.1000000000000014</v>
      </c>
      <c r="T15" s="161">
        <f>'traps and logs'!E45</f>
        <v>42952</v>
      </c>
      <c r="U15" s="161">
        <f t="shared" si="4"/>
        <v>42968</v>
      </c>
      <c r="V15" s="190">
        <f t="shared" si="5"/>
        <v>42960</v>
      </c>
      <c r="W15" s="68">
        <f t="shared" si="0"/>
        <v>144</v>
      </c>
      <c r="X15">
        <f t="shared" si="6"/>
        <v>128</v>
      </c>
      <c r="AB15">
        <f>'BSi_results and calculations'!K14</f>
        <v>3.0388913694067679</v>
      </c>
      <c r="AC15">
        <f>'BSi_results and calculations'!L14</f>
        <v>6.5007825698701556</v>
      </c>
      <c r="AF15" s="7">
        <f>'PIC raw data'!AC16</f>
        <v>55.478942926669205</v>
      </c>
      <c r="AG15" s="224">
        <f t="shared" si="7"/>
        <v>6.6572359074893637</v>
      </c>
      <c r="AH15" s="7">
        <f t="shared" si="8"/>
        <v>13.201955987041886</v>
      </c>
      <c r="AI15" s="618">
        <f t="shared" si="9"/>
        <v>103.22826878307195</v>
      </c>
      <c r="AJ15" s="7">
        <f t="shared" si="10"/>
        <v>95.439114750717238</v>
      </c>
      <c r="AL15" s="578">
        <f t="shared" si="11"/>
        <v>0.33967803493663445</v>
      </c>
      <c r="AM15" s="366">
        <f t="shared" si="12"/>
        <v>8.486932805753904</v>
      </c>
      <c r="AN15" s="465"/>
      <c r="AO15" s="7"/>
    </row>
    <row r="16" spans="1:46">
      <c r="A16">
        <v>2017</v>
      </c>
      <c r="B16" t="s">
        <v>1708</v>
      </c>
      <c r="C16">
        <v>10</v>
      </c>
      <c r="D16">
        <v>3</v>
      </c>
      <c r="E16" s="68">
        <f>mass_filt!V17</f>
        <v>306.2</v>
      </c>
      <c r="F16">
        <v>0.5</v>
      </c>
      <c r="G16" t="s">
        <v>2144</v>
      </c>
      <c r="H16">
        <f t="shared" si="1"/>
        <v>16</v>
      </c>
      <c r="I16" s="7">
        <f t="shared" si="2"/>
        <v>38.274999999999999</v>
      </c>
      <c r="J16" s="7">
        <f t="shared" si="3"/>
        <v>13.97994375</v>
      </c>
      <c r="K16" s="68">
        <v>1</v>
      </c>
      <c r="L16">
        <v>1</v>
      </c>
      <c r="M16" s="7">
        <f>'CHN raw data'!E15</f>
        <v>18.229263305664063</v>
      </c>
      <c r="N16" s="7">
        <f>'CHN raw data'!F15</f>
        <v>1.7120310068130493</v>
      </c>
      <c r="O16" s="7">
        <f>'CHN raw data'!D15</f>
        <v>1.8657491207122803</v>
      </c>
      <c r="R16" s="7">
        <f>AVERAGE(sal_pH!D34,sal_pH!G34)</f>
        <v>36.664999999999999</v>
      </c>
      <c r="S16" s="7">
        <f>AVERAGE(sal_pH!I34,sal_pH!L34,sal_pH!I56,sal_pH!L56)</f>
        <v>8.2832499999999989</v>
      </c>
      <c r="T16" s="161">
        <f>'traps and logs'!E46</f>
        <v>42968</v>
      </c>
      <c r="U16" s="161">
        <f t="shared" si="4"/>
        <v>42984</v>
      </c>
      <c r="V16" s="190">
        <f t="shared" si="5"/>
        <v>42976</v>
      </c>
      <c r="W16" s="68">
        <f t="shared" si="0"/>
        <v>160</v>
      </c>
      <c r="X16">
        <f t="shared" si="6"/>
        <v>144</v>
      </c>
      <c r="AB16">
        <f>'BSi_results and calculations'!K17</f>
        <v>4.138064539779629</v>
      </c>
      <c r="AC16">
        <f>'BSi_results and calculations'!L17</f>
        <v>8.852128807239513</v>
      </c>
      <c r="AF16" s="7">
        <f>'PIC raw data'!AC17</f>
        <v>54.354782321004315</v>
      </c>
      <c r="AG16" s="224">
        <f t="shared" si="7"/>
        <v>6.5223414420394858</v>
      </c>
      <c r="AH16" s="7">
        <f t="shared" si="8"/>
        <v>11.706921863624576</v>
      </c>
      <c r="AI16" s="618">
        <f t="shared" si="9"/>
        <v>100.54295729655274</v>
      </c>
      <c r="AJ16" s="7">
        <f t="shared" si="10"/>
        <v>93.635873397014237</v>
      </c>
      <c r="AL16" s="578">
        <f t="shared" si="11"/>
        <v>1.0762741652021088</v>
      </c>
      <c r="AM16" s="366">
        <f t="shared" si="12"/>
        <v>7.3195537108537367</v>
      </c>
      <c r="AN16" s="7"/>
      <c r="AO16" s="7"/>
    </row>
    <row r="17" spans="1:46">
      <c r="A17">
        <v>2017</v>
      </c>
      <c r="B17" t="s">
        <v>1708</v>
      </c>
      <c r="C17">
        <v>11</v>
      </c>
      <c r="D17">
        <v>3</v>
      </c>
      <c r="E17" s="68">
        <f>mass_filt!V18</f>
        <v>394.55714285714288</v>
      </c>
      <c r="F17">
        <v>0.5</v>
      </c>
      <c r="G17" t="s">
        <v>2144</v>
      </c>
      <c r="H17">
        <f t="shared" si="1"/>
        <v>16</v>
      </c>
      <c r="I17" s="7">
        <f t="shared" si="2"/>
        <v>49.31964285714286</v>
      </c>
      <c r="J17" s="7">
        <f t="shared" si="3"/>
        <v>18.013999553571431</v>
      </c>
      <c r="K17" s="68">
        <v>1</v>
      </c>
      <c r="L17">
        <v>1</v>
      </c>
      <c r="M17" s="7">
        <f>'CHN raw data'!E17</f>
        <v>16.883222579956055</v>
      </c>
      <c r="N17" s="7">
        <f>'CHN raw data'!F17</f>
        <v>1.3915606737136841</v>
      </c>
      <c r="O17" s="7">
        <f>'CHN raw data'!D17</f>
        <v>1.5396265983581543</v>
      </c>
      <c r="R17">
        <f>sal_pH!D35</f>
        <v>36.33</v>
      </c>
      <c r="S17" s="7">
        <f>AVERAGE(sal_pH!I35,sal_pH!I57)</f>
        <v>8.2564999999999991</v>
      </c>
      <c r="T17" s="161">
        <f>'traps and logs'!E47</f>
        <v>42984</v>
      </c>
      <c r="U17" s="161">
        <f t="shared" si="4"/>
        <v>43000</v>
      </c>
      <c r="V17" s="190">
        <f t="shared" si="5"/>
        <v>42992</v>
      </c>
      <c r="W17" s="68">
        <f t="shared" si="0"/>
        <v>176</v>
      </c>
      <c r="X17">
        <f t="shared" si="6"/>
        <v>160</v>
      </c>
      <c r="AB17">
        <f>'BSi_results and calculations'!K18</f>
        <v>4.293440630995522</v>
      </c>
      <c r="AC17">
        <f>'BSi_results and calculations'!L18</f>
        <v>9.1845086335536106</v>
      </c>
      <c r="AF17" s="7">
        <f>'PIC raw data'!AC18</f>
        <v>59.303921881604623</v>
      </c>
      <c r="AG17" s="224">
        <f t="shared" si="7"/>
        <v>7.1162170253856543</v>
      </c>
      <c r="AH17" s="7">
        <f t="shared" si="8"/>
        <v>9.7670055545703995</v>
      </c>
      <c r="AI17" s="618">
        <f t="shared" si="9"/>
        <v>100.44867196210055</v>
      </c>
      <c r="AJ17" s="7">
        <f t="shared" si="10"/>
        <v>94.686138684904009</v>
      </c>
      <c r="AL17" s="578">
        <f t="shared" si="11"/>
        <v>0.79837544082788925</v>
      </c>
      <c r="AM17" s="366">
        <f t="shared" si="12"/>
        <v>7.4001608096179616</v>
      </c>
      <c r="AN17" s="465"/>
      <c r="AO17" s="7"/>
    </row>
    <row r="18" spans="1:46">
      <c r="A18">
        <v>2017</v>
      </c>
      <c r="B18" t="s">
        <v>1708</v>
      </c>
      <c r="C18">
        <v>12</v>
      </c>
      <c r="D18">
        <v>1</v>
      </c>
      <c r="E18" s="68">
        <f>mass_filt!V19</f>
        <v>146.32499999999999</v>
      </c>
      <c r="F18">
        <v>0.5</v>
      </c>
      <c r="G18" t="s">
        <v>2144</v>
      </c>
      <c r="H18">
        <f t="shared" si="1"/>
        <v>16</v>
      </c>
      <c r="I18" s="7">
        <f t="shared" si="2"/>
        <v>18.290624999999999</v>
      </c>
      <c r="J18" s="7">
        <f t="shared" si="3"/>
        <v>6.6806507812499998</v>
      </c>
      <c r="K18" s="68">
        <v>1</v>
      </c>
      <c r="L18">
        <v>1</v>
      </c>
      <c r="M18" s="7">
        <f>'CHN raw data'!E18</f>
        <v>17.212553024291992</v>
      </c>
      <c r="N18" s="7">
        <f>'CHN raw data'!F18</f>
        <v>1.284784197807312</v>
      </c>
      <c r="O18" s="7">
        <f>'CHN raw data'!D18</f>
        <v>1.4914951324462891</v>
      </c>
      <c r="R18">
        <f>sal_pH!D36</f>
        <v>35.26</v>
      </c>
      <c r="S18" s="7">
        <f>AVERAGE(sal_pH!I36,sal_pH!I58)</f>
        <v>8.1829999999999998</v>
      </c>
      <c r="T18" s="161">
        <f>'traps and logs'!E48</f>
        <v>43000</v>
      </c>
      <c r="U18" s="161">
        <f t="shared" si="4"/>
        <v>43016</v>
      </c>
      <c r="V18" s="190">
        <f t="shared" si="5"/>
        <v>43008</v>
      </c>
      <c r="W18" s="68">
        <f t="shared" si="0"/>
        <v>192</v>
      </c>
      <c r="X18">
        <f t="shared" si="6"/>
        <v>176</v>
      </c>
      <c r="AB18">
        <f>'BSi_results and calculations'!K19</f>
        <v>2.3758487203459158</v>
      </c>
      <c r="AC18">
        <f>'BSi_results and calculations'!L19</f>
        <v>5.0824047563398391</v>
      </c>
      <c r="AF18" s="7">
        <f>'PIC raw data'!AC19</f>
        <v>66.301771468052848</v>
      </c>
      <c r="AG18" s="224">
        <f t="shared" si="7"/>
        <v>7.955929050967856</v>
      </c>
      <c r="AH18" s="7">
        <f t="shared" si="8"/>
        <v>9.2566239733241353</v>
      </c>
      <c r="AI18" s="618">
        <f t="shared" si="9"/>
        <v>101.46922163316441</v>
      </c>
      <c r="AJ18" s="7">
        <f t="shared" si="10"/>
        <v>96.007813488903167</v>
      </c>
      <c r="AL18" s="578">
        <f t="shared" si="11"/>
        <v>0.31214573048089228</v>
      </c>
      <c r="AM18" s="366">
        <f t="shared" si="12"/>
        <v>7.2397890069491169</v>
      </c>
      <c r="AN18" s="465"/>
      <c r="AO18" s="7"/>
    </row>
    <row r="19" spans="1:46" s="415" customFormat="1">
      <c r="A19" s="415">
        <v>2017</v>
      </c>
      <c r="B19" s="415" t="s">
        <v>1708</v>
      </c>
      <c r="C19" s="415">
        <v>13</v>
      </c>
      <c r="D19" s="415" t="s">
        <v>2145</v>
      </c>
      <c r="E19" s="416">
        <f>mass_filt!V21</f>
        <v>69.414285714285725</v>
      </c>
      <c r="F19" s="415">
        <v>0.5</v>
      </c>
      <c r="G19" s="415" t="s">
        <v>2144</v>
      </c>
      <c r="H19" s="415">
        <f t="shared" si="1"/>
        <v>16</v>
      </c>
      <c r="I19" s="417">
        <f t="shared" si="2"/>
        <v>8.6767857142857157</v>
      </c>
      <c r="J19" s="417">
        <f t="shared" si="3"/>
        <v>3.1691959821428579</v>
      </c>
      <c r="K19" s="68">
        <v>1</v>
      </c>
      <c r="L19" s="415">
        <v>1</v>
      </c>
      <c r="M19" s="417">
        <f>'CHN raw data'!E19</f>
        <v>17.991422653198242</v>
      </c>
      <c r="N19" s="417">
        <f>'CHN raw data'!F19</f>
        <v>1.3374840021133423</v>
      </c>
      <c r="O19" s="417">
        <f>'CHN raw data'!D19</f>
        <v>1.2122423648834229</v>
      </c>
      <c r="P19" s="415" t="s">
        <v>2552</v>
      </c>
      <c r="R19" s="418">
        <f>sal_pH!D37</f>
        <v>34.520000000000003</v>
      </c>
      <c r="S19" s="419">
        <f>AVERAGE(sal_pH!I37,sal_pH!I59)</f>
        <v>7.9909999999999997</v>
      </c>
      <c r="T19" s="420">
        <f>'traps and logs'!E49</f>
        <v>43016</v>
      </c>
      <c r="U19" s="420">
        <f t="shared" si="4"/>
        <v>43032</v>
      </c>
      <c r="V19" s="421">
        <f t="shared" si="5"/>
        <v>43024</v>
      </c>
      <c r="W19" s="416">
        <f t="shared" si="0"/>
        <v>208</v>
      </c>
      <c r="X19" s="415">
        <f t="shared" si="6"/>
        <v>192</v>
      </c>
      <c r="AB19" s="415">
        <f>'BSi_results and calculations'!K20</f>
        <v>1.7896689845514175</v>
      </c>
      <c r="AC19" s="415">
        <f>'BSi_results and calculations'!L20</f>
        <v>3.8284517366213846</v>
      </c>
      <c r="AF19" s="417">
        <f>'PIC raw data'!AC20</f>
        <v>72.327769181092194</v>
      </c>
      <c r="AG19" s="422">
        <f t="shared" si="7"/>
        <v>8.6790230076555197</v>
      </c>
      <c r="AH19" s="417">
        <f t="shared" si="8"/>
        <v>9.3123996455427225</v>
      </c>
      <c r="AI19" s="619">
        <f t="shared" si="9"/>
        <v>106.25894561980614</v>
      </c>
      <c r="AJ19" s="7">
        <f t="shared" si="10"/>
        <v>100.76462982893592</v>
      </c>
      <c r="AK19" s="415" t="s">
        <v>2555</v>
      </c>
      <c r="AL19" s="578">
        <f t="shared" si="11"/>
        <v>0.21915027963196829</v>
      </c>
      <c r="AM19" s="423">
        <f t="shared" si="12"/>
        <v>8.9612228180664069</v>
      </c>
      <c r="AN19" s="418"/>
      <c r="AO19" s="419"/>
    </row>
    <row r="20" spans="1:46">
      <c r="A20">
        <v>2017</v>
      </c>
      <c r="B20" t="s">
        <v>1708</v>
      </c>
      <c r="C20">
        <v>14</v>
      </c>
      <c r="D20">
        <v>3</v>
      </c>
      <c r="E20" s="68">
        <f>mass_filt!V22</f>
        <v>810.38571428571436</v>
      </c>
      <c r="F20">
        <v>0.5</v>
      </c>
      <c r="G20" t="s">
        <v>2144</v>
      </c>
      <c r="H20">
        <f t="shared" si="1"/>
        <v>16</v>
      </c>
      <c r="I20" s="7">
        <f t="shared" si="2"/>
        <v>101.29821428571429</v>
      </c>
      <c r="J20" s="7">
        <f t="shared" si="3"/>
        <v>36.999172767857146</v>
      </c>
      <c r="K20" s="68">
        <v>1</v>
      </c>
      <c r="L20">
        <v>1</v>
      </c>
      <c r="M20" s="370">
        <f>AVERAGE('CHN raw data'!E20:E21)</f>
        <v>16.28987979888916</v>
      </c>
      <c r="N20" s="370">
        <f>AVERAGE('CHN raw data'!F20:F21)</f>
        <v>1.1464166045188904</v>
      </c>
      <c r="O20" s="370">
        <f>AVERAGE('CHN raw data'!D20:D21)</f>
        <v>1.0880199670791626</v>
      </c>
      <c r="R20">
        <f>sal_pH!D38</f>
        <v>35.57</v>
      </c>
      <c r="S20" s="7">
        <f>AVERAGE(sal_pH!I38,sal_pH!I60)</f>
        <v>8.0790000000000006</v>
      </c>
      <c r="T20" s="161">
        <f>'traps and logs'!E50</f>
        <v>43032</v>
      </c>
      <c r="U20" s="161">
        <f t="shared" si="4"/>
        <v>43048</v>
      </c>
      <c r="V20" s="190">
        <f t="shared" si="5"/>
        <v>43040</v>
      </c>
      <c r="W20" s="68">
        <f t="shared" si="0"/>
        <v>224</v>
      </c>
      <c r="X20">
        <f t="shared" si="6"/>
        <v>208</v>
      </c>
      <c r="AB20">
        <f>AVERAGE('BSi_results and calculations'!K21:K22)</f>
        <v>2.9930692385176418</v>
      </c>
      <c r="AC20">
        <f>AVERAGE('BSi_results and calculations'!L21:L22)</f>
        <v>6.402760076273589</v>
      </c>
      <c r="AF20" s="7">
        <f>'PIC raw data'!AC21</f>
        <v>69.839214993955054</v>
      </c>
      <c r="AG20" s="224">
        <f t="shared" si="7"/>
        <v>8.3804071469632895</v>
      </c>
      <c r="AH20" s="7">
        <f t="shared" si="8"/>
        <v>7.9094726519258707</v>
      </c>
      <c r="AI20" s="618">
        <f t="shared" si="9"/>
        <v>102.71370737749193</v>
      </c>
      <c r="AJ20" s="7">
        <f t="shared" si="10"/>
        <v>98.047118512855661</v>
      </c>
      <c r="AL20" s="578">
        <f t="shared" si="11"/>
        <v>1.0285760910953565</v>
      </c>
      <c r="AM20" s="366">
        <f t="shared" si="12"/>
        <v>8.4801940680375978</v>
      </c>
      <c r="AN20" s="465"/>
      <c r="AO20" s="7"/>
    </row>
    <row r="21" spans="1:46">
      <c r="A21">
        <v>2017</v>
      </c>
      <c r="B21" t="s">
        <v>1708</v>
      </c>
      <c r="C21">
        <v>15</v>
      </c>
      <c r="D21">
        <v>19</v>
      </c>
      <c r="E21" s="68">
        <f>mass_filt!V23</f>
        <v>1575.3999999999996</v>
      </c>
      <c r="F21">
        <v>0.5</v>
      </c>
      <c r="G21" t="s">
        <v>2144</v>
      </c>
      <c r="H21">
        <f t="shared" si="1"/>
        <v>16</v>
      </c>
      <c r="I21" s="7">
        <f t="shared" si="2"/>
        <v>196.92499999999995</v>
      </c>
      <c r="J21" s="7">
        <f t="shared" si="3"/>
        <v>71.926856249999986</v>
      </c>
      <c r="K21" s="68">
        <v>1</v>
      </c>
      <c r="L21">
        <v>1</v>
      </c>
      <c r="M21" s="7">
        <f>'CHN raw data'!E22</f>
        <v>14.937230110168457</v>
      </c>
      <c r="N21" s="7">
        <f>'CHN raw data'!F22</f>
        <v>1.1445505619049072</v>
      </c>
      <c r="O21" s="7">
        <f>'CHN raw data'!D22</f>
        <v>1.0511832237243652</v>
      </c>
      <c r="R21" s="254">
        <f>sal_pH!D39</f>
        <v>36.29</v>
      </c>
      <c r="S21" s="278">
        <f>AVERAGE(sal_pH!I39,sal_pH!I61)</f>
        <v>7.9675000000000002</v>
      </c>
      <c r="T21" s="161">
        <f>'traps and logs'!E51</f>
        <v>43048</v>
      </c>
      <c r="U21" s="161">
        <f t="shared" si="4"/>
        <v>43064</v>
      </c>
      <c r="V21" s="190">
        <f t="shared" si="5"/>
        <v>43056</v>
      </c>
      <c r="W21" s="68">
        <f t="shared" si="0"/>
        <v>240</v>
      </c>
      <c r="X21">
        <f t="shared" si="6"/>
        <v>224</v>
      </c>
      <c r="AB21">
        <f>'BSi_results and calculations'!K23</f>
        <v>6.5274207101611639</v>
      </c>
      <c r="AC21">
        <f>'BSi_results and calculations'!L23</f>
        <v>13.963428639145048</v>
      </c>
      <c r="AF21" s="7">
        <f>'PIC raw data'!AC22</f>
        <v>62.261150448006894</v>
      </c>
      <c r="AG21" s="224">
        <f t="shared" si="7"/>
        <v>7.4710718074049929</v>
      </c>
      <c r="AH21" s="7">
        <f t="shared" si="8"/>
        <v>7.4661583027634641</v>
      </c>
      <c r="AI21" s="618">
        <f t="shared" si="9"/>
        <v>102.29113790216797</v>
      </c>
      <c r="AJ21" s="7">
        <f t="shared" si="10"/>
        <v>97.886104503537538</v>
      </c>
      <c r="AL21" s="578">
        <f t="shared" si="11"/>
        <v>1.0532458477789555</v>
      </c>
      <c r="AM21" s="366">
        <f t="shared" si="12"/>
        <v>8.2854080243224004</v>
      </c>
      <c r="AN21" s="254"/>
      <c r="AO21" s="278"/>
    </row>
    <row r="22" spans="1:46">
      <c r="A22">
        <v>2017</v>
      </c>
      <c r="B22" t="s">
        <v>1708</v>
      </c>
      <c r="C22">
        <v>16</v>
      </c>
      <c r="D22">
        <v>10</v>
      </c>
      <c r="E22" s="68">
        <f>mass_filt!V25</f>
        <v>952.48571428571427</v>
      </c>
      <c r="F22">
        <v>0.5</v>
      </c>
      <c r="G22" t="s">
        <v>2144</v>
      </c>
      <c r="H22">
        <f t="shared" si="1"/>
        <v>16</v>
      </c>
      <c r="I22" s="7">
        <f t="shared" si="2"/>
        <v>119.06071428571428</v>
      </c>
      <c r="J22" s="7">
        <f t="shared" si="3"/>
        <v>43.486925892857144</v>
      </c>
      <c r="K22" s="68">
        <v>1</v>
      </c>
      <c r="L22">
        <v>1</v>
      </c>
      <c r="M22" s="7">
        <f>'CHN raw data'!E23</f>
        <v>17.920364379882813</v>
      </c>
      <c r="N22" s="7">
        <f>'CHN raw data'!F23</f>
        <v>1.6635230779647827</v>
      </c>
      <c r="O22" s="7">
        <f>'CHN raw data'!D23</f>
        <v>1.6451433897018433</v>
      </c>
      <c r="R22" s="254">
        <f>sal_pH!D40</f>
        <v>36.03</v>
      </c>
      <c r="S22" s="278">
        <f>AVERAGE(sal_pH!I40,sal_pH!I62)</f>
        <v>7.915</v>
      </c>
      <c r="T22" s="161">
        <f>'traps and logs'!E52</f>
        <v>43064</v>
      </c>
      <c r="U22" s="161">
        <f t="shared" si="4"/>
        <v>43080</v>
      </c>
      <c r="V22" s="190">
        <f t="shared" si="5"/>
        <v>43072</v>
      </c>
      <c r="W22" s="68">
        <f t="shared" si="0"/>
        <v>256</v>
      </c>
      <c r="X22">
        <f t="shared" si="6"/>
        <v>240</v>
      </c>
      <c r="AB22">
        <f>'BSi_results and calculations'!K24</f>
        <v>5.2270639849856826</v>
      </c>
      <c r="AC22">
        <f>'BSi_results and calculations'!L24</f>
        <v>11.181711458091479</v>
      </c>
      <c r="AF22" s="7">
        <f>'PIC raw data'!AC23</f>
        <v>57.352811376047796</v>
      </c>
      <c r="AG22" s="224">
        <f t="shared" si="7"/>
        <v>6.882092108221296</v>
      </c>
      <c r="AH22" s="7">
        <f t="shared" si="8"/>
        <v>11.038272271661516</v>
      </c>
      <c r="AI22" s="618">
        <f t="shared" si="9"/>
        <v>104.26129073246497</v>
      </c>
      <c r="AJ22" s="7">
        <f t="shared" si="10"/>
        <v>97.74871009218468</v>
      </c>
      <c r="AL22" s="578">
        <f t="shared" si="11"/>
        <v>0.4875968992248062</v>
      </c>
      <c r="AM22" s="366">
        <f t="shared" si="12"/>
        <v>7.8269484475849094</v>
      </c>
      <c r="AN22" s="254"/>
      <c r="AO22" s="278"/>
    </row>
    <row r="23" spans="1:46">
      <c r="A23">
        <v>2017</v>
      </c>
      <c r="B23" t="s">
        <v>1708</v>
      </c>
      <c r="C23">
        <v>17</v>
      </c>
      <c r="D23">
        <v>13</v>
      </c>
      <c r="E23" s="68">
        <f>mass_filt!V27</f>
        <v>659.71428571428578</v>
      </c>
      <c r="F23">
        <v>0.5</v>
      </c>
      <c r="G23" t="s">
        <v>2144</v>
      </c>
      <c r="H23">
        <f t="shared" si="1"/>
        <v>16</v>
      </c>
      <c r="I23" s="7">
        <f t="shared" si="2"/>
        <v>82.464285714285722</v>
      </c>
      <c r="J23" s="7">
        <f t="shared" si="3"/>
        <v>30.120080357142861</v>
      </c>
      <c r="K23" s="68">
        <v>1</v>
      </c>
      <c r="L23">
        <v>1</v>
      </c>
      <c r="M23" s="7">
        <f>'CHN raw data'!E24</f>
        <v>18.623369216918945</v>
      </c>
      <c r="N23" s="7">
        <f>'CHN raw data'!F24</f>
        <v>2.2002506256103516</v>
      </c>
      <c r="O23" s="7">
        <f>'CHN raw data'!D24</f>
        <v>2.0448958873748779</v>
      </c>
      <c r="R23" s="7">
        <f>AVERAGE(sal_pH!D41,sal_pH!G41)</f>
        <v>36.355000000000004</v>
      </c>
      <c r="S23" s="7">
        <f>AVERAGE(sal_pH!I41,sal_pH!L41,sal_pH!I63,sal_pH!L63)</f>
        <v>8.08</v>
      </c>
      <c r="T23" s="161">
        <f>'traps and logs'!E53</f>
        <v>43080</v>
      </c>
      <c r="U23" s="161">
        <f t="shared" si="4"/>
        <v>43096</v>
      </c>
      <c r="V23" s="190">
        <f t="shared" si="5"/>
        <v>43088</v>
      </c>
      <c r="W23" s="68">
        <f t="shared" si="0"/>
        <v>272</v>
      </c>
      <c r="X23">
        <f t="shared" si="6"/>
        <v>256</v>
      </c>
      <c r="AB23">
        <f>'BSi_results and calculations'!K25</f>
        <v>6.8060056071233568</v>
      </c>
      <c r="AC23">
        <f>'BSi_results and calculations'!L25</f>
        <v>14.55937618127599</v>
      </c>
      <c r="AF23" s="7">
        <f>'PIC raw data'!AC24</f>
        <v>44.746647791975761</v>
      </c>
      <c r="AG23" s="224">
        <f t="shared" si="7"/>
        <v>5.3694063856671441</v>
      </c>
      <c r="AH23" s="7">
        <f t="shared" si="8"/>
        <v>13.253962831251801</v>
      </c>
      <c r="AI23" s="618">
        <f t="shared" si="9"/>
        <v>101.58611165238464</v>
      </c>
      <c r="AJ23" s="7">
        <f t="shared" si="10"/>
        <v>93.766273581946081</v>
      </c>
      <c r="AL23" s="578">
        <f t="shared" si="11"/>
        <v>0.62710483432916886</v>
      </c>
      <c r="AM23" s="366">
        <f t="shared" si="12"/>
        <v>7.5608335057506162</v>
      </c>
      <c r="AN23" s="7"/>
      <c r="AO23" s="7"/>
    </row>
    <row r="24" spans="1:46">
      <c r="A24">
        <v>2017</v>
      </c>
      <c r="B24" t="s">
        <v>1708</v>
      </c>
      <c r="C24">
        <v>18</v>
      </c>
      <c r="D24">
        <v>30</v>
      </c>
      <c r="E24" s="68">
        <f>mass_filt!V29</f>
        <v>1057.0714285714287</v>
      </c>
      <c r="F24">
        <v>0.5</v>
      </c>
      <c r="G24" t="s">
        <v>2144</v>
      </c>
      <c r="H24">
        <f t="shared" si="1"/>
        <v>16</v>
      </c>
      <c r="I24" s="7">
        <f t="shared" si="2"/>
        <v>132.13392857142858</v>
      </c>
      <c r="J24" s="7">
        <f t="shared" si="3"/>
        <v>48.26191741071429</v>
      </c>
      <c r="K24" s="68">
        <v>1</v>
      </c>
      <c r="L24">
        <v>1</v>
      </c>
      <c r="M24" s="7">
        <f>'CHN raw data'!E25</f>
        <v>17.746345520019531</v>
      </c>
      <c r="N24" s="7">
        <f>'CHN raw data'!F25</f>
        <v>2.189673900604248</v>
      </c>
      <c r="O24" s="7">
        <f>'CHN raw data'!D25</f>
        <v>1.8878686428070068</v>
      </c>
      <c r="R24" s="254">
        <f>sal_pH!D42</f>
        <v>35.619999999999997</v>
      </c>
      <c r="S24" s="278">
        <f>AVERAGE(sal_pH!I42,sal_pH!I64)</f>
        <v>7.9190000000000005</v>
      </c>
      <c r="T24" s="161">
        <f>'traps and logs'!E54</f>
        <v>43096</v>
      </c>
      <c r="U24" s="161">
        <f t="shared" si="4"/>
        <v>43112</v>
      </c>
      <c r="V24" s="190">
        <f t="shared" si="5"/>
        <v>43104</v>
      </c>
      <c r="W24" s="68">
        <f t="shared" si="0"/>
        <v>288</v>
      </c>
      <c r="X24">
        <f t="shared" si="6"/>
        <v>272</v>
      </c>
      <c r="AB24">
        <f>'BSi_results and calculations'!K26</f>
        <v>11.258408389089038</v>
      </c>
      <c r="AC24">
        <f>'BSi_results and calculations'!L26</f>
        <v>24.083935923829131</v>
      </c>
      <c r="AF24" s="7">
        <f>'PIC raw data'!AC25</f>
        <v>37.36604099534572</v>
      </c>
      <c r="AG24" s="224">
        <f t="shared" si="7"/>
        <v>4.4837651316416238</v>
      </c>
      <c r="AH24" s="7">
        <f t="shared" si="8"/>
        <v>13.262580388377907</v>
      </c>
      <c r="AI24" s="618">
        <f t="shared" si="9"/>
        <v>104.80180915437042</v>
      </c>
      <c r="AJ24" s="7">
        <f t="shared" si="10"/>
        <v>96.976886725227459</v>
      </c>
      <c r="AL24" s="578">
        <f t="shared" si="11"/>
        <v>0.88435658710903431</v>
      </c>
      <c r="AM24" s="366">
        <f t="shared" si="12"/>
        <v>8.1950457839020121</v>
      </c>
      <c r="AN24" s="254"/>
      <c r="AO24" s="278"/>
    </row>
    <row r="25" spans="1:46">
      <c r="A25">
        <v>2017</v>
      </c>
      <c r="B25" t="s">
        <v>1708</v>
      </c>
      <c r="C25">
        <v>19</v>
      </c>
      <c r="D25">
        <v>15</v>
      </c>
      <c r="E25" s="68">
        <f>mass_filt!V31</f>
        <v>800.81428571428557</v>
      </c>
      <c r="F25">
        <v>0.5</v>
      </c>
      <c r="G25" t="s">
        <v>2144</v>
      </c>
      <c r="H25">
        <f t="shared" si="1"/>
        <v>16</v>
      </c>
      <c r="I25" s="7">
        <f t="shared" si="2"/>
        <v>100.1017857142857</v>
      </c>
      <c r="J25" s="7">
        <f t="shared" si="3"/>
        <v>36.562177232142851</v>
      </c>
      <c r="K25" s="68">
        <v>1</v>
      </c>
      <c r="L25">
        <v>1</v>
      </c>
      <c r="M25" s="7">
        <f>'CHN raw data'!E26</f>
        <v>17.344869613647461</v>
      </c>
      <c r="N25" s="7">
        <f>'CHN raw data'!F26</f>
        <v>1.8615785837173462</v>
      </c>
      <c r="O25" s="7">
        <f>'CHN raw data'!D26</f>
        <v>1.62330162525177</v>
      </c>
      <c r="R25">
        <f>sal_pH!D43</f>
        <v>35.409999999999997</v>
      </c>
      <c r="S25" s="7">
        <f>AVERAGE(sal_pH!I43,sal_pH!I65)</f>
        <v>8.0459999999999994</v>
      </c>
      <c r="T25" s="161">
        <f>'traps and logs'!E55</f>
        <v>43112</v>
      </c>
      <c r="U25" s="161">
        <f t="shared" si="4"/>
        <v>43128</v>
      </c>
      <c r="V25" s="190">
        <f t="shared" si="5"/>
        <v>43120</v>
      </c>
      <c r="W25" s="68">
        <f t="shared" si="0"/>
        <v>304</v>
      </c>
      <c r="X25">
        <f t="shared" si="6"/>
        <v>288</v>
      </c>
      <c r="AB25">
        <f>'BSi_results and calculations'!K27</f>
        <v>7.5112445358482773</v>
      </c>
      <c r="AC25">
        <f>'BSi_results and calculations'!L27</f>
        <v>16.068020083984443</v>
      </c>
      <c r="AF25" s="7">
        <f>'PIC raw data'!AC26</f>
        <v>52.403785054251998</v>
      </c>
      <c r="AG25" s="224">
        <f t="shared" si="7"/>
        <v>6.2882301130474261</v>
      </c>
      <c r="AH25" s="7">
        <f t="shared" si="8"/>
        <v>11.056639500600035</v>
      </c>
      <c r="AI25" s="618">
        <f t="shared" si="9"/>
        <v>104.78731155414883</v>
      </c>
      <c r="AJ25" s="7">
        <f t="shared" si="10"/>
        <v>98.263894248794813</v>
      </c>
      <c r="AL25" s="578">
        <f t="shared" si="11"/>
        <v>0.67590672325648682</v>
      </c>
      <c r="AM25" s="366">
        <f t="shared" si="12"/>
        <v>7.9454601562187461</v>
      </c>
      <c r="AN25" s="465"/>
      <c r="AO25" s="7"/>
    </row>
    <row r="26" spans="1:46" s="415" customFormat="1">
      <c r="A26" s="415">
        <v>2017</v>
      </c>
      <c r="B26" s="415" t="s">
        <v>1708</v>
      </c>
      <c r="C26" s="415">
        <v>20</v>
      </c>
      <c r="D26" s="415">
        <v>10</v>
      </c>
      <c r="E26" s="416">
        <f>mass_filt!V33</f>
        <v>780.0428571428572</v>
      </c>
      <c r="F26" s="415">
        <v>0.5</v>
      </c>
      <c r="G26" s="415" t="s">
        <v>2144</v>
      </c>
      <c r="H26" s="415">
        <f t="shared" si="1"/>
        <v>16</v>
      </c>
      <c r="I26" s="417">
        <f t="shared" si="2"/>
        <v>97.50535714285715</v>
      </c>
      <c r="J26" s="417">
        <f t="shared" si="3"/>
        <v>35.613831696428576</v>
      </c>
      <c r="K26" s="68">
        <v>1</v>
      </c>
      <c r="L26" s="415">
        <v>1</v>
      </c>
      <c r="M26" s="417">
        <f>'CHN raw data'!E27</f>
        <v>17.077608108520508</v>
      </c>
      <c r="N26" s="417">
        <f>'CHN raw data'!F27</f>
        <v>1.401877760887146</v>
      </c>
      <c r="O26" s="417">
        <f>'CHN raw data'!D27</f>
        <v>1.3471357822418213</v>
      </c>
      <c r="P26" s="415" t="s">
        <v>2553</v>
      </c>
      <c r="R26" s="415">
        <f>sal_pH!D44</f>
        <v>34.69</v>
      </c>
      <c r="S26" s="417">
        <f>AVERAGE(sal_pH!I44,sal_pH!I66)</f>
        <v>8.0725000000000016</v>
      </c>
      <c r="T26" s="420">
        <f>'traps and logs'!E56</f>
        <v>43128</v>
      </c>
      <c r="U26" s="420">
        <f t="shared" si="4"/>
        <v>43144</v>
      </c>
      <c r="V26" s="421">
        <f t="shared" si="5"/>
        <v>43136</v>
      </c>
      <c r="W26" s="416">
        <f t="shared" si="0"/>
        <v>320</v>
      </c>
      <c r="X26" s="415">
        <f t="shared" si="6"/>
        <v>304</v>
      </c>
      <c r="AB26" s="415">
        <f>'BSi_results and calculations'!K29</f>
        <v>4.1686073059360726</v>
      </c>
      <c r="AC26" s="415">
        <f>'BSi_results and calculations'!L29</f>
        <v>8.9174657534246577</v>
      </c>
      <c r="AF26" s="417">
        <f>'PIC raw data'!AC27</f>
        <v>66.853776517971767</v>
      </c>
      <c r="AG26" s="422">
        <f t="shared" si="7"/>
        <v>8.0221672964278135</v>
      </c>
      <c r="AH26" s="417">
        <f t="shared" si="8"/>
        <v>9.0554408120926944</v>
      </c>
      <c r="AI26" s="619">
        <f t="shared" si="9"/>
        <v>105.71684337001176</v>
      </c>
      <c r="AJ26" s="7">
        <f t="shared" si="10"/>
        <v>100.37413329087707</v>
      </c>
      <c r="AL26" s="578">
        <f t="shared" si="11"/>
        <v>0.70313043254310625</v>
      </c>
      <c r="AM26" s="423">
        <f t="shared" si="12"/>
        <v>7.8413953766118745</v>
      </c>
      <c r="AO26" s="417"/>
    </row>
    <row r="27" spans="1:46">
      <c r="A27">
        <v>2017</v>
      </c>
      <c r="B27" t="s">
        <v>1708</v>
      </c>
      <c r="C27">
        <v>21</v>
      </c>
      <c r="D27" t="s">
        <v>2145</v>
      </c>
      <c r="E27" s="68">
        <f>mass_filt!V35</f>
        <v>40.042857142857137</v>
      </c>
      <c r="F27">
        <v>0.5</v>
      </c>
      <c r="G27" t="s">
        <v>2144</v>
      </c>
      <c r="H27">
        <f t="shared" si="1"/>
        <v>16</v>
      </c>
      <c r="I27" s="7">
        <f t="shared" si="2"/>
        <v>5.0053571428571422</v>
      </c>
      <c r="J27" s="7">
        <f t="shared" si="3"/>
        <v>1.8282066964285713</v>
      </c>
      <c r="K27" s="68">
        <v>1</v>
      </c>
      <c r="L27">
        <v>1</v>
      </c>
      <c r="M27" s="7">
        <f>'CHN raw data'!E28</f>
        <v>12.334259033203125</v>
      </c>
      <c r="N27" s="7">
        <f>'CHN raw data'!F28</f>
        <v>0.18917267024517059</v>
      </c>
      <c r="O27" s="7">
        <f>'CHN raw data'!D28</f>
        <v>0.15380407869815826</v>
      </c>
      <c r="R27" s="254">
        <f>sal_pH!D45</f>
        <v>34.64</v>
      </c>
      <c r="S27" s="278">
        <f>AVERAGE(sal_pH!I45,sal_pH!I67)</f>
        <v>7.8979999999999997</v>
      </c>
      <c r="T27" s="161">
        <f>'traps and logs'!E57</f>
        <v>43144</v>
      </c>
      <c r="U27" s="161">
        <f>'traps and logs'!E58</f>
        <v>43160</v>
      </c>
      <c r="V27" s="190">
        <f t="shared" si="5"/>
        <v>43152</v>
      </c>
      <c r="W27" s="68">
        <f t="shared" si="0"/>
        <v>336</v>
      </c>
      <c r="X27">
        <f t="shared" si="6"/>
        <v>320</v>
      </c>
      <c r="AB27">
        <f>'BSi_results and calculations'!K30</f>
        <v>0.26140963619374863</v>
      </c>
      <c r="AC27">
        <f>'BSi_results and calculations'!L30</f>
        <v>0.55920630255900172</v>
      </c>
      <c r="AF27" s="424">
        <f>'PIC raw data'!AC28</f>
        <v>92.736293135551946</v>
      </c>
      <c r="AG27" s="224">
        <f t="shared" si="7"/>
        <v>11.127958609548092</v>
      </c>
      <c r="AH27" s="7">
        <f t="shared" si="8"/>
        <v>1.2063004236550334</v>
      </c>
      <c r="AI27" s="618">
        <f t="shared" si="9"/>
        <v>100.42259031338999</v>
      </c>
      <c r="AJ27" s="7">
        <f t="shared" si="10"/>
        <v>99.71087306343351</v>
      </c>
      <c r="AK27" t="s">
        <v>2554</v>
      </c>
      <c r="AL27" s="578">
        <f t="shared" si="11"/>
        <v>0.23616142893251321</v>
      </c>
      <c r="AM27" s="366">
        <f t="shared" si="12"/>
        <v>9.1491922967931103</v>
      </c>
      <c r="AN27" s="254"/>
      <c r="AO27" s="278"/>
    </row>
    <row r="28" spans="1:46">
      <c r="A28" s="55" t="s">
        <v>2146</v>
      </c>
      <c r="B28" s="116"/>
      <c r="C28" s="117"/>
      <c r="D28" s="118"/>
      <c r="E28" s="116"/>
      <c r="F28" s="116"/>
      <c r="G28" s="73"/>
      <c r="H28" s="116"/>
      <c r="I28" s="116"/>
      <c r="J28" s="117"/>
      <c r="K28" s="117"/>
      <c r="L28" s="116"/>
      <c r="M28" s="119"/>
      <c r="N28" s="119"/>
      <c r="O28" s="119"/>
      <c r="P28" s="119"/>
      <c r="Q28" s="120"/>
      <c r="R28" s="119"/>
      <c r="S28" s="116"/>
      <c r="T28" s="161"/>
      <c r="U28" s="161"/>
      <c r="V28" s="122"/>
      <c r="W28" s="116"/>
      <c r="X28" s="116"/>
      <c r="Y28" s="123"/>
      <c r="Z28" s="117"/>
      <c r="AA28" s="117"/>
      <c r="AB28" s="77"/>
      <c r="AC28" s="77"/>
      <c r="AD28" s="117"/>
      <c r="AE28" s="117"/>
      <c r="AF28" s="117"/>
      <c r="AG28" s="117"/>
      <c r="AH28" s="99"/>
      <c r="AI28" s="620"/>
      <c r="AJ28" s="64"/>
      <c r="AK28" s="579" t="s">
        <v>2304</v>
      </c>
      <c r="AL28" s="192">
        <f>AVERAGE(AL7:AL27)</f>
        <v>0.58924845626415689</v>
      </c>
      <c r="AM28" s="119"/>
      <c r="AN28" s="117"/>
      <c r="AO28" s="117"/>
      <c r="AP28" s="117"/>
      <c r="AQ28" s="117"/>
      <c r="AR28" s="117"/>
      <c r="AS28" s="117"/>
      <c r="AT28" s="117"/>
    </row>
    <row r="29" spans="1:46">
      <c r="A29" s="116"/>
      <c r="B29" s="117"/>
      <c r="C29" s="117"/>
      <c r="D29" s="124"/>
      <c r="E29" s="116"/>
      <c r="F29" s="116"/>
      <c r="G29" s="73"/>
      <c r="H29" s="116"/>
      <c r="I29" s="116"/>
      <c r="J29" s="117"/>
      <c r="K29" s="117"/>
      <c r="L29" s="116"/>
      <c r="M29" s="119"/>
      <c r="N29" s="119"/>
      <c r="O29" s="119"/>
      <c r="P29" s="119"/>
      <c r="Q29" s="120"/>
      <c r="R29" s="117"/>
      <c r="S29" s="117"/>
      <c r="T29" s="121"/>
      <c r="U29" s="121"/>
      <c r="V29" s="122"/>
      <c r="W29" s="116"/>
      <c r="X29" s="116"/>
      <c r="Y29" s="123"/>
      <c r="Z29" s="117"/>
      <c r="AA29" s="117"/>
      <c r="AB29" s="77"/>
      <c r="AC29" s="77"/>
      <c r="AD29" s="117"/>
      <c r="AE29" s="117"/>
      <c r="AF29" s="117"/>
      <c r="AG29" s="117"/>
      <c r="AH29" s="99"/>
      <c r="AI29" s="620"/>
      <c r="AJ29" s="64"/>
      <c r="AK29" s="77"/>
      <c r="AM29" s="119"/>
      <c r="AN29" s="117"/>
      <c r="AO29" s="117"/>
      <c r="AP29" s="117"/>
      <c r="AQ29" s="117"/>
      <c r="AR29" s="117"/>
      <c r="AS29" s="117"/>
      <c r="AT29" s="117"/>
    </row>
    <row r="30" spans="1:46" s="105" customFormat="1">
      <c r="A30" s="102" t="s">
        <v>1706</v>
      </c>
      <c r="B30" s="196" t="s">
        <v>2890</v>
      </c>
      <c r="C30" s="104"/>
      <c r="E30" s="107"/>
      <c r="F30" s="107"/>
      <c r="G30" s="73"/>
      <c r="H30" s="108" t="s">
        <v>2692</v>
      </c>
      <c r="I30" s="109" t="s">
        <v>2140</v>
      </c>
      <c r="J30" s="110"/>
      <c r="K30" s="110"/>
      <c r="L30" s="110"/>
      <c r="M30" s="111"/>
      <c r="N30" s="111"/>
      <c r="O30" s="111"/>
      <c r="P30" s="111"/>
      <c r="Q30" s="112"/>
      <c r="R30" s="110"/>
      <c r="S30" s="110"/>
      <c r="T30" s="113"/>
      <c r="U30" s="113"/>
      <c r="V30" s="114"/>
      <c r="W30" s="108">
        <v>0</v>
      </c>
      <c r="X30" s="115"/>
      <c r="Y30" s="115"/>
      <c r="Z30" s="110"/>
      <c r="AA30" s="110"/>
      <c r="AB30" s="61"/>
      <c r="AC30" s="61"/>
      <c r="AD30" s="7"/>
      <c r="AE30" s="7"/>
      <c r="AF30"/>
      <c r="AG30" s="7"/>
      <c r="AH30" s="99"/>
      <c r="AI30" s="618" t="s">
        <v>2141</v>
      </c>
      <c r="AJ30" s="7"/>
      <c r="AK30" s="77"/>
      <c r="AL30" s="582" t="s">
        <v>2825</v>
      </c>
      <c r="AM30" s="106"/>
      <c r="AN30" s="110"/>
      <c r="AO30" s="101"/>
      <c r="AP30" s="40"/>
      <c r="AQ30" s="110"/>
      <c r="AR30" s="110"/>
      <c r="AS30" s="110"/>
      <c r="AT30" s="110"/>
    </row>
    <row r="31" spans="1:46">
      <c r="A31">
        <v>2017</v>
      </c>
      <c r="B31" t="s">
        <v>1750</v>
      </c>
      <c r="C31" t="s">
        <v>2147</v>
      </c>
      <c r="D31">
        <v>4</v>
      </c>
      <c r="E31" s="68">
        <f>mass_filt!V38</f>
        <v>398.62857142857138</v>
      </c>
      <c r="F31">
        <v>0.5</v>
      </c>
      <c r="G31" t="s">
        <v>2144</v>
      </c>
      <c r="H31">
        <f>U31-T31</f>
        <v>16</v>
      </c>
      <c r="I31" s="7">
        <f t="shared" ref="I31:I51" si="13">E31/F31/H31</f>
        <v>49.828571428571422</v>
      </c>
      <c r="J31" s="7">
        <f>0.001*365.25*E31/F31/H31</f>
        <v>18.199885714285713</v>
      </c>
      <c r="K31" s="68">
        <v>1</v>
      </c>
      <c r="L31">
        <v>1</v>
      </c>
      <c r="M31" s="370">
        <f>AVERAGE('CHN raw data'!E32:E33)</f>
        <v>14.092928886413574</v>
      </c>
      <c r="N31" s="370">
        <f>AVERAGE('CHN raw data'!F32:F33)</f>
        <v>0.85016858577728271</v>
      </c>
      <c r="O31" s="370">
        <f>AVERAGE('CHN raw data'!D32:D33)</f>
        <v>0.82797294855117798</v>
      </c>
      <c r="R31">
        <f>sal_pH!D68</f>
        <v>37.89</v>
      </c>
      <c r="S31" s="7">
        <f>sal_pH!I68</f>
        <v>8.6020000000000003</v>
      </c>
      <c r="T31" s="161">
        <f>'traps and logs'!K37</f>
        <v>42824</v>
      </c>
      <c r="U31" s="161">
        <f>T32</f>
        <v>42840</v>
      </c>
      <c r="V31" s="190">
        <f>AVERAGE(T31:U31)</f>
        <v>42832</v>
      </c>
      <c r="W31" s="68">
        <f t="shared" ref="W31:W51" si="14">H31+W30</f>
        <v>16</v>
      </c>
      <c r="X31">
        <v>0</v>
      </c>
      <c r="AB31">
        <f>AVERAGE('BSi_results and calculations'!K31:K32)</f>
        <v>4.221480724113488</v>
      </c>
      <c r="AC31">
        <f>AVERAGE('BSi_results and calculations'!L31:L32)</f>
        <v>9.0305723286571578</v>
      </c>
      <c r="AF31" s="7">
        <f>'PIC raw data'!AC29</f>
        <v>72.015701439750543</v>
      </c>
      <c r="AG31" s="224">
        <f t="shared" ref="AG31:AG51" si="15">AF31*12.01/100.0869</f>
        <v>8.6415762131847824</v>
      </c>
      <c r="AH31" s="7">
        <f t="shared" ref="AH31:AH51" si="16">M31-AG31</f>
        <v>5.4513526732287918</v>
      </c>
      <c r="AI31" s="618">
        <f t="shared" ref="AI31:AI51" si="17">AF31+(AC31*1.11)+(AH31*2.79)+3.7</f>
        <v>100.94891068286832</v>
      </c>
      <c r="AJ31" s="7">
        <f t="shared" ref="AJ31:AJ51" si="18">AF31+AC31*1.11+AH31*2.2+3.7</f>
        <v>97.732612605663334</v>
      </c>
      <c r="AL31" s="578">
        <f>E31/E55</f>
        <v>1.0544932355831003</v>
      </c>
      <c r="AM31" s="366">
        <f t="shared" ref="AM31:AM51" si="19">(AH31/12.01)/(O31/14.01)</f>
        <v>7.680389753469961</v>
      </c>
    </row>
    <row r="32" spans="1:46">
      <c r="A32">
        <v>2017</v>
      </c>
      <c r="B32" t="s">
        <v>1750</v>
      </c>
      <c r="C32">
        <v>2</v>
      </c>
      <c r="D32">
        <v>4</v>
      </c>
      <c r="E32" s="68">
        <f>mass_filt!V39</f>
        <v>498.84285714285727</v>
      </c>
      <c r="F32">
        <v>0.5</v>
      </c>
      <c r="G32" t="s">
        <v>2144</v>
      </c>
      <c r="H32">
        <f t="shared" ref="H32:H51" si="20">U32-T32</f>
        <v>16</v>
      </c>
      <c r="I32" s="7">
        <f t="shared" si="13"/>
        <v>62.355357142857159</v>
      </c>
      <c r="J32" s="7">
        <f t="shared" ref="J32:J51" si="21">0.001*365.25*E32/F32/H32</f>
        <v>22.775294196428579</v>
      </c>
      <c r="K32" s="68">
        <v>1</v>
      </c>
      <c r="L32">
        <v>1</v>
      </c>
      <c r="M32" s="7">
        <f>'CHN raw data'!E34</f>
        <v>13.988517761230469</v>
      </c>
      <c r="N32" s="7">
        <f>'CHN raw data'!F34</f>
        <v>0.73768854141235352</v>
      </c>
      <c r="O32" s="7">
        <f>'CHN raw data'!D34</f>
        <v>0.7367519736289978</v>
      </c>
      <c r="R32">
        <f>sal_pH!D69</f>
        <v>37.78</v>
      </c>
      <c r="S32" s="7">
        <f>sal_pH!I69</f>
        <v>8.3230000000000004</v>
      </c>
      <c r="T32" s="161">
        <f>'traps and logs'!K38</f>
        <v>42840</v>
      </c>
      <c r="U32" s="161">
        <f t="shared" ref="U32:U50" si="22">T33</f>
        <v>42856</v>
      </c>
      <c r="V32" s="190">
        <f t="shared" ref="V32:V51" si="23">AVERAGE(T32:U32)</f>
        <v>42848</v>
      </c>
      <c r="W32" s="68">
        <f t="shared" si="14"/>
        <v>32</v>
      </c>
      <c r="X32">
        <v>1</v>
      </c>
      <c r="AB32">
        <f>'BSi_results and calculations'!K33</f>
        <v>2.8950758174064131</v>
      </c>
      <c r="AC32">
        <f>'BSi_results and calculations'!L33</f>
        <v>6.1931329963670834</v>
      </c>
      <c r="AF32" s="7">
        <f>'PIC raw data'!AC30</f>
        <v>76.068899376052883</v>
      </c>
      <c r="AG32" s="224">
        <f t="shared" si="15"/>
        <v>9.1279426329159463</v>
      </c>
      <c r="AH32" s="7">
        <f t="shared" si="16"/>
        <v>4.8605751283145224</v>
      </c>
      <c r="AI32" s="618">
        <f t="shared" si="17"/>
        <v>100.20428161001787</v>
      </c>
      <c r="AJ32" s="7">
        <f t="shared" si="18"/>
        <v>97.336542284312301</v>
      </c>
      <c r="AL32" s="578">
        <f t="shared" ref="AL32:AL51" si="24">E32/E56</f>
        <v>1.1436478564176467</v>
      </c>
      <c r="AM32" s="366">
        <f t="shared" si="19"/>
        <v>7.6959365813766212</v>
      </c>
    </row>
    <row r="33" spans="1:39">
      <c r="A33">
        <v>2017</v>
      </c>
      <c r="B33" t="s">
        <v>1750</v>
      </c>
      <c r="C33">
        <v>3</v>
      </c>
      <c r="D33">
        <v>4</v>
      </c>
      <c r="E33" s="68">
        <f>mass_filt!V40</f>
        <v>586.1</v>
      </c>
      <c r="F33">
        <v>0.5</v>
      </c>
      <c r="G33" t="s">
        <v>2144</v>
      </c>
      <c r="H33">
        <f t="shared" si="20"/>
        <v>16</v>
      </c>
      <c r="I33" s="7">
        <f t="shared" si="13"/>
        <v>73.262500000000003</v>
      </c>
      <c r="J33" s="7">
        <f t="shared" si="21"/>
        <v>26.759128125000004</v>
      </c>
      <c r="K33" s="68">
        <v>1</v>
      </c>
      <c r="L33">
        <v>1</v>
      </c>
      <c r="M33" s="7">
        <f>'CHN raw data'!E35</f>
        <v>14.733772277832031</v>
      </c>
      <c r="N33" s="7">
        <f>'CHN raw data'!F35</f>
        <v>0.83880996704101563</v>
      </c>
      <c r="O33" s="7">
        <f>'CHN raw data'!D35</f>
        <v>0.90721893310546875</v>
      </c>
      <c r="R33">
        <f>sal_pH!D70</f>
        <v>36.81</v>
      </c>
      <c r="S33" s="7">
        <f>sal_pH!I70</f>
        <v>8.4830000000000005</v>
      </c>
      <c r="T33" s="161">
        <f>'traps and logs'!K39</f>
        <v>42856</v>
      </c>
      <c r="U33" s="161">
        <f t="shared" si="22"/>
        <v>42872</v>
      </c>
      <c r="V33" s="190">
        <f t="shared" si="23"/>
        <v>42864</v>
      </c>
      <c r="W33" s="68">
        <f t="shared" si="14"/>
        <v>48</v>
      </c>
      <c r="X33">
        <v>2</v>
      </c>
      <c r="AB33">
        <f>'BSi_results and calculations'!K34</f>
        <v>2.5072536638603062</v>
      </c>
      <c r="AC33">
        <f>'BSi_results and calculations'!L34</f>
        <v>5.3635056127221716</v>
      </c>
      <c r="AF33" s="7">
        <f>'PIC raw data'!AC31</f>
        <v>72.93190939780068</v>
      </c>
      <c r="AG33" s="224">
        <f t="shared" si="15"/>
        <v>8.7515172501854508</v>
      </c>
      <c r="AH33" s="7">
        <f t="shared" si="16"/>
        <v>5.9822550276465805</v>
      </c>
      <c r="AI33" s="618">
        <f t="shared" si="17"/>
        <v>99.275892155056255</v>
      </c>
      <c r="AJ33" s="7">
        <f t="shared" si="18"/>
        <v>95.74636168874477</v>
      </c>
      <c r="AL33" s="578">
        <f t="shared" si="24"/>
        <v>1.1640846668936558</v>
      </c>
      <c r="AM33" s="366">
        <f t="shared" si="19"/>
        <v>7.692153570281957</v>
      </c>
    </row>
    <row r="34" spans="1:39">
      <c r="A34">
        <v>2017</v>
      </c>
      <c r="B34" t="s">
        <v>1750</v>
      </c>
      <c r="C34">
        <v>4</v>
      </c>
      <c r="D34">
        <v>3</v>
      </c>
      <c r="E34" s="68">
        <f>mass_filt!V41</f>
        <v>653.55714285714282</v>
      </c>
      <c r="F34">
        <v>0.5</v>
      </c>
      <c r="G34" t="s">
        <v>2144</v>
      </c>
      <c r="H34">
        <f t="shared" si="20"/>
        <v>16</v>
      </c>
      <c r="I34" s="7">
        <f t="shared" si="13"/>
        <v>81.694642857142853</v>
      </c>
      <c r="J34" s="7">
        <f t="shared" si="21"/>
        <v>29.838968303571427</v>
      </c>
      <c r="K34" s="68">
        <v>1</v>
      </c>
      <c r="L34">
        <v>1</v>
      </c>
      <c r="M34" s="7">
        <f>'CHN raw data'!E36</f>
        <v>14.602574348449707</v>
      </c>
      <c r="N34" s="7">
        <f>'CHN raw data'!F36</f>
        <v>0.89557188749313354</v>
      </c>
      <c r="O34" s="7">
        <f>'CHN raw data'!D36</f>
        <v>0.84985619783401489</v>
      </c>
      <c r="R34">
        <f>sal_pH!D71</f>
        <v>37.39</v>
      </c>
      <c r="S34" s="7">
        <f>sal_pH!I71</f>
        <v>8.6020000000000003</v>
      </c>
      <c r="T34" s="161">
        <f>'traps and logs'!K40</f>
        <v>42872</v>
      </c>
      <c r="U34" s="161">
        <f t="shared" si="22"/>
        <v>42888</v>
      </c>
      <c r="V34" s="190">
        <f t="shared" si="23"/>
        <v>42880</v>
      </c>
      <c r="W34" s="68">
        <f t="shared" si="14"/>
        <v>64</v>
      </c>
      <c r="X34">
        <v>3</v>
      </c>
      <c r="AB34">
        <f>'BSi_results and calculations'!K35</f>
        <v>2.348933102652826</v>
      </c>
      <c r="AC34">
        <f>'BSi_results and calculations'!L35</f>
        <v>5.0248269896193767</v>
      </c>
      <c r="AF34" s="7">
        <f>'PIC raw data'!AC32</f>
        <v>75.870479109046272</v>
      </c>
      <c r="AG34" s="224">
        <f t="shared" si="15"/>
        <v>9.1041330493765482</v>
      </c>
      <c r="AH34" s="7">
        <f t="shared" si="16"/>
        <v>5.4984412990731588</v>
      </c>
      <c r="AI34" s="618">
        <f t="shared" si="17"/>
        <v>100.4886882919379</v>
      </c>
      <c r="AJ34" s="7">
        <f t="shared" si="18"/>
        <v>97.244607925484743</v>
      </c>
      <c r="AL34" s="578">
        <f t="shared" si="24"/>
        <v>1.2432131307915975</v>
      </c>
      <c r="AM34" s="366">
        <f t="shared" si="19"/>
        <v>7.5472593623020039</v>
      </c>
    </row>
    <row r="35" spans="1:39">
      <c r="A35">
        <v>2017</v>
      </c>
      <c r="B35" t="s">
        <v>1750</v>
      </c>
      <c r="C35">
        <v>5</v>
      </c>
      <c r="D35">
        <v>3</v>
      </c>
      <c r="E35" s="68">
        <f>mass_filt!V42</f>
        <v>520.19999999999993</v>
      </c>
      <c r="F35">
        <v>0.5</v>
      </c>
      <c r="G35" t="s">
        <v>2144</v>
      </c>
      <c r="H35">
        <f t="shared" si="20"/>
        <v>16</v>
      </c>
      <c r="I35" s="7">
        <f t="shared" si="13"/>
        <v>65.024999999999991</v>
      </c>
      <c r="J35" s="7">
        <f t="shared" si="21"/>
        <v>23.750381249999997</v>
      </c>
      <c r="K35" s="68">
        <v>1</v>
      </c>
      <c r="L35">
        <v>1</v>
      </c>
      <c r="M35" s="7">
        <f>'CHN raw data'!E37</f>
        <v>15.182991981506348</v>
      </c>
      <c r="N35" s="7">
        <f>'CHN raw data'!F37</f>
        <v>1.0053979158401489</v>
      </c>
      <c r="O35" s="7">
        <f>'CHN raw data'!D37</f>
        <v>0.99049454927444458</v>
      </c>
      <c r="R35">
        <f>sal_pH!D72</f>
        <v>37.33</v>
      </c>
      <c r="S35" s="7">
        <f>sal_pH!I72</f>
        <v>8.39</v>
      </c>
      <c r="T35" s="161">
        <f>'traps and logs'!K41</f>
        <v>42888</v>
      </c>
      <c r="U35" s="161">
        <f t="shared" si="22"/>
        <v>42904</v>
      </c>
      <c r="V35" s="190">
        <f t="shared" si="23"/>
        <v>42896</v>
      </c>
      <c r="W35" s="68">
        <f t="shared" si="14"/>
        <v>80</v>
      </c>
      <c r="X35">
        <v>4</v>
      </c>
      <c r="AB35">
        <f>'BSi_results and calculations'!K36</f>
        <v>2.6647388293538889</v>
      </c>
      <c r="AC35">
        <f>'BSi_results and calculations'!L36</f>
        <v>5.7003971611205122</v>
      </c>
      <c r="AF35" s="7">
        <f>'PIC raw data'!AC33</f>
        <v>71.626344423384552</v>
      </c>
      <c r="AG35" s="224">
        <f t="shared" si="15"/>
        <v>8.5948550362220075</v>
      </c>
      <c r="AH35" s="7">
        <f t="shared" si="16"/>
        <v>6.5881369452843401</v>
      </c>
      <c r="AI35" s="618">
        <f t="shared" si="17"/>
        <v>100.03468734957163</v>
      </c>
      <c r="AJ35" s="7">
        <f t="shared" si="18"/>
        <v>96.147686551853866</v>
      </c>
      <c r="AL35" s="578">
        <f t="shared" si="24"/>
        <v>0.96560685211211572</v>
      </c>
      <c r="AM35" s="366">
        <f t="shared" si="19"/>
        <v>7.7589982882679678</v>
      </c>
    </row>
    <row r="36" spans="1:39">
      <c r="A36">
        <v>2017</v>
      </c>
      <c r="B36" t="s">
        <v>1750</v>
      </c>
      <c r="C36">
        <v>6</v>
      </c>
      <c r="D36">
        <v>3</v>
      </c>
      <c r="E36" s="68">
        <f>mass_filt!V43</f>
        <v>469.55714285714288</v>
      </c>
      <c r="F36">
        <v>0.5</v>
      </c>
      <c r="G36" t="s">
        <v>2144</v>
      </c>
      <c r="H36">
        <f t="shared" si="20"/>
        <v>16</v>
      </c>
      <c r="I36" s="7">
        <f t="shared" si="13"/>
        <v>58.69464285714286</v>
      </c>
      <c r="J36" s="7">
        <f t="shared" si="21"/>
        <v>21.438218303571432</v>
      </c>
      <c r="K36" s="68">
        <v>1</v>
      </c>
      <c r="L36">
        <v>1</v>
      </c>
      <c r="M36" s="7">
        <f>'CHN raw data'!E38</f>
        <v>16.683547973632813</v>
      </c>
      <c r="N36" s="7">
        <f>'CHN raw data'!F38</f>
        <v>1.3293291330337524</v>
      </c>
      <c r="O36" s="7">
        <f>'CHN raw data'!D38</f>
        <v>1.3102766275405884</v>
      </c>
      <c r="R36">
        <f>sal_pH!D73</f>
        <v>37.31</v>
      </c>
      <c r="S36" s="7">
        <f>sal_pH!I73</f>
        <v>8.4120000000000008</v>
      </c>
      <c r="T36" s="161">
        <f>'traps and logs'!K42</f>
        <v>42904</v>
      </c>
      <c r="U36" s="161">
        <f t="shared" si="22"/>
        <v>42920</v>
      </c>
      <c r="V36" s="190">
        <f t="shared" si="23"/>
        <v>42912</v>
      </c>
      <c r="W36" s="68">
        <f t="shared" si="14"/>
        <v>96</v>
      </c>
      <c r="X36">
        <v>5</v>
      </c>
      <c r="AB36">
        <f>'BSi_results and calculations'!K37</f>
        <v>2.8684726765884898</v>
      </c>
      <c r="AC36">
        <f>'BSi_results and calculations'!L37</f>
        <v>6.1362236787540887</v>
      </c>
      <c r="AF36" s="7">
        <f>'PIC raw data'!AC34</f>
        <v>63.941887586145086</v>
      </c>
      <c r="AG36" s="224">
        <f t="shared" si="15"/>
        <v>7.6727530766723957</v>
      </c>
      <c r="AH36" s="7">
        <f t="shared" si="16"/>
        <v>9.0107948969604159</v>
      </c>
      <c r="AI36" s="618">
        <f t="shared" si="17"/>
        <v>99.593213632081699</v>
      </c>
      <c r="AJ36" s="7">
        <f t="shared" si="18"/>
        <v>94.276844642875048</v>
      </c>
      <c r="AL36" s="578">
        <f t="shared" si="24"/>
        <v>1.1126569852070005</v>
      </c>
      <c r="AM36" s="366">
        <f t="shared" si="19"/>
        <v>8.0222323807608849</v>
      </c>
    </row>
    <row r="37" spans="1:39">
      <c r="A37">
        <v>2017</v>
      </c>
      <c r="B37" t="s">
        <v>1750</v>
      </c>
      <c r="C37">
        <v>7</v>
      </c>
      <c r="D37">
        <v>2</v>
      </c>
      <c r="E37" s="68">
        <f>mass_filt!V44</f>
        <v>410.91428571428571</v>
      </c>
      <c r="F37">
        <v>0.5</v>
      </c>
      <c r="G37" t="s">
        <v>2144</v>
      </c>
      <c r="H37">
        <f t="shared" si="20"/>
        <v>16</v>
      </c>
      <c r="I37" s="7">
        <f t="shared" si="13"/>
        <v>51.364285714285714</v>
      </c>
      <c r="J37" s="7">
        <f t="shared" si="21"/>
        <v>18.760805357142857</v>
      </c>
      <c r="K37" s="68">
        <v>1</v>
      </c>
      <c r="L37">
        <v>1</v>
      </c>
      <c r="M37" s="7">
        <f>'CHN raw data'!E39</f>
        <v>17.578481674194336</v>
      </c>
      <c r="N37" s="7">
        <f>'CHN raw data'!F39</f>
        <v>1.4968260526657104</v>
      </c>
      <c r="O37" s="7">
        <f>'CHN raw data'!D39</f>
        <v>1.383432149887085</v>
      </c>
      <c r="R37">
        <f>sal_pH!D74</f>
        <v>36.270000000000003</v>
      </c>
      <c r="S37" s="7">
        <f>sal_pH!I74</f>
        <v>8.4570000000000007</v>
      </c>
      <c r="T37" s="161">
        <f>'traps and logs'!K43</f>
        <v>42920</v>
      </c>
      <c r="U37" s="161">
        <f t="shared" si="22"/>
        <v>42936</v>
      </c>
      <c r="V37" s="190">
        <f t="shared" si="23"/>
        <v>42928</v>
      </c>
      <c r="W37" s="68">
        <f t="shared" si="14"/>
        <v>112</v>
      </c>
      <c r="X37">
        <v>6</v>
      </c>
      <c r="AB37">
        <f>'BSi_results and calculations'!K38</f>
        <v>2.7818522145956095</v>
      </c>
      <c r="AC37">
        <f>'BSi_results and calculations'!L38</f>
        <v>5.9509255811694617</v>
      </c>
      <c r="AF37" s="7">
        <f>'PIC raw data'!AC35</f>
        <v>63.550304027477345</v>
      </c>
      <c r="AG37" s="224">
        <f t="shared" si="15"/>
        <v>7.6257647241547382</v>
      </c>
      <c r="AH37" s="7">
        <f t="shared" si="16"/>
        <v>9.9527169500395978</v>
      </c>
      <c r="AI37" s="618">
        <f t="shared" si="17"/>
        <v>101.62391171318593</v>
      </c>
      <c r="AJ37" s="7">
        <f t="shared" si="18"/>
        <v>95.751808712662566</v>
      </c>
      <c r="AL37" s="578">
        <f t="shared" si="24"/>
        <v>0.89794899010395546</v>
      </c>
      <c r="AM37" s="366">
        <f t="shared" si="19"/>
        <v>8.3922597421956766</v>
      </c>
    </row>
    <row r="38" spans="1:39">
      <c r="A38">
        <v>2017</v>
      </c>
      <c r="B38" t="s">
        <v>1750</v>
      </c>
      <c r="C38">
        <v>8</v>
      </c>
      <c r="D38">
        <v>3</v>
      </c>
      <c r="E38" s="68">
        <f>mass_filt!V45</f>
        <v>387.74285714285719</v>
      </c>
      <c r="F38">
        <v>0.5</v>
      </c>
      <c r="G38" t="s">
        <v>2148</v>
      </c>
      <c r="H38">
        <f t="shared" si="20"/>
        <v>16</v>
      </c>
      <c r="I38" s="7">
        <f t="shared" si="13"/>
        <v>48.467857142857149</v>
      </c>
      <c r="J38" s="7">
        <f t="shared" si="21"/>
        <v>17.702884821428576</v>
      </c>
      <c r="K38" s="68">
        <v>1</v>
      </c>
      <c r="L38">
        <v>1</v>
      </c>
      <c r="M38" s="7">
        <f>'CHN raw data'!E40</f>
        <v>16.464389801025391</v>
      </c>
      <c r="N38" s="7">
        <f>'CHN raw data'!F40</f>
        <v>1.3344879150390625</v>
      </c>
      <c r="O38" s="7">
        <f>'CHN raw data'!D40</f>
        <v>1.4435456991195679</v>
      </c>
      <c r="R38">
        <f>sal_pH!D75</f>
        <v>37.35</v>
      </c>
      <c r="S38" s="7">
        <f>sal_pH!I75</f>
        <v>8.327</v>
      </c>
      <c r="T38" s="161">
        <f>'traps and logs'!K44</f>
        <v>42936</v>
      </c>
      <c r="U38" s="161">
        <f t="shared" si="22"/>
        <v>42952</v>
      </c>
      <c r="V38" s="190">
        <f t="shared" si="23"/>
        <v>42944</v>
      </c>
      <c r="W38" s="68">
        <f t="shared" si="14"/>
        <v>128</v>
      </c>
      <c r="X38">
        <v>7</v>
      </c>
      <c r="AB38">
        <f>'BSi_results and calculations'!K39</f>
        <v>3.2392058782340789</v>
      </c>
      <c r="AC38">
        <f>'BSi_results and calculations'!L39</f>
        <v>6.9292944543640376</v>
      </c>
      <c r="AF38" s="7">
        <f>'PIC raw data'!AC36</f>
        <v>62.873168016740003</v>
      </c>
      <c r="AG38" s="224">
        <f t="shared" si="15"/>
        <v>7.5445112984920852</v>
      </c>
      <c r="AH38" s="7">
        <f t="shared" si="16"/>
        <v>8.9198785025333045</v>
      </c>
      <c r="AI38" s="618">
        <f t="shared" si="17"/>
        <v>99.151145883152012</v>
      </c>
      <c r="AJ38" s="7">
        <f t="shared" si="18"/>
        <v>93.888417566657367</v>
      </c>
      <c r="AL38" s="578">
        <f t="shared" si="24"/>
        <v>0.88946419793544163</v>
      </c>
      <c r="AM38" s="366">
        <f t="shared" si="19"/>
        <v>7.2081452533771282</v>
      </c>
    </row>
    <row r="39" spans="1:39">
      <c r="A39">
        <v>2017</v>
      </c>
      <c r="B39" t="s">
        <v>1750</v>
      </c>
      <c r="C39">
        <v>9</v>
      </c>
      <c r="D39">
        <v>2</v>
      </c>
      <c r="E39" s="68">
        <f>mass_filt!V46</f>
        <v>291.95714285714286</v>
      </c>
      <c r="F39">
        <v>0.5</v>
      </c>
      <c r="G39" t="s">
        <v>2148</v>
      </c>
      <c r="H39">
        <f t="shared" si="20"/>
        <v>16</v>
      </c>
      <c r="I39" s="7">
        <f t="shared" si="13"/>
        <v>36.494642857142857</v>
      </c>
      <c r="J39" s="7">
        <f t="shared" si="21"/>
        <v>13.329668303571429</v>
      </c>
      <c r="K39" s="68">
        <v>1</v>
      </c>
      <c r="L39">
        <v>1</v>
      </c>
      <c r="M39" s="7">
        <f>'CHN raw data'!E41</f>
        <v>17.553958892822266</v>
      </c>
      <c r="N39" s="7">
        <f>'CHN raw data'!F41</f>
        <v>1.594617486000061</v>
      </c>
      <c r="O39" s="7">
        <f>'CHN raw data'!D41</f>
        <v>1.471712589263916</v>
      </c>
      <c r="R39">
        <f>sal_pH!D76</f>
        <v>37.36</v>
      </c>
      <c r="S39" s="7">
        <f>sal_pH!I76</f>
        <v>8.5969999999999995</v>
      </c>
      <c r="T39" s="161">
        <f>'traps and logs'!K45</f>
        <v>42952</v>
      </c>
      <c r="U39" s="161">
        <f t="shared" si="22"/>
        <v>42968</v>
      </c>
      <c r="V39" s="190">
        <f t="shared" si="23"/>
        <v>42960</v>
      </c>
      <c r="W39" s="68">
        <f t="shared" si="14"/>
        <v>144</v>
      </c>
      <c r="X39">
        <v>8</v>
      </c>
      <c r="AB39">
        <f>'BSi_results and calculations'!K41</f>
        <v>3.641785765010829</v>
      </c>
      <c r="AC39">
        <f>'BSi_results and calculations'!L41</f>
        <v>7.7904915136881705</v>
      </c>
      <c r="AF39" s="7">
        <f>'PIC raw data'!AC37</f>
        <v>59.701481098184196</v>
      </c>
      <c r="AG39" s="224">
        <f t="shared" si="15"/>
        <v>7.163922431299123</v>
      </c>
      <c r="AH39" s="7">
        <f t="shared" si="16"/>
        <v>10.390036461523142</v>
      </c>
      <c r="AI39" s="618">
        <f t="shared" si="17"/>
        <v>101.03712840602763</v>
      </c>
      <c r="AJ39" s="7">
        <f t="shared" si="18"/>
        <v>94.907006893728976</v>
      </c>
      <c r="AL39" s="578">
        <f t="shared" si="24"/>
        <v>0.70237481527305212</v>
      </c>
      <c r="AM39" s="366">
        <f t="shared" si="19"/>
        <v>8.2354852669310326</v>
      </c>
    </row>
    <row r="40" spans="1:39">
      <c r="A40">
        <v>2017</v>
      </c>
      <c r="B40" t="s">
        <v>1750</v>
      </c>
      <c r="C40">
        <v>10</v>
      </c>
      <c r="D40">
        <v>2</v>
      </c>
      <c r="E40" s="68">
        <f>mass_filt!V47</f>
        <v>284.5</v>
      </c>
      <c r="F40">
        <v>0.5</v>
      </c>
      <c r="G40" t="s">
        <v>2148</v>
      </c>
      <c r="H40">
        <f t="shared" si="20"/>
        <v>16</v>
      </c>
      <c r="I40" s="7">
        <f t="shared" si="13"/>
        <v>35.5625</v>
      </c>
      <c r="J40" s="7">
        <f t="shared" si="21"/>
        <v>12.989203125000001</v>
      </c>
      <c r="K40" s="68">
        <v>1</v>
      </c>
      <c r="L40">
        <v>1</v>
      </c>
      <c r="M40" s="7">
        <f>'CHN raw data'!E43</f>
        <v>15.918201446533203</v>
      </c>
      <c r="N40" s="7">
        <f>'CHN raw data'!F43</f>
        <v>1.218288779258728</v>
      </c>
      <c r="O40" s="7">
        <f>'CHN raw data'!D43</f>
        <v>1.2233142852783203</v>
      </c>
      <c r="R40">
        <f>AVERAGE(sal_pH!G77,sal_pH!D77)</f>
        <v>37.840000000000003</v>
      </c>
      <c r="S40" s="7">
        <f>AVERAGE(sal_pH!L77,sal_pH!I77)</f>
        <v>8.6314999999999991</v>
      </c>
      <c r="T40" s="161">
        <f>'traps and logs'!K46</f>
        <v>42968</v>
      </c>
      <c r="U40" s="161">
        <f t="shared" si="22"/>
        <v>42984</v>
      </c>
      <c r="V40" s="190">
        <f t="shared" si="23"/>
        <v>42976</v>
      </c>
      <c r="W40" s="68">
        <f t="shared" si="14"/>
        <v>160</v>
      </c>
      <c r="X40">
        <v>9</v>
      </c>
      <c r="AB40">
        <f>'BSi_results and calculations'!K42</f>
        <v>4.1767193629231443</v>
      </c>
      <c r="AC40">
        <f>'BSi_results and calculations'!L42</f>
        <v>8.9348190287665279</v>
      </c>
      <c r="AF40" s="7">
        <f>'PIC raw data'!AC38</f>
        <v>63.014468576166216</v>
      </c>
      <c r="AG40" s="224">
        <f t="shared" si="15"/>
        <v>7.5614667613819222</v>
      </c>
      <c r="AH40" s="7">
        <f t="shared" si="16"/>
        <v>8.3567346851512809</v>
      </c>
      <c r="AI40" s="618">
        <f t="shared" si="17"/>
        <v>99.94740746966913</v>
      </c>
      <c r="AJ40" s="7">
        <f t="shared" si="18"/>
        <v>95.016934005429889</v>
      </c>
      <c r="AL40" s="578">
        <f t="shared" si="24"/>
        <v>0.70498070728167372</v>
      </c>
      <c r="AM40" s="366">
        <f t="shared" si="19"/>
        <v>7.9688140860215979</v>
      </c>
    </row>
    <row r="41" spans="1:39">
      <c r="A41">
        <v>2017</v>
      </c>
      <c r="B41" t="s">
        <v>1750</v>
      </c>
      <c r="C41">
        <v>11</v>
      </c>
      <c r="D41">
        <v>3</v>
      </c>
      <c r="E41" s="68">
        <f>mass_filt!V48</f>
        <v>494.20000000000005</v>
      </c>
      <c r="F41">
        <v>0.5</v>
      </c>
      <c r="G41" t="s">
        <v>2148</v>
      </c>
      <c r="H41">
        <f t="shared" si="20"/>
        <v>16</v>
      </c>
      <c r="I41" s="7">
        <f t="shared" si="13"/>
        <v>61.775000000000006</v>
      </c>
      <c r="J41" s="7">
        <f t="shared" si="21"/>
        <v>22.563318750000004</v>
      </c>
      <c r="K41" s="68">
        <v>1</v>
      </c>
      <c r="L41">
        <v>1</v>
      </c>
      <c r="M41" s="7">
        <f>'CHN raw data'!E44</f>
        <v>15.501677513122559</v>
      </c>
      <c r="N41" s="7">
        <f>'CHN raw data'!F44</f>
        <v>1.1711772680282593</v>
      </c>
      <c r="O41" s="7">
        <f>'CHN raw data'!D44</f>
        <v>1.1527551412582397</v>
      </c>
      <c r="R41">
        <f>sal_pH!D78</f>
        <v>37.090000000000003</v>
      </c>
      <c r="S41" s="7">
        <f>sal_pH!I78</f>
        <v>8.5869999999999997</v>
      </c>
      <c r="T41" s="161">
        <f>'traps and logs'!K47</f>
        <v>42984</v>
      </c>
      <c r="U41" s="161">
        <f t="shared" si="22"/>
        <v>43000</v>
      </c>
      <c r="V41" s="190">
        <f t="shared" si="23"/>
        <v>42992</v>
      </c>
      <c r="W41" s="68">
        <f t="shared" si="14"/>
        <v>176</v>
      </c>
      <c r="X41">
        <v>10</v>
      </c>
      <c r="AB41">
        <f>'BSi_results and calculations'!K43</f>
        <v>4.494024256957359</v>
      </c>
      <c r="AC41">
        <f>'BSi_results and calculations'!L43</f>
        <v>9.6135962121953629</v>
      </c>
      <c r="AF41" s="7">
        <f>'PIC raw data'!AC39</f>
        <v>64.460972601498142</v>
      </c>
      <c r="AG41" s="224">
        <f t="shared" si="15"/>
        <v>7.7350410587598644</v>
      </c>
      <c r="AH41" s="7">
        <f t="shared" si="16"/>
        <v>7.7666364543626942</v>
      </c>
      <c r="AI41" s="618">
        <f t="shared" si="17"/>
        <v>100.50098010470691</v>
      </c>
      <c r="AJ41" s="7">
        <f t="shared" si="18"/>
        <v>95.918664596632922</v>
      </c>
      <c r="AL41" s="578">
        <f t="shared" si="24"/>
        <v>1.331408998191125</v>
      </c>
      <c r="AM41" s="366">
        <f t="shared" si="19"/>
        <v>7.8594297590330662</v>
      </c>
    </row>
    <row r="42" spans="1:39">
      <c r="A42">
        <v>2017</v>
      </c>
      <c r="B42" t="s">
        <v>1750</v>
      </c>
      <c r="C42">
        <v>12</v>
      </c>
      <c r="D42">
        <v>2</v>
      </c>
      <c r="E42" s="68">
        <f>mass_filt!V49</f>
        <v>468.7714285714286</v>
      </c>
      <c r="F42">
        <v>0.5</v>
      </c>
      <c r="G42" t="s">
        <v>2148</v>
      </c>
      <c r="H42">
        <f t="shared" si="20"/>
        <v>16</v>
      </c>
      <c r="I42" s="7">
        <f t="shared" si="13"/>
        <v>58.596428571428575</v>
      </c>
      <c r="J42" s="7">
        <f t="shared" si="21"/>
        <v>21.402345535714289</v>
      </c>
      <c r="K42" s="68">
        <v>1</v>
      </c>
      <c r="L42">
        <v>1</v>
      </c>
      <c r="M42" s="7">
        <f>'CHN raw data'!E45</f>
        <v>16.384731292724609</v>
      </c>
      <c r="N42" s="7">
        <f>'CHN raw data'!F45</f>
        <v>1.334746241569519</v>
      </c>
      <c r="O42" s="7">
        <f>'CHN raw data'!D45</f>
        <v>1.3369530439376831</v>
      </c>
      <c r="R42">
        <f>sal_pH!D79</f>
        <v>37.049999999999997</v>
      </c>
      <c r="S42" s="7">
        <f>sal_pH!I79</f>
        <v>8.5250000000000004</v>
      </c>
      <c r="T42" s="161">
        <f>'traps and logs'!K48</f>
        <v>43000</v>
      </c>
      <c r="U42" s="161">
        <f t="shared" si="22"/>
        <v>43016</v>
      </c>
      <c r="V42" s="190">
        <f t="shared" si="23"/>
        <v>43008</v>
      </c>
      <c r="W42" s="68">
        <f t="shared" si="14"/>
        <v>192</v>
      </c>
      <c r="X42">
        <v>11</v>
      </c>
      <c r="AB42">
        <f>'BSi_results and calculations'!K44</f>
        <v>4.3997716546808778</v>
      </c>
      <c r="AC42">
        <f>'BSi_results and calculations'!L44</f>
        <v>9.4119714748940524</v>
      </c>
      <c r="AF42" s="7">
        <f>'PIC raw data'!AC40</f>
        <v>60.672217754950033</v>
      </c>
      <c r="AG42" s="224">
        <f t="shared" si="15"/>
        <v>7.2804066789654787</v>
      </c>
      <c r="AH42" s="7">
        <f t="shared" si="16"/>
        <v>9.1043246137591307</v>
      </c>
      <c r="AI42" s="618">
        <f t="shared" si="17"/>
        <v>100.22057176447041</v>
      </c>
      <c r="AJ42" s="7">
        <f t="shared" si="18"/>
        <v>94.849020242352523</v>
      </c>
      <c r="AL42" s="578">
        <f t="shared" si="24"/>
        <v>0.9966287015945331</v>
      </c>
      <c r="AM42" s="366">
        <f t="shared" si="19"/>
        <v>7.9437708458629182</v>
      </c>
    </row>
    <row r="43" spans="1:39">
      <c r="A43">
        <v>2017</v>
      </c>
      <c r="B43" t="s">
        <v>1750</v>
      </c>
      <c r="C43">
        <v>13</v>
      </c>
      <c r="D43">
        <v>2</v>
      </c>
      <c r="E43" s="68">
        <f>mass_filt!V50</f>
        <v>316.74285714285713</v>
      </c>
      <c r="F43">
        <v>0.5</v>
      </c>
      <c r="G43" t="s">
        <v>2148</v>
      </c>
      <c r="H43">
        <f t="shared" si="20"/>
        <v>16</v>
      </c>
      <c r="I43" s="7">
        <f t="shared" si="13"/>
        <v>39.592857142857142</v>
      </c>
      <c r="J43" s="7">
        <f t="shared" si="21"/>
        <v>14.461291071428573</v>
      </c>
      <c r="K43" s="68">
        <v>1</v>
      </c>
      <c r="L43">
        <v>1</v>
      </c>
      <c r="M43" s="7">
        <f>'CHN raw data'!E46</f>
        <v>15.005260467529297</v>
      </c>
      <c r="N43" s="7">
        <f>'CHN raw data'!F46</f>
        <v>0.98068386316299438</v>
      </c>
      <c r="O43" s="7">
        <f>'CHN raw data'!D46</f>
        <v>0.97036200761795044</v>
      </c>
      <c r="R43">
        <f>sal_pH!D80</f>
        <v>37.42</v>
      </c>
      <c r="S43" s="7">
        <f>sal_pH!I80</f>
        <v>8.6050000000000004</v>
      </c>
      <c r="T43" s="161">
        <f>'traps and logs'!K49</f>
        <v>43016</v>
      </c>
      <c r="U43" s="161">
        <f t="shared" si="22"/>
        <v>43032</v>
      </c>
      <c r="V43" s="190">
        <f t="shared" si="23"/>
        <v>43024</v>
      </c>
      <c r="W43" s="68">
        <f t="shared" si="14"/>
        <v>208</v>
      </c>
      <c r="X43">
        <v>12</v>
      </c>
      <c r="AB43">
        <f>'BSi_results and calculations'!K45</f>
        <v>3.7155409090909086</v>
      </c>
      <c r="AC43">
        <f>'BSi_results and calculations'!L45</f>
        <v>7.9482681818181815</v>
      </c>
      <c r="AF43" s="7">
        <f>'PIC raw data'!AC41</f>
        <v>67.919164718905449</v>
      </c>
      <c r="AG43" s="224">
        <f t="shared" si="15"/>
        <v>8.1500093246374341</v>
      </c>
      <c r="AH43" s="7">
        <f t="shared" si="16"/>
        <v>6.8552511428918628</v>
      </c>
      <c r="AI43" s="618">
        <f t="shared" si="17"/>
        <v>99.567893089391944</v>
      </c>
      <c r="AJ43" s="7">
        <f t="shared" si="18"/>
        <v>95.523294915085742</v>
      </c>
      <c r="AL43" s="578">
        <f t="shared" si="24"/>
        <v>0.72061882475298999</v>
      </c>
      <c r="AM43" s="366">
        <f t="shared" si="19"/>
        <v>8.2410910689177808</v>
      </c>
    </row>
    <row r="44" spans="1:39">
      <c r="A44">
        <v>2017</v>
      </c>
      <c r="B44" t="s">
        <v>1750</v>
      </c>
      <c r="C44">
        <v>14</v>
      </c>
      <c r="D44">
        <v>6</v>
      </c>
      <c r="E44" s="68">
        <f>mass_filt!V51</f>
        <v>787.87142857142851</v>
      </c>
      <c r="F44">
        <v>0.5</v>
      </c>
      <c r="G44" t="s">
        <v>2148</v>
      </c>
      <c r="H44">
        <f t="shared" si="20"/>
        <v>16</v>
      </c>
      <c r="I44" s="7">
        <f t="shared" si="13"/>
        <v>98.483928571428564</v>
      </c>
      <c r="J44" s="7">
        <f t="shared" si="21"/>
        <v>35.971254910714286</v>
      </c>
      <c r="K44" s="68">
        <v>1</v>
      </c>
      <c r="L44">
        <v>1</v>
      </c>
      <c r="M44" s="7">
        <f>'CHN raw data'!E47</f>
        <v>15.577505111694336</v>
      </c>
      <c r="N44" s="7">
        <f>'CHN raw data'!F47</f>
        <v>1.0398762226104736</v>
      </c>
      <c r="O44" s="7">
        <f>'CHN raw data'!D47</f>
        <v>0.96969813108444214</v>
      </c>
      <c r="R44">
        <f>sal_pH!D81</f>
        <v>37.53</v>
      </c>
      <c r="S44" s="7">
        <f>sal_pH!I81</f>
        <v>8.5269999999999992</v>
      </c>
      <c r="T44" s="161">
        <f>'traps and logs'!K50</f>
        <v>43032</v>
      </c>
      <c r="U44" s="161">
        <f t="shared" si="22"/>
        <v>43048</v>
      </c>
      <c r="V44" s="190">
        <f t="shared" si="23"/>
        <v>43040</v>
      </c>
      <c r="W44" s="68">
        <f t="shared" si="14"/>
        <v>224</v>
      </c>
      <c r="X44">
        <v>13</v>
      </c>
      <c r="AB44">
        <f>'BSi_results and calculations'!K46</f>
        <v>3.3873235294117641</v>
      </c>
      <c r="AC44">
        <f>'BSi_results and calculations'!L46</f>
        <v>7.2461470588235306</v>
      </c>
      <c r="AF44" s="7">
        <f>'PIC raw data'!AC42</f>
        <v>67.376509500914366</v>
      </c>
      <c r="AG44" s="224">
        <f t="shared" si="15"/>
        <v>8.084893019026282</v>
      </c>
      <c r="AH44" s="7">
        <f t="shared" si="16"/>
        <v>7.4926120926680539</v>
      </c>
      <c r="AI44" s="618">
        <f t="shared" si="17"/>
        <v>100.02412047475237</v>
      </c>
      <c r="AJ44" s="7">
        <f t="shared" si="18"/>
        <v>95.603479340078209</v>
      </c>
      <c r="AL44" s="578">
        <f t="shared" si="24"/>
        <v>1.2486641912696974</v>
      </c>
      <c r="AM44" s="366">
        <f t="shared" si="19"/>
        <v>9.0134658617056385</v>
      </c>
    </row>
    <row r="45" spans="1:39">
      <c r="A45">
        <v>2017</v>
      </c>
      <c r="B45" t="s">
        <v>1750</v>
      </c>
      <c r="C45">
        <v>15</v>
      </c>
      <c r="D45">
        <v>15</v>
      </c>
      <c r="E45" s="68">
        <f>mass_filt!V52</f>
        <v>1495.7571428571428</v>
      </c>
      <c r="F45">
        <v>0.5</v>
      </c>
      <c r="G45" t="s">
        <v>2148</v>
      </c>
      <c r="H45">
        <f t="shared" si="20"/>
        <v>16</v>
      </c>
      <c r="I45" s="7">
        <f t="shared" si="13"/>
        <v>186.96964285714284</v>
      </c>
      <c r="J45" s="7">
        <f t="shared" si="21"/>
        <v>68.290662053571424</v>
      </c>
      <c r="K45" s="68">
        <v>1</v>
      </c>
      <c r="L45">
        <v>1</v>
      </c>
      <c r="M45" s="7">
        <f>'CHN raw data'!E48</f>
        <v>14.214753150939941</v>
      </c>
      <c r="N45" s="7">
        <f>'CHN raw data'!F48</f>
        <v>1.0195066928863525</v>
      </c>
      <c r="O45" s="7">
        <f>'CHN raw data'!D48</f>
        <v>0.81664425134658813</v>
      </c>
      <c r="R45">
        <f>sal_pH!D82</f>
        <v>37.43</v>
      </c>
      <c r="S45" s="7">
        <f>sal_pH!I82</f>
        <v>8.5020000000000007</v>
      </c>
      <c r="T45" s="161">
        <f>'traps and logs'!K51</f>
        <v>43048</v>
      </c>
      <c r="U45" s="161">
        <f t="shared" si="22"/>
        <v>43064</v>
      </c>
      <c r="V45" s="190">
        <f t="shared" si="23"/>
        <v>43056</v>
      </c>
      <c r="W45" s="68">
        <f t="shared" si="14"/>
        <v>240</v>
      </c>
      <c r="X45">
        <v>14</v>
      </c>
      <c r="AB45">
        <f>AVERAGE('BSi_results and calculations'!K47:K48)</f>
        <v>5.9608663733517453</v>
      </c>
      <c r="AC45">
        <f>AVERAGE('BSi_results and calculations'!L47:L48)</f>
        <v>12.751458183506815</v>
      </c>
      <c r="AF45" s="7">
        <f>'PIC raw data'!AC43</f>
        <v>66.998406899227675</v>
      </c>
      <c r="AG45" s="224">
        <f t="shared" si="15"/>
        <v>8.0395223236979501</v>
      </c>
      <c r="AH45" s="7">
        <f t="shared" si="16"/>
        <v>6.1752308272419913</v>
      </c>
      <c r="AI45" s="618">
        <f t="shared" si="17"/>
        <v>102.0814194909254</v>
      </c>
      <c r="AJ45" s="7">
        <f t="shared" si="18"/>
        <v>98.438033302852617</v>
      </c>
      <c r="AL45" s="578">
        <f t="shared" si="24"/>
        <v>1.4388604881266489</v>
      </c>
      <c r="AM45" s="366">
        <f t="shared" si="19"/>
        <v>8.8209511013148294</v>
      </c>
    </row>
    <row r="46" spans="1:39">
      <c r="A46">
        <v>2017</v>
      </c>
      <c r="B46" t="s">
        <v>1750</v>
      </c>
      <c r="C46">
        <v>16</v>
      </c>
      <c r="D46">
        <v>29</v>
      </c>
      <c r="E46" s="68">
        <f>mass_filt!V54</f>
        <v>1953.4285714285713</v>
      </c>
      <c r="F46">
        <v>0.5</v>
      </c>
      <c r="G46" t="s">
        <v>2148</v>
      </c>
      <c r="H46">
        <f t="shared" si="20"/>
        <v>16</v>
      </c>
      <c r="I46" s="7">
        <f t="shared" si="13"/>
        <v>244.17857142857142</v>
      </c>
      <c r="J46" s="7">
        <f t="shared" si="21"/>
        <v>89.186223214285718</v>
      </c>
      <c r="K46" s="68">
        <v>1</v>
      </c>
      <c r="L46">
        <v>1</v>
      </c>
      <c r="M46" s="7">
        <f>'CHN raw data'!E49</f>
        <v>14.793381690979004</v>
      </c>
      <c r="N46" s="7">
        <f>'CHN raw data'!F49</f>
        <v>1.2745882272720337</v>
      </c>
      <c r="O46" s="7">
        <f>'CHN raw data'!D49</f>
        <v>1.0350735187530518</v>
      </c>
      <c r="R46">
        <f>sal_pH!D83</f>
        <v>36.51</v>
      </c>
      <c r="S46" s="7">
        <f>sal_pH!I83</f>
        <v>8.3000000000000007</v>
      </c>
      <c r="T46" s="161">
        <f>'traps and logs'!K52</f>
        <v>43064</v>
      </c>
      <c r="U46" s="161">
        <f t="shared" si="22"/>
        <v>43080</v>
      </c>
      <c r="V46" s="190">
        <f t="shared" si="23"/>
        <v>43072</v>
      </c>
      <c r="W46" s="68">
        <f t="shared" si="14"/>
        <v>256</v>
      </c>
      <c r="X46">
        <v>15</v>
      </c>
      <c r="AB46">
        <f>'BSi_results and calculations'!K49</f>
        <v>7.8207506124090509</v>
      </c>
      <c r="AC46">
        <f>'BSi_results and calculations'!L49</f>
        <v>16.730114072611606</v>
      </c>
      <c r="AF46" s="7">
        <f>'PIC raw data'!AC44</f>
        <v>57.382422453129784</v>
      </c>
      <c r="AG46" s="224">
        <f t="shared" si="15"/>
        <v>6.8856453108457618</v>
      </c>
      <c r="AH46" s="7">
        <f t="shared" si="16"/>
        <v>7.9077363801332421</v>
      </c>
      <c r="AI46" s="618">
        <f t="shared" si="17"/>
        <v>101.71543357430042</v>
      </c>
      <c r="AJ46" s="7">
        <f t="shared" si="18"/>
        <v>97.049869110021817</v>
      </c>
      <c r="AL46" s="578">
        <f t="shared" si="24"/>
        <v>1.288772019113863</v>
      </c>
      <c r="AM46" s="366">
        <f t="shared" si="19"/>
        <v>8.9120191890981246</v>
      </c>
    </row>
    <row r="47" spans="1:39">
      <c r="A47">
        <v>2017</v>
      </c>
      <c r="B47" t="s">
        <v>1750</v>
      </c>
      <c r="C47">
        <v>17</v>
      </c>
      <c r="D47">
        <v>15</v>
      </c>
      <c r="E47" s="68">
        <f>mass_filt!V57</f>
        <v>1052.0000000000002</v>
      </c>
      <c r="F47">
        <v>0.5</v>
      </c>
      <c r="G47" t="s">
        <v>2148</v>
      </c>
      <c r="H47">
        <f t="shared" si="20"/>
        <v>16</v>
      </c>
      <c r="I47" s="7">
        <f t="shared" si="13"/>
        <v>131.50000000000003</v>
      </c>
      <c r="J47" s="7">
        <f t="shared" si="21"/>
        <v>48.030375000000014</v>
      </c>
      <c r="K47" s="68">
        <v>1</v>
      </c>
      <c r="L47">
        <v>1</v>
      </c>
      <c r="M47" s="7">
        <f>'CHN raw data'!E50</f>
        <v>15.333839416503906</v>
      </c>
      <c r="N47" s="7">
        <f>'CHN raw data'!F50</f>
        <v>1.3438026905059814</v>
      </c>
      <c r="O47" s="7">
        <f>'CHN raw data'!D50</f>
        <v>1.1258214712142944</v>
      </c>
      <c r="R47">
        <f>AVERAGE(sal_pH!G84,sal_pH!D84)</f>
        <v>37.165000000000006</v>
      </c>
      <c r="S47" s="7">
        <f>AVERAGE(sal_pH!L84,sal_pH!I84)</f>
        <v>8.4809999999999999</v>
      </c>
      <c r="T47" s="161">
        <f>'traps and logs'!K53</f>
        <v>43080</v>
      </c>
      <c r="U47" s="161">
        <f t="shared" si="22"/>
        <v>43096</v>
      </c>
      <c r="V47" s="190">
        <f t="shared" si="23"/>
        <v>43088</v>
      </c>
      <c r="W47" s="68">
        <f t="shared" si="14"/>
        <v>272</v>
      </c>
      <c r="X47">
        <v>16</v>
      </c>
      <c r="AB47">
        <f>'BSi_results and calculations'!K50</f>
        <v>8.0342161016949145</v>
      </c>
      <c r="AC47">
        <f>'BSi_results and calculations'!L50</f>
        <v>17.186758474576273</v>
      </c>
      <c r="AF47" s="7">
        <f>'PIC raw data'!AC45</f>
        <v>53.537468736849512</v>
      </c>
      <c r="AG47" s="224">
        <f t="shared" si="15"/>
        <v>6.424267307005838</v>
      </c>
      <c r="AH47" s="7">
        <f t="shared" si="16"/>
        <v>8.9095721094980682</v>
      </c>
      <c r="AI47" s="618">
        <f t="shared" si="17"/>
        <v>101.17247682912878</v>
      </c>
      <c r="AJ47" s="7">
        <f t="shared" si="18"/>
        <v>95.915829284524918</v>
      </c>
      <c r="AL47" s="578">
        <f t="shared" si="24"/>
        <v>0.85337165239358936</v>
      </c>
      <c r="AM47" s="366">
        <f t="shared" si="19"/>
        <v>9.2317162622378177</v>
      </c>
    </row>
    <row r="48" spans="1:39">
      <c r="A48">
        <v>2017</v>
      </c>
      <c r="B48" t="s">
        <v>1750</v>
      </c>
      <c r="C48">
        <v>18</v>
      </c>
      <c r="D48">
        <v>29</v>
      </c>
      <c r="E48" s="68">
        <f>mass_filt!V60</f>
        <v>1195.3</v>
      </c>
      <c r="F48">
        <v>0.5</v>
      </c>
      <c r="G48" t="s">
        <v>2148</v>
      </c>
      <c r="H48">
        <f t="shared" si="20"/>
        <v>16</v>
      </c>
      <c r="I48" s="7">
        <f t="shared" si="13"/>
        <v>149.41249999999999</v>
      </c>
      <c r="J48" s="7">
        <f t="shared" si="21"/>
        <v>54.572915625</v>
      </c>
      <c r="K48" s="68">
        <v>1</v>
      </c>
      <c r="L48">
        <v>1</v>
      </c>
      <c r="M48" s="370">
        <f>AVERAGE('CHN raw data'!E51:E52)</f>
        <v>15.605513095855713</v>
      </c>
      <c r="N48" s="370">
        <f>AVERAGE('CHN raw data'!F51:F52)</f>
        <v>1.708217978477478</v>
      </c>
      <c r="O48" s="370">
        <f>AVERAGE('CHN raw data'!D51:D52)</f>
        <v>1.4201022386550903</v>
      </c>
      <c r="R48">
        <f>sal_pH!D85</f>
        <v>37</v>
      </c>
      <c r="S48" s="7">
        <f>sal_pH!I85</f>
        <v>8.3770000000000007</v>
      </c>
      <c r="T48" s="161">
        <f>'traps and logs'!K54</f>
        <v>43096</v>
      </c>
      <c r="U48" s="161">
        <f t="shared" si="22"/>
        <v>43112</v>
      </c>
      <c r="V48" s="190">
        <f t="shared" si="23"/>
        <v>43104</v>
      </c>
      <c r="W48" s="68">
        <f t="shared" si="14"/>
        <v>288</v>
      </c>
      <c r="X48">
        <v>17</v>
      </c>
      <c r="AB48">
        <f>AVERAGE('BSi_results and calculations'!K51,'BSi_results and calculations'!K53)</f>
        <v>10.318784755568069</v>
      </c>
      <c r="AC48">
        <f>AVERAGE('BSi_results and calculations'!L51,'BSi_results and calculations'!L53)</f>
        <v>22.073897328660923</v>
      </c>
      <c r="AF48" s="7">
        <f>'PIC raw data'!AC46</f>
        <v>45.878368821279238</v>
      </c>
      <c r="AG48" s="224">
        <f t="shared" si="15"/>
        <v>5.5052080696231345</v>
      </c>
      <c r="AH48" s="7">
        <f t="shared" si="16"/>
        <v>10.100305026232579</v>
      </c>
      <c r="AI48" s="618">
        <f t="shared" si="17"/>
        <v>102.26024587928175</v>
      </c>
      <c r="AJ48" s="7">
        <f t="shared" si="18"/>
        <v>96.30106591380455</v>
      </c>
      <c r="AL48" s="578">
        <f t="shared" si="24"/>
        <v>1.2497722146708687</v>
      </c>
      <c r="AM48" s="366">
        <f t="shared" si="19"/>
        <v>8.2967882342968888</v>
      </c>
    </row>
    <row r="49" spans="1:46">
      <c r="A49">
        <v>2017</v>
      </c>
      <c r="B49" t="s">
        <v>1750</v>
      </c>
      <c r="C49">
        <v>19</v>
      </c>
      <c r="D49">
        <v>30</v>
      </c>
      <c r="E49" s="68">
        <f>mass_filt!V63</f>
        <v>1184.8</v>
      </c>
      <c r="F49">
        <v>0.5</v>
      </c>
      <c r="G49" t="s">
        <v>2148</v>
      </c>
      <c r="H49">
        <f t="shared" si="20"/>
        <v>16</v>
      </c>
      <c r="I49" s="7">
        <f t="shared" si="13"/>
        <v>148.1</v>
      </c>
      <c r="J49" s="7">
        <f t="shared" si="21"/>
        <v>54.093525</v>
      </c>
      <c r="K49" s="68">
        <v>1</v>
      </c>
      <c r="L49">
        <v>1</v>
      </c>
      <c r="M49" s="7">
        <f>'CHN raw data'!E53</f>
        <v>14.809057235717773</v>
      </c>
      <c r="N49" s="7">
        <f>'CHN raw data'!F53</f>
        <v>1.3881611824035645</v>
      </c>
      <c r="O49" s="7">
        <f>'CHN raw data'!D53</f>
        <v>1.1675206422805786</v>
      </c>
      <c r="R49">
        <f>sal_pH!D86</f>
        <v>36.85</v>
      </c>
      <c r="S49" s="7">
        <f>sal_pH!I86</f>
        <v>8.4770000000000003</v>
      </c>
      <c r="T49" s="161">
        <f>'traps and logs'!K55</f>
        <v>43112</v>
      </c>
      <c r="U49" s="161">
        <f t="shared" si="22"/>
        <v>43128</v>
      </c>
      <c r="V49" s="190">
        <f t="shared" si="23"/>
        <v>43120</v>
      </c>
      <c r="W49" s="68">
        <f t="shared" si="14"/>
        <v>304</v>
      </c>
      <c r="X49">
        <v>18</v>
      </c>
      <c r="AB49">
        <f>'BSi_results and calculations'!K54</f>
        <v>9.1074559442643732</v>
      </c>
      <c r="AC49">
        <f>'BSi_results and calculations'!L54</f>
        <v>19.482628255281103</v>
      </c>
      <c r="AF49" s="7">
        <f>'PIC raw data'!AC47</f>
        <v>53.506000158278269</v>
      </c>
      <c r="AG49" s="224">
        <f t="shared" si="15"/>
        <v>6.4204912121458646</v>
      </c>
      <c r="AH49" s="7">
        <f t="shared" si="16"/>
        <v>8.3885660235719079</v>
      </c>
      <c r="AI49" s="618">
        <f t="shared" si="17"/>
        <v>102.23581672740592</v>
      </c>
      <c r="AJ49" s="7">
        <f t="shared" si="18"/>
        <v>97.286562773498503</v>
      </c>
      <c r="AL49" s="578">
        <f t="shared" si="24"/>
        <v>1.0447971781305114</v>
      </c>
      <c r="AM49" s="366">
        <f t="shared" si="19"/>
        <v>8.3814331823679158</v>
      </c>
    </row>
    <row r="50" spans="1:46">
      <c r="A50">
        <v>2017</v>
      </c>
      <c r="B50" t="s">
        <v>1750</v>
      </c>
      <c r="C50">
        <v>20</v>
      </c>
      <c r="D50">
        <v>19</v>
      </c>
      <c r="E50" s="68">
        <f>mass_filt!V66</f>
        <v>1109.3857142857144</v>
      </c>
      <c r="F50">
        <v>0.5</v>
      </c>
      <c r="G50" t="s">
        <v>2148</v>
      </c>
      <c r="H50">
        <f t="shared" si="20"/>
        <v>16</v>
      </c>
      <c r="I50" s="7">
        <f t="shared" si="13"/>
        <v>138.67321428571429</v>
      </c>
      <c r="J50" s="7">
        <f t="shared" si="21"/>
        <v>50.650391517857152</v>
      </c>
      <c r="K50" s="68">
        <v>1</v>
      </c>
      <c r="L50">
        <v>1</v>
      </c>
      <c r="M50" s="7">
        <f>'CHN raw data'!E54</f>
        <v>14.79266357421875</v>
      </c>
      <c r="N50" s="7">
        <f>'CHN raw data'!F54</f>
        <v>1.0979647636413574</v>
      </c>
      <c r="O50" s="7">
        <f>'CHN raw data'!D54</f>
        <v>0.97524410486221313</v>
      </c>
      <c r="R50">
        <f>sal_pH!D87</f>
        <v>37.270000000000003</v>
      </c>
      <c r="S50" s="7">
        <f>sal_pH!I87</f>
        <v>8.4629999999999992</v>
      </c>
      <c r="T50" s="161">
        <f>'traps and logs'!K56</f>
        <v>43128</v>
      </c>
      <c r="U50" s="161">
        <f t="shared" si="22"/>
        <v>43144</v>
      </c>
      <c r="V50" s="190">
        <f t="shared" si="23"/>
        <v>43136</v>
      </c>
      <c r="W50" s="68">
        <f t="shared" si="14"/>
        <v>320</v>
      </c>
      <c r="X50">
        <v>19</v>
      </c>
      <c r="AB50">
        <f>'BSi_results and calculations'!K55</f>
        <v>5.3202747951662994</v>
      </c>
      <c r="AC50">
        <f>'BSi_results and calculations'!L55</f>
        <v>11.381107598488535</v>
      </c>
      <c r="AF50" s="7">
        <f>'PIC raw data'!AC48</f>
        <v>64.843304807162724</v>
      </c>
      <c r="AG50" s="224">
        <f t="shared" si="15"/>
        <v>7.7809192884785556</v>
      </c>
      <c r="AH50" s="7">
        <f t="shared" si="16"/>
        <v>7.0117442857401944</v>
      </c>
      <c r="AI50" s="618">
        <f t="shared" si="17"/>
        <v>100.73910079870015</v>
      </c>
      <c r="AJ50" s="7">
        <f t="shared" si="18"/>
        <v>96.602171670113435</v>
      </c>
      <c r="AL50" s="578">
        <f t="shared" si="24"/>
        <v>0.54877393823758047</v>
      </c>
      <c r="AM50" s="366">
        <f t="shared" si="19"/>
        <v>8.387023566797069</v>
      </c>
    </row>
    <row r="51" spans="1:46">
      <c r="A51">
        <v>2017</v>
      </c>
      <c r="B51" t="s">
        <v>1750</v>
      </c>
      <c r="C51">
        <v>21</v>
      </c>
      <c r="D51">
        <v>2</v>
      </c>
      <c r="E51" s="68">
        <f>mass_filt!V69</f>
        <v>169.55714285714288</v>
      </c>
      <c r="F51">
        <v>0.5</v>
      </c>
      <c r="G51" t="s">
        <v>2148</v>
      </c>
      <c r="H51">
        <f t="shared" si="20"/>
        <v>16</v>
      </c>
      <c r="I51" s="7">
        <f t="shared" si="13"/>
        <v>21.19464285714286</v>
      </c>
      <c r="J51" s="7">
        <f t="shared" si="21"/>
        <v>7.7413433035714299</v>
      </c>
      <c r="K51" s="68">
        <v>1</v>
      </c>
      <c r="L51">
        <v>1</v>
      </c>
      <c r="M51" s="7">
        <f>'CHN raw data'!E56</f>
        <v>15.475208282470703</v>
      </c>
      <c r="N51" s="7">
        <f>'CHN raw data'!F56</f>
        <v>1.0893306732177734</v>
      </c>
      <c r="O51" s="7">
        <f>'CHN raw data'!D56</f>
        <v>1.1818984746932983</v>
      </c>
      <c r="R51">
        <f>sal_pH!D88</f>
        <v>37.72</v>
      </c>
      <c r="S51" s="7">
        <f>sal_pH!I88</f>
        <v>8.532</v>
      </c>
      <c r="T51" s="161">
        <f>'traps and logs'!K57</f>
        <v>43144</v>
      </c>
      <c r="U51" s="161">
        <f>'traps and logs'!K58</f>
        <v>43160</v>
      </c>
      <c r="V51" s="190">
        <f t="shared" si="23"/>
        <v>43152</v>
      </c>
      <c r="W51" s="68">
        <f t="shared" si="14"/>
        <v>336</v>
      </c>
      <c r="X51">
        <v>20</v>
      </c>
      <c r="AB51">
        <f>'BSi_results and calculations'!K56</f>
        <v>3.6869498918197303</v>
      </c>
      <c r="AC51">
        <f>'BSi_results and calculations'!L56</f>
        <v>7.8871064079547022</v>
      </c>
      <c r="AF51" s="7">
        <f>'PIC raw data'!AC49</f>
        <v>68.59309359225982</v>
      </c>
      <c r="AG51" s="224">
        <f t="shared" si="15"/>
        <v>8.2308779075287628</v>
      </c>
      <c r="AH51" s="7">
        <f t="shared" si="16"/>
        <v>7.2443303749419403</v>
      </c>
      <c r="AI51" s="618">
        <f t="shared" si="17"/>
        <v>101.25946345117757</v>
      </c>
      <c r="AJ51" s="7">
        <f t="shared" si="18"/>
        <v>96.985308529961813</v>
      </c>
      <c r="AL51" s="578">
        <f t="shared" si="24"/>
        <v>0.28627592860588519</v>
      </c>
      <c r="AM51" s="366">
        <f t="shared" si="19"/>
        <v>7.150117909855207</v>
      </c>
    </row>
    <row r="52" spans="1:46">
      <c r="A52" s="55" t="s">
        <v>2146</v>
      </c>
      <c r="B52" s="116"/>
      <c r="C52" s="117"/>
      <c r="D52" s="118"/>
      <c r="E52" s="116"/>
      <c r="F52" s="116"/>
      <c r="G52" s="73"/>
      <c r="H52" s="116"/>
      <c r="I52" s="116"/>
      <c r="J52" s="117"/>
      <c r="K52" s="117"/>
      <c r="L52" s="116"/>
      <c r="M52" s="119"/>
      <c r="N52" s="119"/>
      <c r="O52" s="119"/>
      <c r="P52" s="119"/>
      <c r="Q52" s="120"/>
      <c r="R52" s="119"/>
      <c r="S52" s="116"/>
      <c r="T52" s="121"/>
      <c r="U52" s="121"/>
      <c r="V52" s="122"/>
      <c r="W52" s="116"/>
      <c r="X52" s="116"/>
      <c r="Y52" s="123"/>
      <c r="Z52" s="117"/>
      <c r="AA52" s="117"/>
      <c r="AB52" s="77"/>
      <c r="AC52" s="77"/>
      <c r="AD52" s="117"/>
      <c r="AE52" s="117"/>
      <c r="AF52" s="117"/>
      <c r="AG52" s="117"/>
      <c r="AH52" s="99"/>
      <c r="AI52" s="620"/>
      <c r="AJ52" s="64"/>
      <c r="AK52" s="579" t="s">
        <v>2304</v>
      </c>
      <c r="AL52" s="192">
        <f>AVERAGE(AL31:AL51)</f>
        <v>0.99459121774697778</v>
      </c>
      <c r="AM52" s="119"/>
      <c r="AN52" s="117"/>
      <c r="AO52" s="117"/>
      <c r="AP52" s="117"/>
      <c r="AQ52" s="117"/>
      <c r="AR52" s="117"/>
      <c r="AS52" s="117"/>
      <c r="AT52" s="117"/>
    </row>
    <row r="53" spans="1:46">
      <c r="E53" s="68"/>
      <c r="AI53" s="618"/>
      <c r="AJ53" s="7"/>
      <c r="AM53" s="7"/>
    </row>
    <row r="54" spans="1:46" s="105" customFormat="1">
      <c r="A54" s="102" t="s">
        <v>1706</v>
      </c>
      <c r="B54" s="196" t="s">
        <v>2891</v>
      </c>
      <c r="C54" s="104"/>
      <c r="E54" s="107"/>
      <c r="F54" s="107"/>
      <c r="G54" s="73"/>
      <c r="H54" s="108" t="s">
        <v>2691</v>
      </c>
      <c r="I54" s="109" t="s">
        <v>2140</v>
      </c>
      <c r="J54" s="110"/>
      <c r="K54" s="110"/>
      <c r="L54" s="110"/>
      <c r="M54" s="111"/>
      <c r="N54" s="111"/>
      <c r="O54" s="111"/>
      <c r="P54" s="111"/>
      <c r="Q54" s="112"/>
      <c r="R54" s="110"/>
      <c r="S54" s="110"/>
      <c r="T54" s="113"/>
      <c r="U54" s="113"/>
      <c r="V54" s="114"/>
      <c r="W54" s="108">
        <v>0</v>
      </c>
      <c r="X54" s="115"/>
      <c r="Y54" s="115"/>
      <c r="Z54" s="110"/>
      <c r="AA54" s="110"/>
      <c r="AB54" s="61"/>
      <c r="AC54" s="61"/>
      <c r="AD54" s="7"/>
      <c r="AE54" s="7"/>
      <c r="AF54"/>
      <c r="AG54" s="7"/>
      <c r="AH54" s="99"/>
      <c r="AI54" s="618" t="s">
        <v>2141</v>
      </c>
      <c r="AJ54" s="7"/>
      <c r="AK54" s="77"/>
      <c r="AL54" s="582" t="s">
        <v>2826</v>
      </c>
      <c r="AM54" s="106"/>
      <c r="AN54" s="110"/>
      <c r="AO54" s="101"/>
      <c r="AP54" s="40"/>
      <c r="AQ54" s="110"/>
      <c r="AR54" s="110"/>
      <c r="AS54" s="110"/>
      <c r="AT54" s="110"/>
    </row>
    <row r="55" spans="1:46">
      <c r="A55">
        <v>2017</v>
      </c>
      <c r="B55" t="s">
        <v>1776</v>
      </c>
      <c r="C55" t="s">
        <v>2149</v>
      </c>
      <c r="D55">
        <v>4</v>
      </c>
      <c r="E55" s="68">
        <f>mass_filt!V72</f>
        <v>378.02857142857141</v>
      </c>
      <c r="F55">
        <v>0.5</v>
      </c>
      <c r="G55" t="s">
        <v>2148</v>
      </c>
      <c r="H55">
        <f>U55-T55</f>
        <v>16</v>
      </c>
      <c r="I55" s="7">
        <f t="shared" ref="I55:I75" si="25">E55/F55/H55</f>
        <v>47.253571428571426</v>
      </c>
      <c r="J55" s="7">
        <f>0.001*365.25*E55/F55/H55</f>
        <v>17.259366964285714</v>
      </c>
      <c r="K55" s="68">
        <v>1</v>
      </c>
      <c r="L55">
        <v>1</v>
      </c>
      <c r="M55" s="370">
        <f>AVERAGE('CHN raw data'!E57:E58)</f>
        <v>14.449564456939697</v>
      </c>
      <c r="N55" s="370">
        <f>AVERAGE('CHN raw data'!F57:F58)</f>
        <v>0.94772279262542725</v>
      </c>
      <c r="O55" s="370">
        <f>AVERAGE('CHN raw data'!D57:D58)</f>
        <v>0.87072771787643433</v>
      </c>
      <c r="R55">
        <f>sal_pH!D89</f>
        <v>37.28</v>
      </c>
      <c r="S55" s="7">
        <f>sal_pH!I89</f>
        <v>8.5489999999999995</v>
      </c>
      <c r="T55" s="161">
        <f>'traps and logs'!R37</f>
        <v>42824</v>
      </c>
      <c r="U55" s="161">
        <f>T56</f>
        <v>42840</v>
      </c>
      <c r="V55" s="190">
        <f>AVERAGE(T55:U55)</f>
        <v>42832</v>
      </c>
      <c r="W55" s="68">
        <f t="shared" ref="W55:W75" si="26">H55+W54</f>
        <v>16</v>
      </c>
      <c r="X55">
        <v>0</v>
      </c>
      <c r="AB55">
        <f>AVERAGE('BSi_results and calculations'!K57:K58)</f>
        <v>4.6444293848860845</v>
      </c>
      <c r="AC55">
        <f>AVERAGE('BSi_results and calculations'!L57:L58)</f>
        <v>9.9353421764971479</v>
      </c>
      <c r="AF55">
        <f>'PIC raw data'!AC50</f>
        <v>66.787964866764781</v>
      </c>
      <c r="AG55" s="224">
        <f t="shared" ref="AG55:AG76" si="27">AF55*12.01/100.0869</f>
        <v>8.0142701797122804</v>
      </c>
      <c r="AH55" s="7">
        <f t="shared" ref="AH55:AH75" si="28">M55-AG55</f>
        <v>6.4352942772274169</v>
      </c>
      <c r="AI55" s="618">
        <f t="shared" ref="AI55:AI75" si="29">AF55+(AC55*1.11)+(AH55*2.79)+3.7</f>
        <v>99.470665716141113</v>
      </c>
      <c r="AJ55" s="7">
        <f t="shared" ref="AJ55:AJ75" si="30">AF55+AC55*1.11+AH55*2.2+3.7</f>
        <v>95.673842092576933</v>
      </c>
      <c r="AL55" s="578">
        <f>E7/E55</f>
        <v>0.78614617186909541</v>
      </c>
      <c r="AM55" s="366">
        <f t="shared" ref="AM55:AM75" si="31">(AH55/12.01)/(O55/14.01)</f>
        <v>8.621466989788674</v>
      </c>
    </row>
    <row r="56" spans="1:46">
      <c r="A56">
        <v>2017</v>
      </c>
      <c r="B56" t="s">
        <v>1776</v>
      </c>
      <c r="C56">
        <v>2</v>
      </c>
      <c r="D56">
        <v>4</v>
      </c>
      <c r="E56" s="68">
        <f>mass_filt!V73</f>
        <v>436.18571428571437</v>
      </c>
      <c r="F56">
        <v>0.5</v>
      </c>
      <c r="G56" t="s">
        <v>2148</v>
      </c>
      <c r="H56">
        <f t="shared" ref="H56:H75" si="32">U56-T56</f>
        <v>16</v>
      </c>
      <c r="I56" s="7">
        <f t="shared" si="25"/>
        <v>54.523214285714296</v>
      </c>
      <c r="J56" s="7">
        <f t="shared" ref="J56:J75" si="33">0.001*365.25*E56/F56/H56</f>
        <v>19.914604017857148</v>
      </c>
      <c r="K56" s="425">
        <v>4</v>
      </c>
      <c r="L56">
        <v>1</v>
      </c>
      <c r="M56" s="7">
        <f>'CHN raw data'!E59</f>
        <v>13.149917602539063</v>
      </c>
      <c r="N56" s="7">
        <f>'CHN raw data'!F59</f>
        <v>0.60131376981735229</v>
      </c>
      <c r="O56" s="7">
        <f>'CHN raw data'!D59</f>
        <v>0.56721854209899902</v>
      </c>
      <c r="R56">
        <f>sal_pH!D90</f>
        <v>36.72</v>
      </c>
      <c r="S56" s="7">
        <f>sal_pH!I90</f>
        <v>8.6180000000000003</v>
      </c>
      <c r="T56" s="161">
        <f>'traps and logs'!R38</f>
        <v>42840</v>
      </c>
      <c r="U56" s="161">
        <f t="shared" ref="U56:U74" si="34">T57</f>
        <v>42856</v>
      </c>
      <c r="V56" s="190">
        <f t="shared" ref="V56:V75" si="35">AVERAGE(T56:U56)</f>
        <v>42848</v>
      </c>
      <c r="W56" s="68">
        <f t="shared" si="26"/>
        <v>32</v>
      </c>
      <c r="X56">
        <v>1</v>
      </c>
      <c r="AB56">
        <f>'BSi_results and calculations'!K59</f>
        <v>3.0722960237775929</v>
      </c>
      <c r="AC56">
        <f>'BSi_results and calculations'!L59</f>
        <v>6.5722416542825037</v>
      </c>
      <c r="AF56">
        <f>'PIC raw data'!AC51</f>
        <v>77.195638160724116</v>
      </c>
      <c r="AG56" s="224">
        <f t="shared" si="27"/>
        <v>9.2631464688215601</v>
      </c>
      <c r="AH56" s="7">
        <f t="shared" si="28"/>
        <v>3.8867711337175024</v>
      </c>
      <c r="AI56" s="618">
        <f t="shared" si="29"/>
        <v>99.034917860049532</v>
      </c>
      <c r="AJ56" s="7">
        <f t="shared" si="30"/>
        <v>96.741722891156201</v>
      </c>
      <c r="AL56" s="578">
        <f t="shared" ref="AL56:AL75" si="36">E8/E56</f>
        <v>0.53168702715095117</v>
      </c>
      <c r="AM56" s="366">
        <f t="shared" si="31"/>
        <v>7.9934392237095633</v>
      </c>
    </row>
    <row r="57" spans="1:46">
      <c r="A57">
        <v>2017</v>
      </c>
      <c r="B57" t="s">
        <v>1776</v>
      </c>
      <c r="C57">
        <v>3</v>
      </c>
      <c r="D57">
        <v>4</v>
      </c>
      <c r="E57" s="68">
        <f>mass_filt!V75</f>
        <v>503.48571428571427</v>
      </c>
      <c r="F57">
        <v>0.5</v>
      </c>
      <c r="G57" t="s">
        <v>2148</v>
      </c>
      <c r="H57">
        <f t="shared" si="32"/>
        <v>16</v>
      </c>
      <c r="I57" s="7">
        <f t="shared" si="25"/>
        <v>62.935714285714283</v>
      </c>
      <c r="J57" s="7">
        <f t="shared" si="33"/>
        <v>22.987269642857143</v>
      </c>
      <c r="K57" s="68">
        <v>1</v>
      </c>
      <c r="L57">
        <v>1</v>
      </c>
      <c r="M57" s="7">
        <f>'CHN raw data'!E60</f>
        <v>13.338409423828125</v>
      </c>
      <c r="N57" s="7">
        <f>'CHN raw data'!F60</f>
        <v>0.62602132558822632</v>
      </c>
      <c r="O57" s="7">
        <f>'CHN raw data'!D60</f>
        <v>0.57704097032546997</v>
      </c>
      <c r="R57">
        <f>sal_pH!D91</f>
        <v>36.85</v>
      </c>
      <c r="S57" s="7">
        <f>sal_pH!I91</f>
        <v>8.6289999999999996</v>
      </c>
      <c r="T57" s="161">
        <f>'traps and logs'!R39</f>
        <v>42856</v>
      </c>
      <c r="U57" s="161">
        <f t="shared" si="34"/>
        <v>42872</v>
      </c>
      <c r="V57" s="190">
        <f t="shared" si="35"/>
        <v>42864</v>
      </c>
      <c r="W57" s="68">
        <f t="shared" si="26"/>
        <v>48</v>
      </c>
      <c r="X57">
        <v>2</v>
      </c>
      <c r="AB57">
        <f>'BSi_results and calculations'!K60</f>
        <v>2.594775722021661</v>
      </c>
      <c r="AC57">
        <f>'BSi_results and calculations'!L60</f>
        <v>5.5507324007220227</v>
      </c>
      <c r="AF57">
        <f>'PIC raw data'!AC52</f>
        <v>77.974805954600711</v>
      </c>
      <c r="AG57" s="224">
        <f t="shared" si="27"/>
        <v>9.3566432721440513</v>
      </c>
      <c r="AH57" s="7">
        <f t="shared" si="28"/>
        <v>3.9817661516840737</v>
      </c>
      <c r="AI57" s="618">
        <f t="shared" si="29"/>
        <v>98.945246482600723</v>
      </c>
      <c r="AJ57" s="7">
        <f t="shared" si="30"/>
        <v>96.596004453107113</v>
      </c>
      <c r="AL57" s="578">
        <f t="shared" si="36"/>
        <v>0.18542163205084555</v>
      </c>
      <c r="AM57" s="366">
        <f t="shared" si="31"/>
        <v>8.0494133343838552</v>
      </c>
    </row>
    <row r="58" spans="1:46">
      <c r="A58">
        <v>2017</v>
      </c>
      <c r="B58" t="s">
        <v>1776</v>
      </c>
      <c r="C58">
        <v>4</v>
      </c>
      <c r="D58">
        <v>4</v>
      </c>
      <c r="E58" s="68">
        <f>mass_filt!V76</f>
        <v>525.70000000000005</v>
      </c>
      <c r="F58">
        <v>0.5</v>
      </c>
      <c r="G58" t="s">
        <v>2148</v>
      </c>
      <c r="H58">
        <f t="shared" si="32"/>
        <v>16</v>
      </c>
      <c r="I58" s="7">
        <f t="shared" si="25"/>
        <v>65.712500000000006</v>
      </c>
      <c r="J58" s="7">
        <f t="shared" si="33"/>
        <v>24.001490625000002</v>
      </c>
      <c r="K58" s="68">
        <v>1</v>
      </c>
      <c r="L58">
        <v>1</v>
      </c>
      <c r="M58" s="7">
        <f>'CHN raw data'!E61</f>
        <v>13.126797676086426</v>
      </c>
      <c r="N58" s="7">
        <f>'CHN raw data'!F61</f>
        <v>0.60353296995162964</v>
      </c>
      <c r="O58" s="7">
        <f>'CHN raw data'!D61</f>
        <v>0.56734365224838257</v>
      </c>
      <c r="R58">
        <f>sal_pH!D92</f>
        <v>37.159999999999997</v>
      </c>
      <c r="S58" s="7">
        <f>sal_pH!I92</f>
        <v>8.625</v>
      </c>
      <c r="T58" s="161">
        <f>'traps and logs'!R40</f>
        <v>42872</v>
      </c>
      <c r="U58" s="161">
        <f t="shared" si="34"/>
        <v>42888</v>
      </c>
      <c r="V58" s="190">
        <f t="shared" si="35"/>
        <v>42880</v>
      </c>
      <c r="W58" s="68">
        <f t="shared" si="26"/>
        <v>64</v>
      </c>
      <c r="X58">
        <v>3</v>
      </c>
      <c r="AB58">
        <f>'BSi_results and calculations'!K61</f>
        <v>2.5566374412391353</v>
      </c>
      <c r="AC58">
        <f>'BSi_results and calculations'!L61</f>
        <v>5.4691471642598675</v>
      </c>
      <c r="AF58">
        <f>'PIC raw data'!AC53</f>
        <v>78.201737405835971</v>
      </c>
      <c r="AG58" s="224">
        <f t="shared" si="27"/>
        <v>9.3838740758689703</v>
      </c>
      <c r="AH58" s="7">
        <f t="shared" si="28"/>
        <v>3.7429236002174555</v>
      </c>
      <c r="AI58" s="618">
        <f t="shared" si="29"/>
        <v>98.415247602771132</v>
      </c>
      <c r="AJ58" s="7">
        <f t="shared" si="30"/>
        <v>96.206922678642826</v>
      </c>
      <c r="AL58" s="578">
        <f t="shared" si="36"/>
        <v>0.56797739068996433</v>
      </c>
      <c r="AM58" s="366">
        <f t="shared" si="31"/>
        <v>7.6959084063042997</v>
      </c>
    </row>
    <row r="59" spans="1:46">
      <c r="A59">
        <v>2017</v>
      </c>
      <c r="B59" t="s">
        <v>1776</v>
      </c>
      <c r="C59">
        <v>5</v>
      </c>
      <c r="D59">
        <v>4</v>
      </c>
      <c r="E59" s="68">
        <f>mass_filt!V77</f>
        <v>538.7285714285714</v>
      </c>
      <c r="F59">
        <v>0.5</v>
      </c>
      <c r="G59" t="s">
        <v>2148</v>
      </c>
      <c r="H59">
        <f t="shared" si="32"/>
        <v>16</v>
      </c>
      <c r="I59" s="7">
        <f t="shared" si="25"/>
        <v>67.341071428571425</v>
      </c>
      <c r="J59" s="7">
        <f t="shared" si="33"/>
        <v>24.596326339285714</v>
      </c>
      <c r="K59" s="68">
        <v>1</v>
      </c>
      <c r="L59">
        <v>1</v>
      </c>
      <c r="M59" s="7">
        <f>'CHN raw data'!E62</f>
        <v>13.504899024963379</v>
      </c>
      <c r="N59" s="7">
        <f>'CHN raw data'!F62</f>
        <v>0.66479098796844482</v>
      </c>
      <c r="O59" s="7">
        <f>'CHN raw data'!D62</f>
        <v>0.61224067211151123</v>
      </c>
      <c r="R59">
        <f>sal_pH!D93</f>
        <v>37.130000000000003</v>
      </c>
      <c r="S59" s="7">
        <f>sal_pH!I93</f>
        <v>8.625</v>
      </c>
      <c r="T59" s="161">
        <f>'traps and logs'!R41</f>
        <v>42888</v>
      </c>
      <c r="U59" s="161">
        <f t="shared" si="34"/>
        <v>42904</v>
      </c>
      <c r="V59" s="190">
        <f t="shared" si="35"/>
        <v>42896</v>
      </c>
      <c r="W59" s="68">
        <f t="shared" si="26"/>
        <v>80</v>
      </c>
      <c r="X59">
        <v>4</v>
      </c>
      <c r="AB59">
        <f>'BSi_results and calculations'!K62</f>
        <v>2.6383422983904601</v>
      </c>
      <c r="AC59">
        <f>'BSi_results and calculations'!L62</f>
        <v>5.6439298223667764</v>
      </c>
      <c r="AF59">
        <f>'PIC raw data'!AC54</f>
        <v>76.600431301857398</v>
      </c>
      <c r="AG59" s="224">
        <f t="shared" si="27"/>
        <v>9.1917241910310672</v>
      </c>
      <c r="AH59" s="7">
        <f t="shared" si="28"/>
        <v>4.3131748339323117</v>
      </c>
      <c r="AI59" s="618">
        <f t="shared" si="29"/>
        <v>98.598951191355667</v>
      </c>
      <c r="AJ59" s="7">
        <f t="shared" si="30"/>
        <v>96.054178039335611</v>
      </c>
      <c r="AL59" s="578">
        <f t="shared" si="36"/>
        <v>1.4992177348784175</v>
      </c>
      <c r="AM59" s="366">
        <f t="shared" si="31"/>
        <v>8.2180733528139012</v>
      </c>
    </row>
    <row r="60" spans="1:46">
      <c r="A60">
        <v>2017</v>
      </c>
      <c r="B60" t="s">
        <v>1776</v>
      </c>
      <c r="C60">
        <v>6</v>
      </c>
      <c r="D60">
        <v>4</v>
      </c>
      <c r="E60" s="68">
        <f>mass_filt!V78</f>
        <v>422.01428571428573</v>
      </c>
      <c r="F60">
        <v>0.5</v>
      </c>
      <c r="G60" t="s">
        <v>2148</v>
      </c>
      <c r="H60">
        <f t="shared" si="32"/>
        <v>16</v>
      </c>
      <c r="I60" s="7">
        <f t="shared" si="25"/>
        <v>52.751785714285717</v>
      </c>
      <c r="J60" s="7">
        <f t="shared" si="33"/>
        <v>19.267589732142859</v>
      </c>
      <c r="K60" s="68">
        <v>1</v>
      </c>
      <c r="L60">
        <v>1</v>
      </c>
      <c r="M60" s="7">
        <f>'CHN raw data'!E63</f>
        <v>14.781429290771484</v>
      </c>
      <c r="N60" s="7">
        <f>'CHN raw data'!F63</f>
        <v>0.90088808536529541</v>
      </c>
      <c r="O60" s="7">
        <f>'CHN raw data'!D63</f>
        <v>0.91153717041015625</v>
      </c>
      <c r="R60">
        <f>sal_pH!D94</f>
        <v>37.18</v>
      </c>
      <c r="S60" s="7">
        <f>sal_pH!I94</f>
        <v>8.5850000000000009</v>
      </c>
      <c r="T60" s="161">
        <f>'traps and logs'!R42</f>
        <v>42904</v>
      </c>
      <c r="U60" s="161">
        <f t="shared" si="34"/>
        <v>42920</v>
      </c>
      <c r="V60" s="190">
        <f t="shared" si="35"/>
        <v>42912</v>
      </c>
      <c r="W60" s="68">
        <f t="shared" si="26"/>
        <v>96</v>
      </c>
      <c r="X60">
        <v>5</v>
      </c>
      <c r="AB60">
        <f>'BSi_results and calculations'!K63</f>
        <v>2.9727659840941825</v>
      </c>
      <c r="AC60">
        <f>'BSi_results and calculations'!L63</f>
        <v>6.3593274469284227</v>
      </c>
      <c r="AF60">
        <f>'PIC raw data'!AC55</f>
        <v>70.438787792737728</v>
      </c>
      <c r="AG60" s="224">
        <f t="shared" si="27"/>
        <v>8.4523533188736995</v>
      </c>
      <c r="AH60" s="7">
        <f t="shared" si="28"/>
        <v>6.3290759718977849</v>
      </c>
      <c r="AI60" s="618">
        <f t="shared" si="29"/>
        <v>98.8557632204231</v>
      </c>
      <c r="AJ60" s="7">
        <f t="shared" si="30"/>
        <v>95.121608397003413</v>
      </c>
      <c r="AL60" s="578">
        <f t="shared" si="36"/>
        <v>0.28678785416878233</v>
      </c>
      <c r="AM60" s="366">
        <f t="shared" si="31"/>
        <v>8.0995530412485266</v>
      </c>
    </row>
    <row r="61" spans="1:46">
      <c r="A61">
        <v>2017</v>
      </c>
      <c r="B61" t="s">
        <v>1776</v>
      </c>
      <c r="C61">
        <v>7</v>
      </c>
      <c r="D61">
        <v>3</v>
      </c>
      <c r="E61" s="68">
        <f>mass_filt!V79</f>
        <v>457.61428571428564</v>
      </c>
      <c r="F61">
        <v>0.5</v>
      </c>
      <c r="G61" t="s">
        <v>2148</v>
      </c>
      <c r="H61">
        <f t="shared" si="32"/>
        <v>16</v>
      </c>
      <c r="I61" s="7">
        <f t="shared" si="25"/>
        <v>57.201785714285705</v>
      </c>
      <c r="J61" s="7">
        <f t="shared" si="33"/>
        <v>20.892952232142854</v>
      </c>
      <c r="K61" s="68">
        <v>1</v>
      </c>
      <c r="L61">
        <v>1</v>
      </c>
      <c r="M61" s="7">
        <f>'CHN raw data'!E64</f>
        <v>15.296235084533691</v>
      </c>
      <c r="N61" s="7">
        <f>'CHN raw data'!F64</f>
        <v>1.0355334281921387</v>
      </c>
      <c r="O61" s="7">
        <f>'CHN raw data'!D64</f>
        <v>1.0207319259643555</v>
      </c>
      <c r="R61">
        <f>sal_pH!D95</f>
        <v>37.130000000000003</v>
      </c>
      <c r="S61" s="7">
        <f>sal_pH!I95</f>
        <v>8.6180000000000003</v>
      </c>
      <c r="T61" s="161">
        <f>'traps and logs'!R43</f>
        <v>42920</v>
      </c>
      <c r="U61" s="161">
        <f t="shared" si="34"/>
        <v>42936</v>
      </c>
      <c r="V61" s="190">
        <f t="shared" si="35"/>
        <v>42928</v>
      </c>
      <c r="W61" s="68">
        <f t="shared" si="26"/>
        <v>112</v>
      </c>
      <c r="X61">
        <v>6</v>
      </c>
      <c r="AB61">
        <f>'BSi_results and calculations'!K65</f>
        <v>3.16176786473841</v>
      </c>
      <c r="AC61">
        <f>'BSi_results and calculations'!L65</f>
        <v>6.7636394087622316</v>
      </c>
      <c r="AF61">
        <f>'PIC raw data'!AC56</f>
        <v>67.582089077132139</v>
      </c>
      <c r="AG61" s="224">
        <f t="shared" si="27"/>
        <v>8.1095616890557807</v>
      </c>
      <c r="AH61" s="7">
        <f t="shared" si="28"/>
        <v>7.1866733954779107</v>
      </c>
      <c r="AI61" s="618">
        <f t="shared" si="29"/>
        <v>98.840547594241585</v>
      </c>
      <c r="AJ61" s="7">
        <f t="shared" si="30"/>
        <v>94.600410290909622</v>
      </c>
      <c r="AL61" s="578">
        <f t="shared" si="36"/>
        <v>0.11875253644678926</v>
      </c>
      <c r="AM61" s="366">
        <f t="shared" si="31"/>
        <v>8.2131799383265296</v>
      </c>
    </row>
    <row r="62" spans="1:46">
      <c r="A62">
        <v>2017</v>
      </c>
      <c r="B62" t="s">
        <v>1776</v>
      </c>
      <c r="C62">
        <v>8</v>
      </c>
      <c r="D62">
        <v>3</v>
      </c>
      <c r="E62" s="68">
        <f>mass_filt!V80</f>
        <v>435.92857142857144</v>
      </c>
      <c r="F62">
        <v>0.5</v>
      </c>
      <c r="G62" t="s">
        <v>2148</v>
      </c>
      <c r="H62">
        <f t="shared" si="32"/>
        <v>16</v>
      </c>
      <c r="I62" s="7">
        <f t="shared" si="25"/>
        <v>54.491071428571431</v>
      </c>
      <c r="J62" s="7">
        <f t="shared" si="33"/>
        <v>19.902863839285715</v>
      </c>
      <c r="K62" s="68">
        <v>1</v>
      </c>
      <c r="L62">
        <v>1</v>
      </c>
      <c r="M62" s="7">
        <f>'CHN raw data'!E65</f>
        <v>14.799246788024902</v>
      </c>
      <c r="N62" s="7">
        <f>'CHN raw data'!F65</f>
        <v>0.98585665225982666</v>
      </c>
      <c r="O62" s="7">
        <f>'CHN raw data'!D65</f>
        <v>0.94557881355285645</v>
      </c>
      <c r="R62">
        <f>sal_pH!D96</f>
        <v>36.68</v>
      </c>
      <c r="S62" s="7">
        <f>sal_pH!I96</f>
        <v>8.5909999999999993</v>
      </c>
      <c r="T62" s="161">
        <f>'traps and logs'!R44</f>
        <v>42936</v>
      </c>
      <c r="U62" s="161">
        <f t="shared" si="34"/>
        <v>42952</v>
      </c>
      <c r="V62" s="190">
        <f t="shared" si="35"/>
        <v>42944</v>
      </c>
      <c r="W62" s="68">
        <f t="shared" si="26"/>
        <v>128</v>
      </c>
      <c r="X62">
        <v>7</v>
      </c>
      <c r="AB62">
        <f>'BSi_results and calculations'!K66</f>
        <v>3.4741219788519642</v>
      </c>
      <c r="AC62">
        <f>'BSi_results and calculations'!L66</f>
        <v>7.4318259063444119</v>
      </c>
      <c r="AF62">
        <f>'PIC raw data'!AC57</f>
        <v>68.038919172259554</v>
      </c>
      <c r="AG62" s="224">
        <f t="shared" si="27"/>
        <v>8.1643793469358847</v>
      </c>
      <c r="AH62" s="7">
        <f t="shared" si="28"/>
        <v>6.6348674410890176</v>
      </c>
      <c r="AI62" s="618">
        <f t="shared" si="29"/>
        <v>98.499526088940215</v>
      </c>
      <c r="AJ62" s="7">
        <f t="shared" si="30"/>
        <v>94.584954298697696</v>
      </c>
      <c r="AL62" s="578">
        <f t="shared" si="36"/>
        <v>0.1452728166475504</v>
      </c>
      <c r="AM62" s="366">
        <f t="shared" si="31"/>
        <v>8.1852065933117792</v>
      </c>
    </row>
    <row r="63" spans="1:46">
      <c r="A63">
        <v>2017</v>
      </c>
      <c r="B63" t="s">
        <v>1776</v>
      </c>
      <c r="C63">
        <v>9</v>
      </c>
      <c r="D63">
        <v>3</v>
      </c>
      <c r="E63" s="68">
        <f>mass_filt!V81</f>
        <v>415.67142857142863</v>
      </c>
      <c r="F63">
        <v>0.5</v>
      </c>
      <c r="G63" t="s">
        <v>2148</v>
      </c>
      <c r="H63">
        <f t="shared" si="32"/>
        <v>16</v>
      </c>
      <c r="I63" s="7">
        <f t="shared" si="25"/>
        <v>51.958928571428579</v>
      </c>
      <c r="J63" s="7">
        <f t="shared" si="33"/>
        <v>18.977998660714288</v>
      </c>
      <c r="K63" s="68">
        <v>1</v>
      </c>
      <c r="L63">
        <v>1</v>
      </c>
      <c r="M63" s="7">
        <f>'CHN raw data'!E66</f>
        <v>15.572234153747559</v>
      </c>
      <c r="N63" s="7">
        <f>'CHN raw data'!F66</f>
        <v>1.1287246942520142</v>
      </c>
      <c r="O63" s="7">
        <f>'CHN raw data'!D66</f>
        <v>1.0858781337738037</v>
      </c>
      <c r="R63">
        <f>sal_pH!D97</f>
        <v>36.880000000000003</v>
      </c>
      <c r="S63" s="7">
        <f>sal_pH!I97</f>
        <v>8.5909999999999993</v>
      </c>
      <c r="T63" s="161">
        <f>'traps and logs'!R45</f>
        <v>42952</v>
      </c>
      <c r="U63" s="161">
        <f t="shared" si="34"/>
        <v>42968</v>
      </c>
      <c r="V63" s="190">
        <f t="shared" si="35"/>
        <v>42960</v>
      </c>
      <c r="W63" s="68">
        <f t="shared" si="26"/>
        <v>144</v>
      </c>
      <c r="X63">
        <v>8</v>
      </c>
      <c r="AB63">
        <f>'BSi_results and calculations'!K67</f>
        <v>3.3479798448652889</v>
      </c>
      <c r="AC63">
        <f>'BSi_results and calculations'!L67</f>
        <v>7.1619832281222928</v>
      </c>
      <c r="AF63">
        <f>'PIC raw data'!AC58</f>
        <v>66.097617870724363</v>
      </c>
      <c r="AG63" s="224">
        <f t="shared" si="27"/>
        <v>7.9314314923071807</v>
      </c>
      <c r="AH63" s="7">
        <f t="shared" si="28"/>
        <v>7.6408026614403779</v>
      </c>
      <c r="AI63" s="618">
        <f t="shared" si="29"/>
        <v>99.065258679358763</v>
      </c>
      <c r="AJ63" s="7">
        <f t="shared" si="30"/>
        <v>94.557185109108943</v>
      </c>
      <c r="AL63" s="578">
        <f t="shared" si="36"/>
        <v>0.23858129704093198</v>
      </c>
      <c r="AM63" s="366">
        <f t="shared" si="31"/>
        <v>8.2082962677661513</v>
      </c>
    </row>
    <row r="64" spans="1:46">
      <c r="A64">
        <v>2017</v>
      </c>
      <c r="B64" t="s">
        <v>1776</v>
      </c>
      <c r="C64">
        <v>10</v>
      </c>
      <c r="D64">
        <v>3</v>
      </c>
      <c r="E64" s="68">
        <f>mass_filt!V82</f>
        <v>403.55714285714282</v>
      </c>
      <c r="F64">
        <v>0.5</v>
      </c>
      <c r="G64" t="s">
        <v>2148</v>
      </c>
      <c r="H64">
        <f t="shared" si="32"/>
        <v>16</v>
      </c>
      <c r="I64" s="7">
        <f t="shared" si="25"/>
        <v>50.444642857142853</v>
      </c>
      <c r="J64" s="7">
        <f t="shared" si="33"/>
        <v>18.424905803571427</v>
      </c>
      <c r="K64" s="68">
        <v>1</v>
      </c>
      <c r="L64">
        <v>1</v>
      </c>
      <c r="M64" s="7">
        <f>'CHN raw data'!E67</f>
        <v>15.232702255249023</v>
      </c>
      <c r="N64" s="7">
        <f>'CHN raw data'!F67</f>
        <v>1.1118001937866211</v>
      </c>
      <c r="O64" s="7">
        <f>'CHN raw data'!D67</f>
        <v>1.0536642074584961</v>
      </c>
      <c r="R64">
        <f>AVERAGE(sal_pH!G98,sal_pH!D98)</f>
        <v>37.135000000000005</v>
      </c>
      <c r="S64" s="7">
        <f>AVERAGE(sal_pH!L98,sal_pH!I98)</f>
        <v>8.5609999999999999</v>
      </c>
      <c r="T64" s="161">
        <f>'traps and logs'!R46</f>
        <v>42968</v>
      </c>
      <c r="U64" s="161">
        <f t="shared" si="34"/>
        <v>42984</v>
      </c>
      <c r="V64" s="190">
        <f t="shared" si="35"/>
        <v>42976</v>
      </c>
      <c r="W64" s="68">
        <f t="shared" si="26"/>
        <v>160</v>
      </c>
      <c r="X64">
        <v>9</v>
      </c>
      <c r="AB64">
        <f>'BSi_results and calculations'!K68</f>
        <v>3.5840487511223573</v>
      </c>
      <c r="AC64">
        <f>'BSi_results and calculations'!L68</f>
        <v>7.6669807566729258</v>
      </c>
      <c r="AF64">
        <f>'PIC raw data'!AC59</f>
        <v>66.240396936302503</v>
      </c>
      <c r="AG64" s="224">
        <f t="shared" si="27"/>
        <v>7.9485643696127362</v>
      </c>
      <c r="AH64" s="7">
        <f t="shared" si="28"/>
        <v>7.2841378856362873</v>
      </c>
      <c r="AI64" s="618">
        <f t="shared" si="29"/>
        <v>98.773490277134698</v>
      </c>
      <c r="AJ64" s="7">
        <f t="shared" si="30"/>
        <v>94.475848924609295</v>
      </c>
      <c r="AL64" s="578">
        <f t="shared" si="36"/>
        <v>0.75875252221317568</v>
      </c>
      <c r="AM64" s="366">
        <f t="shared" si="31"/>
        <v>8.0643813873334622</v>
      </c>
    </row>
    <row r="65" spans="1:46">
      <c r="A65">
        <v>2017</v>
      </c>
      <c r="B65" t="s">
        <v>1776</v>
      </c>
      <c r="C65">
        <v>11</v>
      </c>
      <c r="D65">
        <v>2</v>
      </c>
      <c r="E65" s="68">
        <f>mass_filt!V83</f>
        <v>371.18571428571431</v>
      </c>
      <c r="F65">
        <v>0.5</v>
      </c>
      <c r="G65" t="s">
        <v>2148</v>
      </c>
      <c r="H65">
        <f t="shared" si="32"/>
        <v>16</v>
      </c>
      <c r="I65" s="7">
        <f t="shared" si="25"/>
        <v>46.398214285714289</v>
      </c>
      <c r="J65" s="7">
        <f t="shared" si="33"/>
        <v>16.946947767857147</v>
      </c>
      <c r="K65" s="68">
        <v>1</v>
      </c>
      <c r="L65">
        <v>1</v>
      </c>
      <c r="M65" s="7">
        <f>'CHN raw data'!E69</f>
        <v>14.561279296875</v>
      </c>
      <c r="N65" s="7">
        <f>'CHN raw data'!F69</f>
        <v>0.92492008209228516</v>
      </c>
      <c r="O65" s="7">
        <f>'CHN raw data'!D69</f>
        <v>0.92084378004074097</v>
      </c>
      <c r="R65">
        <f>sal_pH!D99</f>
        <v>37.17</v>
      </c>
      <c r="S65" s="7">
        <f>sal_pH!I99</f>
        <v>8.6029999999999998</v>
      </c>
      <c r="T65" s="161">
        <f>'traps and logs'!R47</f>
        <v>42984</v>
      </c>
      <c r="U65" s="161">
        <f t="shared" si="34"/>
        <v>43000</v>
      </c>
      <c r="V65" s="190">
        <f t="shared" si="35"/>
        <v>42992</v>
      </c>
      <c r="W65" s="68">
        <f t="shared" si="26"/>
        <v>176</v>
      </c>
      <c r="X65">
        <v>10</v>
      </c>
      <c r="AB65">
        <f>'BSi_results and calculations'!K69</f>
        <v>3.9359991414905364</v>
      </c>
      <c r="AC65">
        <f>'BSi_results and calculations'!L69</f>
        <v>8.4198714279874096</v>
      </c>
      <c r="AF65">
        <f>'PIC raw data'!AC60</f>
        <v>67.740119549827853</v>
      </c>
      <c r="AG65" s="224">
        <f t="shared" si="27"/>
        <v>8.1285246699960982</v>
      </c>
      <c r="AH65" s="7">
        <f t="shared" si="28"/>
        <v>6.4327546268789018</v>
      </c>
      <c r="AI65" s="618">
        <f t="shared" si="29"/>
        <v>98.733562243886013</v>
      </c>
      <c r="AJ65" s="7">
        <f t="shared" si="30"/>
        <v>94.938237014027465</v>
      </c>
      <c r="AL65" s="578">
        <f t="shared" si="36"/>
        <v>1.0629642458530577</v>
      </c>
      <c r="AM65" s="366">
        <f t="shared" si="31"/>
        <v>8.1490344686507221</v>
      </c>
    </row>
    <row r="66" spans="1:46">
      <c r="A66">
        <v>2017</v>
      </c>
      <c r="B66" t="s">
        <v>1776</v>
      </c>
      <c r="C66">
        <v>12</v>
      </c>
      <c r="D66">
        <v>3</v>
      </c>
      <c r="E66" s="68">
        <f>mass_filt!V84</f>
        <v>470.35714285714283</v>
      </c>
      <c r="F66">
        <v>0.5</v>
      </c>
      <c r="G66" t="s">
        <v>2148</v>
      </c>
      <c r="H66">
        <f t="shared" si="32"/>
        <v>16</v>
      </c>
      <c r="I66" s="7">
        <f t="shared" si="25"/>
        <v>58.794642857142854</v>
      </c>
      <c r="J66" s="7">
        <f t="shared" si="33"/>
        <v>21.474743303571429</v>
      </c>
      <c r="K66" s="68">
        <v>1</v>
      </c>
      <c r="L66">
        <v>1</v>
      </c>
      <c r="M66" s="7">
        <f>'CHN raw data'!E70</f>
        <v>15.105032920837402</v>
      </c>
      <c r="N66" s="7">
        <f>'CHN raw data'!F70</f>
        <v>1.0547530651092529</v>
      </c>
      <c r="O66" s="7">
        <f>'CHN raw data'!D70</f>
        <v>0.99744933843612671</v>
      </c>
      <c r="R66">
        <f>sal_pH!D100</f>
        <v>37.08</v>
      </c>
      <c r="S66" s="7">
        <f>sal_pH!I100</f>
        <v>8.5749999999999993</v>
      </c>
      <c r="T66" s="161">
        <f>'traps and logs'!R48</f>
        <v>43000</v>
      </c>
      <c r="U66" s="161">
        <f t="shared" si="34"/>
        <v>43016</v>
      </c>
      <c r="V66" s="190">
        <f t="shared" si="35"/>
        <v>43008</v>
      </c>
      <c r="W66" s="68">
        <f t="shared" si="26"/>
        <v>192</v>
      </c>
      <c r="X66">
        <v>11</v>
      </c>
      <c r="AB66">
        <f>'BSi_results and calculations'!K70</f>
        <v>3.8763983214354618</v>
      </c>
      <c r="AC66">
        <f>'BSi_results and calculations'!L70</f>
        <v>8.292373625313525</v>
      </c>
      <c r="AF66">
        <f>'PIC raw data'!AC61</f>
        <v>67.204531807899073</v>
      </c>
      <c r="AG66" s="224">
        <f t="shared" si="27"/>
        <v>8.0642564312898877</v>
      </c>
      <c r="AH66" s="7">
        <f t="shared" si="28"/>
        <v>7.0407764895475147</v>
      </c>
      <c r="AI66" s="618">
        <f t="shared" si="29"/>
        <v>99.752832937834654</v>
      </c>
      <c r="AJ66" s="7">
        <f t="shared" si="30"/>
        <v>95.598774809001625</v>
      </c>
      <c r="AL66" s="578">
        <f t="shared" si="36"/>
        <v>0.31109339407744874</v>
      </c>
      <c r="AM66" s="366">
        <f t="shared" si="31"/>
        <v>8.2342649896238314</v>
      </c>
    </row>
    <row r="67" spans="1:46">
      <c r="A67">
        <v>2017</v>
      </c>
      <c r="B67" t="s">
        <v>1776</v>
      </c>
      <c r="C67">
        <v>13</v>
      </c>
      <c r="D67">
        <v>2</v>
      </c>
      <c r="E67" s="68">
        <f>mass_filt!V85</f>
        <v>439.5428571428572</v>
      </c>
      <c r="F67">
        <v>0.5</v>
      </c>
      <c r="G67" t="s">
        <v>2148</v>
      </c>
      <c r="H67">
        <f t="shared" si="32"/>
        <v>16</v>
      </c>
      <c r="I67" s="7">
        <f t="shared" si="25"/>
        <v>54.94285714285715</v>
      </c>
      <c r="J67" s="7">
        <f t="shared" si="33"/>
        <v>20.067878571428576</v>
      </c>
      <c r="K67" s="68">
        <v>1</v>
      </c>
      <c r="L67">
        <v>1</v>
      </c>
      <c r="M67" s="7">
        <f>'CHN raw data'!E71</f>
        <v>14.010642051696777</v>
      </c>
      <c r="N67" s="7">
        <f>'CHN raw data'!F71</f>
        <v>0.86354482173919678</v>
      </c>
      <c r="O67" s="7">
        <f>'CHN raw data'!D71</f>
        <v>0.77720421552658081</v>
      </c>
      <c r="R67">
        <f>sal_pH!D101</f>
        <v>37.39</v>
      </c>
      <c r="S67" s="7">
        <f>sal_pH!I101</f>
        <v>8.6270000000000007</v>
      </c>
      <c r="T67" s="161">
        <f>'traps and logs'!R49</f>
        <v>43016</v>
      </c>
      <c r="U67" s="161">
        <f t="shared" si="34"/>
        <v>43032</v>
      </c>
      <c r="V67" s="190">
        <f t="shared" si="35"/>
        <v>43024</v>
      </c>
      <c r="W67" s="68">
        <f t="shared" si="26"/>
        <v>208</v>
      </c>
      <c r="X67">
        <v>12</v>
      </c>
      <c r="AB67">
        <f>'BSi_results and calculations'!K71</f>
        <v>3.7150514028699928</v>
      </c>
      <c r="AC67">
        <f>'BSi_results and calculations'!L71</f>
        <v>7.9472210323409707</v>
      </c>
      <c r="AF67">
        <f>'PIC raw data'!AC62</f>
        <v>70.42269473031817</v>
      </c>
      <c r="AG67" s="224">
        <f t="shared" si="27"/>
        <v>8.4504222202018564</v>
      </c>
      <c r="AH67" s="7">
        <f t="shared" si="28"/>
        <v>5.5602198314949209</v>
      </c>
      <c r="AI67" s="618">
        <f t="shared" si="29"/>
        <v>98.457123406087476</v>
      </c>
      <c r="AJ67" s="7">
        <f t="shared" si="30"/>
        <v>95.176593705505468</v>
      </c>
      <c r="AL67" s="578">
        <f t="shared" si="36"/>
        <v>0.1579238169526781</v>
      </c>
      <c r="AM67" s="366">
        <f t="shared" si="31"/>
        <v>8.3454919536215399</v>
      </c>
    </row>
    <row r="68" spans="1:46">
      <c r="A68">
        <v>2017</v>
      </c>
      <c r="B68" t="s">
        <v>1776</v>
      </c>
      <c r="C68">
        <v>14</v>
      </c>
      <c r="D68">
        <v>3</v>
      </c>
      <c r="E68" s="68">
        <f>mass_filt!V86</f>
        <v>630.97142857142853</v>
      </c>
      <c r="F68">
        <v>0.5</v>
      </c>
      <c r="G68" t="s">
        <v>2148</v>
      </c>
      <c r="H68">
        <f t="shared" si="32"/>
        <v>16</v>
      </c>
      <c r="I68" s="7">
        <f t="shared" si="25"/>
        <v>78.871428571428567</v>
      </c>
      <c r="J68" s="7">
        <f t="shared" si="33"/>
        <v>28.807789285714286</v>
      </c>
      <c r="K68" s="68">
        <v>1</v>
      </c>
      <c r="L68">
        <v>1</v>
      </c>
      <c r="M68" s="7">
        <f>'CHN raw data'!E72</f>
        <v>14.316464424133301</v>
      </c>
      <c r="N68" s="7">
        <f>'CHN raw data'!F72</f>
        <v>0.83633482456207275</v>
      </c>
      <c r="O68" s="7">
        <f>'CHN raw data'!D72</f>
        <v>0.73557496070861816</v>
      </c>
      <c r="R68">
        <f>sal_pH!D102</f>
        <v>37.4</v>
      </c>
      <c r="S68" s="7">
        <f>sal_pH!I102</f>
        <v>8.5869999999999997</v>
      </c>
      <c r="T68" s="161">
        <f>'traps and logs'!R50</f>
        <v>43032</v>
      </c>
      <c r="U68" s="161">
        <f t="shared" si="34"/>
        <v>43048</v>
      </c>
      <c r="V68" s="190">
        <f t="shared" si="35"/>
        <v>43040</v>
      </c>
      <c r="W68" s="68">
        <f t="shared" si="26"/>
        <v>224</v>
      </c>
      <c r="X68">
        <v>13</v>
      </c>
      <c r="AB68">
        <f>'BSi_results and calculations'!K72</f>
        <v>3.2359814482345901</v>
      </c>
      <c r="AC68">
        <f>'BSi_results and calculations'!L72</f>
        <v>6.9223967684021543</v>
      </c>
      <c r="AF68">
        <f>'PIC raw data'!AC63</f>
        <v>72.133338576172264</v>
      </c>
      <c r="AG68" s="224">
        <f t="shared" si="27"/>
        <v>8.6556921665055953</v>
      </c>
      <c r="AH68" s="7">
        <f t="shared" si="28"/>
        <v>5.6607722576277055</v>
      </c>
      <c r="AI68" s="618">
        <f t="shared" si="29"/>
        <v>99.310753587879958</v>
      </c>
      <c r="AJ68" s="7">
        <f t="shared" si="30"/>
        <v>95.970897955879607</v>
      </c>
      <c r="AL68" s="578">
        <f t="shared" si="36"/>
        <v>1.2843461329469301</v>
      </c>
      <c r="AM68" s="366">
        <f t="shared" si="31"/>
        <v>8.9772614479312001</v>
      </c>
    </row>
    <row r="69" spans="1:46">
      <c r="A69">
        <v>2017</v>
      </c>
      <c r="B69" t="s">
        <v>1776</v>
      </c>
      <c r="C69">
        <v>15</v>
      </c>
      <c r="D69">
        <v>7</v>
      </c>
      <c r="E69" s="68">
        <f>mass_filt!V87</f>
        <v>1039.5428571428572</v>
      </c>
      <c r="F69">
        <v>0.5</v>
      </c>
      <c r="G69" t="s">
        <v>2150</v>
      </c>
      <c r="H69">
        <f t="shared" si="32"/>
        <v>16</v>
      </c>
      <c r="I69" s="7">
        <f t="shared" si="25"/>
        <v>129.94285714285715</v>
      </c>
      <c r="J69" s="7">
        <f t="shared" si="33"/>
        <v>47.461628571428577</v>
      </c>
      <c r="K69" s="68">
        <v>1</v>
      </c>
      <c r="L69">
        <v>1</v>
      </c>
      <c r="M69" s="7">
        <f>'CHN raw data'!E73</f>
        <v>13.89695930480957</v>
      </c>
      <c r="N69" s="7">
        <f>'CHN raw data'!F73</f>
        <v>0.85087579488754272</v>
      </c>
      <c r="O69" s="7">
        <f>'CHN raw data'!D73</f>
        <v>0.68717598915100098</v>
      </c>
      <c r="R69">
        <f>sal_pH!D103</f>
        <v>37.340000000000003</v>
      </c>
      <c r="S69" s="7">
        <f>sal_pH!I103</f>
        <v>8.4830000000000005</v>
      </c>
      <c r="T69" s="161">
        <f>'traps and logs'!R51</f>
        <v>43048</v>
      </c>
      <c r="U69" s="161">
        <f t="shared" si="34"/>
        <v>43064</v>
      </c>
      <c r="V69" s="190">
        <f t="shared" si="35"/>
        <v>43056</v>
      </c>
      <c r="W69" s="68">
        <f t="shared" si="26"/>
        <v>240</v>
      </c>
      <c r="X69">
        <v>14</v>
      </c>
      <c r="AB69">
        <f>'BSi_results and calculations'!K73</f>
        <v>4.4518393939393945</v>
      </c>
      <c r="AC69">
        <f>'BSi_results and calculations'!L73</f>
        <v>9.5233545454545467</v>
      </c>
      <c r="AF69">
        <f>'PIC raw data'!AC64</f>
        <v>70.905242771025968</v>
      </c>
      <c r="AG69" s="224">
        <f t="shared" si="27"/>
        <v>8.5083259215743716</v>
      </c>
      <c r="AH69" s="7">
        <f t="shared" si="28"/>
        <v>5.3886333832351987</v>
      </c>
      <c r="AI69" s="618">
        <f t="shared" si="29"/>
        <v>100.21045345570673</v>
      </c>
      <c r="AJ69" s="7">
        <f t="shared" si="30"/>
        <v>97.031159759597955</v>
      </c>
      <c r="AL69" s="578">
        <f t="shared" si="36"/>
        <v>1.5154738346525942</v>
      </c>
      <c r="AM69" s="366">
        <f t="shared" si="31"/>
        <v>9.1475709981309148</v>
      </c>
    </row>
    <row r="70" spans="1:46">
      <c r="A70">
        <v>2017</v>
      </c>
      <c r="B70" t="s">
        <v>1776</v>
      </c>
      <c r="C70">
        <v>16</v>
      </c>
      <c r="D70">
        <v>20</v>
      </c>
      <c r="E70" s="68">
        <f>mass_filt!V89</f>
        <v>1515.7285714285715</v>
      </c>
      <c r="F70">
        <v>0.5</v>
      </c>
      <c r="G70" t="s">
        <v>2151</v>
      </c>
      <c r="H70">
        <f t="shared" si="32"/>
        <v>16</v>
      </c>
      <c r="I70" s="7">
        <f t="shared" si="25"/>
        <v>189.46607142857144</v>
      </c>
      <c r="J70" s="7">
        <f t="shared" si="33"/>
        <v>69.202482589285722</v>
      </c>
      <c r="K70" s="68">
        <v>1</v>
      </c>
      <c r="L70" s="193">
        <v>2</v>
      </c>
      <c r="M70" s="7">
        <f>'CHN raw data'!E74</f>
        <v>13.75196361541748</v>
      </c>
      <c r="N70" s="7">
        <f>'CHN raw data'!F74</f>
        <v>1.0415389537811279</v>
      </c>
      <c r="O70" s="7">
        <f>'CHN raw data'!D74</f>
        <v>0.80116128921508789</v>
      </c>
      <c r="R70">
        <f>sal_pH!D104</f>
        <v>36.659999999999997</v>
      </c>
      <c r="S70" s="7">
        <f>sal_pH!I104</f>
        <v>8.4580000000000002</v>
      </c>
      <c r="T70" s="161">
        <f>'traps and logs'!R52</f>
        <v>43064</v>
      </c>
      <c r="U70" s="161">
        <f t="shared" si="34"/>
        <v>43080</v>
      </c>
      <c r="V70" s="190">
        <f t="shared" si="35"/>
        <v>43072</v>
      </c>
      <c r="W70" s="68">
        <f t="shared" si="26"/>
        <v>256</v>
      </c>
      <c r="X70">
        <v>15</v>
      </c>
      <c r="AB70">
        <f>'BSi_results and calculations'!K74</f>
        <v>7.219189339306527</v>
      </c>
      <c r="AC70">
        <f>'BSi_results and calculations'!L74</f>
        <v>15.443256938374125</v>
      </c>
      <c r="AF70">
        <f>'PIC raw data'!AC65</f>
        <v>62.701261210272605</v>
      </c>
      <c r="AG70" s="224">
        <f t="shared" si="27"/>
        <v>7.523883216838307</v>
      </c>
      <c r="AH70" s="7">
        <f t="shared" si="28"/>
        <v>6.2280803985791735</v>
      </c>
      <c r="AI70" s="618">
        <f t="shared" si="29"/>
        <v>100.91962072390379</v>
      </c>
      <c r="AJ70" s="7">
        <f t="shared" si="30"/>
        <v>97.245053288742071</v>
      </c>
      <c r="AL70" s="578">
        <f t="shared" si="36"/>
        <v>0.62840124032761235</v>
      </c>
      <c r="AM70" s="366">
        <f t="shared" si="31"/>
        <v>9.0683731293809924</v>
      </c>
    </row>
    <row r="71" spans="1:46">
      <c r="A71">
        <v>2017</v>
      </c>
      <c r="B71" t="s">
        <v>1776</v>
      </c>
      <c r="C71">
        <v>17</v>
      </c>
      <c r="D71">
        <v>16</v>
      </c>
      <c r="E71" s="68">
        <f>mass_filt!V92</f>
        <v>1232.757142857143</v>
      </c>
      <c r="F71">
        <v>0.5</v>
      </c>
      <c r="G71" t="s">
        <v>2151</v>
      </c>
      <c r="H71">
        <f t="shared" si="32"/>
        <v>16</v>
      </c>
      <c r="I71" s="7">
        <f t="shared" si="25"/>
        <v>154.09464285714287</v>
      </c>
      <c r="J71" s="7">
        <f t="shared" si="33"/>
        <v>56.28306830357144</v>
      </c>
      <c r="K71" s="68">
        <v>1</v>
      </c>
      <c r="L71">
        <v>1</v>
      </c>
      <c r="M71" s="7">
        <f>'CHN raw data'!E75</f>
        <v>14.60549259185791</v>
      </c>
      <c r="N71" s="7">
        <f>'CHN raw data'!F75</f>
        <v>1.2121556997299194</v>
      </c>
      <c r="O71" s="7">
        <f>'CHN raw data'!D75</f>
        <v>0.9976387619972229</v>
      </c>
      <c r="R71">
        <f>AVERAGE(sal_pH!G105,sal_pH!D105)</f>
        <v>36.64</v>
      </c>
      <c r="S71" s="7">
        <f>AVERAGE(sal_pH!L105,sal_pH!I105)</f>
        <v>8.3999999999999986</v>
      </c>
      <c r="T71" s="161">
        <f>'traps and logs'!R53</f>
        <v>43080</v>
      </c>
      <c r="U71" s="161">
        <f t="shared" si="34"/>
        <v>43096</v>
      </c>
      <c r="V71" s="190">
        <f t="shared" si="35"/>
        <v>43088</v>
      </c>
      <c r="W71" s="68">
        <f t="shared" si="26"/>
        <v>272</v>
      </c>
      <c r="X71">
        <v>16</v>
      </c>
      <c r="AB71">
        <f>'BSi_results and calculations'!K75</f>
        <v>7.6515185159077026</v>
      </c>
      <c r="AC71">
        <f>'BSi_results and calculations'!L75</f>
        <v>16.36809354292965</v>
      </c>
      <c r="AF71">
        <f>'PIC raw data'!AC66</f>
        <v>57.257432179076496</v>
      </c>
      <c r="AG71" s="224">
        <f t="shared" si="27"/>
        <v>6.870647012453265</v>
      </c>
      <c r="AH71" s="7">
        <f t="shared" si="28"/>
        <v>7.7348455794046451</v>
      </c>
      <c r="AI71" s="618">
        <f t="shared" si="29"/>
        <v>100.70623517826736</v>
      </c>
      <c r="AJ71" s="7">
        <f t="shared" si="30"/>
        <v>96.142676286418634</v>
      </c>
      <c r="AL71" s="578">
        <f t="shared" si="36"/>
        <v>0.53515348869549095</v>
      </c>
      <c r="AM71" s="366">
        <f t="shared" si="31"/>
        <v>9.0442687908648374</v>
      </c>
    </row>
    <row r="72" spans="1:46">
      <c r="A72">
        <v>2017</v>
      </c>
      <c r="B72" t="s">
        <v>1776</v>
      </c>
      <c r="C72">
        <v>18</v>
      </c>
      <c r="D72">
        <v>14</v>
      </c>
      <c r="E72" s="68">
        <f>mass_filt!V95</f>
        <v>956.41428571428582</v>
      </c>
      <c r="F72">
        <v>0.5</v>
      </c>
      <c r="G72" t="s">
        <v>2151</v>
      </c>
      <c r="H72">
        <f t="shared" si="32"/>
        <v>16</v>
      </c>
      <c r="I72" s="7">
        <f t="shared" si="25"/>
        <v>119.55178571428573</v>
      </c>
      <c r="J72" s="7">
        <f t="shared" si="33"/>
        <v>43.666289732142864</v>
      </c>
      <c r="K72" s="68">
        <v>1</v>
      </c>
      <c r="L72">
        <v>1</v>
      </c>
      <c r="M72" s="7">
        <f>'CHN raw data'!E76</f>
        <v>14.900846481323242</v>
      </c>
      <c r="N72" s="7">
        <f>'CHN raw data'!F76</f>
        <v>1.4393258094787598</v>
      </c>
      <c r="O72" s="7">
        <f>'CHN raw data'!D76</f>
        <v>1.1548150777816772</v>
      </c>
      <c r="R72">
        <f>sal_pH!D106</f>
        <v>36.840000000000003</v>
      </c>
      <c r="S72" s="7">
        <f>sal_pH!I106</f>
        <v>8.5060000000000002</v>
      </c>
      <c r="T72" s="161">
        <f>'traps and logs'!R54</f>
        <v>43096</v>
      </c>
      <c r="U72" s="161">
        <f t="shared" si="34"/>
        <v>43112</v>
      </c>
      <c r="V72" s="190">
        <f t="shared" si="35"/>
        <v>43104</v>
      </c>
      <c r="W72" s="68">
        <f t="shared" si="26"/>
        <v>288</v>
      </c>
      <c r="X72">
        <v>17</v>
      </c>
      <c r="AB72">
        <f>'BSi_results and calculations'!K77</f>
        <v>9.0236397842971563</v>
      </c>
      <c r="AC72">
        <f>'BSi_results and calculations'!L77</f>
        <v>19.303329107811184</v>
      </c>
      <c r="AF72">
        <f>'PIC raw data'!AC67</f>
        <v>52.593011702261741</v>
      </c>
      <c r="AG72" s="224">
        <f t="shared" si="27"/>
        <v>6.3109365016217263</v>
      </c>
      <c r="AH72" s="7">
        <f t="shared" si="28"/>
        <v>8.5899099797015168</v>
      </c>
      <c r="AI72" s="618">
        <f t="shared" si="29"/>
        <v>101.6855558552994</v>
      </c>
      <c r="AJ72" s="7">
        <f t="shared" si="30"/>
        <v>96.617508967275498</v>
      </c>
      <c r="AL72" s="578">
        <f t="shared" si="36"/>
        <v>1.1052442904300288</v>
      </c>
      <c r="AM72" s="366">
        <f t="shared" si="31"/>
        <v>8.6770339131314085</v>
      </c>
    </row>
    <row r="73" spans="1:46">
      <c r="A73">
        <v>2017</v>
      </c>
      <c r="B73" t="s">
        <v>1776</v>
      </c>
      <c r="C73">
        <v>19</v>
      </c>
      <c r="D73">
        <v>30</v>
      </c>
      <c r="E73" s="68">
        <f>mass_filt!V98</f>
        <v>1134</v>
      </c>
      <c r="F73">
        <v>0.5</v>
      </c>
      <c r="G73" t="s">
        <v>2151</v>
      </c>
      <c r="H73">
        <f t="shared" si="32"/>
        <v>16</v>
      </c>
      <c r="I73" s="7">
        <f t="shared" si="25"/>
        <v>141.75</v>
      </c>
      <c r="J73" s="7">
        <f t="shared" si="33"/>
        <v>51.774187500000004</v>
      </c>
      <c r="K73" s="68">
        <v>1</v>
      </c>
      <c r="L73">
        <v>1</v>
      </c>
      <c r="M73" s="7">
        <f>'CHN raw data'!E77</f>
        <v>14.323931694030762</v>
      </c>
      <c r="N73" s="7">
        <f>'CHN raw data'!F77</f>
        <v>1.3337329626083374</v>
      </c>
      <c r="O73" s="7">
        <f>'CHN raw data'!D77</f>
        <v>1.015917181968689</v>
      </c>
      <c r="R73">
        <f>sal_pH!D107</f>
        <v>35.869999999999997</v>
      </c>
      <c r="S73" s="7">
        <f>sal_pH!I107</f>
        <v>8.4870000000000001</v>
      </c>
      <c r="T73" s="161">
        <f>'traps and logs'!R55</f>
        <v>43112</v>
      </c>
      <c r="U73" s="161">
        <f t="shared" si="34"/>
        <v>43128</v>
      </c>
      <c r="V73" s="190">
        <f t="shared" si="35"/>
        <v>43120</v>
      </c>
      <c r="W73" s="68">
        <f t="shared" si="26"/>
        <v>304</v>
      </c>
      <c r="X73">
        <v>18</v>
      </c>
      <c r="AB73">
        <f>'BSi_results and calculations'!K78</f>
        <v>8.5199900984893606</v>
      </c>
      <c r="AC73">
        <f>'BSi_results and calculations'!L78</f>
        <v>18.225923994952854</v>
      </c>
      <c r="AF73">
        <f>'PIC raw data'!AC68</f>
        <v>57.917395593542253</v>
      </c>
      <c r="AG73" s="224">
        <f t="shared" si="27"/>
        <v>6.9498397999982267</v>
      </c>
      <c r="AH73" s="7">
        <f t="shared" si="28"/>
        <v>7.3740918940325351</v>
      </c>
      <c r="AI73" s="618">
        <f t="shared" si="29"/>
        <v>102.4218876122907</v>
      </c>
      <c r="AJ73" s="7">
        <f t="shared" si="30"/>
        <v>98.07117339481151</v>
      </c>
      <c r="AL73" s="578">
        <f t="shared" si="36"/>
        <v>0.70618543713781801</v>
      </c>
      <c r="AM73" s="366">
        <f t="shared" si="31"/>
        <v>8.4673081976796727</v>
      </c>
    </row>
    <row r="74" spans="1:46">
      <c r="A74">
        <v>2017</v>
      </c>
      <c r="B74" t="s">
        <v>1776</v>
      </c>
      <c r="C74">
        <v>20</v>
      </c>
      <c r="D74">
        <v>45</v>
      </c>
      <c r="E74" s="68">
        <f>mass_filt!V101</f>
        <v>2021.5714285714284</v>
      </c>
      <c r="F74">
        <v>0.5</v>
      </c>
      <c r="G74" t="s">
        <v>2151</v>
      </c>
      <c r="H74">
        <f t="shared" si="32"/>
        <v>16</v>
      </c>
      <c r="I74" s="7">
        <f t="shared" si="25"/>
        <v>252.69642857142856</v>
      </c>
      <c r="J74" s="7">
        <f t="shared" si="33"/>
        <v>92.297370535714279</v>
      </c>
      <c r="K74" s="68">
        <v>1</v>
      </c>
      <c r="L74">
        <v>1</v>
      </c>
      <c r="M74" s="370">
        <f>AVERAGE('CHN raw data'!E78:E79)</f>
        <v>14.189774990081787</v>
      </c>
      <c r="N74" s="370">
        <f>AVERAGE('CHN raw data'!F78:F79)</f>
        <v>1.0691491961479187</v>
      </c>
      <c r="O74" s="370">
        <f>AVERAGE('CHN raw data'!D78:D79)</f>
        <v>0.92484325170516968</v>
      </c>
      <c r="R74">
        <f>sal_pH!D108</f>
        <v>35.520000000000003</v>
      </c>
      <c r="S74" s="7">
        <f>sal_pH!I108</f>
        <v>8.3670000000000009</v>
      </c>
      <c r="T74" s="161">
        <f>'traps and logs'!R56</f>
        <v>43128</v>
      </c>
      <c r="U74" s="161">
        <f t="shared" si="34"/>
        <v>43144</v>
      </c>
      <c r="V74" s="190">
        <f t="shared" si="35"/>
        <v>43136</v>
      </c>
      <c r="W74" s="68">
        <f t="shared" si="26"/>
        <v>320</v>
      </c>
      <c r="X74">
        <v>19</v>
      </c>
      <c r="AB74">
        <f>AVERAGE('BSi_results and calculations'!K79:K80)</f>
        <v>6.751974461787106</v>
      </c>
      <c r="AC74">
        <f>AVERAGE('BSi_results and calculations'!L79:L80)</f>
        <v>14.443793001380818</v>
      </c>
      <c r="AF74">
        <f>'PIC raw data'!AC69</f>
        <v>63.649707192043287</v>
      </c>
      <c r="AG74" s="224">
        <f t="shared" si="27"/>
        <v>7.6376926788264985</v>
      </c>
      <c r="AH74" s="7">
        <f t="shared" si="28"/>
        <v>6.5520823112552886</v>
      </c>
      <c r="AI74" s="618">
        <f t="shared" si="29"/>
        <v>101.66262707197825</v>
      </c>
      <c r="AJ74" s="7">
        <f t="shared" si="30"/>
        <v>97.796898508337634</v>
      </c>
      <c r="AL74" s="578">
        <f t="shared" si="36"/>
        <v>0.38585965656137383</v>
      </c>
      <c r="AM74" s="366">
        <f t="shared" si="31"/>
        <v>8.2643050722218163</v>
      </c>
    </row>
    <row r="75" spans="1:46">
      <c r="A75">
        <v>2017</v>
      </c>
      <c r="B75" t="s">
        <v>1776</v>
      </c>
      <c r="C75">
        <v>21</v>
      </c>
      <c r="D75">
        <v>10</v>
      </c>
      <c r="E75" s="68">
        <f>mass_filt!V105</f>
        <v>592.28571428571433</v>
      </c>
      <c r="F75">
        <v>0.5</v>
      </c>
      <c r="G75" t="s">
        <v>2151</v>
      </c>
      <c r="H75">
        <f t="shared" si="32"/>
        <v>16</v>
      </c>
      <c r="I75" s="7">
        <f t="shared" si="25"/>
        <v>74.035714285714292</v>
      </c>
      <c r="J75" s="7">
        <f t="shared" si="33"/>
        <v>27.041544642857147</v>
      </c>
      <c r="K75" s="68">
        <v>1</v>
      </c>
      <c r="L75">
        <v>1</v>
      </c>
      <c r="M75" s="7">
        <f>'CHN raw data'!E80</f>
        <v>12.772136688232422</v>
      </c>
      <c r="N75" s="7">
        <f>'CHN raw data'!F80</f>
        <v>0.76996004581451416</v>
      </c>
      <c r="O75" s="7">
        <f>'CHN raw data'!D80</f>
        <v>0.62740534543991089</v>
      </c>
      <c r="R75">
        <f>sal_pH!D109</f>
        <v>36.97</v>
      </c>
      <c r="S75" s="7">
        <f>sal_pH!I109</f>
        <v>8.5549999999999997</v>
      </c>
      <c r="T75" s="161">
        <f>'traps and logs'!R57</f>
        <v>43144</v>
      </c>
      <c r="U75" s="161">
        <f>'traps and logs'!R58</f>
        <v>43160</v>
      </c>
      <c r="V75" s="190">
        <f t="shared" si="35"/>
        <v>43152</v>
      </c>
      <c r="W75" s="68">
        <f t="shared" si="26"/>
        <v>336</v>
      </c>
      <c r="X75">
        <v>20</v>
      </c>
      <c r="AB75">
        <f>'BSi_results and calculations'!K81</f>
        <v>5.9307156115078881</v>
      </c>
      <c r="AC75">
        <f>'BSi_results and calculations'!L81</f>
        <v>12.686959811160875</v>
      </c>
      <c r="AF75">
        <f>'PIC raw data'!AC70</f>
        <v>69.230815392121485</v>
      </c>
      <c r="AG75" s="224">
        <f t="shared" si="27"/>
        <v>8.3074017964326909</v>
      </c>
      <c r="AH75" s="7">
        <f t="shared" si="28"/>
        <v>4.4647348917997309</v>
      </c>
      <c r="AI75" s="618">
        <f t="shared" si="29"/>
        <v>99.469951130631301</v>
      </c>
      <c r="AJ75" s="7">
        <f t="shared" si="30"/>
        <v>96.835757544469459</v>
      </c>
      <c r="AL75" s="578">
        <f t="shared" si="36"/>
        <v>6.760733236854799E-2</v>
      </c>
      <c r="AM75" s="366">
        <f t="shared" si="31"/>
        <v>8.3012327291660242</v>
      </c>
    </row>
    <row r="76" spans="1:46">
      <c r="A76" s="55" t="s">
        <v>2146</v>
      </c>
      <c r="B76" s="116"/>
      <c r="C76" s="117"/>
      <c r="D76" s="118"/>
      <c r="E76" s="119"/>
      <c r="F76" s="116"/>
      <c r="G76" s="73"/>
      <c r="H76" s="116"/>
      <c r="I76" s="116">
        <v>20</v>
      </c>
      <c r="J76" s="117">
        <v>20</v>
      </c>
      <c r="K76" s="117"/>
      <c r="L76" s="116"/>
      <c r="M76" s="119">
        <v>1.54E-2</v>
      </c>
      <c r="N76" s="119"/>
      <c r="O76" s="119">
        <v>2.5000000000000001E-3</v>
      </c>
      <c r="P76" s="119"/>
      <c r="Q76" s="120"/>
      <c r="R76" s="119"/>
      <c r="S76" s="116"/>
      <c r="T76" s="121"/>
      <c r="U76" s="121"/>
      <c r="V76" s="122"/>
      <c r="W76" s="116"/>
      <c r="X76" s="116"/>
      <c r="Y76" s="123"/>
      <c r="Z76" s="117"/>
      <c r="AA76" s="117"/>
      <c r="AB76" s="117">
        <v>0.128</v>
      </c>
      <c r="AC76" s="77"/>
      <c r="AD76" s="117"/>
      <c r="AE76" s="117"/>
      <c r="AF76" s="569">
        <v>0.37827359132425836</v>
      </c>
      <c r="AG76" s="570">
        <f t="shared" si="27"/>
        <v>4.5391213353639118E-2</v>
      </c>
      <c r="AH76" s="571">
        <f>SQRT((0.25^2+0.76^2))</f>
        <v>0.80006249755878445</v>
      </c>
      <c r="AI76" s="621"/>
      <c r="AJ76" s="77"/>
      <c r="AK76" s="579" t="s">
        <v>2304</v>
      </c>
      <c r="AL76" s="192">
        <f>AVERAGE(AL55:AL75)</f>
        <v>0.61327856443619444</v>
      </c>
      <c r="AM76" s="117"/>
      <c r="AN76" s="117" t="s">
        <v>2811</v>
      </c>
      <c r="AO76" s="117"/>
      <c r="AP76" s="117"/>
      <c r="AQ76" s="117"/>
      <c r="AR76" s="117"/>
      <c r="AS76" s="117"/>
      <c r="AT76" s="117"/>
    </row>
    <row r="78" spans="1:46">
      <c r="A78" s="118"/>
      <c r="B78" s="116"/>
      <c r="C78" s="117"/>
      <c r="D78" s="124"/>
      <c r="E78" s="119"/>
      <c r="F78" s="120"/>
      <c r="G78" s="73"/>
      <c r="H78" s="116"/>
      <c r="I78" s="116"/>
      <c r="J78" s="116"/>
      <c r="K78" s="116"/>
      <c r="L78" s="116"/>
      <c r="M78" s="125"/>
      <c r="N78" s="125"/>
      <c r="O78" s="125"/>
      <c r="P78" s="125"/>
      <c r="Q78" s="117"/>
      <c r="R78" s="119"/>
      <c r="S78" s="120"/>
      <c r="T78" s="121"/>
      <c r="U78" s="121"/>
      <c r="V78" s="122"/>
      <c r="W78" s="116"/>
      <c r="X78" s="116"/>
      <c r="Y78" s="123"/>
      <c r="Z78" s="117"/>
      <c r="AA78" s="117"/>
      <c r="AB78" s="77"/>
      <c r="AC78" s="77"/>
      <c r="AD78" s="117"/>
      <c r="AE78" s="117"/>
      <c r="AF78" s="117"/>
      <c r="AG78" s="117"/>
      <c r="AH78" s="99"/>
      <c r="AI78" s="621"/>
      <c r="AJ78" s="77"/>
      <c r="AK78" s="77"/>
      <c r="AM78" s="117"/>
      <c r="AN78" s="117"/>
      <c r="AO78" s="117"/>
      <c r="AP78" s="117"/>
      <c r="AQ78" s="117"/>
      <c r="AR78" s="117"/>
      <c r="AS78" s="117"/>
      <c r="AT78" s="117"/>
    </row>
    <row r="79" spans="1:46">
      <c r="A79" s="126"/>
      <c r="B79" s="126" t="s">
        <v>2152</v>
      </c>
      <c r="C79" s="77"/>
      <c r="D79" s="127" t="s">
        <v>2153</v>
      </c>
      <c r="E79" s="119"/>
      <c r="F79" s="116"/>
      <c r="G79" s="73"/>
      <c r="H79" s="116"/>
      <c r="I79" s="116"/>
      <c r="J79" s="116"/>
      <c r="K79" s="116"/>
      <c r="L79" s="116"/>
      <c r="M79" s="119"/>
      <c r="N79" s="119"/>
      <c r="O79" s="119"/>
      <c r="P79" s="119"/>
      <c r="Q79" s="120"/>
      <c r="R79" s="117"/>
      <c r="S79" s="117"/>
      <c r="T79" s="121"/>
      <c r="U79" s="121"/>
      <c r="V79" s="128"/>
      <c r="W79" s="117"/>
      <c r="X79" s="117"/>
      <c r="Y79" s="123"/>
      <c r="Z79" s="117"/>
      <c r="AA79" s="117"/>
      <c r="AB79" s="77"/>
      <c r="AC79" s="77"/>
      <c r="AD79" s="117"/>
      <c r="AE79" s="117"/>
      <c r="AF79" s="117"/>
      <c r="AG79" s="117"/>
      <c r="AH79" s="99"/>
      <c r="AI79" s="621"/>
      <c r="AJ79" s="77"/>
      <c r="AK79" s="77"/>
      <c r="AM79" s="117"/>
      <c r="AN79" s="117"/>
      <c r="AO79" s="117"/>
      <c r="AP79" s="117"/>
      <c r="AQ79" s="117"/>
      <c r="AR79" s="117"/>
      <c r="AS79" s="117"/>
      <c r="AT79" s="117"/>
    </row>
    <row r="80" spans="1:46">
      <c r="A80" s="129" t="s">
        <v>1708</v>
      </c>
      <c r="B80" s="77"/>
      <c r="C80" s="77"/>
      <c r="D80" s="127">
        <f>COUNT(F7:F27)</f>
        <v>21</v>
      </c>
      <c r="E80" s="119"/>
      <c r="F80" s="117"/>
      <c r="G80" s="73"/>
      <c r="H80" s="117"/>
      <c r="I80" s="116"/>
      <c r="J80" s="116"/>
      <c r="K80" s="116"/>
      <c r="L80" s="116"/>
      <c r="M80" s="119"/>
      <c r="N80" s="119"/>
      <c r="O80" s="119"/>
      <c r="P80" s="119"/>
      <c r="Q80" s="120"/>
      <c r="R80" s="119"/>
      <c r="S80" s="120"/>
      <c r="T80" s="121"/>
      <c r="U80" s="121"/>
      <c r="V80" s="128"/>
      <c r="W80" s="117"/>
      <c r="X80" s="117"/>
      <c r="Y80" s="123"/>
      <c r="Z80" s="117"/>
      <c r="AA80" s="117"/>
      <c r="AB80" s="77"/>
      <c r="AC80" s="77"/>
      <c r="AD80" s="117"/>
      <c r="AE80" s="117"/>
      <c r="AF80" s="117"/>
      <c r="AG80" s="117"/>
      <c r="AH80" s="99"/>
      <c r="AI80" s="621"/>
      <c r="AJ80" s="77"/>
      <c r="AK80" s="77"/>
      <c r="AM80" s="117"/>
      <c r="AN80" s="117"/>
      <c r="AO80" s="117"/>
      <c r="AP80" s="117"/>
      <c r="AQ80" s="117"/>
      <c r="AR80" s="117"/>
      <c r="AS80" s="117"/>
      <c r="AT80" s="117"/>
    </row>
    <row r="81" spans="1:46">
      <c r="A81" s="129" t="s">
        <v>1750</v>
      </c>
      <c r="B81" s="77"/>
      <c r="C81" s="77"/>
      <c r="D81" s="127">
        <f>COUNT(F31:F51)</f>
        <v>21</v>
      </c>
      <c r="E81" s="119"/>
      <c r="F81" s="117"/>
      <c r="G81" s="73"/>
      <c r="H81" s="117"/>
      <c r="I81" s="116"/>
      <c r="J81" s="116"/>
      <c r="K81" s="116"/>
      <c r="L81" s="116"/>
      <c r="M81" s="119"/>
      <c r="N81" s="119"/>
      <c r="O81" s="119"/>
      <c r="P81" s="119"/>
      <c r="Q81" s="120"/>
      <c r="R81" s="119"/>
      <c r="S81" s="120"/>
      <c r="T81" s="121"/>
      <c r="U81" s="121"/>
      <c r="V81" s="128"/>
      <c r="W81" s="117"/>
      <c r="X81" s="117"/>
      <c r="Y81" s="123"/>
      <c r="Z81" s="117"/>
      <c r="AA81" s="117"/>
      <c r="AB81" s="77"/>
      <c r="AC81" s="77"/>
      <c r="AD81" s="117"/>
      <c r="AE81" s="117"/>
      <c r="AF81" s="117"/>
      <c r="AG81" s="117"/>
      <c r="AH81" s="99"/>
      <c r="AI81" s="621"/>
      <c r="AJ81" s="77"/>
      <c r="AK81" s="77"/>
      <c r="AM81" s="117"/>
      <c r="AN81" s="117"/>
      <c r="AO81" s="117"/>
      <c r="AP81" s="117"/>
      <c r="AQ81" s="117"/>
      <c r="AR81" s="117"/>
      <c r="AS81" s="117"/>
      <c r="AT81" s="117"/>
    </row>
    <row r="82" spans="1:46">
      <c r="A82" s="129" t="s">
        <v>1776</v>
      </c>
      <c r="B82" s="77"/>
      <c r="C82" s="77"/>
      <c r="D82" s="127">
        <f>COUNT(F55:F75)</f>
        <v>21</v>
      </c>
      <c r="E82" s="119"/>
      <c r="F82" s="117"/>
      <c r="G82" s="73"/>
      <c r="H82" s="117"/>
      <c r="I82" s="116"/>
      <c r="J82" s="116"/>
      <c r="K82" s="116"/>
      <c r="L82" s="116"/>
      <c r="M82" s="119"/>
      <c r="N82" s="119"/>
      <c r="O82" s="119"/>
      <c r="P82" s="119"/>
      <c r="Q82" s="120"/>
      <c r="R82" s="119"/>
      <c r="S82" s="120"/>
      <c r="T82" s="121"/>
      <c r="U82" s="121"/>
      <c r="V82" s="128"/>
      <c r="W82" s="117"/>
      <c r="X82" s="117"/>
      <c r="Y82" s="123"/>
      <c r="Z82" s="117"/>
      <c r="AA82" s="117"/>
      <c r="AB82" s="77"/>
      <c r="AC82" s="77"/>
      <c r="AD82" s="117"/>
      <c r="AE82" s="117"/>
      <c r="AF82" s="117"/>
      <c r="AG82" s="117"/>
      <c r="AH82" s="99"/>
      <c r="AI82" s="621"/>
      <c r="AJ82" s="77"/>
      <c r="AK82" s="77"/>
      <c r="AM82" s="117"/>
      <c r="AN82" s="117"/>
      <c r="AO82" s="117"/>
      <c r="AP82" s="117"/>
      <c r="AQ82" s="117"/>
      <c r="AR82" s="117"/>
      <c r="AS82" s="117"/>
      <c r="AT82" s="117"/>
    </row>
    <row r="83" spans="1:46">
      <c r="A83" s="126" t="s">
        <v>2154</v>
      </c>
      <c r="B83" s="77"/>
      <c r="C83" s="77"/>
      <c r="D83" s="101">
        <f>SUM(D80:D82)</f>
        <v>63</v>
      </c>
      <c r="E83" s="119"/>
      <c r="F83" s="116"/>
      <c r="G83" s="73"/>
      <c r="H83" s="116"/>
      <c r="I83" s="116"/>
      <c r="J83" s="117"/>
      <c r="K83" s="117"/>
      <c r="L83" s="116"/>
      <c r="M83" s="119"/>
      <c r="N83" s="119"/>
      <c r="O83" s="119"/>
      <c r="P83" s="119"/>
      <c r="Q83" s="120"/>
      <c r="R83" s="117"/>
      <c r="S83" s="117"/>
      <c r="T83" s="121"/>
      <c r="U83" s="121"/>
      <c r="V83" s="128"/>
      <c r="W83" s="117"/>
      <c r="X83" s="117"/>
      <c r="Y83" s="123"/>
      <c r="Z83" s="117"/>
      <c r="AA83" s="117"/>
      <c r="AB83" s="77"/>
      <c r="AC83" s="77"/>
      <c r="AD83" s="117"/>
      <c r="AE83" s="117"/>
      <c r="AF83" s="117"/>
      <c r="AG83" s="117"/>
      <c r="AH83" s="99"/>
      <c r="AI83" s="621"/>
      <c r="AJ83" s="77"/>
      <c r="AK83" s="77"/>
      <c r="AM83" s="117"/>
      <c r="AN83" s="117"/>
      <c r="AO83" s="117"/>
      <c r="AP83" s="117"/>
      <c r="AQ83" s="117"/>
      <c r="AR83" s="117"/>
      <c r="AS83" s="117"/>
      <c r="AT83" s="117"/>
    </row>
    <row r="84" spans="1:46">
      <c r="A84" s="126" t="s">
        <v>2155</v>
      </c>
      <c r="B84" s="77"/>
      <c r="C84" s="77"/>
      <c r="D84" s="101">
        <f>SUM(D80:D82)</f>
        <v>63</v>
      </c>
      <c r="E84" s="119"/>
      <c r="F84" s="116"/>
      <c r="G84" s="73"/>
      <c r="H84" s="116"/>
      <c r="I84" s="116"/>
      <c r="J84" s="117"/>
      <c r="K84" s="117"/>
      <c r="L84" s="116"/>
      <c r="M84" s="119"/>
      <c r="N84" s="119"/>
      <c r="O84" s="119"/>
      <c r="P84" s="119"/>
      <c r="Q84" s="120"/>
      <c r="R84" s="117"/>
      <c r="S84" s="117"/>
      <c r="T84" s="121"/>
      <c r="U84" s="121"/>
      <c r="V84" s="128"/>
      <c r="W84" s="117"/>
      <c r="X84" s="117"/>
      <c r="Y84" s="123"/>
      <c r="Z84" s="117"/>
      <c r="AA84" s="117"/>
      <c r="AB84" s="77"/>
      <c r="AC84" s="77"/>
      <c r="AD84" s="117"/>
      <c r="AE84" s="117"/>
      <c r="AF84" s="117"/>
      <c r="AG84" s="117"/>
      <c r="AH84" s="99"/>
      <c r="AI84" s="621"/>
      <c r="AJ84" s="77"/>
      <c r="AK84" s="77"/>
      <c r="AM84" s="117"/>
      <c r="AN84" s="117"/>
      <c r="AO84" s="117"/>
      <c r="AP84" s="117"/>
      <c r="AQ84" s="117"/>
      <c r="AR84" s="117"/>
      <c r="AS84" s="117"/>
      <c r="AT84" s="117"/>
    </row>
    <row r="85" spans="1:46">
      <c r="A85" s="77"/>
      <c r="B85" s="77"/>
      <c r="C85" s="77"/>
      <c r="D85" s="101" t="s">
        <v>2117</v>
      </c>
      <c r="E85" s="64" t="s">
        <v>2156</v>
      </c>
      <c r="F85" s="129" t="s">
        <v>2157</v>
      </c>
      <c r="G85" s="73"/>
      <c r="H85" s="129"/>
      <c r="I85" s="116"/>
      <c r="J85" s="116"/>
      <c r="K85" s="116"/>
      <c r="L85" s="117"/>
      <c r="M85" s="119"/>
      <c r="N85" s="119"/>
      <c r="O85" s="119"/>
      <c r="P85" s="119"/>
      <c r="Q85" s="120"/>
      <c r="R85" s="117"/>
      <c r="S85" s="117"/>
      <c r="T85" s="121"/>
      <c r="U85" s="121"/>
      <c r="V85" s="128"/>
      <c r="W85" s="117"/>
      <c r="X85" s="117"/>
      <c r="Y85" s="123"/>
      <c r="Z85" s="117"/>
      <c r="AA85" s="117"/>
      <c r="AB85" s="77"/>
      <c r="AC85" s="77"/>
      <c r="AD85" s="117"/>
      <c r="AE85" s="117"/>
      <c r="AF85" s="117"/>
      <c r="AG85" s="117"/>
      <c r="AH85" s="99"/>
      <c r="AI85" s="621"/>
      <c r="AJ85" s="77"/>
      <c r="AK85" s="77"/>
      <c r="AM85" s="117"/>
      <c r="AN85" s="117"/>
      <c r="AO85" s="117"/>
      <c r="AP85" s="117"/>
      <c r="AQ85" s="117"/>
      <c r="AR85" s="117"/>
      <c r="AS85" s="117"/>
      <c r="AT85" s="117"/>
    </row>
    <row r="86" spans="1:46">
      <c r="A86" s="77" t="s">
        <v>2158</v>
      </c>
      <c r="B86" s="77"/>
      <c r="C86" s="129"/>
      <c r="D86" s="101">
        <f>F86-E86</f>
        <v>63</v>
      </c>
      <c r="E86" s="64">
        <v>0</v>
      </c>
      <c r="F86" s="194">
        <f>COUNT(F7:F78)</f>
        <v>63</v>
      </c>
      <c r="G86" s="73"/>
      <c r="H86" s="101"/>
      <c r="I86" s="116"/>
      <c r="J86" s="116"/>
      <c r="K86" s="116"/>
      <c r="L86" s="117"/>
      <c r="M86" s="119"/>
      <c r="N86" s="119"/>
      <c r="O86" s="119"/>
      <c r="P86" s="119"/>
      <c r="Q86" s="120"/>
      <c r="R86" s="117"/>
      <c r="S86" s="117"/>
      <c r="T86" s="121"/>
      <c r="U86" s="121"/>
      <c r="V86" s="128"/>
      <c r="W86" s="117"/>
      <c r="X86" s="117"/>
      <c r="Y86" s="123"/>
      <c r="Z86" s="117"/>
      <c r="AA86" s="117"/>
      <c r="AB86" s="77"/>
      <c r="AC86" s="77"/>
      <c r="AD86" s="117"/>
      <c r="AE86" s="117"/>
      <c r="AF86" s="117"/>
      <c r="AG86" s="117"/>
      <c r="AH86" s="99"/>
      <c r="AI86" s="621"/>
      <c r="AJ86" s="77"/>
      <c r="AK86" s="77"/>
      <c r="AM86" s="117"/>
      <c r="AN86" s="117"/>
      <c r="AO86" s="117"/>
      <c r="AP86" s="117"/>
      <c r="AQ86" s="117"/>
      <c r="AR86" s="117"/>
      <c r="AS86" s="117"/>
      <c r="AT86" s="117"/>
    </row>
    <row r="87" spans="1:46">
      <c r="A87" s="117"/>
      <c r="B87" s="117"/>
      <c r="C87" s="116"/>
      <c r="D87" s="124"/>
      <c r="E87" s="119"/>
      <c r="F87" s="124"/>
      <c r="G87" s="73"/>
      <c r="H87" s="124"/>
      <c r="I87" s="116"/>
      <c r="J87" s="116"/>
      <c r="K87" s="116"/>
      <c r="L87" s="117"/>
      <c r="M87" s="119"/>
      <c r="N87" s="119"/>
      <c r="O87" s="119"/>
      <c r="P87" s="119"/>
      <c r="Q87" s="120"/>
      <c r="R87" s="117"/>
      <c r="S87" s="117"/>
      <c r="T87" s="121"/>
      <c r="U87" s="121"/>
      <c r="V87" s="128"/>
      <c r="W87" s="117"/>
      <c r="X87" s="117"/>
      <c r="Y87" s="123"/>
      <c r="Z87" s="117"/>
      <c r="AA87" s="117"/>
      <c r="AB87" s="77"/>
      <c r="AC87" s="77"/>
      <c r="AD87" s="117"/>
      <c r="AE87" s="117"/>
      <c r="AF87" s="117"/>
      <c r="AG87" s="117"/>
      <c r="AH87" s="99"/>
      <c r="AI87" s="621"/>
      <c r="AJ87" s="77"/>
      <c r="AK87" s="77"/>
      <c r="AM87" s="117"/>
      <c r="AN87" s="117"/>
      <c r="AO87" s="117"/>
      <c r="AP87" s="117"/>
      <c r="AQ87" s="117"/>
      <c r="AR87" s="117"/>
      <c r="AS87" s="117"/>
      <c r="AT87" s="117"/>
    </row>
    <row r="88" spans="1:46">
      <c r="A88" s="117"/>
      <c r="B88" s="117"/>
      <c r="C88" s="117"/>
      <c r="D88" s="124"/>
      <c r="E88" s="64" t="s">
        <v>2159</v>
      </c>
      <c r="F88" s="129" t="s">
        <v>2081</v>
      </c>
      <c r="G88" s="73"/>
      <c r="H88" s="77" t="s">
        <v>2160</v>
      </c>
      <c r="I88" s="129" t="s">
        <v>2161</v>
      </c>
      <c r="J88" s="77" t="s">
        <v>2160</v>
      </c>
      <c r="K88" s="77"/>
      <c r="L88" s="116"/>
      <c r="M88" s="129"/>
      <c r="N88" s="119"/>
      <c r="O88" s="64"/>
      <c r="P88" s="119"/>
      <c r="Q88" s="120"/>
      <c r="R88" s="117"/>
      <c r="S88" s="117"/>
      <c r="T88" s="121"/>
      <c r="U88" s="121"/>
      <c r="V88" s="128"/>
      <c r="W88" s="117"/>
      <c r="X88" s="117"/>
      <c r="Y88" s="123"/>
      <c r="Z88" s="117"/>
      <c r="AA88" s="117"/>
      <c r="AB88" s="77"/>
      <c r="AC88" s="77"/>
      <c r="AD88" s="117"/>
      <c r="AE88" s="117"/>
      <c r="AF88" s="117"/>
      <c r="AG88" s="117"/>
      <c r="AH88" s="99"/>
      <c r="AI88" s="621"/>
      <c r="AJ88" s="77"/>
      <c r="AK88" s="77"/>
      <c r="AM88" s="117"/>
      <c r="AN88" s="117"/>
      <c r="AO88" s="117"/>
      <c r="AP88" s="117"/>
      <c r="AQ88" s="117"/>
      <c r="AR88" s="117"/>
      <c r="AS88" s="117"/>
      <c r="AT88" s="117"/>
    </row>
    <row r="89" spans="1:46">
      <c r="A89" s="117"/>
      <c r="B89" s="117"/>
      <c r="C89" s="117"/>
      <c r="D89" s="124"/>
      <c r="E89" s="64" t="s">
        <v>1703</v>
      </c>
      <c r="F89" s="129" t="s">
        <v>2129</v>
      </c>
      <c r="G89" s="73"/>
      <c r="H89" s="77" t="s">
        <v>2130</v>
      </c>
      <c r="I89" s="129" t="s">
        <v>2132</v>
      </c>
      <c r="J89" s="129" t="s">
        <v>2162</v>
      </c>
      <c r="K89" s="129"/>
      <c r="L89" s="116"/>
      <c r="M89" s="129"/>
      <c r="N89" s="64"/>
      <c r="O89" s="64"/>
      <c r="P89" s="119"/>
      <c r="Q89" s="120"/>
      <c r="R89" s="117"/>
      <c r="S89" s="117"/>
      <c r="T89" s="130"/>
      <c r="U89" s="121"/>
      <c r="V89" s="117"/>
      <c r="W89" s="128"/>
      <c r="X89" s="117"/>
      <c r="Y89" s="123"/>
      <c r="Z89" s="117"/>
      <c r="AA89" s="117"/>
      <c r="AB89" s="77"/>
      <c r="AC89" s="77"/>
      <c r="AD89" s="117"/>
      <c r="AE89" s="117"/>
      <c r="AF89" s="117"/>
      <c r="AG89" s="117"/>
      <c r="AH89" s="99"/>
      <c r="AI89" s="621"/>
      <c r="AJ89" s="77"/>
      <c r="AK89" s="77"/>
      <c r="AM89" s="117"/>
      <c r="AN89" s="117"/>
      <c r="AO89" s="117"/>
      <c r="AP89" s="117"/>
      <c r="AQ89" s="117"/>
      <c r="AR89" s="117"/>
      <c r="AS89" s="117"/>
      <c r="AT89" s="117"/>
    </row>
    <row r="90" spans="1:46">
      <c r="A90" s="129" t="s">
        <v>1708</v>
      </c>
      <c r="B90" s="117"/>
      <c r="C90" s="117"/>
      <c r="D90" s="124"/>
      <c r="E90" s="64">
        <f>SUM(E7:E27)</f>
        <v>9659.0392857142833</v>
      </c>
      <c r="F90" s="126">
        <v>0.5</v>
      </c>
      <c r="G90" s="73"/>
      <c r="H90" s="129">
        <f>SUM(H7:H27)</f>
        <v>336</v>
      </c>
      <c r="I90" s="129">
        <f>0.001*365.25*E90/F90/H90</f>
        <v>20.999786304209181</v>
      </c>
      <c r="J90" s="129">
        <f>100*H90/365</f>
        <v>92.054794520547944</v>
      </c>
      <c r="K90" s="129"/>
      <c r="L90" s="116"/>
      <c r="M90" s="64"/>
      <c r="N90" s="64"/>
      <c r="O90" s="64"/>
      <c r="P90" s="119"/>
      <c r="Q90" s="120"/>
      <c r="R90" s="117"/>
      <c r="S90" s="117"/>
      <c r="T90" s="121"/>
      <c r="U90" s="121"/>
      <c r="V90" s="122"/>
      <c r="W90" s="117"/>
      <c r="X90" s="117"/>
      <c r="Y90" s="123"/>
      <c r="Z90" s="117"/>
      <c r="AA90" s="117"/>
      <c r="AB90" s="77"/>
      <c r="AC90" s="77"/>
      <c r="AD90" s="117"/>
      <c r="AE90" s="117"/>
      <c r="AF90" s="117"/>
      <c r="AG90" s="117"/>
      <c r="AH90" s="99"/>
      <c r="AI90" s="621"/>
      <c r="AJ90" s="77"/>
      <c r="AK90" s="77"/>
      <c r="AM90" s="117"/>
      <c r="AN90" s="117"/>
      <c r="AO90" s="117"/>
      <c r="AP90" s="117"/>
      <c r="AQ90" s="117"/>
      <c r="AR90" s="117"/>
      <c r="AS90" s="117"/>
      <c r="AT90" s="117"/>
    </row>
    <row r="91" spans="1:46">
      <c r="A91" s="129" t="s">
        <v>1750</v>
      </c>
      <c r="B91" s="117"/>
      <c r="C91" s="117"/>
      <c r="D91" s="124"/>
      <c r="E91" s="64">
        <f>SUM(E31:E51)</f>
        <v>14729.814285714283</v>
      </c>
      <c r="F91" s="126">
        <v>0.5</v>
      </c>
      <c r="G91" s="73"/>
      <c r="H91" s="129">
        <f>SUM(H31:H51)</f>
        <v>336</v>
      </c>
      <c r="I91" s="129">
        <f>0.001*365.25*E91/F91/H91</f>
        <v>32.024194451530605</v>
      </c>
      <c r="J91" s="129">
        <f>100*H91/365</f>
        <v>92.054794520547944</v>
      </c>
      <c r="K91" s="129"/>
      <c r="L91" s="116"/>
      <c r="M91" s="119"/>
      <c r="N91" s="119"/>
      <c r="O91" s="119"/>
      <c r="P91" s="119"/>
      <c r="Q91" s="120"/>
      <c r="R91" s="117"/>
      <c r="S91" s="117"/>
      <c r="T91" s="121"/>
      <c r="U91" s="121"/>
      <c r="V91" s="122"/>
      <c r="W91" s="117"/>
      <c r="X91" s="117"/>
      <c r="Y91" s="123"/>
      <c r="Z91" s="117"/>
      <c r="AA91" s="117"/>
      <c r="AB91" s="77"/>
      <c r="AC91" s="77"/>
      <c r="AD91" s="117"/>
      <c r="AE91" s="117"/>
      <c r="AF91" s="117"/>
      <c r="AG91" s="117"/>
      <c r="AH91" s="99"/>
      <c r="AI91" s="621"/>
      <c r="AJ91" s="77"/>
      <c r="AK91" s="77"/>
      <c r="AM91" s="117"/>
      <c r="AN91" s="117"/>
      <c r="AO91" s="117"/>
      <c r="AP91" s="117"/>
      <c r="AQ91" s="117"/>
      <c r="AR91" s="117"/>
      <c r="AS91" s="117"/>
      <c r="AT91" s="117"/>
    </row>
    <row r="92" spans="1:46">
      <c r="A92" s="129" t="s">
        <v>1776</v>
      </c>
      <c r="B92" s="117"/>
      <c r="C92" s="117"/>
      <c r="D92" s="124"/>
      <c r="E92" s="64">
        <f>SUM(E55:E75)</f>
        <v>14921.271428571428</v>
      </c>
      <c r="F92" s="126">
        <v>0.5</v>
      </c>
      <c r="G92" s="73"/>
      <c r="H92" s="129">
        <f>SUM(H55:H75)</f>
        <v>336</v>
      </c>
      <c r="I92" s="129">
        <f>0.001*365.25*E92/F92/H92</f>
        <v>32.440442793367346</v>
      </c>
      <c r="J92" s="129">
        <f>100*H92/365</f>
        <v>92.054794520547944</v>
      </c>
      <c r="K92" s="129"/>
      <c r="L92" s="116"/>
      <c r="M92" s="119"/>
      <c r="N92" s="119"/>
      <c r="O92" s="119"/>
      <c r="P92" s="119"/>
      <c r="Q92" s="120"/>
      <c r="R92" s="117"/>
      <c r="S92" s="117"/>
      <c r="T92" s="121"/>
      <c r="U92" s="121"/>
      <c r="V92" s="122"/>
      <c r="W92" s="117"/>
      <c r="X92" s="117"/>
      <c r="Y92" s="123"/>
      <c r="Z92" s="117"/>
      <c r="AA92" s="117"/>
      <c r="AB92" s="77"/>
      <c r="AC92" s="77"/>
      <c r="AD92" s="117"/>
      <c r="AE92" s="117"/>
      <c r="AF92" s="117"/>
      <c r="AG92" s="117"/>
      <c r="AH92" s="99"/>
      <c r="AI92" s="621"/>
      <c r="AJ92" s="77"/>
      <c r="AK92" s="77"/>
      <c r="AM92" s="117"/>
      <c r="AN92" s="117"/>
      <c r="AO92" s="117"/>
      <c r="AP92" s="117"/>
      <c r="AQ92" s="117"/>
      <c r="AR92" s="117"/>
      <c r="AS92" s="117"/>
      <c r="AT92" s="117"/>
    </row>
    <row r="93" spans="1:46">
      <c r="A93" s="117"/>
      <c r="B93" s="117"/>
      <c r="C93" s="117"/>
      <c r="D93" s="124"/>
      <c r="E93" s="119"/>
      <c r="F93" s="116"/>
      <c r="G93" s="73"/>
      <c r="H93" s="116"/>
      <c r="I93" s="116"/>
      <c r="J93" s="116"/>
      <c r="K93" s="116"/>
      <c r="L93" s="116"/>
      <c r="M93" s="119"/>
      <c r="N93" s="119"/>
      <c r="O93" s="119"/>
      <c r="P93" s="119"/>
      <c r="Q93" s="120"/>
      <c r="R93" s="117"/>
      <c r="S93" s="117"/>
      <c r="T93" s="121"/>
      <c r="U93" s="121"/>
      <c r="V93" s="128"/>
      <c r="W93" s="117"/>
      <c r="X93" s="117"/>
      <c r="Y93" s="123"/>
      <c r="Z93" s="117"/>
      <c r="AA93" s="117"/>
      <c r="AB93" s="77"/>
      <c r="AC93" s="77"/>
      <c r="AD93" s="117"/>
      <c r="AE93" s="117"/>
      <c r="AF93" s="117"/>
      <c r="AG93" s="117"/>
      <c r="AH93" s="99"/>
      <c r="AI93" s="621"/>
      <c r="AJ93" s="77"/>
      <c r="AK93" s="77"/>
      <c r="AM93" s="117"/>
      <c r="AN93" s="117"/>
      <c r="AO93" s="117"/>
      <c r="AP93" s="117"/>
      <c r="AQ93" s="117"/>
      <c r="AR93" s="117"/>
      <c r="AS93" s="117"/>
      <c r="AT93" s="117"/>
    </row>
    <row r="94" spans="1:46">
      <c r="A94" s="117"/>
      <c r="B94" s="117"/>
      <c r="C94" s="117"/>
      <c r="D94" s="124"/>
      <c r="E94" s="119"/>
      <c r="F94" s="129"/>
      <c r="G94" s="126"/>
      <c r="H94" s="129"/>
      <c r="I94" s="129"/>
      <c r="J94" s="120"/>
      <c r="K94" s="120"/>
      <c r="L94" s="116"/>
      <c r="M94" s="119"/>
      <c r="N94" s="119"/>
      <c r="O94" s="119"/>
      <c r="P94" s="119"/>
      <c r="Q94" s="120"/>
      <c r="R94" s="117"/>
      <c r="S94" s="117"/>
      <c r="T94" s="121"/>
      <c r="U94" s="121"/>
      <c r="V94" s="128"/>
      <c r="W94" s="117"/>
      <c r="X94" s="117"/>
      <c r="Y94" s="123"/>
      <c r="Z94" s="117"/>
      <c r="AA94" s="117"/>
      <c r="AB94" s="77"/>
      <c r="AC94" s="77"/>
      <c r="AD94" s="117"/>
      <c r="AE94" s="117"/>
      <c r="AF94" s="117"/>
      <c r="AG94" s="117"/>
      <c r="AH94" s="99"/>
      <c r="AI94" s="621"/>
      <c r="AJ94" s="77"/>
      <c r="AK94" s="77"/>
      <c r="AM94" s="117"/>
      <c r="AN94" s="117"/>
      <c r="AO94" s="117"/>
      <c r="AP94" s="117"/>
      <c r="AQ94" s="117"/>
      <c r="AR94" s="117"/>
      <c r="AS94" s="117"/>
      <c r="AT94" s="117"/>
    </row>
    <row r="95" spans="1:46">
      <c r="A95" s="77"/>
      <c r="B95" s="77"/>
      <c r="C95" s="77"/>
      <c r="D95" s="101"/>
      <c r="E95" s="64" t="s">
        <v>2110</v>
      </c>
      <c r="F95" s="129" t="s">
        <v>2110</v>
      </c>
      <c r="G95" s="126"/>
      <c r="H95" s="129" t="s">
        <v>2163</v>
      </c>
      <c r="I95" s="129" t="s">
        <v>2163</v>
      </c>
      <c r="J95" s="120"/>
      <c r="K95" s="120"/>
      <c r="L95" s="116"/>
      <c r="M95" s="119"/>
      <c r="N95" s="119"/>
      <c r="O95" s="119"/>
      <c r="P95" s="119"/>
      <c r="Q95" s="120"/>
      <c r="R95" s="117"/>
      <c r="S95" s="117"/>
      <c r="T95" s="121"/>
      <c r="U95" s="121"/>
      <c r="V95" s="128"/>
      <c r="W95" s="117"/>
      <c r="X95" s="117"/>
      <c r="Y95" s="123"/>
      <c r="Z95" s="117"/>
      <c r="AA95" s="117"/>
      <c r="AB95" s="77"/>
      <c r="AC95" s="77"/>
      <c r="AD95" s="117"/>
      <c r="AE95" s="117"/>
      <c r="AF95" s="117"/>
      <c r="AG95" s="117"/>
      <c r="AH95" s="99"/>
      <c r="AI95" s="621"/>
      <c r="AJ95" s="77"/>
      <c r="AK95" s="77"/>
      <c r="AM95" s="117"/>
      <c r="AN95" s="117"/>
      <c r="AO95" s="117"/>
      <c r="AP95" s="117"/>
      <c r="AQ95" s="117"/>
      <c r="AR95" s="117"/>
      <c r="AS95" s="117"/>
      <c r="AT95" s="117"/>
    </row>
    <row r="96" spans="1:46">
      <c r="A96" s="77" t="s">
        <v>2164</v>
      </c>
      <c r="B96" s="77"/>
      <c r="C96" s="77"/>
      <c r="D96" s="101"/>
      <c r="E96" s="131">
        <v>0.29166666666666669</v>
      </c>
      <c r="F96" s="216"/>
      <c r="G96" s="217"/>
      <c r="H96" s="218"/>
      <c r="I96" s="216"/>
      <c r="J96" s="120"/>
      <c r="K96" s="120"/>
      <c r="L96" s="116"/>
      <c r="M96" s="119"/>
      <c r="N96" s="119"/>
      <c r="O96" s="119"/>
      <c r="P96" s="119"/>
      <c r="Q96" s="120"/>
      <c r="R96" s="117"/>
      <c r="S96" s="117"/>
      <c r="T96" s="121"/>
      <c r="U96" s="121"/>
      <c r="V96" s="128"/>
      <c r="W96" s="117"/>
      <c r="X96" s="117"/>
      <c r="Y96" s="123"/>
      <c r="Z96" s="117"/>
      <c r="AA96" s="117"/>
      <c r="AB96" s="77"/>
      <c r="AC96" s="77"/>
      <c r="AD96" s="117"/>
      <c r="AE96" s="117"/>
      <c r="AF96" s="117"/>
      <c r="AG96" s="117"/>
      <c r="AH96" s="99"/>
      <c r="AI96" s="621"/>
      <c r="AJ96" s="77"/>
      <c r="AK96" s="77"/>
      <c r="AM96" s="117"/>
      <c r="AN96" s="117"/>
      <c r="AO96" s="117"/>
      <c r="AP96" s="117"/>
      <c r="AQ96" s="117"/>
      <c r="AR96" s="117"/>
      <c r="AS96" s="117"/>
      <c r="AT96" s="117"/>
    </row>
    <row r="97" spans="1:46">
      <c r="A97" s="77" t="s">
        <v>2165</v>
      </c>
      <c r="B97" s="77"/>
      <c r="C97" s="77"/>
      <c r="D97" s="101"/>
      <c r="E97" s="131">
        <v>0.3263888888888889</v>
      </c>
      <c r="F97" s="216"/>
      <c r="G97" s="217"/>
      <c r="H97" s="218"/>
      <c r="I97" s="216"/>
      <c r="J97" s="120"/>
      <c r="K97" s="120"/>
      <c r="L97" s="116"/>
      <c r="M97" s="119"/>
      <c r="N97" s="119"/>
      <c r="O97" s="119"/>
      <c r="P97" s="119"/>
      <c r="Q97" s="120"/>
      <c r="R97" s="117"/>
      <c r="S97" s="117"/>
      <c r="T97" s="121"/>
      <c r="U97" s="121"/>
      <c r="V97" s="128"/>
      <c r="W97" s="117"/>
      <c r="X97" s="117"/>
      <c r="Y97" s="123"/>
      <c r="Z97" s="117"/>
      <c r="AA97" s="117"/>
      <c r="AB97" s="77"/>
      <c r="AC97" s="77"/>
      <c r="AD97" s="117"/>
      <c r="AE97" s="117"/>
      <c r="AF97" s="117"/>
      <c r="AG97" s="117"/>
      <c r="AH97" s="99"/>
      <c r="AI97" s="621"/>
      <c r="AJ97" s="77"/>
      <c r="AK97" s="77"/>
      <c r="AM97" s="117"/>
      <c r="AN97" s="117"/>
      <c r="AO97" s="117"/>
      <c r="AP97" s="117"/>
      <c r="AQ97" s="117"/>
      <c r="AR97" s="117"/>
      <c r="AS97" s="117"/>
      <c r="AT97" s="117"/>
    </row>
    <row r="98" spans="1:46">
      <c r="A98" s="131" t="s">
        <v>2166</v>
      </c>
      <c r="B98" s="131"/>
      <c r="C98" s="131"/>
      <c r="D98" s="132"/>
      <c r="E98" s="131">
        <v>0.72916666666666663</v>
      </c>
      <c r="F98" s="216"/>
      <c r="G98" s="217"/>
      <c r="H98" s="218"/>
      <c r="I98" s="216"/>
      <c r="J98" s="120"/>
      <c r="K98" s="120"/>
      <c r="L98" s="116"/>
      <c r="M98" s="119"/>
      <c r="N98" s="119"/>
      <c r="O98" s="119"/>
      <c r="P98" s="119"/>
      <c r="Q98" s="120"/>
      <c r="R98" s="117"/>
      <c r="S98" s="117"/>
      <c r="T98" s="121"/>
      <c r="U98" s="121"/>
      <c r="V98" s="128"/>
      <c r="W98" s="117"/>
      <c r="X98" s="117"/>
      <c r="Y98" s="123"/>
      <c r="Z98" s="117"/>
      <c r="AA98" s="117"/>
      <c r="AB98" s="77"/>
      <c r="AC98" s="77"/>
      <c r="AD98" s="117"/>
      <c r="AE98" s="117"/>
      <c r="AF98" s="117"/>
      <c r="AG98" s="117"/>
      <c r="AH98" s="99"/>
      <c r="AI98" s="621"/>
      <c r="AJ98" s="77"/>
      <c r="AK98" s="77"/>
      <c r="AM98" s="117"/>
      <c r="AN98" s="117"/>
      <c r="AO98" s="117"/>
      <c r="AP98" s="117"/>
      <c r="AQ98" s="117"/>
      <c r="AR98" s="117"/>
      <c r="AS98" s="117"/>
      <c r="AT98" s="117"/>
    </row>
    <row r="99" spans="1:46">
      <c r="A99" s="77" t="s">
        <v>2167</v>
      </c>
      <c r="B99" s="77"/>
      <c r="C99" s="77"/>
      <c r="D99" s="101"/>
      <c r="E99" s="64"/>
      <c r="F99" s="64">
        <f>24*(E98-E96)</f>
        <v>10.499999999999998</v>
      </c>
      <c r="G99" s="126"/>
      <c r="H99" s="129" t="s">
        <v>2168</v>
      </c>
      <c r="I99" s="220"/>
      <c r="J99" s="120"/>
      <c r="K99" s="120"/>
      <c r="L99" s="116"/>
      <c r="M99" s="119"/>
      <c r="N99" s="119"/>
      <c r="O99" s="119"/>
      <c r="P99" s="119"/>
      <c r="Q99" s="120"/>
      <c r="R99" s="117"/>
      <c r="S99" s="117"/>
      <c r="T99" s="121"/>
      <c r="U99" s="121"/>
      <c r="V99" s="128"/>
      <c r="W99" s="117"/>
      <c r="X99" s="117"/>
      <c r="Y99" s="123"/>
      <c r="Z99" s="117"/>
      <c r="AA99" s="117"/>
      <c r="AB99" s="77"/>
      <c r="AC99" s="77"/>
      <c r="AD99" s="117"/>
      <c r="AE99" s="117"/>
      <c r="AF99" s="117"/>
      <c r="AG99" s="117"/>
      <c r="AH99" s="99"/>
      <c r="AI99" s="621"/>
      <c r="AJ99" s="77"/>
      <c r="AK99" s="77"/>
      <c r="AM99" s="117"/>
      <c r="AN99" s="117"/>
      <c r="AO99" s="117"/>
      <c r="AP99" s="117"/>
      <c r="AQ99" s="117"/>
      <c r="AR99" s="117"/>
      <c r="AS99" s="117"/>
      <c r="AT99" s="117"/>
    </row>
    <row r="100" spans="1:46">
      <c r="A100" s="77" t="s">
        <v>2169</v>
      </c>
      <c r="B100" s="80"/>
      <c r="C100" s="80"/>
      <c r="D100" s="215"/>
      <c r="E100" s="219"/>
      <c r="F100" s="220"/>
      <c r="G100" s="217"/>
      <c r="H100" s="220"/>
      <c r="I100" s="220"/>
      <c r="J100" s="120"/>
      <c r="K100" s="120"/>
      <c r="L100" s="116"/>
      <c r="M100" s="119"/>
      <c r="N100" s="119"/>
      <c r="O100" s="119"/>
      <c r="P100" s="119"/>
      <c r="Q100" s="120"/>
      <c r="R100" s="117"/>
      <c r="S100" s="117"/>
      <c r="T100" s="121"/>
      <c r="U100" s="121"/>
      <c r="V100" s="128"/>
      <c r="W100" s="117"/>
      <c r="X100" s="117"/>
      <c r="Y100" s="123"/>
      <c r="Z100" s="117"/>
      <c r="AA100" s="117"/>
      <c r="AB100" s="77"/>
      <c r="AC100" s="77"/>
      <c r="AD100" s="117"/>
      <c r="AE100" s="117"/>
      <c r="AF100" s="117"/>
      <c r="AG100" s="117"/>
      <c r="AH100" s="99"/>
      <c r="AI100" s="621"/>
      <c r="AJ100" s="77"/>
      <c r="AK100" s="77"/>
      <c r="AM100" s="117"/>
      <c r="AN100" s="117"/>
      <c r="AO100" s="117"/>
      <c r="AP100" s="117"/>
      <c r="AQ100" s="117"/>
      <c r="AR100" s="117"/>
      <c r="AS100" s="117"/>
      <c r="AT100" s="117"/>
    </row>
    <row r="101" spans="1:46">
      <c r="A101" s="77" t="s">
        <v>2170</v>
      </c>
      <c r="B101" s="80"/>
      <c r="C101" s="80"/>
      <c r="D101" s="215"/>
      <c r="E101" s="219"/>
      <c r="F101" s="220"/>
      <c r="G101" s="217"/>
      <c r="H101" s="220"/>
      <c r="I101" s="220"/>
      <c r="J101" s="120"/>
      <c r="K101" s="120"/>
      <c r="L101" s="116"/>
      <c r="M101" s="119"/>
      <c r="N101" s="119"/>
      <c r="O101" s="119"/>
      <c r="P101" s="119"/>
      <c r="Q101" s="120"/>
      <c r="R101" s="117"/>
      <c r="S101" s="117"/>
      <c r="T101" s="121"/>
      <c r="U101" s="121"/>
      <c r="V101" s="128"/>
      <c r="W101" s="117"/>
      <c r="X101" s="117"/>
      <c r="Y101" s="123"/>
      <c r="Z101" s="117"/>
      <c r="AA101" s="117"/>
      <c r="AB101" s="77"/>
      <c r="AC101" s="77"/>
      <c r="AD101" s="117"/>
      <c r="AE101" s="117"/>
      <c r="AF101" s="117"/>
      <c r="AG101" s="117"/>
      <c r="AH101" s="99"/>
      <c r="AI101" s="621"/>
      <c r="AJ101" s="77"/>
      <c r="AK101" s="77"/>
      <c r="AM101" s="117"/>
      <c r="AN101" s="117"/>
      <c r="AO101" s="117"/>
      <c r="AP101" s="117"/>
      <c r="AQ101" s="117"/>
      <c r="AR101" s="117"/>
      <c r="AS101" s="117"/>
      <c r="AT101" s="117"/>
    </row>
    <row r="102" spans="1:46">
      <c r="A102" s="77"/>
      <c r="B102" s="117"/>
      <c r="C102" s="117"/>
      <c r="D102" s="124"/>
      <c r="E102" s="119"/>
      <c r="F102" s="116"/>
      <c r="G102" s="73"/>
      <c r="H102" s="116"/>
      <c r="I102" s="116"/>
      <c r="J102" s="120"/>
      <c r="K102" s="120"/>
      <c r="L102" s="116"/>
      <c r="M102" s="119"/>
      <c r="N102" s="119"/>
      <c r="O102" s="119"/>
      <c r="P102" s="119"/>
      <c r="Q102" s="120"/>
      <c r="R102" s="117"/>
      <c r="S102" s="117"/>
      <c r="T102" s="121"/>
      <c r="U102" s="121"/>
      <c r="V102" s="128"/>
      <c r="W102" s="117"/>
      <c r="X102" s="117"/>
      <c r="Y102" s="123"/>
      <c r="Z102" s="117"/>
      <c r="AA102" s="117"/>
      <c r="AB102" s="77"/>
      <c r="AC102" s="77"/>
      <c r="AD102" s="117"/>
      <c r="AE102" s="117"/>
      <c r="AF102" s="117"/>
      <c r="AG102" s="117"/>
      <c r="AH102" s="99"/>
      <c r="AI102" s="621"/>
      <c r="AJ102" s="77"/>
      <c r="AK102" s="77"/>
      <c r="AM102" s="117"/>
      <c r="AN102" s="117"/>
      <c r="AO102" s="117"/>
      <c r="AP102" s="117"/>
      <c r="AQ102" s="117"/>
      <c r="AR102" s="117"/>
      <c r="AS102" s="117"/>
      <c r="AT102" s="117"/>
    </row>
    <row r="103" spans="1:46">
      <c r="A103" s="77"/>
      <c r="B103" s="117"/>
      <c r="C103" s="117"/>
      <c r="D103" s="124"/>
      <c r="E103" s="119"/>
      <c r="F103" s="116"/>
      <c r="G103" s="73"/>
      <c r="H103" s="116"/>
      <c r="I103" s="116"/>
      <c r="J103" s="120"/>
      <c r="K103" s="120"/>
      <c r="L103" s="116"/>
      <c r="M103" s="119"/>
      <c r="N103" s="119"/>
      <c r="O103" s="119"/>
      <c r="P103" s="119"/>
      <c r="Q103" s="120"/>
      <c r="R103" s="117"/>
      <c r="S103" s="117"/>
      <c r="T103" s="121"/>
      <c r="U103" s="121"/>
      <c r="V103" s="128"/>
      <c r="W103" s="117"/>
      <c r="X103" s="117"/>
      <c r="Y103" s="123"/>
      <c r="Z103" s="117"/>
      <c r="AA103" s="117"/>
      <c r="AB103" s="77"/>
      <c r="AC103" s="77"/>
      <c r="AD103" s="117"/>
      <c r="AE103" s="117"/>
      <c r="AF103" s="117"/>
      <c r="AG103" s="117"/>
      <c r="AH103" s="99"/>
      <c r="AI103" s="621"/>
      <c r="AJ103" s="77"/>
      <c r="AK103" s="77"/>
      <c r="AM103" s="117"/>
      <c r="AN103" s="117"/>
      <c r="AO103" s="117"/>
      <c r="AP103" s="117"/>
      <c r="AQ103" s="117"/>
      <c r="AR103" s="117"/>
      <c r="AS103" s="117"/>
      <c r="AT103" s="117"/>
    </row>
    <row r="104" spans="1:46">
      <c r="A104" s="221"/>
    </row>
    <row r="105" spans="1:46">
      <c r="A105" s="221"/>
    </row>
  </sheetData>
  <mergeCells count="1">
    <mergeCell ref="Q7:Q11"/>
  </mergeCells>
  <conditionalFormatting sqref="AI7:AI27 AI31:AI51 AI55:AI75">
    <cfRule type="cellIs" dxfId="6" priority="3" operator="lessThan">
      <formula>95</formula>
    </cfRule>
    <cfRule type="cellIs" dxfId="5" priority="4" operator="greaterThan">
      <formula>105</formula>
    </cfRule>
  </conditionalFormatting>
  <conditionalFormatting sqref="AJ7:AJ76">
    <cfRule type="cellIs" dxfId="4" priority="1" operator="lessThan">
      <formula>90</formula>
    </cfRule>
    <cfRule type="cellIs" dxfId="3" priority="2" operator="greaterThan">
      <formula>110</formula>
    </cfRule>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99FF99"/>
  </sheetPr>
  <dimension ref="A1:AQ82"/>
  <sheetViews>
    <sheetView workbookViewId="0">
      <pane ySplit="5" topLeftCell="A6" activePane="bottomLeft" state="frozen"/>
      <selection pane="bottomLeft" activeCell="D6" sqref="D6"/>
    </sheetView>
  </sheetViews>
  <sheetFormatPr defaultColWidth="8.83203125" defaultRowHeight="15.5"/>
  <cols>
    <col min="4" max="4" width="51.6640625" bestFit="1" customWidth="1"/>
    <col min="7" max="7" width="9.83203125" customWidth="1"/>
    <col min="9" max="11" width="10.33203125" bestFit="1" customWidth="1"/>
    <col min="12" max="12" width="9.33203125" bestFit="1" customWidth="1"/>
    <col min="13" max="16" width="10.33203125" bestFit="1" customWidth="1"/>
    <col min="17" max="17" width="9.33203125" bestFit="1" customWidth="1"/>
    <col min="18" max="18" width="10.33203125" bestFit="1" customWidth="1"/>
    <col min="19" max="20" width="9.33203125" bestFit="1" customWidth="1"/>
    <col min="21" max="23" width="10.33203125" bestFit="1" customWidth="1"/>
    <col min="24" max="24" width="12" customWidth="1"/>
    <col min="26" max="26" width="9" bestFit="1" customWidth="1"/>
    <col min="27" max="27" width="14" customWidth="1"/>
    <col min="28" max="28" width="13.5" customWidth="1"/>
    <col min="29" max="29" width="16.5" customWidth="1"/>
    <col min="30" max="30" width="11" customWidth="1"/>
    <col min="31" max="31" width="21" customWidth="1"/>
    <col min="32" max="32" width="9.83203125" style="377" customWidth="1"/>
    <col min="33" max="33" width="5.33203125" customWidth="1"/>
    <col min="34" max="34" width="19" customWidth="1"/>
    <col min="35" max="35" width="18.33203125" customWidth="1"/>
    <col min="36" max="36" width="15.33203125" customWidth="1"/>
    <col min="37" max="37" width="18" customWidth="1"/>
    <col min="38" max="38" width="21" customWidth="1"/>
  </cols>
  <sheetData>
    <row r="1" spans="1:42">
      <c r="A1" s="300" t="s">
        <v>2171</v>
      </c>
      <c r="B1" s="300" t="s">
        <v>1628</v>
      </c>
      <c r="C1" s="300" t="s">
        <v>1629</v>
      </c>
      <c r="D1" s="300" t="s">
        <v>67</v>
      </c>
      <c r="E1" s="301" t="s">
        <v>1638</v>
      </c>
      <c r="F1" t="s">
        <v>2172</v>
      </c>
      <c r="G1" t="s">
        <v>2173</v>
      </c>
      <c r="H1" s="300" t="s">
        <v>2173</v>
      </c>
      <c r="I1" s="7" t="s">
        <v>2095</v>
      </c>
      <c r="J1" t="s">
        <v>2096</v>
      </c>
      <c r="K1" t="s">
        <v>2107</v>
      </c>
      <c r="L1" t="s">
        <v>2108</v>
      </c>
      <c r="M1" t="s">
        <v>2097</v>
      </c>
      <c r="N1" t="s">
        <v>2112</v>
      </c>
      <c r="O1" t="s">
        <v>2113</v>
      </c>
      <c r="P1" s="7" t="s">
        <v>2095</v>
      </c>
      <c r="Q1" s="7" t="s">
        <v>2096</v>
      </c>
      <c r="R1" s="7" t="s">
        <v>2107</v>
      </c>
      <c r="S1" t="s">
        <v>2108</v>
      </c>
      <c r="T1" t="s">
        <v>2097</v>
      </c>
      <c r="U1" t="s">
        <v>2113</v>
      </c>
      <c r="V1" s="302" t="s">
        <v>2083</v>
      </c>
      <c r="W1" s="302" t="s">
        <v>2083</v>
      </c>
      <c r="X1" s="303" t="s">
        <v>2083</v>
      </c>
      <c r="Y1" s="304" t="s">
        <v>2083</v>
      </c>
      <c r="Z1" s="7" t="s">
        <v>2112</v>
      </c>
      <c r="AA1" s="305" t="s">
        <v>2174</v>
      </c>
      <c r="AB1" s="306" t="s">
        <v>2175</v>
      </c>
      <c r="AC1" s="306" t="s">
        <v>2176</v>
      </c>
      <c r="AD1" s="306" t="s">
        <v>2177</v>
      </c>
      <c r="AE1" s="306" t="s">
        <v>2178</v>
      </c>
      <c r="AF1" s="472" t="s">
        <v>66</v>
      </c>
      <c r="AH1" s="305" t="s">
        <v>2174</v>
      </c>
      <c r="AI1" s="306" t="s">
        <v>2175</v>
      </c>
      <c r="AJ1" s="306" t="s">
        <v>2176</v>
      </c>
      <c r="AK1" s="306" t="s">
        <v>2177</v>
      </c>
      <c r="AL1" s="306" t="s">
        <v>2178</v>
      </c>
      <c r="AM1" s="306" t="s">
        <v>2100</v>
      </c>
      <c r="AN1" s="306" t="s">
        <v>2699</v>
      </c>
      <c r="AO1" s="306" t="s">
        <v>2700</v>
      </c>
      <c r="AP1" s="306" t="s">
        <v>1634</v>
      </c>
    </row>
    <row r="2" spans="1:42">
      <c r="A2" t="s">
        <v>2179</v>
      </c>
      <c r="E2" s="40" t="s">
        <v>2180</v>
      </c>
      <c r="G2" t="s">
        <v>2161</v>
      </c>
      <c r="H2" s="300" t="s">
        <v>2161</v>
      </c>
      <c r="I2" s="7" t="s">
        <v>2092</v>
      </c>
      <c r="J2" t="s">
        <v>2092</v>
      </c>
      <c r="K2" t="s">
        <v>2092</v>
      </c>
      <c r="L2" t="s">
        <v>2092</v>
      </c>
      <c r="M2" t="s">
        <v>2092</v>
      </c>
      <c r="N2" t="s">
        <v>2092</v>
      </c>
      <c r="O2" t="s">
        <v>2092</v>
      </c>
      <c r="P2" s="7" t="s">
        <v>2161</v>
      </c>
      <c r="Q2" s="7" t="s">
        <v>2161</v>
      </c>
      <c r="R2" s="7" t="s">
        <v>2161</v>
      </c>
      <c r="S2" t="s">
        <v>2161</v>
      </c>
      <c r="T2" t="s">
        <v>2161</v>
      </c>
      <c r="U2" t="s">
        <v>2161</v>
      </c>
      <c r="V2" s="302" t="s">
        <v>2181</v>
      </c>
      <c r="W2" s="302" t="s">
        <v>2182</v>
      </c>
      <c r="X2" s="303" t="s">
        <v>2183</v>
      </c>
      <c r="Y2" s="304" t="s">
        <v>2184</v>
      </c>
      <c r="Z2" s="7" t="s">
        <v>2161</v>
      </c>
      <c r="AA2" s="307" t="s">
        <v>2185</v>
      </c>
      <c r="AB2" s="308" t="s">
        <v>2186</v>
      </c>
      <c r="AC2" s="308" t="s">
        <v>2187</v>
      </c>
      <c r="AD2" s="308" t="s">
        <v>2188</v>
      </c>
      <c r="AE2" s="308" t="s">
        <v>2189</v>
      </c>
      <c r="AF2" s="473" t="s">
        <v>2190</v>
      </c>
      <c r="AH2" s="307" t="s">
        <v>2185</v>
      </c>
      <c r="AI2" s="308" t="s">
        <v>2186</v>
      </c>
      <c r="AJ2" s="308" t="s">
        <v>2187</v>
      </c>
      <c r="AK2" s="308" t="s">
        <v>2188</v>
      </c>
      <c r="AL2" s="308" t="s">
        <v>2189</v>
      </c>
    </row>
    <row r="3" spans="1:42">
      <c r="E3" s="40"/>
      <c r="F3" t="s">
        <v>2118</v>
      </c>
      <c r="G3" t="s">
        <v>2118</v>
      </c>
      <c r="H3" t="s">
        <v>2118</v>
      </c>
      <c r="I3" s="7" t="s">
        <v>2118</v>
      </c>
      <c r="J3" t="s">
        <v>2118</v>
      </c>
      <c r="K3" t="s">
        <v>2118</v>
      </c>
      <c r="L3" t="s">
        <v>2118</v>
      </c>
      <c r="M3" t="s">
        <v>2118</v>
      </c>
      <c r="N3" t="s">
        <v>2118</v>
      </c>
      <c r="O3" t="s">
        <v>2118</v>
      </c>
      <c r="P3" s="7" t="s">
        <v>2118</v>
      </c>
      <c r="Q3" s="7" t="s">
        <v>2118</v>
      </c>
      <c r="R3" s="7" t="s">
        <v>2118</v>
      </c>
      <c r="S3" t="s">
        <v>2118</v>
      </c>
      <c r="T3" t="s">
        <v>2118</v>
      </c>
      <c r="U3" t="s">
        <v>2118</v>
      </c>
      <c r="V3" s="161"/>
      <c r="W3" s="161"/>
      <c r="X3" s="309">
        <v>1</v>
      </c>
      <c r="Y3" s="68"/>
      <c r="Z3" s="7" t="s">
        <v>2118</v>
      </c>
      <c r="AA3" s="307" t="s">
        <v>2191</v>
      </c>
      <c r="AB3" s="308" t="s">
        <v>2191</v>
      </c>
      <c r="AC3" s="308" t="s">
        <v>2191</v>
      </c>
      <c r="AD3" s="308" t="s">
        <v>2191</v>
      </c>
      <c r="AE3" s="308" t="s">
        <v>2191</v>
      </c>
      <c r="AF3" s="474" t="s">
        <v>2192</v>
      </c>
      <c r="AH3" s="307" t="s">
        <v>2193</v>
      </c>
      <c r="AI3" s="307" t="s">
        <v>2193</v>
      </c>
      <c r="AJ3" s="307" t="s">
        <v>2193</v>
      </c>
      <c r="AK3" s="307" t="s">
        <v>2193</v>
      </c>
      <c r="AL3" s="307" t="s">
        <v>2193</v>
      </c>
      <c r="AM3" s="307" t="s">
        <v>2682</v>
      </c>
      <c r="AN3" s="465"/>
    </row>
    <row r="4" spans="1:42">
      <c r="E4" s="40" t="s">
        <v>2194</v>
      </c>
      <c r="F4" t="s">
        <v>1940</v>
      </c>
      <c r="G4" t="s">
        <v>2131</v>
      </c>
      <c r="H4" t="s">
        <v>2132</v>
      </c>
      <c r="I4" s="7" t="s">
        <v>1662</v>
      </c>
      <c r="J4" t="s">
        <v>1662</v>
      </c>
      <c r="K4" t="s">
        <v>1662</v>
      </c>
      <c r="L4" t="s">
        <v>1662</v>
      </c>
      <c r="M4" t="s">
        <v>1662</v>
      </c>
      <c r="N4" t="s">
        <v>1662</v>
      </c>
      <c r="O4" t="s">
        <v>1662</v>
      </c>
      <c r="P4" s="7" t="s">
        <v>2132</v>
      </c>
      <c r="Q4" s="7" t="s">
        <v>2132</v>
      </c>
      <c r="R4" s="7" t="s">
        <v>2132</v>
      </c>
      <c r="S4" t="s">
        <v>2132</v>
      </c>
      <c r="T4" t="s">
        <v>2132</v>
      </c>
      <c r="U4" t="s">
        <v>2132</v>
      </c>
      <c r="V4" s="161" t="s">
        <v>1641</v>
      </c>
      <c r="W4" s="161" t="s">
        <v>1641</v>
      </c>
      <c r="X4" s="309" t="s">
        <v>2195</v>
      </c>
      <c r="Y4" s="68" t="s">
        <v>2130</v>
      </c>
      <c r="Z4" s="7" t="s">
        <v>2132</v>
      </c>
      <c r="AA4" s="307" t="s">
        <v>2118</v>
      </c>
      <c r="AB4" s="308" t="s">
        <v>2118</v>
      </c>
      <c r="AC4" s="308" t="s">
        <v>2118</v>
      </c>
      <c r="AD4" s="308" t="s">
        <v>2118</v>
      </c>
      <c r="AE4" s="308" t="s">
        <v>2118</v>
      </c>
      <c r="AF4" s="474"/>
      <c r="AH4" s="307" t="s">
        <v>2118</v>
      </c>
      <c r="AI4" s="308" t="s">
        <v>2118</v>
      </c>
      <c r="AJ4" s="308" t="s">
        <v>2118</v>
      </c>
      <c r="AK4" s="308" t="s">
        <v>2118</v>
      </c>
      <c r="AL4" s="308" t="s">
        <v>2118</v>
      </c>
    </row>
    <row r="5" spans="1:42" s="310" customFormat="1">
      <c r="E5" s="311"/>
      <c r="I5" s="312"/>
      <c r="P5" s="312"/>
      <c r="Q5" s="312"/>
      <c r="R5" s="312"/>
      <c r="V5" s="313"/>
      <c r="W5" s="313"/>
      <c r="X5" s="314"/>
      <c r="Y5" s="315"/>
      <c r="Z5" s="312"/>
      <c r="AA5" s="316"/>
      <c r="AB5" s="317"/>
      <c r="AC5" s="317"/>
      <c r="AD5" s="317"/>
      <c r="AE5" s="317"/>
      <c r="AF5" s="475"/>
      <c r="AH5" s="316"/>
      <c r="AI5" s="317"/>
      <c r="AJ5" s="317"/>
      <c r="AK5" s="317"/>
      <c r="AL5" s="317"/>
    </row>
    <row r="6" spans="1:42">
      <c r="A6">
        <v>2017</v>
      </c>
      <c r="B6" t="s">
        <v>1708</v>
      </c>
      <c r="C6">
        <v>1</v>
      </c>
      <c r="D6" t="str">
        <f>main!$B$6</f>
        <v>McLane-PARFLUX-Mark78H-21 ; 14182-01, G250x21</v>
      </c>
      <c r="E6">
        <v>1000</v>
      </c>
      <c r="F6" s="68">
        <f>main!E7</f>
        <v>297.18571428571431</v>
      </c>
      <c r="G6" s="7">
        <f>main!I7</f>
        <v>37.148214285714289</v>
      </c>
      <c r="H6" s="7">
        <f>main!J7</f>
        <v>13.568385267857145</v>
      </c>
      <c r="I6" s="7">
        <f>main!AF7</f>
        <v>74.211274839316005</v>
      </c>
      <c r="J6" s="7">
        <f>main!AG7</f>
        <v>8.9050356322374373</v>
      </c>
      <c r="K6" s="7">
        <f>main!M7</f>
        <v>15.688009262084961</v>
      </c>
      <c r="L6" s="7">
        <f>main!O7</f>
        <v>1.185608983039856</v>
      </c>
      <c r="M6" s="7">
        <f>main!AH7</f>
        <v>6.7829736298475236</v>
      </c>
      <c r="N6" s="7">
        <f>main!AB7</f>
        <v>2.2842570593463698</v>
      </c>
      <c r="O6" s="7">
        <f>main!AC7</f>
        <v>4.8864722924928223</v>
      </c>
      <c r="P6" s="7">
        <f>(I6/100)*H6</f>
        <v>10.069271682386729</v>
      </c>
      <c r="Q6" s="7">
        <f>(J6/100)*H6</f>
        <v>1.2082695428219339</v>
      </c>
      <c r="R6" s="7">
        <f>(K6/100)*H6</f>
        <v>2.1286095375368004</v>
      </c>
      <c r="S6" s="7">
        <f>(L6/100)*H6</f>
        <v>0.16086799458917073</v>
      </c>
      <c r="T6" s="7">
        <f>(M6/100)*H6</f>
        <v>0.92033999471486638</v>
      </c>
      <c r="U6" s="7">
        <f>(O6/100)*H6</f>
        <v>0.66301538665251747</v>
      </c>
      <c r="V6" s="161">
        <f>main!T7</f>
        <v>42824</v>
      </c>
      <c r="W6" s="161">
        <f>main!U7</f>
        <v>42840</v>
      </c>
      <c r="X6" s="191">
        <f>main!V7</f>
        <v>42832</v>
      </c>
      <c r="Y6">
        <f>main!H7</f>
        <v>16</v>
      </c>
      <c r="Z6" s="7">
        <f>(N6/100)*H6</f>
        <v>0.30993679832033971</v>
      </c>
      <c r="AA6" s="7">
        <f>R6/12.01</f>
        <v>0.17723643110214823</v>
      </c>
      <c r="AB6" s="256">
        <f>S6/14.01</f>
        <v>1.1482369349690987E-2</v>
      </c>
      <c r="AC6" s="7">
        <f>T6/12.01</f>
        <v>7.6631140276008855E-2</v>
      </c>
      <c r="AD6" s="7">
        <f>Q6/12.01</f>
        <v>0.10060529082613938</v>
      </c>
      <c r="AE6" s="7">
        <f>Z6/28.09</f>
        <v>1.1033705885380553E-2</v>
      </c>
      <c r="AF6" s="384"/>
      <c r="AG6" s="7"/>
      <c r="AH6" s="7">
        <f>AA6*1000</f>
        <v>177.23643110214823</v>
      </c>
      <c r="AI6" s="7">
        <f t="shared" ref="AI6:AL6" si="0">AB6*1000</f>
        <v>11.482369349690988</v>
      </c>
      <c r="AJ6" s="7">
        <f t="shared" si="0"/>
        <v>76.63114027600885</v>
      </c>
      <c r="AK6" s="7">
        <f t="shared" si="0"/>
        <v>100.60529082613938</v>
      </c>
      <c r="AL6" s="7">
        <f t="shared" si="0"/>
        <v>11.033705885380552</v>
      </c>
      <c r="AM6" s="7">
        <f>AJ6/AI6</f>
        <v>6.6738090321115768</v>
      </c>
      <c r="AN6" s="7">
        <f>AK6/AI6</f>
        <v>8.7617187500458567</v>
      </c>
      <c r="AO6" s="492">
        <f>main!R7</f>
        <v>35.83</v>
      </c>
      <c r="AP6" s="492">
        <f>main!S7</f>
        <v>8.2609999999999992</v>
      </c>
    </row>
    <row r="7" spans="1:42">
      <c r="A7">
        <v>2017</v>
      </c>
      <c r="B7" t="s">
        <v>1708</v>
      </c>
      <c r="C7">
        <v>2</v>
      </c>
      <c r="D7" t="str">
        <f>main!$B$6</f>
        <v>McLane-PARFLUX-Mark78H-21 ; 14182-01, G250x21</v>
      </c>
      <c r="E7">
        <v>1000</v>
      </c>
      <c r="F7" s="68">
        <f>main!E8</f>
        <v>231.91428571428565</v>
      </c>
      <c r="G7" s="7">
        <f>main!I8</f>
        <v>28.989285714285707</v>
      </c>
      <c r="H7" s="7">
        <f>main!J8</f>
        <v>10.588336607142855</v>
      </c>
      <c r="I7" s="7">
        <f>main!AF8</f>
        <v>85.926931186063783</v>
      </c>
      <c r="J7" s="7">
        <f>main!AG8</f>
        <v>10.310864294374449</v>
      </c>
      <c r="K7" s="7">
        <f>main!M8</f>
        <v>14.482656478881836</v>
      </c>
      <c r="L7" s="7">
        <f>main!O8</f>
        <v>0.64278417825698853</v>
      </c>
      <c r="M7" s="7">
        <f>main!AH8</f>
        <v>4.1717921845073871</v>
      </c>
      <c r="N7" s="7">
        <f>main!AB8</f>
        <v>0.76764349168346779</v>
      </c>
      <c r="O7" s="7">
        <f>main!AC8</f>
        <v>1.6421394594254033</v>
      </c>
      <c r="P7" s="7">
        <f t="shared" ref="P7:P69" si="1">(I7/100)*H7</f>
        <v>9.0982327101684408</v>
      </c>
      <c r="Q7" s="7">
        <f t="shared" ref="Q7:Q69" si="2">(J7/100)*H7</f>
        <v>1.0917490185940715</v>
      </c>
      <c r="R7" s="7">
        <f t="shared" ref="R7:R69" si="3">(K7/100)*H7</f>
        <v>1.5334724176401919</v>
      </c>
      <c r="S7" s="7">
        <f t="shared" ref="S7:S69" si="4">(L7/100)*H7</f>
        <v>6.8060152451307102E-2</v>
      </c>
      <c r="T7" s="7">
        <f t="shared" ref="T7:T68" si="5">(M7/100)*H7</f>
        <v>0.44172339904612024</v>
      </c>
      <c r="U7" s="7">
        <f t="shared" ref="U7:U69" si="6">(O7/100)*H7</f>
        <v>0.17387525352267777</v>
      </c>
      <c r="V7" s="161">
        <f>main!T8</f>
        <v>42840</v>
      </c>
      <c r="W7" s="161">
        <f>main!U8</f>
        <v>42856</v>
      </c>
      <c r="X7" s="191">
        <f>main!V8</f>
        <v>42848</v>
      </c>
      <c r="Y7">
        <f>main!H8</f>
        <v>16</v>
      </c>
      <c r="Z7" s="7">
        <f t="shared" ref="Z7:Z69" si="7">(N7/100)*H7</f>
        <v>8.1280676842270236E-2</v>
      </c>
      <c r="AA7" s="7">
        <f t="shared" ref="AA7:AA69" si="8">R7/12.01</f>
        <v>0.12768296566529491</v>
      </c>
      <c r="AB7" s="7">
        <f t="shared" ref="AB7:AB69" si="9">S7/14.01</f>
        <v>4.8579694826057888E-3</v>
      </c>
      <c r="AC7" s="7">
        <f t="shared" ref="AC7:AC68" si="10">T7/12.01</f>
        <v>3.6779633559210677E-2</v>
      </c>
      <c r="AD7" s="7">
        <f t="shared" ref="AD7:AD69" si="11">Q7/12.01</f>
        <v>9.0903332106084214E-2</v>
      </c>
      <c r="AE7" s="7">
        <f t="shared" ref="AE7:AE69" si="12">Z7/28.09</f>
        <v>2.8935805212627354E-3</v>
      </c>
      <c r="AF7" s="384"/>
      <c r="AG7" s="7"/>
      <c r="AH7" s="7">
        <f t="shared" ref="AH7:AH69" si="13">AA7*1000</f>
        <v>127.68296566529492</v>
      </c>
      <c r="AI7" s="7">
        <f t="shared" ref="AI7:AI69" si="14">AB7*1000</f>
        <v>4.8579694826057889</v>
      </c>
      <c r="AJ7" s="7">
        <f t="shared" ref="AJ7:AJ68" si="15">AC7*1000</f>
        <v>36.77963355921068</v>
      </c>
      <c r="AK7" s="7">
        <f t="shared" ref="AK7:AK69" si="16">AD7*1000</f>
        <v>90.903332106084221</v>
      </c>
      <c r="AL7" s="7">
        <f t="shared" ref="AL7:AL69" si="17">AE7*1000</f>
        <v>2.8935805212627352</v>
      </c>
      <c r="AM7" s="7">
        <f t="shared" ref="AM7:AM69" si="18">AJ7/AI7</f>
        <v>7.5709890090709839</v>
      </c>
      <c r="AN7" s="7">
        <f t="shared" ref="AN7:AN68" si="19">AK7/AI7</f>
        <v>18.712207318627321</v>
      </c>
      <c r="AO7" s="492">
        <f>main!R8</f>
        <v>34.549999999999997</v>
      </c>
      <c r="AP7" s="492">
        <f>main!S8</f>
        <v>7.9279999999999999</v>
      </c>
    </row>
    <row r="8" spans="1:42">
      <c r="A8">
        <v>2017</v>
      </c>
      <c r="B8" t="s">
        <v>1708</v>
      </c>
      <c r="C8">
        <v>3</v>
      </c>
      <c r="D8" t="str">
        <f>main!$B$6</f>
        <v>McLane-PARFLUX-Mark78H-21 ; 14182-01, G250x21</v>
      </c>
      <c r="E8">
        <v>1000</v>
      </c>
      <c r="F8" s="68">
        <f>main!E9</f>
        <v>93.357142857142861</v>
      </c>
      <c r="G8" s="7">
        <f>main!I9</f>
        <v>11.669642857142858</v>
      </c>
      <c r="H8" s="7">
        <f>main!J9</f>
        <v>4.2623370535714287</v>
      </c>
      <c r="I8" s="7">
        <f>main!AF9</f>
        <v>95.480731055373369</v>
      </c>
      <c r="J8" s="7">
        <f>main!AG9</f>
        <v>11.457279423930947</v>
      </c>
      <c r="K8" s="7">
        <f>main!M9</f>
        <v>12.423464775085449</v>
      </c>
      <c r="L8" s="7">
        <f>main!O9</f>
        <v>0.12038497626781464</v>
      </c>
      <c r="M8" s="7">
        <f>main!AH9</f>
        <v>0.96618535115450221</v>
      </c>
      <c r="N8" s="7">
        <f>main!AB9</f>
        <v>3.8679984747055335E-2</v>
      </c>
      <c r="O8" s="7">
        <f>main!AC9</f>
        <v>8.2744047114651303E-2</v>
      </c>
      <c r="P8" s="7">
        <f t="shared" si="1"/>
        <v>4.0697105787940613</v>
      </c>
      <c r="Q8" s="7">
        <f t="shared" si="2"/>
        <v>0.48834786621742388</v>
      </c>
      <c r="R8" s="7">
        <f t="shared" si="3"/>
        <v>0.52952994244586149</v>
      </c>
      <c r="S8" s="7">
        <f t="shared" si="4"/>
        <v>5.1312134503962341E-3</v>
      </c>
      <c r="T8" s="7">
        <f t="shared" si="5"/>
        <v>4.1182076228437565E-2</v>
      </c>
      <c r="U8" s="7">
        <f t="shared" si="6"/>
        <v>3.5268301797923831E-3</v>
      </c>
      <c r="V8" s="161">
        <f>main!T9</f>
        <v>42856</v>
      </c>
      <c r="W8" s="161">
        <f>main!U9</f>
        <v>42872</v>
      </c>
      <c r="X8" s="191">
        <f>main!V9</f>
        <v>42864</v>
      </c>
      <c r="Y8">
        <f>main!H9</f>
        <v>16</v>
      </c>
      <c r="Z8" s="7">
        <f t="shared" si="7"/>
        <v>1.6486713221895164E-3</v>
      </c>
      <c r="AA8" s="7">
        <f t="shared" si="8"/>
        <v>4.409075290973035E-2</v>
      </c>
      <c r="AB8" s="7">
        <f t="shared" si="9"/>
        <v>3.6625363671636218E-4</v>
      </c>
      <c r="AC8" s="7">
        <f t="shared" si="10"/>
        <v>3.4289822005360172E-3</v>
      </c>
      <c r="AD8" s="7">
        <f t="shared" si="11"/>
        <v>4.0661770709194328E-2</v>
      </c>
      <c r="AE8" s="7">
        <f t="shared" si="12"/>
        <v>5.8692464300089586E-5</v>
      </c>
      <c r="AF8" s="384"/>
      <c r="AG8" s="7"/>
      <c r="AH8" s="7">
        <f t="shared" si="13"/>
        <v>44.090752909730348</v>
      </c>
      <c r="AI8" s="7">
        <f t="shared" si="14"/>
        <v>0.36625363671636219</v>
      </c>
      <c r="AJ8" s="7">
        <f t="shared" si="15"/>
        <v>3.4289822005360171</v>
      </c>
      <c r="AK8" s="7">
        <f t="shared" si="16"/>
        <v>40.661770709194329</v>
      </c>
      <c r="AL8" s="7">
        <f t="shared" si="17"/>
        <v>5.8692464300089585E-2</v>
      </c>
      <c r="AM8" s="278">
        <f t="shared" si="18"/>
        <v>9.3623157746049195</v>
      </c>
      <c r="AN8" s="278">
        <f t="shared" si="19"/>
        <v>111.02079715507105</v>
      </c>
      <c r="AO8" s="492">
        <f>main!R9</f>
        <v>34.67</v>
      </c>
      <c r="AP8" s="492">
        <f>main!S9</f>
        <v>8.0730000000000004</v>
      </c>
    </row>
    <row r="9" spans="1:42">
      <c r="A9">
        <v>2017</v>
      </c>
      <c r="B9" t="s">
        <v>1708</v>
      </c>
      <c r="C9">
        <v>4</v>
      </c>
      <c r="D9" t="str">
        <f>main!$B$6</f>
        <v>McLane-PARFLUX-Mark78H-21 ; 14182-01, G250x21</v>
      </c>
      <c r="E9">
        <v>1000</v>
      </c>
      <c r="F9" s="68">
        <f>main!E10</f>
        <v>298.58571428571429</v>
      </c>
      <c r="G9" s="7">
        <f>main!I10</f>
        <v>37.323214285714286</v>
      </c>
      <c r="H9" s="7">
        <f>main!J10</f>
        <v>13.632304017857143</v>
      </c>
      <c r="I9" s="7">
        <f>main!AF10</f>
        <v>88.188410005111606</v>
      </c>
      <c r="J9" s="7">
        <f>main!AG10</f>
        <v>10.582232081934702</v>
      </c>
      <c r="K9" s="7">
        <f>main!M10</f>
        <v>14.00540828704834</v>
      </c>
      <c r="L9" s="7">
        <f>main!O10</f>
        <v>0.5119737982749939</v>
      </c>
      <c r="M9" s="7">
        <f>main!AH10</f>
        <v>3.4231762051136378</v>
      </c>
      <c r="N9" s="7">
        <f>main!AB10</f>
        <v>0.62082131685558728</v>
      </c>
      <c r="O9" s="7">
        <f>main!AC10</f>
        <v>1.3280581320702116</v>
      </c>
      <c r="P9" s="7">
        <f t="shared" si="1"/>
        <v>12.02211216041116</v>
      </c>
      <c r="Q9" s="7">
        <f t="shared" si="2"/>
        <v>1.4426020492845519</v>
      </c>
      <c r="R9" s="7">
        <f t="shared" si="3"/>
        <v>1.9092598366325881</v>
      </c>
      <c r="S9" s="7">
        <f t="shared" si="4"/>
        <v>6.9793824672617813E-2</v>
      </c>
      <c r="T9" s="7">
        <f t="shared" si="5"/>
        <v>0.46665778734803615</v>
      </c>
      <c r="U9" s="7">
        <f t="shared" si="6"/>
        <v>0.18104492209768597</v>
      </c>
      <c r="V9" s="161">
        <f>main!T10</f>
        <v>42872</v>
      </c>
      <c r="W9" s="161">
        <f>main!U10</f>
        <v>42888</v>
      </c>
      <c r="X9" s="191">
        <f>main!V10</f>
        <v>42880</v>
      </c>
      <c r="Y9">
        <f>main!H10</f>
        <v>16</v>
      </c>
      <c r="Z9" s="7">
        <f t="shared" si="7"/>
        <v>8.4632249321417857E-2</v>
      </c>
      <c r="AA9" s="7">
        <f t="shared" si="8"/>
        <v>0.15897250929496987</v>
      </c>
      <c r="AB9" s="7">
        <f t="shared" si="9"/>
        <v>4.9817148231704363E-3</v>
      </c>
      <c r="AC9" s="7">
        <f t="shared" si="10"/>
        <v>3.8855769138054636E-2</v>
      </c>
      <c r="AD9" s="7">
        <f t="shared" si="11"/>
        <v>0.12011674015691523</v>
      </c>
      <c r="AE9" s="7">
        <f t="shared" si="12"/>
        <v>3.0128960242583789E-3</v>
      </c>
      <c r="AF9" s="384"/>
      <c r="AG9" s="7"/>
      <c r="AH9" s="7">
        <f t="shared" si="13"/>
        <v>158.97250929496985</v>
      </c>
      <c r="AI9" s="7">
        <f t="shared" si="14"/>
        <v>4.981714823170436</v>
      </c>
      <c r="AJ9" s="7">
        <f t="shared" si="15"/>
        <v>38.855769138054633</v>
      </c>
      <c r="AK9" s="7">
        <f t="shared" si="16"/>
        <v>120.11674015691523</v>
      </c>
      <c r="AL9" s="7">
        <f t="shared" si="17"/>
        <v>3.0128960242583789</v>
      </c>
      <c r="AM9" s="7">
        <f t="shared" si="18"/>
        <v>7.7996775241594927</v>
      </c>
      <c r="AN9" s="7">
        <f t="shared" si="19"/>
        <v>24.111524730046909</v>
      </c>
      <c r="AO9" s="492">
        <f>main!R10</f>
        <v>34.54</v>
      </c>
      <c r="AP9" s="492">
        <f>main!S10</f>
        <v>8.0500000000000007</v>
      </c>
    </row>
    <row r="10" spans="1:42">
      <c r="A10">
        <v>2017</v>
      </c>
      <c r="B10" t="s">
        <v>1708</v>
      </c>
      <c r="C10">
        <v>5</v>
      </c>
      <c r="D10" t="str">
        <f>main!$B$6</f>
        <v>McLane-PARFLUX-Mark78H-21 ; 14182-01, G250x21</v>
      </c>
      <c r="E10">
        <v>1000</v>
      </c>
      <c r="F10" s="68">
        <f>main!E11</f>
        <v>807.67142857142858</v>
      </c>
      <c r="G10" s="7">
        <f>main!I11</f>
        <v>100.95892857142857</v>
      </c>
      <c r="H10" s="7">
        <f>main!J11</f>
        <v>36.875248660714291</v>
      </c>
      <c r="I10" s="7">
        <f>main!AF11</f>
        <v>64.193545296942489</v>
      </c>
      <c r="J10" s="7">
        <f>main!AG11</f>
        <v>7.7029509258082651</v>
      </c>
      <c r="K10" s="7">
        <f>main!M11</f>
        <v>17.728116989135742</v>
      </c>
      <c r="L10" s="7">
        <f>main!O11</f>
        <v>1.6142473220825195</v>
      </c>
      <c r="M10" s="7">
        <f>main!AH11</f>
        <v>10.025166063327477</v>
      </c>
      <c r="N10" s="7">
        <f>main!AB11</f>
        <v>2.3912014674131816</v>
      </c>
      <c r="O10" s="7">
        <f>main!AC11</f>
        <v>5.1152472829070161</v>
      </c>
      <c r="P10" s="7">
        <f t="shared" si="1"/>
        <v>23.671529452375808</v>
      </c>
      <c r="Q10" s="7">
        <f t="shared" si="2"/>
        <v>2.8404823081045913</v>
      </c>
      <c r="R10" s="7">
        <f t="shared" si="3"/>
        <v>6.5372872226061407</v>
      </c>
      <c r="S10" s="7">
        <f t="shared" si="4"/>
        <v>0.59525771401685057</v>
      </c>
      <c r="T10" s="7">
        <f t="shared" si="5"/>
        <v>3.6968049145015494</v>
      </c>
      <c r="U10" s="7">
        <f t="shared" si="6"/>
        <v>1.8862601551823936</v>
      </c>
      <c r="V10" s="161">
        <f>main!T11</f>
        <v>42888</v>
      </c>
      <c r="W10" s="161">
        <f>main!U11</f>
        <v>42904</v>
      </c>
      <c r="X10" s="191">
        <f>main!V11</f>
        <v>42896</v>
      </c>
      <c r="Y10">
        <f>main!H11</f>
        <v>16</v>
      </c>
      <c r="Z10" s="7">
        <f t="shared" si="7"/>
        <v>0.88176148708725965</v>
      </c>
      <c r="AA10" s="7">
        <f t="shared" si="8"/>
        <v>0.54432033493806331</v>
      </c>
      <c r="AB10" s="7">
        <f t="shared" si="9"/>
        <v>4.2488059530110679E-2</v>
      </c>
      <c r="AC10" s="7">
        <f t="shared" si="10"/>
        <v>0.3078105674022939</v>
      </c>
      <c r="AD10" s="7">
        <f t="shared" si="11"/>
        <v>0.23650976753576947</v>
      </c>
      <c r="AE10" s="7">
        <f t="shared" si="12"/>
        <v>3.139058337797293E-2</v>
      </c>
      <c r="AF10" s="384"/>
      <c r="AG10" s="7"/>
      <c r="AH10" s="7">
        <f t="shared" si="13"/>
        <v>544.3203349380633</v>
      </c>
      <c r="AI10" s="7">
        <f t="shared" si="14"/>
        <v>42.488059530110682</v>
      </c>
      <c r="AJ10" s="7">
        <f t="shared" si="15"/>
        <v>307.81056740229388</v>
      </c>
      <c r="AK10" s="7">
        <f t="shared" si="16"/>
        <v>236.50976753576947</v>
      </c>
      <c r="AL10" s="7">
        <f t="shared" si="17"/>
        <v>31.390583377972931</v>
      </c>
      <c r="AM10" s="7">
        <f t="shared" si="18"/>
        <v>7.2446369828716914</v>
      </c>
      <c r="AN10" s="7">
        <f t="shared" si="19"/>
        <v>5.5664996272225231</v>
      </c>
      <c r="AO10" s="492">
        <f>main!R11</f>
        <v>37.020000000000003</v>
      </c>
      <c r="AP10" s="492">
        <f>main!S11</f>
        <v>7.9260000000000002</v>
      </c>
    </row>
    <row r="11" spans="1:42">
      <c r="A11">
        <v>2017</v>
      </c>
      <c r="B11" t="s">
        <v>1708</v>
      </c>
      <c r="C11">
        <v>6</v>
      </c>
      <c r="D11" t="str">
        <f>main!$B$6</f>
        <v>McLane-PARFLUX-Mark78H-21 ; 14182-01, G250x21</v>
      </c>
      <c r="E11">
        <v>1000</v>
      </c>
      <c r="F11" s="68">
        <f>main!E12</f>
        <v>121.02857142857141</v>
      </c>
      <c r="G11" s="7">
        <f>main!I12</f>
        <v>15.128571428571426</v>
      </c>
      <c r="H11" s="7">
        <f>main!J12</f>
        <v>5.5257107142857134</v>
      </c>
      <c r="I11" s="7">
        <f>main!AF12</f>
        <v>69.233938958028205</v>
      </c>
      <c r="J11" s="7">
        <f>main!AG12</f>
        <v>8.3077766109842415</v>
      </c>
      <c r="K11" s="7">
        <f>main!M12</f>
        <v>20.443384170532227</v>
      </c>
      <c r="L11" s="7">
        <f>main!O12</f>
        <v>1.6545096635818481</v>
      </c>
      <c r="M11" s="7">
        <f>main!AH12</f>
        <v>12.135607559547985</v>
      </c>
      <c r="N11" s="7">
        <f>main!AB12</f>
        <v>0.81708911668973772</v>
      </c>
      <c r="O11" s="7">
        <f>main!AC12</f>
        <v>1.747913315125893</v>
      </c>
      <c r="P11" s="7">
        <f t="shared" si="1"/>
        <v>3.8256671829257951</v>
      </c>
      <c r="Q11" s="7">
        <f t="shared" si="2"/>
        <v>0.45906370231207871</v>
      </c>
      <c r="R11" s="7">
        <f t="shared" si="3"/>
        <v>1.1296422694736887</v>
      </c>
      <c r="S11" s="7">
        <f t="shared" si="4"/>
        <v>9.1423417749434688E-2</v>
      </c>
      <c r="T11" s="7">
        <f t="shared" si="5"/>
        <v>0.67057856716161002</v>
      </c>
      <c r="U11" s="7">
        <f t="shared" si="6"/>
        <v>9.6584633330338079E-2</v>
      </c>
      <c r="V11" s="161">
        <f>main!T12</f>
        <v>42904</v>
      </c>
      <c r="W11" s="161">
        <f>main!U12</f>
        <v>42920</v>
      </c>
      <c r="X11" s="191">
        <f>main!V12</f>
        <v>42912</v>
      </c>
      <c r="Y11">
        <f>main!H12</f>
        <v>16</v>
      </c>
      <c r="Z11" s="7">
        <f t="shared" si="7"/>
        <v>4.5149980866187336E-2</v>
      </c>
      <c r="AA11" s="7">
        <f t="shared" si="8"/>
        <v>9.4058473728034039E-2</v>
      </c>
      <c r="AB11" s="7">
        <f t="shared" si="9"/>
        <v>6.5255829942494426E-3</v>
      </c>
      <c r="AC11" s="7">
        <f t="shared" si="10"/>
        <v>5.5835018081732725E-2</v>
      </c>
      <c r="AD11" s="7">
        <f t="shared" si="11"/>
        <v>3.8223455646301308E-2</v>
      </c>
      <c r="AE11" s="7">
        <f t="shared" si="12"/>
        <v>1.6073328895047112E-3</v>
      </c>
      <c r="AF11" s="384"/>
      <c r="AG11" s="7"/>
      <c r="AH11" s="7">
        <f t="shared" si="13"/>
        <v>94.058473728034045</v>
      </c>
      <c r="AI11" s="7">
        <f t="shared" si="14"/>
        <v>6.5255829942494428</v>
      </c>
      <c r="AJ11" s="7">
        <f t="shared" si="15"/>
        <v>55.835018081732727</v>
      </c>
      <c r="AK11" s="7">
        <f t="shared" si="16"/>
        <v>38.223455646301311</v>
      </c>
      <c r="AL11" s="7">
        <f t="shared" si="17"/>
        <v>1.6073328895047112</v>
      </c>
      <c r="AM11" s="7">
        <f t="shared" si="18"/>
        <v>8.5563264050026451</v>
      </c>
      <c r="AN11" s="7">
        <f t="shared" si="19"/>
        <v>5.8574775127348886</v>
      </c>
      <c r="AO11" s="492">
        <f>main!R12</f>
        <v>34.71</v>
      </c>
      <c r="AP11" s="492">
        <f>main!S12</f>
        <v>7.6440000000000001</v>
      </c>
    </row>
    <row r="12" spans="1:42">
      <c r="A12">
        <v>2017</v>
      </c>
      <c r="B12" t="s">
        <v>1708</v>
      </c>
      <c r="C12">
        <v>7</v>
      </c>
      <c r="D12" t="str">
        <f>main!$B$6</f>
        <v>McLane-PARFLUX-Mark78H-21 ; 14182-01, G250x21</v>
      </c>
      <c r="E12">
        <v>1000</v>
      </c>
      <c r="F12" s="68">
        <f>main!E13</f>
        <v>54.342857142857142</v>
      </c>
      <c r="G12" s="7">
        <f>main!I13</f>
        <v>6.7928571428571427</v>
      </c>
      <c r="H12" s="7">
        <f>main!J13</f>
        <v>2.4810910714285717</v>
      </c>
      <c r="I12" s="7">
        <f>main!AF13</f>
        <v>62.011577941900164</v>
      </c>
      <c r="J12" s="7">
        <f>main!AG13</f>
        <v>7.4411241739150773</v>
      </c>
      <c r="K12" s="7">
        <f>main!M13</f>
        <v>20.057174682617188</v>
      </c>
      <c r="L12" s="7">
        <f>main!O13</f>
        <v>1.737897515296936</v>
      </c>
      <c r="M12" s="7">
        <f>main!AH13</f>
        <v>12.616050508702109</v>
      </c>
      <c r="N12" s="7">
        <f>main!AB13</f>
        <v>1.9298833372846529</v>
      </c>
      <c r="O12" s="7">
        <f>main!AC13</f>
        <v>4.1283976410621142</v>
      </c>
      <c r="P12" s="7">
        <f t="shared" si="1"/>
        <v>1.5385637235684546</v>
      </c>
      <c r="Q12" s="7">
        <f t="shared" si="2"/>
        <v>0.18462106749292004</v>
      </c>
      <c r="R12" s="7">
        <f t="shared" si="3"/>
        <v>0.49763677023124697</v>
      </c>
      <c r="S12" s="7">
        <f t="shared" si="4"/>
        <v>4.3118820082611274E-2</v>
      </c>
      <c r="T12" s="7">
        <f t="shared" si="5"/>
        <v>0.31301570273832691</v>
      </c>
      <c r="U12" s="7">
        <f t="shared" si="6"/>
        <v>0.10242930526545989</v>
      </c>
      <c r="V12" s="161">
        <f>main!T13</f>
        <v>42920</v>
      </c>
      <c r="W12" s="161">
        <f>main!U13</f>
        <v>42936</v>
      </c>
      <c r="X12" s="191">
        <f>main!V13</f>
        <v>42928</v>
      </c>
      <c r="Y12">
        <f>main!H13</f>
        <v>16</v>
      </c>
      <c r="Z12" s="7">
        <f t="shared" si="7"/>
        <v>4.7882163170357268E-2</v>
      </c>
      <c r="AA12" s="7">
        <f t="shared" si="8"/>
        <v>4.1435201518005574E-2</v>
      </c>
      <c r="AB12" s="7">
        <f t="shared" si="9"/>
        <v>3.077717350650341E-3</v>
      </c>
      <c r="AC12" s="7">
        <f t="shared" si="10"/>
        <v>2.6062922792533465E-2</v>
      </c>
      <c r="AD12" s="7">
        <f t="shared" si="11"/>
        <v>1.5372278725472111E-2</v>
      </c>
      <c r="AE12" s="7">
        <f t="shared" si="12"/>
        <v>1.7045981904719569E-3</v>
      </c>
      <c r="AF12" s="384"/>
      <c r="AG12" s="7"/>
      <c r="AH12" s="7">
        <f t="shared" si="13"/>
        <v>41.435201518005577</v>
      </c>
      <c r="AI12" s="7">
        <f t="shared" si="14"/>
        <v>3.077717350650341</v>
      </c>
      <c r="AJ12" s="7">
        <f t="shared" si="15"/>
        <v>26.062922792533463</v>
      </c>
      <c r="AK12" s="7">
        <f t="shared" si="16"/>
        <v>15.37227872547211</v>
      </c>
      <c r="AL12" s="7">
        <f t="shared" si="17"/>
        <v>1.7045981904719569</v>
      </c>
      <c r="AM12" s="7">
        <f t="shared" si="18"/>
        <v>8.4682639187208668</v>
      </c>
      <c r="AN12" s="7">
        <f t="shared" si="19"/>
        <v>4.994701258783186</v>
      </c>
      <c r="AO12" s="492">
        <f>main!R13</f>
        <v>34.53</v>
      </c>
      <c r="AP12" s="492">
        <f>main!S13</f>
        <v>8.0755000000000017</v>
      </c>
    </row>
    <row r="13" spans="1:42">
      <c r="A13">
        <v>2017</v>
      </c>
      <c r="B13" t="s">
        <v>1708</v>
      </c>
      <c r="C13">
        <v>8</v>
      </c>
      <c r="D13" t="str">
        <f>main!$B$6</f>
        <v>McLane-PARFLUX-Mark78H-21 ; 14182-01, G250x21</v>
      </c>
      <c r="E13">
        <v>1000</v>
      </c>
      <c r="F13" s="68">
        <f>main!E14</f>
        <v>63.328571428571436</v>
      </c>
      <c r="G13" s="7">
        <f>main!I14</f>
        <v>7.9160714285714295</v>
      </c>
      <c r="H13" s="7">
        <f>main!J14</f>
        <v>2.8913450892857147</v>
      </c>
      <c r="I13" s="7">
        <f>main!AF14</f>
        <v>48.290357873480851</v>
      </c>
      <c r="J13" s="7">
        <f>main!AG14</f>
        <v>5.7946364415373539</v>
      </c>
      <c r="K13" s="7">
        <f>main!M14</f>
        <v>23.31474494934082</v>
      </c>
      <c r="L13" s="7">
        <f>main!O14</f>
        <v>2.5397510528564453</v>
      </c>
      <c r="M13" s="7">
        <f>main!AH14</f>
        <v>17.520108507803467</v>
      </c>
      <c r="N13" s="7">
        <f>main!AB14</f>
        <v>3.6291239457582267</v>
      </c>
      <c r="O13" s="7">
        <f>main!AC14</f>
        <v>7.7634054076401515</v>
      </c>
      <c r="P13" s="7">
        <f t="shared" si="1"/>
        <v>1.3962408909733859</v>
      </c>
      <c r="Q13" s="7">
        <f t="shared" si="2"/>
        <v>0.16754293619435076</v>
      </c>
      <c r="R13" s="7">
        <f t="shared" si="3"/>
        <v>0.67410973317225498</v>
      </c>
      <c r="S13" s="7">
        <f t="shared" si="4"/>
        <v>7.3432967346847067E-2</v>
      </c>
      <c r="T13" s="7">
        <f t="shared" si="5"/>
        <v>0.50656679697790419</v>
      </c>
      <c r="U13" s="7">
        <f t="shared" si="6"/>
        <v>0.22446684101514514</v>
      </c>
      <c r="V13" s="161">
        <f>main!T14</f>
        <v>42936</v>
      </c>
      <c r="W13" s="161">
        <f>main!U14</f>
        <v>42952</v>
      </c>
      <c r="X13" s="191">
        <f>main!V14</f>
        <v>42944</v>
      </c>
      <c r="Y13">
        <f>main!H14</f>
        <v>16</v>
      </c>
      <c r="Z13" s="7">
        <f t="shared" si="7"/>
        <v>0.10493049698977244</v>
      </c>
      <c r="AA13" s="7">
        <f t="shared" si="8"/>
        <v>5.6129036900271025E-2</v>
      </c>
      <c r="AB13" s="7">
        <f t="shared" si="9"/>
        <v>5.2414680475979351E-3</v>
      </c>
      <c r="AC13" s="7">
        <f t="shared" si="10"/>
        <v>4.2178750789167711E-2</v>
      </c>
      <c r="AD13" s="7">
        <f t="shared" si="11"/>
        <v>1.3950286111103312E-2</v>
      </c>
      <c r="AE13" s="7">
        <f t="shared" si="12"/>
        <v>3.7355107507928958E-3</v>
      </c>
      <c r="AF13" s="384"/>
      <c r="AG13" s="7"/>
      <c r="AH13" s="7">
        <f t="shared" si="13"/>
        <v>56.129036900271025</v>
      </c>
      <c r="AI13" s="7">
        <f t="shared" si="14"/>
        <v>5.2414680475979347</v>
      </c>
      <c r="AJ13" s="7">
        <f t="shared" si="15"/>
        <v>42.178750789167708</v>
      </c>
      <c r="AK13" s="7">
        <f t="shared" si="16"/>
        <v>13.950286111103312</v>
      </c>
      <c r="AL13" s="7">
        <f t="shared" si="17"/>
        <v>3.735510750792896</v>
      </c>
      <c r="AM13" s="7">
        <f t="shared" si="18"/>
        <v>8.0471254248125064</v>
      </c>
      <c r="AN13" s="7">
        <f t="shared" si="19"/>
        <v>2.6615226849463411</v>
      </c>
      <c r="AO13" s="492">
        <f>main!R14</f>
        <v>34.53</v>
      </c>
      <c r="AP13" s="492">
        <f>main!S14</f>
        <v>8.17</v>
      </c>
    </row>
    <row r="14" spans="1:42">
      <c r="A14">
        <v>2017</v>
      </c>
      <c r="B14" t="s">
        <v>1708</v>
      </c>
      <c r="C14">
        <v>9</v>
      </c>
      <c r="D14" t="str">
        <f>main!$B$6</f>
        <v>McLane-PARFLUX-Mark78H-21 ; 14182-01, G250x21</v>
      </c>
      <c r="E14">
        <v>1000</v>
      </c>
      <c r="F14" s="68">
        <f>main!E15</f>
        <v>99.17142857142855</v>
      </c>
      <c r="G14" s="7">
        <f>main!I15</f>
        <v>12.396428571428569</v>
      </c>
      <c r="H14" s="7">
        <f>main!J15</f>
        <v>4.5277955357142847</v>
      </c>
      <c r="I14" s="7">
        <f>main!AF15</f>
        <v>55.478942926669205</v>
      </c>
      <c r="J14" s="7">
        <f>main!AG15</f>
        <v>6.6572359074893637</v>
      </c>
      <c r="K14" s="7">
        <f>main!M15</f>
        <v>19.85919189453125</v>
      </c>
      <c r="L14" s="7">
        <f>main!O15</f>
        <v>1.8146072626113892</v>
      </c>
      <c r="M14" s="7">
        <f>main!AH15</f>
        <v>13.201955987041886</v>
      </c>
      <c r="N14" s="7">
        <f>main!AB15</f>
        <v>3.0388913694067679</v>
      </c>
      <c r="O14" s="7">
        <f>main!AC15</f>
        <v>6.5007825698701556</v>
      </c>
      <c r="P14" s="7">
        <f t="shared" si="1"/>
        <v>2.5119731010952044</v>
      </c>
      <c r="Q14" s="7">
        <f t="shared" si="2"/>
        <v>0.30142603022127173</v>
      </c>
      <c r="R14" s="7">
        <f t="shared" si="3"/>
        <v>0.89918360402951902</v>
      </c>
      <c r="S14" s="7">
        <f t="shared" si="4"/>
        <v>8.2161706627265671E-2</v>
      </c>
      <c r="T14" s="7">
        <f t="shared" si="5"/>
        <v>0.59775757380824723</v>
      </c>
      <c r="U14" s="7">
        <f t="shared" si="6"/>
        <v>0.29434214298507327</v>
      </c>
      <c r="V14" s="161">
        <f>main!T15</f>
        <v>42952</v>
      </c>
      <c r="W14" s="161">
        <f>main!U15</f>
        <v>42968</v>
      </c>
      <c r="X14" s="191">
        <f>main!V15</f>
        <v>42960</v>
      </c>
      <c r="Y14">
        <f>main!H15</f>
        <v>16</v>
      </c>
      <c r="Z14" s="7">
        <f t="shared" si="7"/>
        <v>0.13759478775920633</v>
      </c>
      <c r="AA14" s="7">
        <f t="shared" si="8"/>
        <v>7.4869575689385431E-2</v>
      </c>
      <c r="AB14" s="7">
        <f t="shared" si="9"/>
        <v>5.8645043988055437E-3</v>
      </c>
      <c r="AC14" s="7">
        <f t="shared" si="10"/>
        <v>4.9771654771710847E-2</v>
      </c>
      <c r="AD14" s="7">
        <f t="shared" si="11"/>
        <v>2.5097920917674581E-2</v>
      </c>
      <c r="AE14" s="7">
        <f t="shared" si="12"/>
        <v>4.8983548508083419E-3</v>
      </c>
      <c r="AF14" s="384"/>
      <c r="AG14" s="7"/>
      <c r="AH14" s="7">
        <f t="shared" si="13"/>
        <v>74.869575689385428</v>
      </c>
      <c r="AI14" s="7">
        <f t="shared" si="14"/>
        <v>5.8645043988055434</v>
      </c>
      <c r="AJ14" s="7">
        <f t="shared" si="15"/>
        <v>49.77165477171085</v>
      </c>
      <c r="AK14" s="7">
        <f t="shared" si="16"/>
        <v>25.097920917674582</v>
      </c>
      <c r="AL14" s="7">
        <f t="shared" si="17"/>
        <v>4.8983548508083423</v>
      </c>
      <c r="AM14" s="7">
        <f t="shared" si="18"/>
        <v>8.4869328057539057</v>
      </c>
      <c r="AN14" s="7">
        <f t="shared" si="19"/>
        <v>4.2796320389471303</v>
      </c>
      <c r="AO14" s="492">
        <f>main!R15</f>
        <v>34.53</v>
      </c>
      <c r="AP14" s="492">
        <f>main!S15</f>
        <v>8.1000000000000014</v>
      </c>
    </row>
    <row r="15" spans="1:42">
      <c r="A15">
        <v>2017</v>
      </c>
      <c r="B15" t="s">
        <v>1708</v>
      </c>
      <c r="C15">
        <v>10</v>
      </c>
      <c r="D15" t="str">
        <f>main!$B$6</f>
        <v>McLane-PARFLUX-Mark78H-21 ; 14182-01, G250x21</v>
      </c>
      <c r="E15">
        <v>1000</v>
      </c>
      <c r="F15" s="68">
        <f>main!E16</f>
        <v>306.2</v>
      </c>
      <c r="G15" s="7">
        <f>main!I16</f>
        <v>38.274999999999999</v>
      </c>
      <c r="H15" s="7">
        <f>main!J16</f>
        <v>13.97994375</v>
      </c>
      <c r="I15" s="7">
        <f>main!AF16</f>
        <v>54.354782321004315</v>
      </c>
      <c r="J15" s="7">
        <f>main!AG16</f>
        <v>6.5223414420394858</v>
      </c>
      <c r="K15" s="7">
        <f>main!M16</f>
        <v>18.229263305664063</v>
      </c>
      <c r="L15" s="7">
        <f>main!O16</f>
        <v>1.8657491207122803</v>
      </c>
      <c r="M15" s="7">
        <f>main!AH16</f>
        <v>11.706921863624576</v>
      </c>
      <c r="N15" s="7">
        <f>main!AB16</f>
        <v>4.138064539779629</v>
      </c>
      <c r="O15" s="7">
        <f>main!AC16</f>
        <v>8.852128807239513</v>
      </c>
      <c r="P15" s="7">
        <f t="shared" si="1"/>
        <v>7.5987679939113475</v>
      </c>
      <c r="Q15" s="7">
        <f t="shared" si="2"/>
        <v>0.91181966478005905</v>
      </c>
      <c r="R15" s="7">
        <f t="shared" si="3"/>
        <v>2.5484407561712263</v>
      </c>
      <c r="S15" s="7">
        <f t="shared" si="4"/>
        <v>0.26083067759169637</v>
      </c>
      <c r="T15" s="7">
        <f t="shared" si="5"/>
        <v>1.6366210913911674</v>
      </c>
      <c r="U15" s="7">
        <f t="shared" si="6"/>
        <v>1.2375226279296299</v>
      </c>
      <c r="V15" s="161">
        <f>main!T16</f>
        <v>42968</v>
      </c>
      <c r="W15" s="161">
        <f>main!U16</f>
        <v>42984</v>
      </c>
      <c r="X15" s="191">
        <f>main!V16</f>
        <v>42976</v>
      </c>
      <c r="Y15">
        <f>main!H16</f>
        <v>16</v>
      </c>
      <c r="Z15" s="7">
        <f t="shared" si="7"/>
        <v>0.5784990949998885</v>
      </c>
      <c r="AA15" s="7">
        <f t="shared" si="8"/>
        <v>0.21219323531817039</v>
      </c>
      <c r="AB15" s="7">
        <f t="shared" si="9"/>
        <v>1.8617464496195314E-2</v>
      </c>
      <c r="AC15" s="7">
        <f t="shared" si="10"/>
        <v>0.13627153133981409</v>
      </c>
      <c r="AD15" s="7">
        <f t="shared" si="11"/>
        <v>7.5921703978356292E-2</v>
      </c>
      <c r="AE15" s="7">
        <f t="shared" si="12"/>
        <v>2.0594485404054414E-2</v>
      </c>
      <c r="AF15" s="384"/>
      <c r="AG15" s="7"/>
      <c r="AH15" s="7">
        <f t="shared" si="13"/>
        <v>212.19323531817039</v>
      </c>
      <c r="AI15" s="7">
        <f t="shared" si="14"/>
        <v>18.617464496195314</v>
      </c>
      <c r="AJ15" s="7">
        <f t="shared" si="15"/>
        <v>136.27153133981409</v>
      </c>
      <c r="AK15" s="7">
        <f t="shared" si="16"/>
        <v>75.921703978356291</v>
      </c>
      <c r="AL15" s="7">
        <f t="shared" si="17"/>
        <v>20.594485404054414</v>
      </c>
      <c r="AM15" s="7">
        <f t="shared" si="18"/>
        <v>7.3195537108537359</v>
      </c>
      <c r="AN15" s="7">
        <f t="shared" si="19"/>
        <v>4.0779830139529327</v>
      </c>
      <c r="AO15" s="492">
        <f>main!R16</f>
        <v>36.664999999999999</v>
      </c>
      <c r="AP15" s="492">
        <f>main!S16</f>
        <v>8.2832499999999989</v>
      </c>
    </row>
    <row r="16" spans="1:42">
      <c r="A16">
        <v>2017</v>
      </c>
      <c r="B16" t="s">
        <v>1708</v>
      </c>
      <c r="C16">
        <v>11</v>
      </c>
      <c r="D16" t="str">
        <f>main!$B$6</f>
        <v>McLane-PARFLUX-Mark78H-21 ; 14182-01, G250x21</v>
      </c>
      <c r="E16">
        <v>1000</v>
      </c>
      <c r="F16" s="68">
        <f>main!E17</f>
        <v>394.55714285714288</v>
      </c>
      <c r="G16" s="7">
        <f>main!I17</f>
        <v>49.31964285714286</v>
      </c>
      <c r="H16" s="7">
        <f>main!J17</f>
        <v>18.013999553571431</v>
      </c>
      <c r="I16" s="7">
        <f>main!AF17</f>
        <v>59.303921881604623</v>
      </c>
      <c r="J16" s="7">
        <f>main!AG17</f>
        <v>7.1162170253856543</v>
      </c>
      <c r="K16" s="7">
        <f>main!M17</f>
        <v>16.883222579956055</v>
      </c>
      <c r="L16" s="7">
        <f>main!O17</f>
        <v>1.5396265983581543</v>
      </c>
      <c r="M16" s="7">
        <f>main!AH17</f>
        <v>9.7670055545703995</v>
      </c>
      <c r="N16" s="7">
        <f>main!AB17</f>
        <v>4.293440630995522</v>
      </c>
      <c r="O16" s="7">
        <f>main!AC17</f>
        <v>9.1845086335536106</v>
      </c>
      <c r="P16" s="7">
        <f t="shared" si="1"/>
        <v>10.683008223002608</v>
      </c>
      <c r="Q16" s="7">
        <f t="shared" si="2"/>
        <v>1.2819153031841459</v>
      </c>
      <c r="R16" s="7">
        <f t="shared" si="3"/>
        <v>3.0413436401817551</v>
      </c>
      <c r="S16" s="7">
        <f t="shared" si="4"/>
        <v>0.27734832855490493</v>
      </c>
      <c r="T16" s="7">
        <f t="shared" si="5"/>
        <v>1.7594283369976087</v>
      </c>
      <c r="U16" s="7">
        <f t="shared" si="6"/>
        <v>1.6544973442460769</v>
      </c>
      <c r="V16" s="161">
        <f>main!T17</f>
        <v>42984</v>
      </c>
      <c r="W16" s="161">
        <f>main!U17</f>
        <v>43000</v>
      </c>
      <c r="X16" s="191">
        <f>main!V17</f>
        <v>42992</v>
      </c>
      <c r="Y16">
        <f>main!H17</f>
        <v>16</v>
      </c>
      <c r="Z16" s="7">
        <f t="shared" si="7"/>
        <v>0.77342037610038783</v>
      </c>
      <c r="AA16" s="7">
        <f t="shared" si="8"/>
        <v>0.25323427478615779</v>
      </c>
      <c r="AB16" s="7">
        <f t="shared" si="9"/>
        <v>1.9796454572084579E-2</v>
      </c>
      <c r="AC16" s="7">
        <f t="shared" si="10"/>
        <v>0.14649694729372262</v>
      </c>
      <c r="AD16" s="7">
        <f t="shared" si="11"/>
        <v>0.10673732749243513</v>
      </c>
      <c r="AE16" s="7">
        <f t="shared" si="12"/>
        <v>2.7533655254552789E-2</v>
      </c>
      <c r="AF16" s="384"/>
      <c r="AG16" s="7"/>
      <c r="AH16" s="7">
        <f t="shared" si="13"/>
        <v>253.23427478615778</v>
      </c>
      <c r="AI16" s="7">
        <f t="shared" si="14"/>
        <v>19.796454572084578</v>
      </c>
      <c r="AJ16" s="7">
        <f t="shared" si="15"/>
        <v>146.49694729372263</v>
      </c>
      <c r="AK16" s="7">
        <f t="shared" si="16"/>
        <v>106.73732749243513</v>
      </c>
      <c r="AL16" s="7">
        <f t="shared" si="17"/>
        <v>27.533655254552791</v>
      </c>
      <c r="AM16" s="7">
        <f t="shared" si="18"/>
        <v>7.4001608096179625</v>
      </c>
      <c r="AN16" s="7">
        <f t="shared" si="19"/>
        <v>5.3917395715366032</v>
      </c>
      <c r="AO16" s="492">
        <f>main!R17</f>
        <v>36.33</v>
      </c>
      <c r="AP16" s="492">
        <f>main!S17</f>
        <v>8.2564999999999991</v>
      </c>
    </row>
    <row r="17" spans="1:42">
      <c r="A17">
        <v>2017</v>
      </c>
      <c r="B17" t="s">
        <v>1708</v>
      </c>
      <c r="C17">
        <v>12</v>
      </c>
      <c r="D17" t="str">
        <f>main!$B$6</f>
        <v>McLane-PARFLUX-Mark78H-21 ; 14182-01, G250x21</v>
      </c>
      <c r="E17">
        <v>1000</v>
      </c>
      <c r="F17" s="68">
        <f>main!E18</f>
        <v>146.32499999999999</v>
      </c>
      <c r="G17" s="7">
        <f>main!I18</f>
        <v>18.290624999999999</v>
      </c>
      <c r="H17" s="7">
        <f>main!J18</f>
        <v>6.6806507812499998</v>
      </c>
      <c r="I17" s="7">
        <f>main!AF18</f>
        <v>66.301771468052848</v>
      </c>
      <c r="J17" s="7">
        <f>main!AG18</f>
        <v>7.955929050967856</v>
      </c>
      <c r="K17" s="7">
        <f>main!M18</f>
        <v>17.212553024291992</v>
      </c>
      <c r="L17" s="7">
        <f>main!O18</f>
        <v>1.4914951324462891</v>
      </c>
      <c r="M17" s="7">
        <f>main!AH18</f>
        <v>9.2566239733241353</v>
      </c>
      <c r="N17" s="7">
        <f>main!AB18</f>
        <v>2.3758487203459158</v>
      </c>
      <c r="O17" s="7">
        <f>main!AC18</f>
        <v>5.0824047563398391</v>
      </c>
      <c r="P17" s="7">
        <f t="shared" si="1"/>
        <v>4.4293898135630618</v>
      </c>
      <c r="Q17" s="7">
        <f t="shared" si="2"/>
        <v>0.53150783629917975</v>
      </c>
      <c r="R17" s="7">
        <f t="shared" si="3"/>
        <v>1.1499105580904334</v>
      </c>
      <c r="S17" s="7">
        <f t="shared" si="4"/>
        <v>9.9641581218078729E-2</v>
      </c>
      <c r="T17" s="7">
        <f t="shared" si="5"/>
        <v>0.61840272179125355</v>
      </c>
      <c r="U17" s="7">
        <f t="shared" si="6"/>
        <v>0.33953771306070463</v>
      </c>
      <c r="V17" s="161">
        <f>main!T18</f>
        <v>43000</v>
      </c>
      <c r="W17" s="161">
        <f>main!U18</f>
        <v>43016</v>
      </c>
      <c r="X17" s="191">
        <f>main!V18</f>
        <v>43008</v>
      </c>
      <c r="Y17">
        <f>main!H18</f>
        <v>16</v>
      </c>
      <c r="Z17" s="7">
        <f t="shared" si="7"/>
        <v>0.15872215609710755</v>
      </c>
      <c r="AA17" s="7">
        <f t="shared" si="8"/>
        <v>9.5746091431343328E-2</v>
      </c>
      <c r="AB17" s="7">
        <f t="shared" si="9"/>
        <v>7.1121756758086175E-3</v>
      </c>
      <c r="AC17" s="7">
        <f t="shared" si="10"/>
        <v>5.149065127321012E-2</v>
      </c>
      <c r="AD17" s="7">
        <f t="shared" si="11"/>
        <v>4.4255440158133201E-2</v>
      </c>
      <c r="AE17" s="7">
        <f t="shared" si="12"/>
        <v>5.6504861551124079E-3</v>
      </c>
      <c r="AF17" s="384"/>
      <c r="AG17" s="7"/>
      <c r="AH17" s="7">
        <f t="shared" si="13"/>
        <v>95.746091431343331</v>
      </c>
      <c r="AI17" s="7">
        <f t="shared" si="14"/>
        <v>7.1121756758086176</v>
      </c>
      <c r="AJ17" s="7">
        <f t="shared" si="15"/>
        <v>51.490651273210119</v>
      </c>
      <c r="AK17" s="7">
        <f t="shared" si="16"/>
        <v>44.255440158133204</v>
      </c>
      <c r="AL17" s="7">
        <f t="shared" si="17"/>
        <v>5.6504861551124081</v>
      </c>
      <c r="AM17" s="7">
        <f t="shared" si="18"/>
        <v>7.2397890069491142</v>
      </c>
      <c r="AN17" s="7">
        <f t="shared" si="19"/>
        <v>6.2224897380788597</v>
      </c>
      <c r="AO17" s="492">
        <f>main!R18</f>
        <v>35.26</v>
      </c>
      <c r="AP17" s="492">
        <f>main!S18</f>
        <v>8.1829999999999998</v>
      </c>
    </row>
    <row r="18" spans="1:42">
      <c r="A18">
        <v>2017</v>
      </c>
      <c r="B18" t="s">
        <v>1708</v>
      </c>
      <c r="C18">
        <v>13</v>
      </c>
      <c r="D18" t="str">
        <f>main!$B$6</f>
        <v>McLane-PARFLUX-Mark78H-21 ; 14182-01, G250x21</v>
      </c>
      <c r="E18">
        <v>1000</v>
      </c>
      <c r="F18" s="68">
        <f>main!E19</f>
        <v>69.414285714285725</v>
      </c>
      <c r="G18" s="7">
        <f>main!I19</f>
        <v>8.6767857142857157</v>
      </c>
      <c r="H18" s="7">
        <f>main!J19</f>
        <v>3.1691959821428579</v>
      </c>
      <c r="I18" s="7">
        <f>main!AF19</f>
        <v>72.327769181092194</v>
      </c>
      <c r="J18" s="7">
        <f>main!AG19</f>
        <v>8.6790230076555197</v>
      </c>
      <c r="K18" s="7">
        <f>main!M19</f>
        <v>17.991422653198242</v>
      </c>
      <c r="L18" s="7">
        <f>main!O19</f>
        <v>1.2122423648834229</v>
      </c>
      <c r="M18" s="7">
        <f>main!AH19</f>
        <v>9.3123996455427225</v>
      </c>
      <c r="N18" s="7">
        <f>main!AB19</f>
        <v>1.7896689845514175</v>
      </c>
      <c r="O18" s="7">
        <f>main!AC19</f>
        <v>3.8284517366213846</v>
      </c>
      <c r="P18" s="7">
        <f t="shared" si="1"/>
        <v>2.2922087548607339</v>
      </c>
      <c r="Q18" s="7">
        <f t="shared" si="2"/>
        <v>0.27505524844787299</v>
      </c>
      <c r="R18" s="7">
        <f t="shared" si="3"/>
        <v>0.57018344385549868</v>
      </c>
      <c r="S18" s="7">
        <f t="shared" si="4"/>
        <v>3.8418336321718996E-2</v>
      </c>
      <c r="T18" s="7">
        <f t="shared" si="5"/>
        <v>0.29512819540762569</v>
      </c>
      <c r="U18" s="7">
        <f t="shared" si="6"/>
        <v>0.1213311386152834</v>
      </c>
      <c r="V18" s="161">
        <f>main!T19</f>
        <v>43016</v>
      </c>
      <c r="W18" s="161">
        <f>main!U19</f>
        <v>43032</v>
      </c>
      <c r="X18" s="191">
        <f>main!V19</f>
        <v>43024</v>
      </c>
      <c r="Y18">
        <f>main!H19</f>
        <v>16</v>
      </c>
      <c r="Z18" s="7">
        <f t="shared" si="7"/>
        <v>5.671811755206041E-2</v>
      </c>
      <c r="AA18" s="7">
        <f t="shared" si="8"/>
        <v>4.7475723884720954E-2</v>
      </c>
      <c r="AB18" s="7">
        <f t="shared" si="9"/>
        <v>2.7422081600084938E-3</v>
      </c>
      <c r="AC18" s="7">
        <f t="shared" si="10"/>
        <v>2.4573538335356013E-2</v>
      </c>
      <c r="AD18" s="7">
        <f t="shared" si="11"/>
        <v>2.2902185549364944E-2</v>
      </c>
      <c r="AE18" s="7">
        <f t="shared" si="12"/>
        <v>2.0191569082257175E-3</v>
      </c>
      <c r="AF18" s="384"/>
      <c r="AG18" s="7"/>
      <c r="AH18" s="7">
        <f t="shared" si="13"/>
        <v>47.475723884720956</v>
      </c>
      <c r="AI18" s="7">
        <f t="shared" si="14"/>
        <v>2.7422081600084938</v>
      </c>
      <c r="AJ18" s="7">
        <f t="shared" si="15"/>
        <v>24.573538335356012</v>
      </c>
      <c r="AK18" s="7">
        <f t="shared" si="16"/>
        <v>22.902185549364944</v>
      </c>
      <c r="AL18" s="7">
        <f t="shared" si="17"/>
        <v>2.0191569082257175</v>
      </c>
      <c r="AM18" s="7">
        <f t="shared" si="18"/>
        <v>8.9612228180664069</v>
      </c>
      <c r="AN18" s="7">
        <f t="shared" si="19"/>
        <v>8.3517312373886323</v>
      </c>
      <c r="AO18" s="492">
        <f>main!R19</f>
        <v>34.520000000000003</v>
      </c>
      <c r="AP18" s="492">
        <f>main!S19</f>
        <v>7.9909999999999997</v>
      </c>
    </row>
    <row r="19" spans="1:42">
      <c r="A19">
        <v>2017</v>
      </c>
      <c r="B19" t="s">
        <v>1708</v>
      </c>
      <c r="C19">
        <v>14</v>
      </c>
      <c r="D19" t="str">
        <f>main!$B$6</f>
        <v>McLane-PARFLUX-Mark78H-21 ; 14182-01, G250x21</v>
      </c>
      <c r="E19">
        <v>1000</v>
      </c>
      <c r="F19" s="68">
        <f>main!E20</f>
        <v>810.38571428571436</v>
      </c>
      <c r="G19" s="7">
        <f>main!I20</f>
        <v>101.29821428571429</v>
      </c>
      <c r="H19" s="7">
        <f>main!J20</f>
        <v>36.999172767857146</v>
      </c>
      <c r="I19" s="7">
        <f>main!AF20</f>
        <v>69.839214993955054</v>
      </c>
      <c r="J19" s="7">
        <f>main!AG20</f>
        <v>8.3804071469632895</v>
      </c>
      <c r="K19" s="7">
        <f>main!M20</f>
        <v>16.28987979888916</v>
      </c>
      <c r="L19" s="7">
        <f>main!O20</f>
        <v>1.0880199670791626</v>
      </c>
      <c r="M19" s="7">
        <f>main!AH20</f>
        <v>7.9094726519258707</v>
      </c>
      <c r="N19" s="7">
        <f>main!AB20</f>
        <v>2.9930692385176418</v>
      </c>
      <c r="O19" s="7">
        <f>main!AC20</f>
        <v>6.402760076273589</v>
      </c>
      <c r="P19" s="7">
        <f t="shared" si="1"/>
        <v>25.839931815328626</v>
      </c>
      <c r="Q19" s="7">
        <f t="shared" si="2"/>
        <v>3.1006813189547953</v>
      </c>
      <c r="R19" s="7">
        <f t="shared" si="3"/>
        <v>6.0271207704672607</v>
      </c>
      <c r="S19" s="7">
        <f t="shared" si="4"/>
        <v>0.40255838736840183</v>
      </c>
      <c r="T19" s="7">
        <f t="shared" si="5"/>
        <v>2.9264394515124654</v>
      </c>
      <c r="U19" s="7">
        <f t="shared" si="6"/>
        <v>2.3689682625318471</v>
      </c>
      <c r="V19" s="161">
        <f>main!T20</f>
        <v>43032</v>
      </c>
      <c r="W19" s="161">
        <f>main!U20</f>
        <v>43048</v>
      </c>
      <c r="X19" s="191">
        <f>main!V20</f>
        <v>43040</v>
      </c>
      <c r="Y19">
        <f>main!H20</f>
        <v>16</v>
      </c>
      <c r="Z19" s="7">
        <f t="shared" si="7"/>
        <v>1.1074108586207285</v>
      </c>
      <c r="AA19" s="7">
        <f t="shared" si="8"/>
        <v>0.50184186265339392</v>
      </c>
      <c r="AB19" s="7">
        <f t="shared" si="9"/>
        <v>2.8733646493105055E-2</v>
      </c>
      <c r="AC19" s="7">
        <f t="shared" si="10"/>
        <v>0.24366689854391885</v>
      </c>
      <c r="AD19" s="7">
        <f t="shared" si="11"/>
        <v>0.25817496410947505</v>
      </c>
      <c r="AE19" s="7">
        <f t="shared" si="12"/>
        <v>3.9423668872222449E-2</v>
      </c>
      <c r="AF19" s="384"/>
      <c r="AG19" s="7"/>
      <c r="AH19" s="7">
        <f t="shared" si="13"/>
        <v>501.84186265339395</v>
      </c>
      <c r="AI19" s="7">
        <f t="shared" si="14"/>
        <v>28.733646493105056</v>
      </c>
      <c r="AJ19" s="7">
        <f t="shared" si="15"/>
        <v>243.66689854391885</v>
      </c>
      <c r="AK19" s="7">
        <f t="shared" si="16"/>
        <v>258.17496410947507</v>
      </c>
      <c r="AL19" s="7">
        <f t="shared" si="17"/>
        <v>39.42366887222245</v>
      </c>
      <c r="AM19" s="7">
        <f t="shared" si="18"/>
        <v>8.4801940680375996</v>
      </c>
      <c r="AN19" s="7">
        <f t="shared" si="19"/>
        <v>8.9851096404150059</v>
      </c>
      <c r="AO19" s="492">
        <f>main!R20</f>
        <v>35.57</v>
      </c>
      <c r="AP19" s="492">
        <f>main!S20</f>
        <v>8.0790000000000006</v>
      </c>
    </row>
    <row r="20" spans="1:42" s="181" customFormat="1">
      <c r="A20" s="181">
        <v>2017</v>
      </c>
      <c r="B20" s="181" t="s">
        <v>1708</v>
      </c>
      <c r="C20" s="181">
        <v>15</v>
      </c>
      <c r="D20" s="181" t="str">
        <f>main!$B$6</f>
        <v>McLane-PARFLUX-Mark78H-21 ; 14182-01, G250x21</v>
      </c>
      <c r="E20" s="181">
        <v>1000</v>
      </c>
      <c r="F20" s="467">
        <f>main!E21</f>
        <v>1575.3999999999996</v>
      </c>
      <c r="G20" s="468">
        <f>main!I21</f>
        <v>196.92499999999995</v>
      </c>
      <c r="H20" s="468">
        <f>main!J21</f>
        <v>71.926856249999986</v>
      </c>
      <c r="I20" s="468">
        <f>main!AF21</f>
        <v>62.261150448006894</v>
      </c>
      <c r="J20" s="468">
        <f>main!AG21</f>
        <v>7.4710718074049929</v>
      </c>
      <c r="K20" s="468">
        <f>main!M21</f>
        <v>14.937230110168457</v>
      </c>
      <c r="L20" s="468">
        <f>main!O21</f>
        <v>1.0511832237243652</v>
      </c>
      <c r="M20" s="468">
        <f>main!AH21</f>
        <v>7.4661583027634641</v>
      </c>
      <c r="N20" s="468">
        <f>main!AB21</f>
        <v>6.5274207101611639</v>
      </c>
      <c r="O20" s="468">
        <f>main!AC21</f>
        <v>13.963428639145048</v>
      </c>
      <c r="P20" s="471">
        <f t="shared" si="1"/>
        <v>44.782488182334141</v>
      </c>
      <c r="Q20" s="471">
        <f t="shared" si="2"/>
        <v>5.373707079246465</v>
      </c>
      <c r="R20" s="471">
        <f t="shared" si="3"/>
        <v>10.74388002907258</v>
      </c>
      <c r="S20" s="468">
        <f t="shared" si="4"/>
        <v>0.75608304625233991</v>
      </c>
      <c r="T20" s="468">
        <f t="shared" si="5"/>
        <v>5.3701729498261157</v>
      </c>
      <c r="U20" s="468">
        <f t="shared" si="6"/>
        <v>10.043455244849188</v>
      </c>
      <c r="V20" s="469">
        <f>main!T21</f>
        <v>43048</v>
      </c>
      <c r="W20" s="469">
        <f>main!U21</f>
        <v>43064</v>
      </c>
      <c r="X20" s="470">
        <f>main!V21</f>
        <v>43056</v>
      </c>
      <c r="Y20" s="181">
        <f>main!H21</f>
        <v>16</v>
      </c>
      <c r="Z20" s="468">
        <f t="shared" si="7"/>
        <v>4.6949685110303481</v>
      </c>
      <c r="AA20" s="468">
        <f t="shared" si="8"/>
        <v>0.89457785421087266</v>
      </c>
      <c r="AB20" s="468">
        <f t="shared" si="9"/>
        <v>5.3967383743921481E-2</v>
      </c>
      <c r="AC20" s="468">
        <f t="shared" si="10"/>
        <v>0.44714179432357332</v>
      </c>
      <c r="AD20" s="468">
        <f t="shared" si="11"/>
        <v>0.44743605988729934</v>
      </c>
      <c r="AE20" s="468">
        <f t="shared" si="12"/>
        <v>0.16714021043183866</v>
      </c>
      <c r="AF20" s="384"/>
      <c r="AG20" s="468"/>
      <c r="AH20" s="468">
        <f t="shared" si="13"/>
        <v>894.5778542108726</v>
      </c>
      <c r="AI20" s="468">
        <f t="shared" si="14"/>
        <v>53.967383743921481</v>
      </c>
      <c r="AJ20" s="468">
        <f t="shared" si="15"/>
        <v>447.14179432357332</v>
      </c>
      <c r="AK20" s="468">
        <f t="shared" si="16"/>
        <v>447.43605988729934</v>
      </c>
      <c r="AL20" s="468">
        <f t="shared" si="17"/>
        <v>167.14021043183865</v>
      </c>
      <c r="AM20" s="7">
        <f t="shared" si="18"/>
        <v>8.2854080243224004</v>
      </c>
      <c r="AN20" s="7">
        <f t="shared" si="19"/>
        <v>8.2908606800435365</v>
      </c>
      <c r="AO20" s="492">
        <f>main!R21</f>
        <v>36.29</v>
      </c>
      <c r="AP20" s="492">
        <f>main!S21</f>
        <v>7.9675000000000002</v>
      </c>
    </row>
    <row r="21" spans="1:42">
      <c r="A21">
        <v>2017</v>
      </c>
      <c r="B21" t="s">
        <v>1708</v>
      </c>
      <c r="C21">
        <v>16</v>
      </c>
      <c r="D21" t="str">
        <f>main!$B$6</f>
        <v>McLane-PARFLUX-Mark78H-21 ; 14182-01, G250x21</v>
      </c>
      <c r="E21">
        <v>1000</v>
      </c>
      <c r="F21" s="68">
        <f>main!E22</f>
        <v>952.48571428571427</v>
      </c>
      <c r="G21" s="7">
        <f>main!I22</f>
        <v>119.06071428571428</v>
      </c>
      <c r="H21" s="7">
        <f>main!J22</f>
        <v>43.486925892857144</v>
      </c>
      <c r="I21" s="7">
        <f>main!AF22</f>
        <v>57.352811376047796</v>
      </c>
      <c r="J21" s="7">
        <f>main!AG22</f>
        <v>6.882092108221296</v>
      </c>
      <c r="K21" s="7">
        <f>main!M22</f>
        <v>17.920364379882813</v>
      </c>
      <c r="L21" s="7">
        <f>main!O22</f>
        <v>1.6451433897018433</v>
      </c>
      <c r="M21" s="7">
        <f>main!AH22</f>
        <v>11.038272271661516</v>
      </c>
      <c r="N21" s="7">
        <f>main!AB22</f>
        <v>5.2270639849856826</v>
      </c>
      <c r="O21" s="7">
        <f>main!AC22</f>
        <v>11.181711458091479</v>
      </c>
      <c r="P21" s="7">
        <f t="shared" si="1"/>
        <v>24.940974580572046</v>
      </c>
      <c r="Q21" s="7">
        <f t="shared" si="2"/>
        <v>2.992810294980365</v>
      </c>
      <c r="R21" s="7">
        <f t="shared" si="3"/>
        <v>7.7930155776096077</v>
      </c>
      <c r="S21" s="7">
        <f t="shared" si="4"/>
        <v>0.7154222867108786</v>
      </c>
      <c r="T21" s="7">
        <f t="shared" si="5"/>
        <v>4.8002052826292418</v>
      </c>
      <c r="U21" s="7">
        <f t="shared" si="6"/>
        <v>4.8625825753333576</v>
      </c>
      <c r="V21" s="161">
        <f>main!T22</f>
        <v>43064</v>
      </c>
      <c r="W21" s="161">
        <f>main!U22</f>
        <v>43080</v>
      </c>
      <c r="X21" s="191">
        <f>main!V22</f>
        <v>43072</v>
      </c>
      <c r="Y21">
        <f>main!H22</f>
        <v>16</v>
      </c>
      <c r="Z21" s="7">
        <f t="shared" si="7"/>
        <v>2.273089441522949</v>
      </c>
      <c r="AA21" s="7">
        <f t="shared" si="8"/>
        <v>0.64887723377265683</v>
      </c>
      <c r="AB21" s="7">
        <f t="shared" si="9"/>
        <v>5.1065116824473851E-2</v>
      </c>
      <c r="AC21" s="7">
        <f t="shared" si="10"/>
        <v>0.3996840368550576</v>
      </c>
      <c r="AD21" s="7">
        <f t="shared" si="11"/>
        <v>0.24919319691759909</v>
      </c>
      <c r="AE21" s="7">
        <f t="shared" si="12"/>
        <v>8.0921660431575254E-2</v>
      </c>
      <c r="AF21" s="384"/>
      <c r="AG21" s="7"/>
      <c r="AH21" s="7">
        <f t="shared" si="13"/>
        <v>648.87723377265684</v>
      </c>
      <c r="AI21" s="7">
        <f t="shared" si="14"/>
        <v>51.065116824473854</v>
      </c>
      <c r="AJ21" s="7">
        <f t="shared" si="15"/>
        <v>399.68403685505763</v>
      </c>
      <c r="AK21" s="7">
        <f t="shared" si="16"/>
        <v>249.1931969175991</v>
      </c>
      <c r="AL21" s="7">
        <f t="shared" si="17"/>
        <v>80.921660431575248</v>
      </c>
      <c r="AM21" s="7">
        <f t="shared" si="18"/>
        <v>7.8269484475849085</v>
      </c>
      <c r="AN21" s="7">
        <f t="shared" si="19"/>
        <v>4.8799104440346426</v>
      </c>
      <c r="AO21" s="492">
        <f>main!R22</f>
        <v>36.03</v>
      </c>
      <c r="AP21" s="492">
        <f>main!S22</f>
        <v>7.915</v>
      </c>
    </row>
    <row r="22" spans="1:42">
      <c r="A22">
        <v>2017</v>
      </c>
      <c r="B22" t="s">
        <v>1708</v>
      </c>
      <c r="C22">
        <v>17</v>
      </c>
      <c r="D22" t="str">
        <f>main!$B$6</f>
        <v>McLane-PARFLUX-Mark78H-21 ; 14182-01, G250x21</v>
      </c>
      <c r="E22">
        <v>1000</v>
      </c>
      <c r="F22" s="68">
        <f>main!E23</f>
        <v>659.71428571428578</v>
      </c>
      <c r="G22" s="7">
        <f>main!I23</f>
        <v>82.464285714285722</v>
      </c>
      <c r="H22" s="7">
        <f>main!J23</f>
        <v>30.120080357142861</v>
      </c>
      <c r="I22" s="7">
        <f>main!AF23</f>
        <v>44.746647791975761</v>
      </c>
      <c r="J22" s="7">
        <f>main!AG23</f>
        <v>5.3694063856671441</v>
      </c>
      <c r="K22" s="7">
        <f>main!M23</f>
        <v>18.623369216918945</v>
      </c>
      <c r="L22" s="7">
        <f>main!O23</f>
        <v>2.0448958873748779</v>
      </c>
      <c r="M22" s="7">
        <f>main!AH23</f>
        <v>13.253962831251801</v>
      </c>
      <c r="N22" s="7">
        <f>main!AB23</f>
        <v>6.8060056071233568</v>
      </c>
      <c r="O22" s="7">
        <f>main!AC23</f>
        <v>14.55937618127599</v>
      </c>
      <c r="P22" s="7">
        <f t="shared" si="1"/>
        <v>13.477726272070791</v>
      </c>
      <c r="Q22" s="7">
        <f t="shared" si="2"/>
        <v>1.617269518064504</v>
      </c>
      <c r="R22" s="7">
        <f t="shared" si="3"/>
        <v>5.6093737733433935</v>
      </c>
      <c r="S22" s="7">
        <f t="shared" si="4"/>
        <v>0.61592428449722281</v>
      </c>
      <c r="T22" s="7">
        <f t="shared" si="5"/>
        <v>3.9921042552788895</v>
      </c>
      <c r="U22" s="7">
        <f t="shared" si="6"/>
        <v>4.3852958052990463</v>
      </c>
      <c r="V22" s="161">
        <f>main!T23</f>
        <v>43080</v>
      </c>
      <c r="W22" s="161">
        <f>main!U23</f>
        <v>43096</v>
      </c>
      <c r="X22" s="191">
        <f>main!V23</f>
        <v>43088</v>
      </c>
      <c r="Y22">
        <f>main!H23</f>
        <v>16</v>
      </c>
      <c r="Z22" s="7">
        <f t="shared" si="7"/>
        <v>2.0499743579772041</v>
      </c>
      <c r="AA22" s="7">
        <f t="shared" si="8"/>
        <v>0.46705859894616097</v>
      </c>
      <c r="AB22" s="7">
        <f t="shared" si="9"/>
        <v>4.3963189471607628E-2</v>
      </c>
      <c r="AC22" s="7">
        <f t="shared" si="10"/>
        <v>0.33239835597659362</v>
      </c>
      <c r="AD22" s="7">
        <f t="shared" si="11"/>
        <v>0.13466024296956736</v>
      </c>
      <c r="AE22" s="7">
        <f t="shared" si="12"/>
        <v>7.2978795228807555E-2</v>
      </c>
      <c r="AF22" s="384"/>
      <c r="AG22" s="7"/>
      <c r="AH22" s="7">
        <f t="shared" si="13"/>
        <v>467.058598946161</v>
      </c>
      <c r="AI22" s="7">
        <f t="shared" si="14"/>
        <v>43.963189471607627</v>
      </c>
      <c r="AJ22" s="7">
        <f t="shared" si="15"/>
        <v>332.39835597659362</v>
      </c>
      <c r="AK22" s="7">
        <f t="shared" si="16"/>
        <v>134.66024296956735</v>
      </c>
      <c r="AL22" s="7">
        <f t="shared" si="17"/>
        <v>72.978795228807556</v>
      </c>
      <c r="AM22" s="7">
        <f t="shared" si="18"/>
        <v>7.5608335057506153</v>
      </c>
      <c r="AN22" s="7">
        <f t="shared" si="19"/>
        <v>3.0630226011362036</v>
      </c>
      <c r="AO22" s="492">
        <f>main!R23</f>
        <v>36.355000000000004</v>
      </c>
      <c r="AP22" s="492">
        <f>main!S23</f>
        <v>8.08</v>
      </c>
    </row>
    <row r="23" spans="1:42">
      <c r="A23">
        <v>2017</v>
      </c>
      <c r="B23" t="s">
        <v>1708</v>
      </c>
      <c r="C23">
        <v>18</v>
      </c>
      <c r="D23" t="str">
        <f>main!$B$6</f>
        <v>McLane-PARFLUX-Mark78H-21 ; 14182-01, G250x21</v>
      </c>
      <c r="E23">
        <v>1000</v>
      </c>
      <c r="F23" s="68">
        <f>main!E24</f>
        <v>1057.0714285714287</v>
      </c>
      <c r="G23" s="7">
        <f>main!I24</f>
        <v>132.13392857142858</v>
      </c>
      <c r="H23" s="7">
        <f>main!J24</f>
        <v>48.26191741071429</v>
      </c>
      <c r="I23" s="7">
        <f>main!AF24</f>
        <v>37.36604099534572</v>
      </c>
      <c r="J23" s="7">
        <f>main!AG24</f>
        <v>4.4837651316416238</v>
      </c>
      <c r="K23" s="7">
        <f>main!M24</f>
        <v>17.746345520019531</v>
      </c>
      <c r="L23" s="7">
        <f>main!O24</f>
        <v>1.8878686428070068</v>
      </c>
      <c r="M23" s="7">
        <f>main!AH24</f>
        <v>13.262580388377907</v>
      </c>
      <c r="N23" s="7">
        <f>main!AB24</f>
        <v>11.258408389089038</v>
      </c>
      <c r="O23" s="7">
        <f>main!AC24</f>
        <v>24.083935923829131</v>
      </c>
      <c r="P23" s="7">
        <f t="shared" si="1"/>
        <v>18.033567844827395</v>
      </c>
      <c r="Q23" s="7">
        <f t="shared" si="2"/>
        <v>2.1639510247232856</v>
      </c>
      <c r="R23" s="7">
        <f t="shared" si="3"/>
        <v>8.5647266182918216</v>
      </c>
      <c r="S23" s="7">
        <f t="shared" si="4"/>
        <v>0.91112160521429031</v>
      </c>
      <c r="T23" s="7">
        <f t="shared" si="5"/>
        <v>6.400775593568536</v>
      </c>
      <c r="U23" s="7">
        <f t="shared" si="6"/>
        <v>11.623369264807765</v>
      </c>
      <c r="V23" s="161">
        <f>main!T24</f>
        <v>43096</v>
      </c>
      <c r="W23" s="161">
        <f>main!U24</f>
        <v>43112</v>
      </c>
      <c r="X23" s="191">
        <f>main!V24</f>
        <v>43104</v>
      </c>
      <c r="Y23">
        <f>main!H24</f>
        <v>16</v>
      </c>
      <c r="Z23" s="7">
        <f t="shared" si="7"/>
        <v>5.4335237585030809</v>
      </c>
      <c r="AA23" s="7">
        <f t="shared" si="8"/>
        <v>0.71313294074036815</v>
      </c>
      <c r="AB23" s="7">
        <f t="shared" si="9"/>
        <v>6.5033662042419005E-2</v>
      </c>
      <c r="AC23" s="7">
        <f t="shared" si="10"/>
        <v>0.53295383793243434</v>
      </c>
      <c r="AD23" s="7">
        <f t="shared" si="11"/>
        <v>0.18017910280793387</v>
      </c>
      <c r="AE23" s="7">
        <f t="shared" si="12"/>
        <v>0.19343267207202139</v>
      </c>
      <c r="AF23" s="384"/>
      <c r="AG23" s="7"/>
      <c r="AH23" s="7">
        <f t="shared" si="13"/>
        <v>713.1329407403681</v>
      </c>
      <c r="AI23" s="7">
        <f t="shared" si="14"/>
        <v>65.03366204241901</v>
      </c>
      <c r="AJ23" s="7">
        <f t="shared" si="15"/>
        <v>532.95383793243434</v>
      </c>
      <c r="AK23" s="7">
        <f t="shared" si="16"/>
        <v>180.17910280793387</v>
      </c>
      <c r="AL23" s="7">
        <f t="shared" si="17"/>
        <v>193.43267207202138</v>
      </c>
      <c r="AM23" s="7">
        <f t="shared" si="18"/>
        <v>8.1950457839020139</v>
      </c>
      <c r="AN23" s="7">
        <f t="shared" si="19"/>
        <v>2.7705513906076797</v>
      </c>
      <c r="AO23" s="492">
        <f>main!R24</f>
        <v>35.619999999999997</v>
      </c>
      <c r="AP23" s="492">
        <f>main!S24</f>
        <v>7.9190000000000005</v>
      </c>
    </row>
    <row r="24" spans="1:42">
      <c r="A24">
        <v>2017</v>
      </c>
      <c r="B24" t="s">
        <v>1708</v>
      </c>
      <c r="C24">
        <v>19</v>
      </c>
      <c r="D24" t="str">
        <f>main!$B$6</f>
        <v>McLane-PARFLUX-Mark78H-21 ; 14182-01, G250x21</v>
      </c>
      <c r="E24">
        <v>1000</v>
      </c>
      <c r="F24" s="68">
        <f>main!E25</f>
        <v>800.81428571428557</v>
      </c>
      <c r="G24" s="7">
        <f>main!I25</f>
        <v>100.1017857142857</v>
      </c>
      <c r="H24" s="7">
        <f>main!J25</f>
        <v>36.562177232142851</v>
      </c>
      <c r="I24" s="7">
        <f>main!AF25</f>
        <v>52.403785054251998</v>
      </c>
      <c r="J24" s="7">
        <f>main!AG25</f>
        <v>6.2882301130474261</v>
      </c>
      <c r="K24" s="7">
        <f>main!M25</f>
        <v>17.344869613647461</v>
      </c>
      <c r="L24" s="7">
        <f>main!O25</f>
        <v>1.62330162525177</v>
      </c>
      <c r="M24" s="7">
        <f>main!AH25</f>
        <v>11.056639500600035</v>
      </c>
      <c r="N24" s="7">
        <f>main!AB25</f>
        <v>7.5112445358482773</v>
      </c>
      <c r="O24" s="7">
        <f>main!AC25</f>
        <v>16.068020083984443</v>
      </c>
      <c r="P24" s="7">
        <f t="shared" si="1"/>
        <v>19.159964767886802</v>
      </c>
      <c r="Q24" s="7">
        <f t="shared" si="2"/>
        <v>2.2991138386973766</v>
      </c>
      <c r="R24" s="7">
        <f t="shared" si="3"/>
        <v>6.3416619688258757</v>
      </c>
      <c r="S24" s="7">
        <f t="shared" si="4"/>
        <v>0.59351441723680753</v>
      </c>
      <c r="T24" s="7">
        <f t="shared" si="5"/>
        <v>4.0425481301284991</v>
      </c>
      <c r="U24" s="7">
        <f t="shared" si="6"/>
        <v>5.8748179808027006</v>
      </c>
      <c r="V24" s="161">
        <f>main!T25</f>
        <v>43112</v>
      </c>
      <c r="W24" s="161">
        <f>main!U25</f>
        <v>43128</v>
      </c>
      <c r="X24" s="191">
        <f>main!V25</f>
        <v>43120</v>
      </c>
      <c r="Y24">
        <f>main!H25</f>
        <v>16</v>
      </c>
      <c r="Z24" s="7">
        <f t="shared" si="7"/>
        <v>2.7462745395364929</v>
      </c>
      <c r="AA24" s="7">
        <f t="shared" si="8"/>
        <v>0.52803180423196305</v>
      </c>
      <c r="AB24" s="7">
        <f t="shared" si="9"/>
        <v>4.2363627211763566E-2</v>
      </c>
      <c r="AC24" s="7">
        <f t="shared" si="10"/>
        <v>0.33659851208397162</v>
      </c>
      <c r="AD24" s="7">
        <f t="shared" si="11"/>
        <v>0.1914332921479914</v>
      </c>
      <c r="AE24" s="7">
        <f t="shared" si="12"/>
        <v>9.7766982539568989E-2</v>
      </c>
      <c r="AF24" s="384"/>
      <c r="AG24" s="7"/>
      <c r="AH24" s="7">
        <f t="shared" si="13"/>
        <v>528.03180423196306</v>
      </c>
      <c r="AI24" s="7">
        <f t="shared" si="14"/>
        <v>42.363627211763564</v>
      </c>
      <c r="AJ24" s="7">
        <f t="shared" si="15"/>
        <v>336.59851208397163</v>
      </c>
      <c r="AK24" s="7">
        <f t="shared" si="16"/>
        <v>191.43329214799141</v>
      </c>
      <c r="AL24" s="7">
        <f t="shared" si="17"/>
        <v>97.766982539568986</v>
      </c>
      <c r="AM24" s="7">
        <f t="shared" si="18"/>
        <v>7.9454601562187452</v>
      </c>
      <c r="AN24" s="7">
        <f t="shared" si="19"/>
        <v>4.5188125934323695</v>
      </c>
      <c r="AO24" s="492">
        <f>main!R25</f>
        <v>35.409999999999997</v>
      </c>
      <c r="AP24" s="492">
        <f>main!S25</f>
        <v>8.0459999999999994</v>
      </c>
    </row>
    <row r="25" spans="1:42">
      <c r="A25">
        <v>2017</v>
      </c>
      <c r="B25" t="s">
        <v>1708</v>
      </c>
      <c r="C25">
        <v>20</v>
      </c>
      <c r="D25" t="str">
        <f>main!$B$6</f>
        <v>McLane-PARFLUX-Mark78H-21 ; 14182-01, G250x21</v>
      </c>
      <c r="E25">
        <v>1000</v>
      </c>
      <c r="F25" s="68">
        <f>main!E26</f>
        <v>780.0428571428572</v>
      </c>
      <c r="G25" s="7">
        <f>main!I26</f>
        <v>97.50535714285715</v>
      </c>
      <c r="H25" s="7">
        <f>main!J26</f>
        <v>35.613831696428576</v>
      </c>
      <c r="I25" s="7">
        <f>main!AF26</f>
        <v>66.853776517971767</v>
      </c>
      <c r="J25" s="7">
        <f>main!AG26</f>
        <v>8.0221672964278135</v>
      </c>
      <c r="K25" s="7">
        <f>main!M26</f>
        <v>17.077608108520508</v>
      </c>
      <c r="L25" s="7">
        <f>main!O26</f>
        <v>1.3471357822418213</v>
      </c>
      <c r="M25" s="7">
        <f>main!AH26</f>
        <v>9.0554408120926944</v>
      </c>
      <c r="N25" s="7">
        <f>main!AB26</f>
        <v>4.1686073059360726</v>
      </c>
      <c r="O25" s="7">
        <f>main!AC26</f>
        <v>8.9174657534246577</v>
      </c>
      <c r="P25" s="7">
        <f t="shared" si="1"/>
        <v>23.809191451816954</v>
      </c>
      <c r="Q25" s="7">
        <f t="shared" si="2"/>
        <v>2.8570011593557361</v>
      </c>
      <c r="R25" s="7">
        <f t="shared" si="3"/>
        <v>6.0819906095441336</v>
      </c>
      <c r="S25" s="7">
        <f t="shared" si="4"/>
        <v>0.47976667020996883</v>
      </c>
      <c r="T25" s="7">
        <f t="shared" si="5"/>
        <v>3.2249894501883971</v>
      </c>
      <c r="U25" s="7">
        <f t="shared" si="6"/>
        <v>3.1758512450113141</v>
      </c>
      <c r="V25" s="161">
        <f>main!T26</f>
        <v>43128</v>
      </c>
      <c r="W25" s="161">
        <f>main!U26</f>
        <v>43144</v>
      </c>
      <c r="X25" s="191">
        <f>main!V26</f>
        <v>43136</v>
      </c>
      <c r="Y25">
        <f>main!H26</f>
        <v>16</v>
      </c>
      <c r="Z25" s="7">
        <f t="shared" si="7"/>
        <v>1.4846007900210985</v>
      </c>
      <c r="AA25" s="7">
        <f t="shared" si="8"/>
        <v>0.50641054201033586</v>
      </c>
      <c r="AB25" s="7">
        <f t="shared" si="9"/>
        <v>3.4244587452531679E-2</v>
      </c>
      <c r="AC25" s="7">
        <f t="shared" si="10"/>
        <v>0.2685253497242629</v>
      </c>
      <c r="AD25" s="7">
        <f t="shared" si="11"/>
        <v>0.23788519228607294</v>
      </c>
      <c r="AE25" s="7">
        <f t="shared" si="12"/>
        <v>5.2851576718444232E-2</v>
      </c>
      <c r="AF25" s="384"/>
      <c r="AG25" s="7"/>
      <c r="AH25" s="7">
        <f t="shared" si="13"/>
        <v>506.41054201033586</v>
      </c>
      <c r="AI25" s="7">
        <f t="shared" si="14"/>
        <v>34.244587452531675</v>
      </c>
      <c r="AJ25" s="7">
        <f t="shared" si="15"/>
        <v>268.52534972426292</v>
      </c>
      <c r="AK25" s="7">
        <f t="shared" si="16"/>
        <v>237.88519228607294</v>
      </c>
      <c r="AL25" s="7">
        <f t="shared" si="17"/>
        <v>52.851576718444235</v>
      </c>
      <c r="AM25" s="7">
        <f t="shared" si="18"/>
        <v>7.8413953766118754</v>
      </c>
      <c r="AN25" s="7">
        <f t="shared" si="19"/>
        <v>6.9466508427300759</v>
      </c>
      <c r="AO25" s="492">
        <f>main!R26</f>
        <v>34.69</v>
      </c>
      <c r="AP25" s="492">
        <f>main!S26</f>
        <v>8.0725000000000016</v>
      </c>
    </row>
    <row r="26" spans="1:42" s="478" customFormat="1">
      <c r="A26" s="478">
        <v>2017</v>
      </c>
      <c r="B26" s="478" t="s">
        <v>1708</v>
      </c>
      <c r="C26" s="478">
        <v>21</v>
      </c>
      <c r="D26" s="478" t="str">
        <f>main!$B$6</f>
        <v>McLane-PARFLUX-Mark78H-21 ; 14182-01, G250x21</v>
      </c>
      <c r="E26" s="478">
        <v>1000</v>
      </c>
      <c r="F26" s="479">
        <f>main!E27</f>
        <v>40.042857142857137</v>
      </c>
      <c r="G26" s="480">
        <f>main!I27</f>
        <v>5.0053571428571422</v>
      </c>
      <c r="H26" s="480">
        <f>main!J27</f>
        <v>1.8282066964285713</v>
      </c>
      <c r="I26" s="480">
        <f>main!AF27</f>
        <v>92.736293135551946</v>
      </c>
      <c r="J26" s="480">
        <f>main!AG27</f>
        <v>11.127958609548092</v>
      </c>
      <c r="K26" s="480">
        <f>main!M27</f>
        <v>12.334259033203125</v>
      </c>
      <c r="L26" s="480">
        <f>main!O27</f>
        <v>0.15380407869815826</v>
      </c>
      <c r="M26" s="480">
        <f>main!AH27</f>
        <v>1.2063004236550334</v>
      </c>
      <c r="N26" s="480">
        <f>main!AB27</f>
        <v>0.26140963619374863</v>
      </c>
      <c r="O26" s="480">
        <f>main!AC27</f>
        <v>0.55920630255900172</v>
      </c>
      <c r="P26" s="480">
        <f t="shared" si="1"/>
        <v>1.6954111211237901</v>
      </c>
      <c r="Q26" s="480">
        <f t="shared" si="2"/>
        <v>0.20344208447555792</v>
      </c>
      <c r="R26" s="480">
        <f t="shared" si="3"/>
        <v>0.22549574959986549</v>
      </c>
      <c r="S26" s="480">
        <f t="shared" si="4"/>
        <v>2.8118564661399992E-3</v>
      </c>
      <c r="T26" s="480">
        <f t="shared" si="5"/>
        <v>2.2053665124307543E-2</v>
      </c>
      <c r="U26" s="480">
        <f t="shared" si="6"/>
        <v>1.0223447070234287E-2</v>
      </c>
      <c r="V26" s="481">
        <f>main!T27</f>
        <v>43144</v>
      </c>
      <c r="W26" s="481">
        <f>main!U27</f>
        <v>43160</v>
      </c>
      <c r="X26" s="482">
        <f>main!V27</f>
        <v>43152</v>
      </c>
      <c r="Y26" s="478">
        <f>main!H27</f>
        <v>16</v>
      </c>
      <c r="Z26" s="480">
        <f t="shared" si="7"/>
        <v>4.7791084740036781E-3</v>
      </c>
      <c r="AA26" s="480">
        <f t="shared" si="8"/>
        <v>1.8775666078256911E-2</v>
      </c>
      <c r="AB26" s="480">
        <f t="shared" si="9"/>
        <v>2.0070353077373298E-4</v>
      </c>
      <c r="AC26" s="480">
        <f t="shared" si="10"/>
        <v>1.8362751976942167E-3</v>
      </c>
      <c r="AD26" s="480">
        <f t="shared" si="11"/>
        <v>1.6939390880562691E-2</v>
      </c>
      <c r="AE26" s="480">
        <f t="shared" si="12"/>
        <v>1.7013558113220643E-4</v>
      </c>
      <c r="AF26" s="480"/>
      <c r="AG26" s="480"/>
      <c r="AH26" s="480">
        <f t="shared" si="13"/>
        <v>18.775666078256911</v>
      </c>
      <c r="AI26" s="480">
        <f t="shared" si="14"/>
        <v>0.20070353077373299</v>
      </c>
      <c r="AJ26" s="480">
        <f t="shared" si="15"/>
        <v>1.8362751976942167</v>
      </c>
      <c r="AK26" s="480">
        <f t="shared" si="16"/>
        <v>16.939390880562691</v>
      </c>
      <c r="AL26" s="480">
        <f t="shared" si="17"/>
        <v>0.17013558113220642</v>
      </c>
      <c r="AM26" s="278">
        <f t="shared" si="18"/>
        <v>9.1491922967931103</v>
      </c>
      <c r="AN26" s="278">
        <f t="shared" si="19"/>
        <v>84.400064190498185</v>
      </c>
      <c r="AO26" s="492">
        <f>main!R27</f>
        <v>34.64</v>
      </c>
      <c r="AP26" s="492">
        <f>main!S27</f>
        <v>7.8979999999999997</v>
      </c>
    </row>
    <row r="27" spans="1:42">
      <c r="A27">
        <v>2017</v>
      </c>
      <c r="B27" t="s">
        <v>1750</v>
      </c>
      <c r="C27">
        <v>1</v>
      </c>
      <c r="D27" t="str">
        <f>main!$B$30</f>
        <v>McLane-PARFLUX-Mark78H-21 ; 2241, B250x21</v>
      </c>
      <c r="E27">
        <v>2000</v>
      </c>
      <c r="F27" s="68">
        <f>main!E31</f>
        <v>398.62857142857138</v>
      </c>
      <c r="G27" s="7">
        <f>main!I31</f>
        <v>49.828571428571422</v>
      </c>
      <c r="H27" s="7">
        <f>main!J31</f>
        <v>18.199885714285713</v>
      </c>
      <c r="I27" s="7">
        <f>main!AF31</f>
        <v>72.015701439750543</v>
      </c>
      <c r="J27" s="7">
        <f>main!AG31</f>
        <v>8.6415762131847824</v>
      </c>
      <c r="K27" s="7">
        <f>main!M31</f>
        <v>14.092928886413574</v>
      </c>
      <c r="L27" s="7">
        <f>main!O31</f>
        <v>0.82797294855117798</v>
      </c>
      <c r="M27" s="7">
        <f>main!AH31</f>
        <v>5.4513526732287918</v>
      </c>
      <c r="N27" s="7">
        <f>main!AB31</f>
        <v>4.221480724113488</v>
      </c>
      <c r="O27" s="7">
        <f>main!AC31</f>
        <v>9.0305723286571578</v>
      </c>
      <c r="P27" s="7">
        <f t="shared" si="1"/>
        <v>13.10677535837581</v>
      </c>
      <c r="Q27" s="7">
        <f t="shared" si="2"/>
        <v>1.5727569947125295</v>
      </c>
      <c r="R27" s="7">
        <f t="shared" si="3"/>
        <v>2.564896951122829</v>
      </c>
      <c r="S27" s="7">
        <f t="shared" si="4"/>
        <v>0.15069013038151605</v>
      </c>
      <c r="T27" s="7">
        <f t="shared" si="5"/>
        <v>0.99213995641029917</v>
      </c>
      <c r="U27" s="7">
        <f t="shared" si="6"/>
        <v>1.6435538431615127</v>
      </c>
      <c r="V27" s="161">
        <f>main!T31</f>
        <v>42824</v>
      </c>
      <c r="W27" s="161">
        <f>main!U31</f>
        <v>42840</v>
      </c>
      <c r="X27" s="161">
        <f>main!V31</f>
        <v>42832</v>
      </c>
      <c r="Y27">
        <f>main!H31</f>
        <v>16</v>
      </c>
      <c r="Z27" s="7">
        <f t="shared" si="7"/>
        <v>0.76830466723925583</v>
      </c>
      <c r="AA27" s="7">
        <f t="shared" si="8"/>
        <v>0.21356344305768768</v>
      </c>
      <c r="AB27" s="7">
        <f t="shared" si="9"/>
        <v>1.0755897957281659E-2</v>
      </c>
      <c r="AC27" s="7">
        <f t="shared" si="10"/>
        <v>8.2609488460474542E-2</v>
      </c>
      <c r="AD27" s="7">
        <f t="shared" si="11"/>
        <v>0.13095395459721312</v>
      </c>
      <c r="AE27" s="7">
        <f t="shared" si="12"/>
        <v>2.7351536747570519E-2</v>
      </c>
      <c r="AF27" s="384"/>
      <c r="AG27" s="7"/>
      <c r="AH27" s="7">
        <f t="shared" si="13"/>
        <v>213.56344305768769</v>
      </c>
      <c r="AI27" s="7">
        <f t="shared" si="14"/>
        <v>10.755897957281659</v>
      </c>
      <c r="AJ27" s="7">
        <f t="shared" si="15"/>
        <v>82.609488460474537</v>
      </c>
      <c r="AK27" s="7">
        <f t="shared" si="16"/>
        <v>130.95395459721311</v>
      </c>
      <c r="AL27" s="7">
        <f t="shared" si="17"/>
        <v>27.351536747570517</v>
      </c>
      <c r="AM27" s="7">
        <f t="shared" si="18"/>
        <v>7.680389753469961</v>
      </c>
      <c r="AN27" s="493">
        <f t="shared" si="19"/>
        <v>12.175083393066062</v>
      </c>
      <c r="AO27">
        <f>main!R31</f>
        <v>37.89</v>
      </c>
      <c r="AP27" s="521">
        <f>main!S31</f>
        <v>8.6020000000000003</v>
      </c>
    </row>
    <row r="28" spans="1:42">
      <c r="A28">
        <v>2017</v>
      </c>
      <c r="B28" t="s">
        <v>1750</v>
      </c>
      <c r="C28">
        <v>2</v>
      </c>
      <c r="D28" t="str">
        <f>main!$B$30</f>
        <v>McLane-PARFLUX-Mark78H-21 ; 2241, B250x21</v>
      </c>
      <c r="E28">
        <v>2000</v>
      </c>
      <c r="F28" s="68">
        <f>main!E32</f>
        <v>498.84285714285727</v>
      </c>
      <c r="G28" s="7">
        <f>main!I32</f>
        <v>62.355357142857159</v>
      </c>
      <c r="H28" s="7">
        <f>main!J32</f>
        <v>22.775294196428579</v>
      </c>
      <c r="I28" s="7">
        <f>main!AF32</f>
        <v>76.068899376052883</v>
      </c>
      <c r="J28" s="7">
        <f>main!AG32</f>
        <v>9.1279426329159463</v>
      </c>
      <c r="K28" s="7">
        <f>main!M32</f>
        <v>13.988517761230469</v>
      </c>
      <c r="L28" s="7">
        <f>main!O32</f>
        <v>0.7367519736289978</v>
      </c>
      <c r="M28" s="7">
        <f>main!AH32</f>
        <v>4.8605751283145224</v>
      </c>
      <c r="N28" s="7">
        <f>main!AB32</f>
        <v>2.8950758174064131</v>
      </c>
      <c r="O28" s="7">
        <f>main!AC32</f>
        <v>6.1931329963670834</v>
      </c>
      <c r="P28" s="7">
        <f t="shared" si="1"/>
        <v>17.324915624881267</v>
      </c>
      <c r="Q28" s="7">
        <f t="shared" si="2"/>
        <v>2.0789157887278353</v>
      </c>
      <c r="R28" s="7">
        <f t="shared" si="3"/>
        <v>3.1859260738399038</v>
      </c>
      <c r="S28" s="7">
        <f t="shared" si="4"/>
        <v>0.16779742949199816</v>
      </c>
      <c r="T28" s="7">
        <f t="shared" si="5"/>
        <v>1.1070102851120684</v>
      </c>
      <c r="U28" s="7">
        <f t="shared" si="6"/>
        <v>1.4105042598986957</v>
      </c>
      <c r="V28" s="161">
        <f>main!T32</f>
        <v>42840</v>
      </c>
      <c r="W28" s="161">
        <f>main!U32</f>
        <v>42856</v>
      </c>
      <c r="X28" s="161">
        <f>main!V32</f>
        <v>42848</v>
      </c>
      <c r="Y28">
        <f>main!H32</f>
        <v>16</v>
      </c>
      <c r="Z28" s="7">
        <f t="shared" si="7"/>
        <v>0.65936203462397003</v>
      </c>
      <c r="AA28" s="7">
        <f t="shared" si="8"/>
        <v>0.26527277883762729</v>
      </c>
      <c r="AB28" s="7">
        <f t="shared" si="9"/>
        <v>1.1976975695360326E-2</v>
      </c>
      <c r="AC28" s="7">
        <f t="shared" si="10"/>
        <v>9.2174045388182219E-2</v>
      </c>
      <c r="AD28" s="7">
        <f t="shared" si="11"/>
        <v>0.17309873344944507</v>
      </c>
      <c r="AE28" s="7">
        <f t="shared" si="12"/>
        <v>2.3473194539835172E-2</v>
      </c>
      <c r="AF28" s="384"/>
      <c r="AG28" s="7"/>
      <c r="AH28" s="7">
        <f t="shared" si="13"/>
        <v>265.2727788376273</v>
      </c>
      <c r="AI28" s="7">
        <f t="shared" si="14"/>
        <v>11.976975695360325</v>
      </c>
      <c r="AJ28" s="7">
        <f t="shared" si="15"/>
        <v>92.174045388182222</v>
      </c>
      <c r="AK28" s="7">
        <f t="shared" si="16"/>
        <v>173.09873344944506</v>
      </c>
      <c r="AL28" s="7">
        <f t="shared" si="17"/>
        <v>23.473194539835173</v>
      </c>
      <c r="AM28" s="7">
        <f t="shared" si="18"/>
        <v>7.6959365813766212</v>
      </c>
      <c r="AN28" s="493">
        <f t="shared" si="19"/>
        <v>14.452624590070808</v>
      </c>
      <c r="AO28" s="521">
        <f>main!R32</f>
        <v>37.78</v>
      </c>
      <c r="AP28" s="521">
        <f>main!S32</f>
        <v>8.3230000000000004</v>
      </c>
    </row>
    <row r="29" spans="1:42">
      <c r="A29">
        <v>2017</v>
      </c>
      <c r="B29" t="s">
        <v>1750</v>
      </c>
      <c r="C29">
        <v>3</v>
      </c>
      <c r="D29" t="str">
        <f>main!$B$30</f>
        <v>McLane-PARFLUX-Mark78H-21 ; 2241, B250x21</v>
      </c>
      <c r="E29">
        <v>2000</v>
      </c>
      <c r="F29" s="68">
        <f>main!E33</f>
        <v>586.1</v>
      </c>
      <c r="G29" s="7">
        <f>main!I33</f>
        <v>73.262500000000003</v>
      </c>
      <c r="H29" s="7">
        <f>main!J33</f>
        <v>26.759128125000004</v>
      </c>
      <c r="I29" s="7">
        <f>main!AF33</f>
        <v>72.93190939780068</v>
      </c>
      <c r="J29" s="7">
        <f>main!AG33</f>
        <v>8.7515172501854508</v>
      </c>
      <c r="K29" s="7">
        <f>main!M33</f>
        <v>14.733772277832031</v>
      </c>
      <c r="L29" s="7">
        <f>main!O33</f>
        <v>0.90721893310546875</v>
      </c>
      <c r="M29" s="7">
        <f>main!AH33</f>
        <v>5.9822550276465805</v>
      </c>
      <c r="N29" s="7">
        <f>main!AB33</f>
        <v>2.5072536638603062</v>
      </c>
      <c r="O29" s="7">
        <f>main!AC33</f>
        <v>5.3635056127221716</v>
      </c>
      <c r="P29" s="7">
        <f t="shared" si="1"/>
        <v>19.515943079766402</v>
      </c>
      <c r="Q29" s="7">
        <f t="shared" si="2"/>
        <v>2.3418297138586017</v>
      </c>
      <c r="R29" s="7">
        <f t="shared" si="3"/>
        <v>3.9426290014708045</v>
      </c>
      <c r="S29" s="7">
        <f t="shared" si="4"/>
        <v>0.24276387668395044</v>
      </c>
      <c r="T29" s="7">
        <f t="shared" si="5"/>
        <v>1.6007992876122028</v>
      </c>
      <c r="U29" s="7">
        <f t="shared" si="6"/>
        <v>1.4352273388998924</v>
      </c>
      <c r="V29" s="161">
        <f>main!T33</f>
        <v>42856</v>
      </c>
      <c r="W29" s="161">
        <f>main!U33</f>
        <v>42872</v>
      </c>
      <c r="X29" s="161">
        <f>main!V33</f>
        <v>42864</v>
      </c>
      <c r="Y29">
        <f>main!H33</f>
        <v>16</v>
      </c>
      <c r="Z29" s="7">
        <f t="shared" si="7"/>
        <v>0.67091922033113627</v>
      </c>
      <c r="AA29" s="7">
        <f t="shared" si="8"/>
        <v>0.32827885108000038</v>
      </c>
      <c r="AB29" s="7">
        <f t="shared" si="9"/>
        <v>1.732789983468597E-2</v>
      </c>
      <c r="AC29" s="7">
        <f t="shared" si="10"/>
        <v>0.13328886657886785</v>
      </c>
      <c r="AD29" s="7">
        <f t="shared" si="11"/>
        <v>0.19498998450113253</v>
      </c>
      <c r="AE29" s="7">
        <f t="shared" si="12"/>
        <v>2.3884628705273629E-2</v>
      </c>
      <c r="AF29" s="384"/>
      <c r="AG29" s="7"/>
      <c r="AH29" s="7">
        <f t="shared" si="13"/>
        <v>328.27885108000038</v>
      </c>
      <c r="AI29" s="7">
        <f t="shared" si="14"/>
        <v>17.327899834685969</v>
      </c>
      <c r="AJ29" s="7">
        <f t="shared" si="15"/>
        <v>133.28886657886784</v>
      </c>
      <c r="AK29" s="7">
        <f t="shared" si="16"/>
        <v>194.98998450113254</v>
      </c>
      <c r="AL29" s="7">
        <f t="shared" si="17"/>
        <v>23.884628705273631</v>
      </c>
      <c r="AM29" s="7">
        <f t="shared" si="18"/>
        <v>7.6921535702819588</v>
      </c>
      <c r="AN29" s="493">
        <f t="shared" si="19"/>
        <v>11.252949656992653</v>
      </c>
      <c r="AO29" s="521">
        <f>main!R33</f>
        <v>36.81</v>
      </c>
      <c r="AP29" s="521">
        <f>main!S33</f>
        <v>8.4830000000000005</v>
      </c>
    </row>
    <row r="30" spans="1:42">
      <c r="A30">
        <v>2017</v>
      </c>
      <c r="B30" t="s">
        <v>1750</v>
      </c>
      <c r="C30">
        <v>4</v>
      </c>
      <c r="D30" t="str">
        <f>main!$B$30</f>
        <v>McLane-PARFLUX-Mark78H-21 ; 2241, B250x21</v>
      </c>
      <c r="E30">
        <v>2000</v>
      </c>
      <c r="F30" s="68">
        <f>main!E34</f>
        <v>653.55714285714282</v>
      </c>
      <c r="G30" s="7">
        <f>main!I34</f>
        <v>81.694642857142853</v>
      </c>
      <c r="H30" s="7">
        <f>main!J34</f>
        <v>29.838968303571427</v>
      </c>
      <c r="I30" s="7">
        <f>main!AF34</f>
        <v>75.870479109046272</v>
      </c>
      <c r="J30" s="7">
        <f>main!AG34</f>
        <v>9.1041330493765482</v>
      </c>
      <c r="K30" s="7">
        <f>main!M34</f>
        <v>14.602574348449707</v>
      </c>
      <c r="L30" s="7">
        <f>main!O34</f>
        <v>0.84985619783401489</v>
      </c>
      <c r="M30" s="7">
        <f>main!AH34</f>
        <v>5.4984412990731588</v>
      </c>
      <c r="N30" s="7">
        <f>main!AB34</f>
        <v>2.348933102652826</v>
      </c>
      <c r="O30" s="7">
        <f>main!AC34</f>
        <v>5.0248269896193767</v>
      </c>
      <c r="P30" s="7">
        <f t="shared" si="1"/>
        <v>22.638968213116097</v>
      </c>
      <c r="Q30" s="7">
        <f t="shared" si="2"/>
        <v>2.7165793749184388</v>
      </c>
      <c r="R30" s="7">
        <f t="shared" si="3"/>
        <v>4.3572575313393598</v>
      </c>
      <c r="S30" s="7">
        <f t="shared" si="4"/>
        <v>0.25358832149762894</v>
      </c>
      <c r="T30" s="7">
        <f t="shared" si="5"/>
        <v>1.640678156420921</v>
      </c>
      <c r="U30" s="7">
        <f t="shared" si="6"/>
        <v>1.4993565327418281</v>
      </c>
      <c r="V30" s="161">
        <f>main!T34</f>
        <v>42872</v>
      </c>
      <c r="W30" s="161">
        <f>main!U34</f>
        <v>42888</v>
      </c>
      <c r="X30" s="161">
        <f>main!V34</f>
        <v>42880</v>
      </c>
      <c r="Y30">
        <f>main!H34</f>
        <v>16</v>
      </c>
      <c r="Z30" s="7">
        <f t="shared" si="7"/>
        <v>0.70089740397267364</v>
      </c>
      <c r="AA30" s="7">
        <f t="shared" si="8"/>
        <v>0.36280245889586676</v>
      </c>
      <c r="AB30" s="7">
        <f t="shared" si="9"/>
        <v>1.8100522590837186E-2</v>
      </c>
      <c r="AC30" s="7">
        <f t="shared" si="10"/>
        <v>0.13660933858625487</v>
      </c>
      <c r="AD30" s="7">
        <f t="shared" si="11"/>
        <v>0.22619312030961189</v>
      </c>
      <c r="AE30" s="7">
        <f t="shared" si="12"/>
        <v>2.4951847774036084E-2</v>
      </c>
      <c r="AF30" s="384"/>
      <c r="AG30" s="7"/>
      <c r="AH30" s="7">
        <f t="shared" si="13"/>
        <v>362.80245889586678</v>
      </c>
      <c r="AI30" s="7">
        <f t="shared" si="14"/>
        <v>18.100522590837187</v>
      </c>
      <c r="AJ30" s="7">
        <f t="shared" si="15"/>
        <v>136.60933858625486</v>
      </c>
      <c r="AK30" s="7">
        <f t="shared" si="16"/>
        <v>226.19312030961188</v>
      </c>
      <c r="AL30" s="7">
        <f t="shared" si="17"/>
        <v>24.951847774036086</v>
      </c>
      <c r="AM30" s="7">
        <f t="shared" si="18"/>
        <v>7.547259362302003</v>
      </c>
      <c r="AN30" s="493">
        <f t="shared" si="19"/>
        <v>12.496496671544442</v>
      </c>
      <c r="AO30" s="521">
        <f>main!R34</f>
        <v>37.39</v>
      </c>
      <c r="AP30" s="521">
        <f>main!S34</f>
        <v>8.6020000000000003</v>
      </c>
    </row>
    <row r="31" spans="1:42">
      <c r="A31">
        <v>2017</v>
      </c>
      <c r="B31" t="s">
        <v>1750</v>
      </c>
      <c r="C31">
        <v>5</v>
      </c>
      <c r="D31" t="str">
        <f>main!$B$30</f>
        <v>McLane-PARFLUX-Mark78H-21 ; 2241, B250x21</v>
      </c>
      <c r="E31">
        <v>2000</v>
      </c>
      <c r="F31" s="68">
        <f>main!E35</f>
        <v>520.19999999999993</v>
      </c>
      <c r="G31" s="7">
        <f>main!I35</f>
        <v>65.024999999999991</v>
      </c>
      <c r="H31" s="7">
        <f>main!J35</f>
        <v>23.750381249999997</v>
      </c>
      <c r="I31" s="7">
        <f>main!AF35</f>
        <v>71.626344423384552</v>
      </c>
      <c r="J31" s="7">
        <f>main!AG35</f>
        <v>8.5948550362220075</v>
      </c>
      <c r="K31" s="7">
        <f>main!M35</f>
        <v>15.182991981506348</v>
      </c>
      <c r="L31" s="7">
        <f>main!O35</f>
        <v>0.99049454927444458</v>
      </c>
      <c r="M31" s="7">
        <f>main!AH35</f>
        <v>6.5881369452843401</v>
      </c>
      <c r="N31" s="7">
        <f>main!AB35</f>
        <v>2.6647388293538889</v>
      </c>
      <c r="O31" s="7">
        <f>main!AC35</f>
        <v>5.7003971611205122</v>
      </c>
      <c r="P31" s="7">
        <f t="shared" si="1"/>
        <v>17.011529875991943</v>
      </c>
      <c r="Q31" s="7">
        <f t="shared" si="2"/>
        <v>2.0413108389875521</v>
      </c>
      <c r="R31" s="7">
        <f t="shared" si="3"/>
        <v>3.6060184807646865</v>
      </c>
      <c r="S31" s="7">
        <f t="shared" si="4"/>
        <v>0.23524623171314968</v>
      </c>
      <c r="T31" s="7">
        <f t="shared" si="5"/>
        <v>1.5647076417771344</v>
      </c>
      <c r="U31" s="7">
        <f t="shared" si="6"/>
        <v>1.3538660585302982</v>
      </c>
      <c r="V31" s="161">
        <f>main!T35</f>
        <v>42888</v>
      </c>
      <c r="W31" s="161">
        <f>main!U35</f>
        <v>42904</v>
      </c>
      <c r="X31" s="161">
        <f>main!V35</f>
        <v>42896</v>
      </c>
      <c r="Y31">
        <f>main!H35</f>
        <v>16</v>
      </c>
      <c r="Z31" s="7">
        <f t="shared" si="7"/>
        <v>0.63288563128833542</v>
      </c>
      <c r="AA31" s="7">
        <f t="shared" si="8"/>
        <v>0.30025133062153925</v>
      </c>
      <c r="AB31" s="7">
        <f t="shared" si="9"/>
        <v>1.6791308473458222E-2</v>
      </c>
      <c r="AC31" s="7">
        <f t="shared" si="10"/>
        <v>0.13028373370334176</v>
      </c>
      <c r="AD31" s="7">
        <f t="shared" si="11"/>
        <v>0.16996759691819752</v>
      </c>
      <c r="AE31" s="7">
        <f t="shared" si="12"/>
        <v>2.2530638351311336E-2</v>
      </c>
      <c r="AF31" s="384"/>
      <c r="AG31" s="7"/>
      <c r="AH31" s="7">
        <f t="shared" si="13"/>
        <v>300.25133062153924</v>
      </c>
      <c r="AI31" s="7">
        <f t="shared" si="14"/>
        <v>16.791308473458223</v>
      </c>
      <c r="AJ31" s="7">
        <f t="shared" si="15"/>
        <v>130.28373370334177</v>
      </c>
      <c r="AK31" s="7">
        <f t="shared" si="16"/>
        <v>169.96759691819753</v>
      </c>
      <c r="AL31" s="7">
        <f t="shared" si="17"/>
        <v>22.530638351311335</v>
      </c>
      <c r="AM31" s="7">
        <f t="shared" si="18"/>
        <v>7.7589982882679678</v>
      </c>
      <c r="AN31" s="493">
        <f t="shared" si="19"/>
        <v>10.122355692938573</v>
      </c>
      <c r="AO31" s="521">
        <f>main!R35</f>
        <v>37.33</v>
      </c>
      <c r="AP31" s="521">
        <f>main!S35</f>
        <v>8.39</v>
      </c>
    </row>
    <row r="32" spans="1:42">
      <c r="A32">
        <v>2017</v>
      </c>
      <c r="B32" t="s">
        <v>1750</v>
      </c>
      <c r="C32">
        <v>6</v>
      </c>
      <c r="D32" t="str">
        <f>main!$B$30</f>
        <v>McLane-PARFLUX-Mark78H-21 ; 2241, B250x21</v>
      </c>
      <c r="E32">
        <v>2000</v>
      </c>
      <c r="F32" s="68">
        <f>main!E36</f>
        <v>469.55714285714288</v>
      </c>
      <c r="G32" s="7">
        <f>main!I36</f>
        <v>58.69464285714286</v>
      </c>
      <c r="H32" s="7">
        <f>main!J36</f>
        <v>21.438218303571432</v>
      </c>
      <c r="I32" s="7">
        <f>main!AF36</f>
        <v>63.941887586145086</v>
      </c>
      <c r="J32" s="7">
        <f>main!AG36</f>
        <v>7.6727530766723957</v>
      </c>
      <c r="K32" s="7">
        <f>main!M36</f>
        <v>16.683547973632813</v>
      </c>
      <c r="L32" s="7">
        <f>main!O36</f>
        <v>1.3102766275405884</v>
      </c>
      <c r="M32" s="7">
        <f>main!AH36</f>
        <v>9.0107948969604159</v>
      </c>
      <c r="N32" s="7">
        <f>main!AB36</f>
        <v>2.8684726765884898</v>
      </c>
      <c r="O32" s="7">
        <f>main!AC36</f>
        <v>6.1362236787540887</v>
      </c>
      <c r="P32" s="7">
        <f t="shared" si="1"/>
        <v>13.708001448142024</v>
      </c>
      <c r="Q32" s="7">
        <f t="shared" si="2"/>
        <v>1.6449015544710215</v>
      </c>
      <c r="R32" s="7">
        <f t="shared" si="3"/>
        <v>3.5766554353684703</v>
      </c>
      <c r="S32" s="7">
        <f t="shared" si="4"/>
        <v>0.28089996379282489</v>
      </c>
      <c r="T32" s="7">
        <f t="shared" si="5"/>
        <v>1.9317538808974484</v>
      </c>
      <c r="U32" s="7">
        <f t="shared" si="6"/>
        <v>1.3154970278467433</v>
      </c>
      <c r="V32" s="161">
        <f>main!T36</f>
        <v>42904</v>
      </c>
      <c r="W32" s="161">
        <f>main!U36</f>
        <v>42920</v>
      </c>
      <c r="X32" s="161">
        <f>main!V36</f>
        <v>42912</v>
      </c>
      <c r="Y32">
        <f>main!H36</f>
        <v>16</v>
      </c>
      <c r="Z32" s="7">
        <f t="shared" si="7"/>
        <v>0.614949434385339</v>
      </c>
      <c r="AA32" s="7">
        <f t="shared" si="8"/>
        <v>0.2978064475743939</v>
      </c>
      <c r="AB32" s="7">
        <f t="shared" si="9"/>
        <v>2.0049961726825473E-2</v>
      </c>
      <c r="AC32" s="7">
        <f t="shared" si="10"/>
        <v>0.16084545219795574</v>
      </c>
      <c r="AD32" s="7">
        <f t="shared" si="11"/>
        <v>0.1369609953764381</v>
      </c>
      <c r="AE32" s="7">
        <f t="shared" si="12"/>
        <v>2.1892112295668887E-2</v>
      </c>
      <c r="AF32" s="384"/>
      <c r="AG32" s="7"/>
      <c r="AH32" s="7">
        <f t="shared" si="13"/>
        <v>297.80644757439387</v>
      </c>
      <c r="AI32" s="7">
        <f t="shared" si="14"/>
        <v>20.049961726825472</v>
      </c>
      <c r="AJ32" s="7">
        <f t="shared" si="15"/>
        <v>160.84545219795572</v>
      </c>
      <c r="AK32" s="7">
        <f t="shared" si="16"/>
        <v>136.96099537643809</v>
      </c>
      <c r="AL32" s="7">
        <f t="shared" si="17"/>
        <v>21.892112295668888</v>
      </c>
      <c r="AM32" s="7">
        <f t="shared" si="18"/>
        <v>8.0222323807608849</v>
      </c>
      <c r="AN32" s="493">
        <f t="shared" si="19"/>
        <v>6.8309853775527998</v>
      </c>
      <c r="AO32" s="521">
        <f>main!R36</f>
        <v>37.31</v>
      </c>
      <c r="AP32" s="521">
        <f>main!S36</f>
        <v>8.4120000000000008</v>
      </c>
    </row>
    <row r="33" spans="1:42">
      <c r="A33">
        <v>2017</v>
      </c>
      <c r="B33" t="s">
        <v>1750</v>
      </c>
      <c r="C33">
        <v>7</v>
      </c>
      <c r="D33" t="str">
        <f>main!$B$30</f>
        <v>McLane-PARFLUX-Mark78H-21 ; 2241, B250x21</v>
      </c>
      <c r="E33">
        <v>2000</v>
      </c>
      <c r="F33" s="68">
        <f>main!E37</f>
        <v>410.91428571428571</v>
      </c>
      <c r="G33" s="7">
        <f>main!I37</f>
        <v>51.364285714285714</v>
      </c>
      <c r="H33" s="7">
        <f>main!J37</f>
        <v>18.760805357142857</v>
      </c>
      <c r="I33" s="7">
        <f>main!AF37</f>
        <v>63.550304027477345</v>
      </c>
      <c r="J33" s="7">
        <f>main!AG37</f>
        <v>7.6257647241547382</v>
      </c>
      <c r="K33" s="7">
        <f>main!M37</f>
        <v>17.578481674194336</v>
      </c>
      <c r="L33" s="7">
        <f>main!O37</f>
        <v>1.383432149887085</v>
      </c>
      <c r="M33" s="7">
        <f>main!AH37</f>
        <v>9.9527169500395978</v>
      </c>
      <c r="N33" s="7">
        <f>main!AB37</f>
        <v>2.7818522145956095</v>
      </c>
      <c r="O33" s="7">
        <f>main!AC37</f>
        <v>5.9509255811694617</v>
      </c>
      <c r="P33" s="7">
        <f t="shared" si="1"/>
        <v>11.922548842467542</v>
      </c>
      <c r="Q33" s="7">
        <f t="shared" si="2"/>
        <v>1.4306548768923322</v>
      </c>
      <c r="R33" s="7">
        <f t="shared" si="3"/>
        <v>3.2978647316366261</v>
      </c>
      <c r="S33" s="7">
        <f t="shared" si="4"/>
        <v>0.25954301288845283</v>
      </c>
      <c r="T33" s="7">
        <f t="shared" si="5"/>
        <v>1.8672098547442939</v>
      </c>
      <c r="U33" s="7">
        <f t="shared" si="6"/>
        <v>1.1164415652316251</v>
      </c>
      <c r="V33" s="161">
        <f>main!T37</f>
        <v>42920</v>
      </c>
      <c r="W33" s="161">
        <f>main!U37</f>
        <v>42936</v>
      </c>
      <c r="X33" s="161">
        <f>main!V37</f>
        <v>42928</v>
      </c>
      <c r="Y33">
        <f>main!H37</f>
        <v>16</v>
      </c>
      <c r="Z33" s="7">
        <f t="shared" si="7"/>
        <v>0.52189787930365039</v>
      </c>
      <c r="AA33" s="7">
        <f t="shared" si="8"/>
        <v>0.27459323327532276</v>
      </c>
      <c r="AB33" s="7">
        <f t="shared" si="9"/>
        <v>1.852555409624931E-2</v>
      </c>
      <c r="AC33" s="7">
        <f t="shared" si="10"/>
        <v>0.15547126184382132</v>
      </c>
      <c r="AD33" s="7">
        <f t="shared" si="11"/>
        <v>0.11912197143150144</v>
      </c>
      <c r="AE33" s="7">
        <f t="shared" si="12"/>
        <v>1.8579490185249212E-2</v>
      </c>
      <c r="AF33" s="384"/>
      <c r="AG33" s="7"/>
      <c r="AH33" s="7">
        <f t="shared" si="13"/>
        <v>274.59323327532275</v>
      </c>
      <c r="AI33" s="7">
        <f t="shared" si="14"/>
        <v>18.525554096249309</v>
      </c>
      <c r="AJ33" s="7">
        <f t="shared" si="15"/>
        <v>155.47126184382131</v>
      </c>
      <c r="AK33" s="7">
        <f t="shared" si="16"/>
        <v>119.12197143150144</v>
      </c>
      <c r="AL33" s="7">
        <f t="shared" si="17"/>
        <v>18.579490185249213</v>
      </c>
      <c r="AM33" s="7">
        <f t="shared" si="18"/>
        <v>8.3922597421956784</v>
      </c>
      <c r="AN33" s="493">
        <f t="shared" si="19"/>
        <v>6.4301435094790991</v>
      </c>
      <c r="AO33" s="521">
        <f>main!R37</f>
        <v>36.270000000000003</v>
      </c>
      <c r="AP33" s="521">
        <f>main!S37</f>
        <v>8.4570000000000007</v>
      </c>
    </row>
    <row r="34" spans="1:42">
      <c r="A34">
        <v>2017</v>
      </c>
      <c r="B34" t="s">
        <v>1750</v>
      </c>
      <c r="C34">
        <v>8</v>
      </c>
      <c r="D34" t="str">
        <f>main!$B$30</f>
        <v>McLane-PARFLUX-Mark78H-21 ; 2241, B250x21</v>
      </c>
      <c r="E34">
        <v>2000</v>
      </c>
      <c r="F34" s="68">
        <f>main!E38</f>
        <v>387.74285714285719</v>
      </c>
      <c r="G34" s="7">
        <f>main!I38</f>
        <v>48.467857142857149</v>
      </c>
      <c r="H34" s="7">
        <f>main!J38</f>
        <v>17.702884821428576</v>
      </c>
      <c r="I34" s="7">
        <f>main!AF38</f>
        <v>62.873168016740003</v>
      </c>
      <c r="J34" s="7">
        <f>main!AG38</f>
        <v>7.5445112984920852</v>
      </c>
      <c r="K34" s="7">
        <f>main!M38</f>
        <v>16.464389801025391</v>
      </c>
      <c r="L34" s="7">
        <f>main!O38</f>
        <v>1.4435456991195679</v>
      </c>
      <c r="M34" s="7">
        <f>main!AH38</f>
        <v>8.9198785025333045</v>
      </c>
      <c r="N34" s="7">
        <f>main!AB38</f>
        <v>3.2392058782340789</v>
      </c>
      <c r="O34" s="7">
        <f>main!AC38</f>
        <v>6.9292944543640376</v>
      </c>
      <c r="P34" s="7">
        <f t="shared" si="1"/>
        <v>11.130364517586752</v>
      </c>
      <c r="Q34" s="7">
        <f t="shared" si="2"/>
        <v>1.3355961455117193</v>
      </c>
      <c r="R34" s="7">
        <f t="shared" si="3"/>
        <v>2.9146719630265587</v>
      </c>
      <c r="S34" s="7">
        <f t="shared" si="4"/>
        <v>0.25554923245982297</v>
      </c>
      <c r="T34" s="7">
        <f t="shared" si="5"/>
        <v>1.5790758175148389</v>
      </c>
      <c r="U34" s="7">
        <f t="shared" si="6"/>
        <v>1.2266850161937033</v>
      </c>
      <c r="V34" s="161">
        <f>main!T38</f>
        <v>42936</v>
      </c>
      <c r="W34" s="161">
        <f>main!U38</f>
        <v>42952</v>
      </c>
      <c r="X34" s="161">
        <f>main!V38</f>
        <v>42944</v>
      </c>
      <c r="Y34">
        <f>main!H38</f>
        <v>16</v>
      </c>
      <c r="Z34" s="7">
        <f t="shared" si="7"/>
        <v>0.573432885752723</v>
      </c>
      <c r="AA34" s="7">
        <f t="shared" si="8"/>
        <v>0.24268709100970515</v>
      </c>
      <c r="AB34" s="7">
        <f t="shared" si="9"/>
        <v>1.8240487684498426E-2</v>
      </c>
      <c r="AC34" s="7">
        <f t="shared" si="10"/>
        <v>0.13148008472230133</v>
      </c>
      <c r="AD34" s="7">
        <f t="shared" si="11"/>
        <v>0.11120700628740378</v>
      </c>
      <c r="AE34" s="7">
        <f t="shared" si="12"/>
        <v>2.0414129076280634E-2</v>
      </c>
      <c r="AF34" s="384"/>
      <c r="AG34" s="7"/>
      <c r="AH34" s="7">
        <f t="shared" si="13"/>
        <v>242.68709100970514</v>
      </c>
      <c r="AI34" s="7">
        <f t="shared" si="14"/>
        <v>18.240487684498426</v>
      </c>
      <c r="AJ34" s="7">
        <f t="shared" si="15"/>
        <v>131.48008472230131</v>
      </c>
      <c r="AK34" s="7">
        <f t="shared" si="16"/>
        <v>111.20700628740377</v>
      </c>
      <c r="AL34" s="7">
        <f t="shared" si="17"/>
        <v>20.414129076280634</v>
      </c>
      <c r="AM34" s="7">
        <f t="shared" si="18"/>
        <v>7.2081452533771291</v>
      </c>
      <c r="AN34" s="493">
        <f t="shared" si="19"/>
        <v>6.0967123363654583</v>
      </c>
      <c r="AO34" s="521">
        <f>main!R38</f>
        <v>37.35</v>
      </c>
      <c r="AP34" s="521">
        <f>main!S38</f>
        <v>8.327</v>
      </c>
    </row>
    <row r="35" spans="1:42">
      <c r="A35">
        <v>2017</v>
      </c>
      <c r="B35" t="s">
        <v>1750</v>
      </c>
      <c r="C35">
        <v>9</v>
      </c>
      <c r="D35" t="str">
        <f>main!$B$30</f>
        <v>McLane-PARFLUX-Mark78H-21 ; 2241, B250x21</v>
      </c>
      <c r="E35">
        <v>2000</v>
      </c>
      <c r="F35" s="68">
        <f>main!E39</f>
        <v>291.95714285714286</v>
      </c>
      <c r="G35" s="7">
        <f>main!I39</f>
        <v>36.494642857142857</v>
      </c>
      <c r="H35" s="7">
        <f>main!J39</f>
        <v>13.329668303571429</v>
      </c>
      <c r="I35" s="7">
        <f>main!AF39</f>
        <v>59.701481098184196</v>
      </c>
      <c r="J35" s="7">
        <f>main!AG39</f>
        <v>7.163922431299123</v>
      </c>
      <c r="K35" s="7">
        <f>main!M39</f>
        <v>17.553958892822266</v>
      </c>
      <c r="L35" s="7">
        <f>main!O39</f>
        <v>1.471712589263916</v>
      </c>
      <c r="M35" s="7">
        <f>main!AH39</f>
        <v>10.390036461523142</v>
      </c>
      <c r="N35" s="7">
        <f>main!AB39</f>
        <v>3.641785765010829</v>
      </c>
      <c r="O35" s="7">
        <f>main!AC39</f>
        <v>7.7904915136881705</v>
      </c>
      <c r="P35" s="7">
        <f t="shared" si="1"/>
        <v>7.9580094027073462</v>
      </c>
      <c r="Q35" s="7">
        <f t="shared" si="2"/>
        <v>0.95492709761732286</v>
      </c>
      <c r="R35" s="7">
        <f t="shared" si="3"/>
        <v>2.339884494558488</v>
      </c>
      <c r="S35" s="7">
        <f t="shared" si="4"/>
        <v>0.19617440653078258</v>
      </c>
      <c r="T35" s="7">
        <f t="shared" si="5"/>
        <v>1.3849573969411646</v>
      </c>
      <c r="U35" s="7">
        <f t="shared" si="6"/>
        <v>1.0384466779925141</v>
      </c>
      <c r="V35" s="161">
        <f>main!T39</f>
        <v>42952</v>
      </c>
      <c r="W35" s="161">
        <f>main!U39</f>
        <v>42968</v>
      </c>
      <c r="X35" s="161">
        <f>main!V39</f>
        <v>42960</v>
      </c>
      <c r="Y35">
        <f>main!H39</f>
        <v>16</v>
      </c>
      <c r="Z35" s="7">
        <f t="shared" si="7"/>
        <v>0.4854379628026248</v>
      </c>
      <c r="AA35" s="7">
        <f t="shared" si="8"/>
        <v>0.19482801786498652</v>
      </c>
      <c r="AB35" s="7">
        <f t="shared" si="9"/>
        <v>1.4002455855159357E-2</v>
      </c>
      <c r="AC35" s="7">
        <f t="shared" si="10"/>
        <v>0.11531701889601703</v>
      </c>
      <c r="AD35" s="7">
        <f t="shared" si="11"/>
        <v>7.9510998968969432E-2</v>
      </c>
      <c r="AE35" s="7">
        <f t="shared" si="12"/>
        <v>1.7281522349684043E-2</v>
      </c>
      <c r="AF35" s="384"/>
      <c r="AG35" s="7"/>
      <c r="AH35" s="7">
        <f t="shared" si="13"/>
        <v>194.82801786498652</v>
      </c>
      <c r="AI35" s="7">
        <f t="shared" si="14"/>
        <v>14.002455855159358</v>
      </c>
      <c r="AJ35" s="7">
        <f t="shared" si="15"/>
        <v>115.31701889601703</v>
      </c>
      <c r="AK35" s="7">
        <f t="shared" si="16"/>
        <v>79.510998968969432</v>
      </c>
      <c r="AL35" s="7">
        <f t="shared" si="17"/>
        <v>17.281522349684042</v>
      </c>
      <c r="AM35" s="7">
        <f t="shared" si="18"/>
        <v>8.2354852669310308</v>
      </c>
      <c r="AN35" s="493">
        <f t="shared" si="19"/>
        <v>5.678360981204075</v>
      </c>
      <c r="AO35" s="521">
        <f>main!R39</f>
        <v>37.36</v>
      </c>
      <c r="AP35" s="521">
        <f>main!S39</f>
        <v>8.5969999999999995</v>
      </c>
    </row>
    <row r="36" spans="1:42">
      <c r="A36">
        <v>2017</v>
      </c>
      <c r="B36" t="s">
        <v>1750</v>
      </c>
      <c r="C36">
        <v>10</v>
      </c>
      <c r="D36" t="str">
        <f>main!$B$30</f>
        <v>McLane-PARFLUX-Mark78H-21 ; 2241, B250x21</v>
      </c>
      <c r="E36">
        <v>2000</v>
      </c>
      <c r="F36" s="68">
        <f>main!E40</f>
        <v>284.5</v>
      </c>
      <c r="G36" s="7">
        <f>main!I40</f>
        <v>35.5625</v>
      </c>
      <c r="H36" s="7">
        <f>main!J40</f>
        <v>12.989203125000001</v>
      </c>
      <c r="I36" s="7">
        <f>main!AF40</f>
        <v>63.014468576166216</v>
      </c>
      <c r="J36" s="7">
        <f>main!AG40</f>
        <v>7.5614667613819222</v>
      </c>
      <c r="K36" s="7">
        <f>main!M40</f>
        <v>15.918201446533203</v>
      </c>
      <c r="L36" s="7">
        <f>main!O40</f>
        <v>1.2233142852783203</v>
      </c>
      <c r="M36" s="7">
        <f>main!AH40</f>
        <v>8.3567346851512809</v>
      </c>
      <c r="N36" s="7">
        <f>main!AB40</f>
        <v>4.1767193629231443</v>
      </c>
      <c r="O36" s="7">
        <f>main!AC40</f>
        <v>8.9348190287665279</v>
      </c>
      <c r="P36" s="7">
        <f t="shared" si="1"/>
        <v>8.1850773214975252</v>
      </c>
      <c r="Q36" s="7">
        <f t="shared" si="2"/>
        <v>0.98217427686525716</v>
      </c>
      <c r="R36" s="7">
        <f t="shared" si="3"/>
        <v>2.0676475197368864</v>
      </c>
      <c r="S36" s="7">
        <f t="shared" si="4"/>
        <v>0.158898777371943</v>
      </c>
      <c r="T36" s="7">
        <f t="shared" si="5"/>
        <v>1.0854732428716292</v>
      </c>
      <c r="U36" s="7">
        <f t="shared" si="6"/>
        <v>1.1605617924976366</v>
      </c>
      <c r="V36" s="161">
        <f>main!T40</f>
        <v>42968</v>
      </c>
      <c r="W36" s="161">
        <f>main!U40</f>
        <v>42984</v>
      </c>
      <c r="X36" s="161">
        <f>main!V40</f>
        <v>42976</v>
      </c>
      <c r="Y36">
        <f>main!H40</f>
        <v>16</v>
      </c>
      <c r="Z36" s="7">
        <f t="shared" si="7"/>
        <v>0.54252256201129323</v>
      </c>
      <c r="AA36" s="7">
        <f t="shared" si="8"/>
        <v>0.17216049290065666</v>
      </c>
      <c r="AB36" s="7">
        <f t="shared" si="9"/>
        <v>1.1341811375584796E-2</v>
      </c>
      <c r="AC36" s="7">
        <f t="shared" si="10"/>
        <v>9.0380786250760126E-2</v>
      </c>
      <c r="AD36" s="7">
        <f t="shared" si="11"/>
        <v>8.1779706649896519E-2</v>
      </c>
      <c r="AE36" s="7">
        <f t="shared" si="12"/>
        <v>1.931372595269823E-2</v>
      </c>
      <c r="AF36" s="384"/>
      <c r="AG36" s="7"/>
      <c r="AH36" s="7">
        <f t="shared" si="13"/>
        <v>172.16049290065666</v>
      </c>
      <c r="AI36" s="7">
        <f t="shared" si="14"/>
        <v>11.341811375584797</v>
      </c>
      <c r="AJ36" s="7">
        <f t="shared" si="15"/>
        <v>90.380786250760124</v>
      </c>
      <c r="AK36" s="7">
        <f t="shared" si="16"/>
        <v>81.779706649896525</v>
      </c>
      <c r="AL36" s="7">
        <f t="shared" si="17"/>
        <v>19.313725952698231</v>
      </c>
      <c r="AM36" s="7">
        <f t="shared" si="18"/>
        <v>7.9688140860215979</v>
      </c>
      <c r="AN36" s="493">
        <f t="shared" si="19"/>
        <v>7.2104625920636831</v>
      </c>
      <c r="AO36" s="521">
        <f>main!R40</f>
        <v>37.840000000000003</v>
      </c>
      <c r="AP36" s="521">
        <f>main!S40</f>
        <v>8.6314999999999991</v>
      </c>
    </row>
    <row r="37" spans="1:42">
      <c r="A37">
        <v>2017</v>
      </c>
      <c r="B37" t="s">
        <v>1750</v>
      </c>
      <c r="C37">
        <v>11</v>
      </c>
      <c r="D37" t="str">
        <f>main!$B$30</f>
        <v>McLane-PARFLUX-Mark78H-21 ; 2241, B250x21</v>
      </c>
      <c r="E37">
        <v>2000</v>
      </c>
      <c r="F37" s="68">
        <f>main!E41</f>
        <v>494.20000000000005</v>
      </c>
      <c r="G37" s="7">
        <f>main!I41</f>
        <v>61.775000000000006</v>
      </c>
      <c r="H37" s="7">
        <f>main!J41</f>
        <v>22.563318750000004</v>
      </c>
      <c r="I37" s="7">
        <f>main!AF41</f>
        <v>64.460972601498142</v>
      </c>
      <c r="J37" s="7">
        <f>main!AG41</f>
        <v>7.7350410587598644</v>
      </c>
      <c r="K37" s="7">
        <f>main!M41</f>
        <v>15.501677513122559</v>
      </c>
      <c r="L37" s="7">
        <f>main!O41</f>
        <v>1.1527551412582397</v>
      </c>
      <c r="M37" s="7">
        <f>main!AH41</f>
        <v>7.7666364543626942</v>
      </c>
      <c r="N37" s="7">
        <f>main!AB41</f>
        <v>4.494024256957359</v>
      </c>
      <c r="O37" s="7">
        <f>main!AC41</f>
        <v>9.6135962121953629</v>
      </c>
      <c r="P37" s="7">
        <f t="shared" si="1"/>
        <v>14.544534717426197</v>
      </c>
      <c r="Q37" s="7">
        <f t="shared" si="2"/>
        <v>1.7452819695313633</v>
      </c>
      <c r="R37" s="7">
        <f t="shared" si="3"/>
        <v>3.4976929088829163</v>
      </c>
      <c r="S37" s="7">
        <f t="shared" si="4"/>
        <v>0.26009981692910944</v>
      </c>
      <c r="T37" s="7">
        <f t="shared" si="5"/>
        <v>1.7524109393515532</v>
      </c>
      <c r="U37" s="7">
        <f t="shared" si="6"/>
        <v>2.1691463566955664</v>
      </c>
      <c r="V37" s="161">
        <f>main!T41</f>
        <v>42984</v>
      </c>
      <c r="W37" s="161">
        <f>main!U41</f>
        <v>43000</v>
      </c>
      <c r="X37" s="161">
        <f>main!V41</f>
        <v>42992</v>
      </c>
      <c r="Y37">
        <f>main!H41</f>
        <v>16</v>
      </c>
      <c r="Z37" s="7">
        <f t="shared" si="7"/>
        <v>1.0140010177996082</v>
      </c>
      <c r="AA37" s="7">
        <f t="shared" si="8"/>
        <v>0.29123171597692893</v>
      </c>
      <c r="AB37" s="7">
        <f t="shared" si="9"/>
        <v>1.8565297425346856E-2</v>
      </c>
      <c r="AC37" s="7">
        <f t="shared" si="10"/>
        <v>0.14591265107007104</v>
      </c>
      <c r="AD37" s="7">
        <f t="shared" si="11"/>
        <v>0.14531906490685789</v>
      </c>
      <c r="AE37" s="7">
        <f t="shared" si="12"/>
        <v>3.6098291840498689E-2</v>
      </c>
      <c r="AF37" s="384"/>
      <c r="AG37" s="7"/>
      <c r="AH37" s="7">
        <f t="shared" si="13"/>
        <v>291.23171597692891</v>
      </c>
      <c r="AI37" s="7">
        <f t="shared" si="14"/>
        <v>18.565297425346856</v>
      </c>
      <c r="AJ37" s="7">
        <f t="shared" si="15"/>
        <v>145.91265107007104</v>
      </c>
      <c r="AK37" s="7">
        <f t="shared" si="16"/>
        <v>145.3190649068579</v>
      </c>
      <c r="AL37" s="7">
        <f t="shared" si="17"/>
        <v>36.098291840498689</v>
      </c>
      <c r="AM37" s="7">
        <f t="shared" si="18"/>
        <v>7.8594297590330662</v>
      </c>
      <c r="AN37" s="493">
        <f t="shared" si="19"/>
        <v>7.8274568716823509</v>
      </c>
      <c r="AO37" s="521">
        <f>main!R41</f>
        <v>37.090000000000003</v>
      </c>
      <c r="AP37" s="521">
        <f>main!S41</f>
        <v>8.5869999999999997</v>
      </c>
    </row>
    <row r="38" spans="1:42">
      <c r="A38">
        <v>2017</v>
      </c>
      <c r="B38" t="s">
        <v>1750</v>
      </c>
      <c r="C38">
        <v>12</v>
      </c>
      <c r="D38" t="str">
        <f>main!$B$30</f>
        <v>McLane-PARFLUX-Mark78H-21 ; 2241, B250x21</v>
      </c>
      <c r="E38">
        <v>2000</v>
      </c>
      <c r="F38" s="68">
        <f>main!E42</f>
        <v>468.7714285714286</v>
      </c>
      <c r="G38" s="7">
        <f>main!I42</f>
        <v>58.596428571428575</v>
      </c>
      <c r="H38" s="7">
        <f>main!J42</f>
        <v>21.402345535714289</v>
      </c>
      <c r="I38" s="7">
        <f>main!AF42</f>
        <v>60.672217754950033</v>
      </c>
      <c r="J38" s="7">
        <f>main!AG42</f>
        <v>7.2804066789654787</v>
      </c>
      <c r="K38" s="7">
        <f>main!M42</f>
        <v>16.384731292724609</v>
      </c>
      <c r="L38" s="7">
        <f>main!O42</f>
        <v>1.3369530439376831</v>
      </c>
      <c r="M38" s="7">
        <f>main!AH42</f>
        <v>9.1043246137591307</v>
      </c>
      <c r="N38" s="7">
        <f>main!AB42</f>
        <v>4.3997716546808778</v>
      </c>
      <c r="O38" s="7">
        <f>main!AC42</f>
        <v>9.4119714748940524</v>
      </c>
      <c r="P38" s="7">
        <f t="shared" si="1"/>
        <v>12.985277688095401</v>
      </c>
      <c r="Q38" s="7">
        <f t="shared" si="2"/>
        <v>1.5581777938374131</v>
      </c>
      <c r="R38" s="7">
        <f t="shared" si="3"/>
        <v>3.5067168063672272</v>
      </c>
      <c r="S38" s="7">
        <f t="shared" si="4"/>
        <v>0.28613931011379301</v>
      </c>
      <c r="T38" s="7">
        <f t="shared" si="5"/>
        <v>1.9485390125298145</v>
      </c>
      <c r="U38" s="7">
        <f t="shared" si="6"/>
        <v>2.0143826567796896</v>
      </c>
      <c r="V38" s="161">
        <f>main!T42</f>
        <v>43000</v>
      </c>
      <c r="W38" s="161">
        <f>main!U42</f>
        <v>43016</v>
      </c>
      <c r="X38" s="161">
        <f>main!V42</f>
        <v>43008</v>
      </c>
      <c r="Y38">
        <f>main!H42</f>
        <v>16</v>
      </c>
      <c r="Z38" s="7">
        <f t="shared" si="7"/>
        <v>0.94165433231721551</v>
      </c>
      <c r="AA38" s="7">
        <f t="shared" si="8"/>
        <v>0.29198308129618877</v>
      </c>
      <c r="AB38" s="7">
        <f t="shared" si="9"/>
        <v>2.0423933626965953E-2</v>
      </c>
      <c r="AC38" s="7">
        <f t="shared" si="10"/>
        <v>0.16224304850373145</v>
      </c>
      <c r="AD38" s="7">
        <f t="shared" si="11"/>
        <v>0.12974003279245738</v>
      </c>
      <c r="AE38" s="7">
        <f t="shared" si="12"/>
        <v>3.3522760139452316E-2</v>
      </c>
      <c r="AF38" s="384"/>
      <c r="AG38" s="7"/>
      <c r="AH38" s="7">
        <f t="shared" si="13"/>
        <v>291.9830812961888</v>
      </c>
      <c r="AI38" s="7">
        <f t="shared" si="14"/>
        <v>20.423933626965955</v>
      </c>
      <c r="AJ38" s="7">
        <f t="shared" si="15"/>
        <v>162.24304850373144</v>
      </c>
      <c r="AK38" s="7">
        <f t="shared" si="16"/>
        <v>129.74003279245738</v>
      </c>
      <c r="AL38" s="7">
        <f t="shared" si="17"/>
        <v>33.522760139452316</v>
      </c>
      <c r="AM38" s="7">
        <f t="shared" si="18"/>
        <v>7.9437708458629182</v>
      </c>
      <c r="AN38" s="493">
        <f t="shared" si="19"/>
        <v>6.3523528406477059</v>
      </c>
      <c r="AO38" s="521">
        <f>main!R42</f>
        <v>37.049999999999997</v>
      </c>
      <c r="AP38" s="521">
        <f>main!S42</f>
        <v>8.5250000000000004</v>
      </c>
    </row>
    <row r="39" spans="1:42">
      <c r="A39">
        <v>2017</v>
      </c>
      <c r="B39" t="s">
        <v>1750</v>
      </c>
      <c r="C39">
        <v>13</v>
      </c>
      <c r="D39" t="str">
        <f>main!$B$30</f>
        <v>McLane-PARFLUX-Mark78H-21 ; 2241, B250x21</v>
      </c>
      <c r="E39">
        <v>2000</v>
      </c>
      <c r="F39" s="68">
        <f>main!E43</f>
        <v>316.74285714285713</v>
      </c>
      <c r="G39" s="7">
        <f>main!I43</f>
        <v>39.592857142857142</v>
      </c>
      <c r="H39" s="7">
        <f>main!J43</f>
        <v>14.461291071428573</v>
      </c>
      <c r="I39" s="7">
        <f>main!AF43</f>
        <v>67.919164718905449</v>
      </c>
      <c r="J39" s="7">
        <f>main!AG43</f>
        <v>8.1500093246374341</v>
      </c>
      <c r="K39" s="7">
        <f>main!M43</f>
        <v>15.005260467529297</v>
      </c>
      <c r="L39" s="7">
        <f>main!O43</f>
        <v>0.97036200761795044</v>
      </c>
      <c r="M39" s="7">
        <f>main!AH43</f>
        <v>6.8552511428918628</v>
      </c>
      <c r="N39" s="7">
        <f>main!AB43</f>
        <v>3.7155409090909086</v>
      </c>
      <c r="O39" s="7">
        <f>main!AC43</f>
        <v>7.9482681818181815</v>
      </c>
      <c r="P39" s="7">
        <f t="shared" si="1"/>
        <v>9.8219881032839389</v>
      </c>
      <c r="Q39" s="7">
        <f t="shared" si="2"/>
        <v>1.1785965707843895</v>
      </c>
      <c r="R39" s="7">
        <f t="shared" si="3"/>
        <v>2.1699543922354154</v>
      </c>
      <c r="S39" s="7">
        <f t="shared" si="4"/>
        <v>0.14032687436818972</v>
      </c>
      <c r="T39" s="7">
        <f t="shared" si="5"/>
        <v>0.99135782145102624</v>
      </c>
      <c r="U39" s="7">
        <f t="shared" si="6"/>
        <v>1.1494221969104708</v>
      </c>
      <c r="V39" s="161">
        <f>main!T43</f>
        <v>43016</v>
      </c>
      <c r="W39" s="161">
        <f>main!U43</f>
        <v>43032</v>
      </c>
      <c r="X39" s="161">
        <f>main!V43</f>
        <v>43024</v>
      </c>
      <c r="Y39">
        <f>main!H43</f>
        <v>16</v>
      </c>
      <c r="Z39" s="7">
        <f t="shared" si="7"/>
        <v>0.53731518574163961</v>
      </c>
      <c r="AA39" s="7">
        <f t="shared" si="8"/>
        <v>0.18067896688055082</v>
      </c>
      <c r="AB39" s="7">
        <f t="shared" si="9"/>
        <v>1.00161937450528E-2</v>
      </c>
      <c r="AC39" s="7">
        <f t="shared" si="10"/>
        <v>8.2544364816904761E-2</v>
      </c>
      <c r="AD39" s="7">
        <f t="shared" si="11"/>
        <v>9.813460206364609E-2</v>
      </c>
      <c r="AE39" s="7">
        <f t="shared" si="12"/>
        <v>1.9128344099025973E-2</v>
      </c>
      <c r="AF39" s="384"/>
      <c r="AG39" s="7"/>
      <c r="AH39" s="7">
        <f t="shared" si="13"/>
        <v>180.67896688055083</v>
      </c>
      <c r="AI39" s="7">
        <f t="shared" si="14"/>
        <v>10.016193745052801</v>
      </c>
      <c r="AJ39" s="7">
        <f t="shared" si="15"/>
        <v>82.544364816904761</v>
      </c>
      <c r="AK39" s="7">
        <f t="shared" si="16"/>
        <v>98.134602063646085</v>
      </c>
      <c r="AL39" s="7">
        <f t="shared" si="17"/>
        <v>19.128344099025973</v>
      </c>
      <c r="AM39" s="7">
        <f t="shared" si="18"/>
        <v>8.241091068917779</v>
      </c>
      <c r="AN39" s="493">
        <f t="shared" si="19"/>
        <v>9.797594232052143</v>
      </c>
      <c r="AO39" s="521">
        <f>main!R43</f>
        <v>37.42</v>
      </c>
      <c r="AP39" s="521">
        <f>main!S43</f>
        <v>8.6050000000000004</v>
      </c>
    </row>
    <row r="40" spans="1:42">
      <c r="A40">
        <v>2017</v>
      </c>
      <c r="B40" t="s">
        <v>1750</v>
      </c>
      <c r="C40">
        <v>14</v>
      </c>
      <c r="D40" t="str">
        <f>main!$B$30</f>
        <v>McLane-PARFLUX-Mark78H-21 ; 2241, B250x21</v>
      </c>
      <c r="E40">
        <v>2000</v>
      </c>
      <c r="F40" s="68">
        <f>main!E44</f>
        <v>787.87142857142851</v>
      </c>
      <c r="G40" s="7">
        <f>main!I44</f>
        <v>98.483928571428564</v>
      </c>
      <c r="H40" s="7">
        <f>main!J44</f>
        <v>35.971254910714286</v>
      </c>
      <c r="I40" s="7">
        <f>main!AF44</f>
        <v>67.376509500914366</v>
      </c>
      <c r="J40" s="7">
        <f>main!AG44</f>
        <v>8.084893019026282</v>
      </c>
      <c r="K40" s="7">
        <f>main!M44</f>
        <v>15.577505111694336</v>
      </c>
      <c r="L40" s="7">
        <f>main!O44</f>
        <v>0.96969813108444214</v>
      </c>
      <c r="M40" s="7">
        <f>main!AH44</f>
        <v>7.4926120926680539</v>
      </c>
      <c r="N40" s="7">
        <f>main!AB44</f>
        <v>3.3873235294117641</v>
      </c>
      <c r="O40" s="7">
        <f>main!AC44</f>
        <v>7.2461470588235306</v>
      </c>
      <c r="P40" s="7">
        <f t="shared" si="1"/>
        <v>24.236175982515533</v>
      </c>
      <c r="Q40" s="7">
        <f t="shared" si="2"/>
        <v>2.9082374771324879</v>
      </c>
      <c r="R40" s="7">
        <f t="shared" si="3"/>
        <v>5.603424072457118</v>
      </c>
      <c r="S40" s="7">
        <f t="shared" si="4"/>
        <v>0.34881258659681708</v>
      </c>
      <c r="T40" s="7">
        <f t="shared" si="5"/>
        <v>2.6951865953246297</v>
      </c>
      <c r="U40" s="7">
        <f t="shared" si="6"/>
        <v>2.6065300297346381</v>
      </c>
      <c r="V40" s="161">
        <f>main!T44</f>
        <v>43032</v>
      </c>
      <c r="W40" s="161">
        <f>main!U44</f>
        <v>43048</v>
      </c>
      <c r="X40" s="161">
        <f>main!V44</f>
        <v>43040</v>
      </c>
      <c r="Y40">
        <f>main!H44</f>
        <v>16</v>
      </c>
      <c r="Z40" s="7">
        <f t="shared" si="7"/>
        <v>1.2184627814153097</v>
      </c>
      <c r="AA40" s="7">
        <f t="shared" si="8"/>
        <v>0.46656320336861934</v>
      </c>
      <c r="AB40" s="7">
        <f t="shared" si="9"/>
        <v>2.4897400899130413E-2</v>
      </c>
      <c r="AC40" s="7">
        <f t="shared" si="10"/>
        <v>0.22441187304951121</v>
      </c>
      <c r="AD40" s="7">
        <f t="shared" si="11"/>
        <v>0.24215133031910807</v>
      </c>
      <c r="AE40" s="7">
        <f t="shared" si="12"/>
        <v>4.3377101509978984E-2</v>
      </c>
      <c r="AF40" s="384"/>
      <c r="AG40" s="7"/>
      <c r="AH40" s="7">
        <f t="shared" si="13"/>
        <v>466.56320336861933</v>
      </c>
      <c r="AI40" s="7">
        <f t="shared" si="14"/>
        <v>24.897400899130414</v>
      </c>
      <c r="AJ40" s="7">
        <f t="shared" si="15"/>
        <v>224.4118730495112</v>
      </c>
      <c r="AK40" s="7">
        <f t="shared" si="16"/>
        <v>242.15133031910807</v>
      </c>
      <c r="AL40" s="7">
        <f t="shared" si="17"/>
        <v>43.377101509978985</v>
      </c>
      <c r="AM40" s="7">
        <f t="shared" si="18"/>
        <v>9.0134658617056367</v>
      </c>
      <c r="AN40" s="493">
        <f t="shared" si="19"/>
        <v>9.7259682366108198</v>
      </c>
      <c r="AO40" s="521">
        <f>main!R44</f>
        <v>37.53</v>
      </c>
      <c r="AP40" s="521">
        <f>main!S44</f>
        <v>8.5269999999999992</v>
      </c>
    </row>
    <row r="41" spans="1:42">
      <c r="A41">
        <v>2017</v>
      </c>
      <c r="B41" t="s">
        <v>1750</v>
      </c>
      <c r="C41">
        <v>15</v>
      </c>
      <c r="D41" t="str">
        <f>main!$B$30</f>
        <v>McLane-PARFLUX-Mark78H-21 ; 2241, B250x21</v>
      </c>
      <c r="E41">
        <v>2000</v>
      </c>
      <c r="F41" s="68">
        <f>main!E45</f>
        <v>1495.7571428571428</v>
      </c>
      <c r="G41" s="7">
        <f>main!I45</f>
        <v>186.96964285714284</v>
      </c>
      <c r="H41" s="7">
        <f>main!J45</f>
        <v>68.290662053571424</v>
      </c>
      <c r="I41" s="7">
        <f>main!AF45</f>
        <v>66.998406899227675</v>
      </c>
      <c r="J41" s="7">
        <f>main!AG45</f>
        <v>8.0395223236979501</v>
      </c>
      <c r="K41" s="7">
        <f>main!M45</f>
        <v>14.214753150939941</v>
      </c>
      <c r="L41" s="7">
        <f>main!O45</f>
        <v>0.81664425134658813</v>
      </c>
      <c r="M41" s="7">
        <f>main!AH45</f>
        <v>6.1752308272419913</v>
      </c>
      <c r="N41" s="7">
        <f>main!AB45</f>
        <v>5.9608663733517453</v>
      </c>
      <c r="O41" s="7">
        <f>main!AC45</f>
        <v>12.751458183506815</v>
      </c>
      <c r="P41" s="471">
        <f t="shared" si="1"/>
        <v>45.753655636828249</v>
      </c>
      <c r="Q41" s="471">
        <f t="shared" si="2"/>
        <v>5.4902430207980002</v>
      </c>
      <c r="R41" s="7">
        <f t="shared" si="3"/>
        <v>9.7073490360577903</v>
      </c>
      <c r="S41" s="7">
        <f t="shared" si="4"/>
        <v>0.55769176586701696</v>
      </c>
      <c r="T41" s="7">
        <f t="shared" si="5"/>
        <v>4.217106015259791</v>
      </c>
      <c r="U41" s="7">
        <f t="shared" si="6"/>
        <v>8.7080552150011155</v>
      </c>
      <c r="V41" s="161">
        <f>main!T45</f>
        <v>43048</v>
      </c>
      <c r="W41" s="161">
        <f>main!U45</f>
        <v>43064</v>
      </c>
      <c r="X41" s="161">
        <f>main!V45</f>
        <v>43056</v>
      </c>
      <c r="Y41">
        <f>main!H45</f>
        <v>16</v>
      </c>
      <c r="Z41" s="7">
        <f t="shared" si="7"/>
        <v>4.0707151104906192</v>
      </c>
      <c r="AA41" s="7">
        <f t="shared" si="8"/>
        <v>0.80827219284411245</v>
      </c>
      <c r="AB41" s="7">
        <f t="shared" si="9"/>
        <v>3.980669278137166E-2</v>
      </c>
      <c r="AC41" s="7">
        <f t="shared" si="10"/>
        <v>0.35113289052954133</v>
      </c>
      <c r="AD41" s="7">
        <f t="shared" si="11"/>
        <v>0.45713930231457123</v>
      </c>
      <c r="AE41" s="7">
        <f t="shared" si="12"/>
        <v>0.14491687826595298</v>
      </c>
      <c r="AF41" s="384"/>
      <c r="AG41" s="7"/>
      <c r="AH41" s="7">
        <f t="shared" si="13"/>
        <v>808.2721928441124</v>
      </c>
      <c r="AI41" s="7">
        <f t="shared" si="14"/>
        <v>39.806692781371659</v>
      </c>
      <c r="AJ41" s="7">
        <f t="shared" si="15"/>
        <v>351.13289052954133</v>
      </c>
      <c r="AK41" s="7">
        <f t="shared" si="16"/>
        <v>457.13930231457124</v>
      </c>
      <c r="AL41" s="7">
        <f t="shared" si="17"/>
        <v>144.91687826595299</v>
      </c>
      <c r="AM41" s="7">
        <f t="shared" si="18"/>
        <v>8.8209511013148276</v>
      </c>
      <c r="AN41" s="493">
        <f t="shared" si="19"/>
        <v>11.483980968358637</v>
      </c>
      <c r="AO41" s="521">
        <f>main!R45</f>
        <v>37.43</v>
      </c>
      <c r="AP41" s="521">
        <f>main!S45</f>
        <v>8.5020000000000007</v>
      </c>
    </row>
    <row r="42" spans="1:42" s="181" customFormat="1">
      <c r="A42" s="181">
        <v>2017</v>
      </c>
      <c r="B42" s="181" t="s">
        <v>1750</v>
      </c>
      <c r="C42" s="181">
        <v>16</v>
      </c>
      <c r="D42" s="181" t="str">
        <f>main!$B$30</f>
        <v>McLane-PARFLUX-Mark78H-21 ; 2241, B250x21</v>
      </c>
      <c r="E42" s="181">
        <v>2000</v>
      </c>
      <c r="F42" s="467">
        <f>main!E46</f>
        <v>1953.4285714285713</v>
      </c>
      <c r="G42" s="468">
        <f>main!I46</f>
        <v>244.17857142857142</v>
      </c>
      <c r="H42" s="468">
        <f>main!J46</f>
        <v>89.186223214285718</v>
      </c>
      <c r="I42" s="468">
        <f>main!AF46</f>
        <v>57.382422453129784</v>
      </c>
      <c r="J42" s="468">
        <f>main!AG46</f>
        <v>6.8856453108457618</v>
      </c>
      <c r="K42" s="468">
        <f>main!M46</f>
        <v>14.793381690979004</v>
      </c>
      <c r="L42" s="468">
        <f>main!O46</f>
        <v>1.0350735187530518</v>
      </c>
      <c r="M42" s="468">
        <f>main!AH46</f>
        <v>7.9077363801332421</v>
      </c>
      <c r="N42" s="468">
        <f>main!AB46</f>
        <v>7.8207506124090509</v>
      </c>
      <c r="O42" s="468">
        <f>main!AC46</f>
        <v>16.730114072611606</v>
      </c>
      <c r="P42" s="471">
        <f t="shared" si="1"/>
        <v>51.177215374812739</v>
      </c>
      <c r="Q42" s="471">
        <f t="shared" si="2"/>
        <v>6.1410469966748984</v>
      </c>
      <c r="R42" s="471">
        <f t="shared" si="3"/>
        <v>13.19365841585781</v>
      </c>
      <c r="S42" s="471">
        <f t="shared" si="4"/>
        <v>0.92314297886705821</v>
      </c>
      <c r="T42" s="471">
        <f t="shared" si="5"/>
        <v>7.0526114191829103</v>
      </c>
      <c r="U42" s="471">
        <f t="shared" si="6"/>
        <v>14.920956880804015</v>
      </c>
      <c r="V42" s="469">
        <f>main!T46</f>
        <v>43064</v>
      </c>
      <c r="W42" s="469">
        <f>main!U46</f>
        <v>43080</v>
      </c>
      <c r="X42" s="469">
        <f>main!V46</f>
        <v>43072</v>
      </c>
      <c r="Y42" s="181">
        <f>main!H46</f>
        <v>16</v>
      </c>
      <c r="Z42" s="468">
        <f t="shared" si="7"/>
        <v>6.9750320982157534</v>
      </c>
      <c r="AA42" s="468">
        <f t="shared" si="8"/>
        <v>1.098556071262099</v>
      </c>
      <c r="AB42" s="468">
        <f t="shared" si="9"/>
        <v>6.5891718691438839E-2</v>
      </c>
      <c r="AC42" s="468">
        <f t="shared" si="10"/>
        <v>0.58722826138075856</v>
      </c>
      <c r="AD42" s="468">
        <f t="shared" si="11"/>
        <v>0.51132780988134041</v>
      </c>
      <c r="AE42" s="468">
        <f t="shared" si="12"/>
        <v>0.24831014945588301</v>
      </c>
      <c r="AF42" s="384"/>
      <c r="AG42" s="468"/>
      <c r="AH42" s="468">
        <f t="shared" si="13"/>
        <v>1098.5560712620991</v>
      </c>
      <c r="AI42" s="468">
        <f t="shared" si="14"/>
        <v>65.89171869143884</v>
      </c>
      <c r="AJ42" s="468">
        <f t="shared" si="15"/>
        <v>587.22826138075857</v>
      </c>
      <c r="AK42" s="468">
        <f t="shared" si="16"/>
        <v>511.32780988134039</v>
      </c>
      <c r="AL42" s="468">
        <f t="shared" si="17"/>
        <v>248.31014945588299</v>
      </c>
      <c r="AM42" s="7">
        <f t="shared" si="18"/>
        <v>8.9120191890981264</v>
      </c>
      <c r="AN42" s="493">
        <f t="shared" si="19"/>
        <v>7.760122516697626</v>
      </c>
      <c r="AO42" s="521">
        <f>main!R46</f>
        <v>36.51</v>
      </c>
      <c r="AP42" s="521">
        <f>main!S46</f>
        <v>8.3000000000000007</v>
      </c>
    </row>
    <row r="43" spans="1:42">
      <c r="A43">
        <v>2017</v>
      </c>
      <c r="B43" t="s">
        <v>1750</v>
      </c>
      <c r="C43">
        <v>17</v>
      </c>
      <c r="D43" t="str">
        <f>main!$B$30</f>
        <v>McLane-PARFLUX-Mark78H-21 ; 2241, B250x21</v>
      </c>
      <c r="E43">
        <v>2000</v>
      </c>
      <c r="F43" s="68">
        <f>main!E47</f>
        <v>1052.0000000000002</v>
      </c>
      <c r="G43" s="7">
        <f>main!I47</f>
        <v>131.50000000000003</v>
      </c>
      <c r="H43" s="7">
        <f>main!J47</f>
        <v>48.030375000000014</v>
      </c>
      <c r="I43" s="7">
        <f>main!AF47</f>
        <v>53.537468736849512</v>
      </c>
      <c r="J43" s="7">
        <f>main!AG47</f>
        <v>6.424267307005838</v>
      </c>
      <c r="K43" s="7">
        <f>main!M47</f>
        <v>15.333839416503906</v>
      </c>
      <c r="L43" s="7">
        <f>main!O47</f>
        <v>1.1258214712142944</v>
      </c>
      <c r="M43" s="7">
        <f>main!AH47</f>
        <v>8.9095721094980682</v>
      </c>
      <c r="N43" s="7">
        <f>main!AB47</f>
        <v>8.0342161016949145</v>
      </c>
      <c r="O43" s="7">
        <f>main!AC47</f>
        <v>17.186758474576273</v>
      </c>
      <c r="P43" s="7">
        <f t="shared" si="1"/>
        <v>25.714246999816591</v>
      </c>
      <c r="Q43" s="7">
        <f t="shared" si="2"/>
        <v>3.0855996785573061</v>
      </c>
      <c r="R43" s="7">
        <f t="shared" si="3"/>
        <v>7.3649005736446398</v>
      </c>
      <c r="S43" s="7">
        <f t="shared" si="4"/>
        <v>0.54073627445474282</v>
      </c>
      <c r="T43" s="7">
        <f t="shared" si="5"/>
        <v>4.2793008950873341</v>
      </c>
      <c r="U43" s="7">
        <f t="shared" si="6"/>
        <v>8.2548645456832652</v>
      </c>
      <c r="V43" s="161">
        <f>main!T47</f>
        <v>43080</v>
      </c>
      <c r="W43" s="161">
        <f>main!U47</f>
        <v>43096</v>
      </c>
      <c r="X43" s="161">
        <f>main!V47</f>
        <v>43088</v>
      </c>
      <c r="Y43">
        <f>main!H47</f>
        <v>16</v>
      </c>
      <c r="Z43" s="7">
        <f t="shared" si="7"/>
        <v>3.8588641219544497</v>
      </c>
      <c r="AA43" s="7">
        <f t="shared" si="8"/>
        <v>0.61323068889630639</v>
      </c>
      <c r="AB43" s="7">
        <f t="shared" si="9"/>
        <v>3.859645071054553E-2</v>
      </c>
      <c r="AC43" s="7">
        <f t="shared" si="10"/>
        <v>0.35631148168920351</v>
      </c>
      <c r="AD43" s="7">
        <f t="shared" si="11"/>
        <v>0.25691920720710293</v>
      </c>
      <c r="AE43" s="7">
        <f t="shared" si="12"/>
        <v>0.13737501324152546</v>
      </c>
      <c r="AF43" s="384"/>
      <c r="AG43" s="7"/>
      <c r="AH43" s="7">
        <f t="shared" si="13"/>
        <v>613.23068889630633</v>
      </c>
      <c r="AI43" s="7">
        <f t="shared" si="14"/>
        <v>38.596450710545533</v>
      </c>
      <c r="AJ43" s="7">
        <f t="shared" si="15"/>
        <v>356.3114816892035</v>
      </c>
      <c r="AK43" s="7">
        <f t="shared" si="16"/>
        <v>256.91920720710294</v>
      </c>
      <c r="AL43" s="7">
        <f t="shared" si="17"/>
        <v>137.37501324152547</v>
      </c>
      <c r="AM43" s="7">
        <f t="shared" si="18"/>
        <v>9.2317162622378159</v>
      </c>
      <c r="AN43" s="493">
        <f t="shared" si="19"/>
        <v>6.6565500836818154</v>
      </c>
      <c r="AO43" s="521">
        <f>main!R47</f>
        <v>37.165000000000006</v>
      </c>
      <c r="AP43" s="521">
        <f>main!S47</f>
        <v>8.4809999999999999</v>
      </c>
    </row>
    <row r="44" spans="1:42">
      <c r="A44">
        <v>2017</v>
      </c>
      <c r="B44" t="s">
        <v>1750</v>
      </c>
      <c r="C44">
        <v>18</v>
      </c>
      <c r="D44" t="str">
        <f>main!$B$30</f>
        <v>McLane-PARFLUX-Mark78H-21 ; 2241, B250x21</v>
      </c>
      <c r="E44">
        <v>2000</v>
      </c>
      <c r="F44" s="68">
        <f>main!E48</f>
        <v>1195.3</v>
      </c>
      <c r="G44" s="7">
        <f>main!I48</f>
        <v>149.41249999999999</v>
      </c>
      <c r="H44" s="7">
        <f>main!J48</f>
        <v>54.572915625</v>
      </c>
      <c r="I44" s="7">
        <f>main!AF48</f>
        <v>45.878368821279238</v>
      </c>
      <c r="J44" s="7">
        <f>main!AG48</f>
        <v>5.5052080696231345</v>
      </c>
      <c r="K44" s="7">
        <f>main!M48</f>
        <v>15.605513095855713</v>
      </c>
      <c r="L44" s="7">
        <f>main!O48</f>
        <v>1.4201022386550903</v>
      </c>
      <c r="M44" s="7">
        <f>main!AH48</f>
        <v>10.100305026232579</v>
      </c>
      <c r="N44" s="7">
        <f>main!AB48</f>
        <v>10.318784755568069</v>
      </c>
      <c r="O44" s="7">
        <f>main!AC48</f>
        <v>22.073897328660923</v>
      </c>
      <c r="P44" s="7">
        <f t="shared" si="1"/>
        <v>25.037163506963026</v>
      </c>
      <c r="Q44" s="7">
        <f t="shared" si="2"/>
        <v>3.0043525548161245</v>
      </c>
      <c r="R44" s="7">
        <f t="shared" si="3"/>
        <v>8.5163834946496646</v>
      </c>
      <c r="S44" s="7">
        <f t="shared" si="4"/>
        <v>0.77499119648997861</v>
      </c>
      <c r="T44" s="7">
        <f t="shared" si="5"/>
        <v>5.5120309398335401</v>
      </c>
      <c r="U44" s="7">
        <f t="shared" si="6"/>
        <v>12.046369364319256</v>
      </c>
      <c r="V44" s="161">
        <f>main!T48</f>
        <v>43096</v>
      </c>
      <c r="W44" s="161">
        <f>main!U48</f>
        <v>43112</v>
      </c>
      <c r="X44" s="161">
        <f>main!V48</f>
        <v>43104</v>
      </c>
      <c r="Y44">
        <f>main!H48</f>
        <v>16</v>
      </c>
      <c r="Z44" s="7">
        <f t="shared" si="7"/>
        <v>5.6312616981815253</v>
      </c>
      <c r="AA44" s="7">
        <f t="shared" si="8"/>
        <v>0.7091077014695808</v>
      </c>
      <c r="AB44" s="7">
        <f t="shared" si="9"/>
        <v>5.5317001890790765E-2</v>
      </c>
      <c r="AC44" s="7">
        <f t="shared" si="10"/>
        <v>0.45895345044409158</v>
      </c>
      <c r="AD44" s="7">
        <f t="shared" si="11"/>
        <v>0.25015425102548916</v>
      </c>
      <c r="AE44" s="7">
        <f t="shared" si="12"/>
        <v>0.20047211456680403</v>
      </c>
      <c r="AF44" s="384"/>
      <c r="AG44" s="7"/>
      <c r="AH44" s="7">
        <f t="shared" si="13"/>
        <v>709.10770146958077</v>
      </c>
      <c r="AI44" s="7">
        <f t="shared" si="14"/>
        <v>55.317001890790763</v>
      </c>
      <c r="AJ44" s="7">
        <f t="shared" si="15"/>
        <v>458.95345044409157</v>
      </c>
      <c r="AK44" s="7">
        <f t="shared" si="16"/>
        <v>250.15425102548917</v>
      </c>
      <c r="AL44" s="7">
        <f t="shared" si="17"/>
        <v>200.47211456680404</v>
      </c>
      <c r="AM44" s="7">
        <f t="shared" si="18"/>
        <v>8.2967882342968888</v>
      </c>
      <c r="AN44" s="493">
        <f t="shared" si="19"/>
        <v>4.5221946684557235</v>
      </c>
      <c r="AO44" s="521">
        <f>main!R48</f>
        <v>37</v>
      </c>
      <c r="AP44" s="521">
        <f>main!S48</f>
        <v>8.3770000000000007</v>
      </c>
    </row>
    <row r="45" spans="1:42">
      <c r="A45">
        <v>2017</v>
      </c>
      <c r="B45" t="s">
        <v>1750</v>
      </c>
      <c r="C45">
        <v>19</v>
      </c>
      <c r="D45" t="str">
        <f>main!$B$30</f>
        <v>McLane-PARFLUX-Mark78H-21 ; 2241, B250x21</v>
      </c>
      <c r="E45">
        <v>2000</v>
      </c>
      <c r="F45" s="68">
        <f>main!E49</f>
        <v>1184.8</v>
      </c>
      <c r="G45" s="7">
        <f>main!I49</f>
        <v>148.1</v>
      </c>
      <c r="H45" s="7">
        <f>main!J49</f>
        <v>54.093525</v>
      </c>
      <c r="I45" s="7">
        <f>main!AF49</f>
        <v>53.506000158278269</v>
      </c>
      <c r="J45" s="7">
        <f>main!AG49</f>
        <v>6.4204912121458646</v>
      </c>
      <c r="K45" s="7">
        <f>main!M49</f>
        <v>14.809057235717773</v>
      </c>
      <c r="L45" s="7">
        <f>main!O49</f>
        <v>1.1675206422805786</v>
      </c>
      <c r="M45" s="7">
        <f>main!AH49</f>
        <v>8.3885660235719079</v>
      </c>
      <c r="N45" s="7">
        <f>main!AB49</f>
        <v>9.1074559442643732</v>
      </c>
      <c r="O45" s="7">
        <f>main!AC49</f>
        <v>19.482628255281103</v>
      </c>
      <c r="P45" s="7">
        <f t="shared" si="1"/>
        <v>28.943281572118295</v>
      </c>
      <c r="Q45" s="7">
        <f t="shared" si="2"/>
        <v>3.4730700189649264</v>
      </c>
      <c r="R45" s="7">
        <f t="shared" si="3"/>
        <v>8.0107410780673032</v>
      </c>
      <c r="S45" s="7">
        <f t="shared" si="4"/>
        <v>0.63155307051220533</v>
      </c>
      <c r="T45" s="7">
        <f t="shared" si="5"/>
        <v>4.5376710591023759</v>
      </c>
      <c r="U45" s="7">
        <f t="shared" si="6"/>
        <v>10.538840385927548</v>
      </c>
      <c r="V45" s="161">
        <f>main!T49</f>
        <v>43112</v>
      </c>
      <c r="W45" s="161">
        <f>main!U49</f>
        <v>43128</v>
      </c>
      <c r="X45" s="161">
        <f>main!V49</f>
        <v>43120</v>
      </c>
      <c r="Y45">
        <f>main!H49</f>
        <v>16</v>
      </c>
      <c r="Z45" s="7">
        <f t="shared" si="7"/>
        <v>4.9265439580746344</v>
      </c>
      <c r="AA45" s="7">
        <f t="shared" si="8"/>
        <v>0.66700591824040822</v>
      </c>
      <c r="AB45" s="7">
        <f t="shared" si="9"/>
        <v>4.5078734511934712E-2</v>
      </c>
      <c r="AC45" s="7">
        <f t="shared" si="10"/>
        <v>0.37782440125748346</v>
      </c>
      <c r="AD45" s="7">
        <f t="shared" si="11"/>
        <v>0.28918151698292477</v>
      </c>
      <c r="AE45" s="7">
        <f t="shared" si="12"/>
        <v>0.1753842633704035</v>
      </c>
      <c r="AF45" s="384"/>
      <c r="AG45" s="7"/>
      <c r="AH45" s="7">
        <f t="shared" si="13"/>
        <v>667.00591824040828</v>
      </c>
      <c r="AI45" s="7">
        <f t="shared" si="14"/>
        <v>45.078734511934712</v>
      </c>
      <c r="AJ45" s="7">
        <f t="shared" si="15"/>
        <v>377.82440125748343</v>
      </c>
      <c r="AK45" s="7">
        <f t="shared" si="16"/>
        <v>289.18151698292479</v>
      </c>
      <c r="AL45" s="7">
        <f t="shared" si="17"/>
        <v>175.38426337040349</v>
      </c>
      <c r="AM45" s="7">
        <f t="shared" si="18"/>
        <v>8.3814331823679176</v>
      </c>
      <c r="AN45" s="493">
        <f t="shared" si="19"/>
        <v>6.4150318351630577</v>
      </c>
      <c r="AO45" s="521">
        <f>main!R49</f>
        <v>36.85</v>
      </c>
      <c r="AP45" s="521">
        <f>main!S49</f>
        <v>8.4770000000000003</v>
      </c>
    </row>
    <row r="46" spans="1:42">
      <c r="A46">
        <v>2017</v>
      </c>
      <c r="B46" t="s">
        <v>1750</v>
      </c>
      <c r="C46">
        <v>20</v>
      </c>
      <c r="D46" t="str">
        <f>main!$B$30</f>
        <v>McLane-PARFLUX-Mark78H-21 ; 2241, B250x21</v>
      </c>
      <c r="E46">
        <v>2000</v>
      </c>
      <c r="F46" s="68">
        <f>main!E50</f>
        <v>1109.3857142857144</v>
      </c>
      <c r="G46" s="7">
        <f>main!I50</f>
        <v>138.67321428571429</v>
      </c>
      <c r="H46" s="7">
        <f>main!J50</f>
        <v>50.650391517857152</v>
      </c>
      <c r="I46" s="7">
        <f>main!AF50</f>
        <v>64.843304807162724</v>
      </c>
      <c r="J46" s="7">
        <f>main!AG50</f>
        <v>7.7809192884785556</v>
      </c>
      <c r="K46" s="7">
        <f>main!M50</f>
        <v>14.79266357421875</v>
      </c>
      <c r="L46" s="7">
        <f>main!O50</f>
        <v>0.97524410486221313</v>
      </c>
      <c r="M46" s="7">
        <f>main!AH50</f>
        <v>7.0117442857401944</v>
      </c>
      <c r="N46" s="7">
        <f>main!AB50</f>
        <v>5.3202747951662994</v>
      </c>
      <c r="O46" s="7">
        <f>main!AC50</f>
        <v>11.381107598488535</v>
      </c>
      <c r="P46" s="7">
        <f t="shared" si="1"/>
        <v>32.843387757945408</v>
      </c>
      <c r="Q46" s="7">
        <f t="shared" si="2"/>
        <v>3.9410660833028532</v>
      </c>
      <c r="R46" s="7">
        <f t="shared" si="3"/>
        <v>7.4925420162612388</v>
      </c>
      <c r="S46" s="7">
        <f t="shared" si="4"/>
        <v>0.49396495736753232</v>
      </c>
      <c r="T46" s="7">
        <f t="shared" si="5"/>
        <v>3.5514759329583847</v>
      </c>
      <c r="U46" s="7">
        <f t="shared" si="6"/>
        <v>5.7645755577030329</v>
      </c>
      <c r="V46" s="161">
        <f>main!T50</f>
        <v>43128</v>
      </c>
      <c r="W46" s="161">
        <f>main!U50</f>
        <v>43144</v>
      </c>
      <c r="X46" s="161">
        <f>main!V50</f>
        <v>43136</v>
      </c>
      <c r="Y46">
        <f>main!H50</f>
        <v>16</v>
      </c>
      <c r="Z46" s="7">
        <f t="shared" si="7"/>
        <v>2.6947400135776034</v>
      </c>
      <c r="AA46" s="7">
        <f t="shared" si="8"/>
        <v>0.62385861917245955</v>
      </c>
      <c r="AB46" s="7">
        <f t="shared" si="9"/>
        <v>3.5258026935584032E-2</v>
      </c>
      <c r="AC46" s="7">
        <f t="shared" si="10"/>
        <v>0.29570990282750914</v>
      </c>
      <c r="AD46" s="7">
        <f t="shared" si="11"/>
        <v>0.3281487163449503</v>
      </c>
      <c r="AE46" s="7">
        <f t="shared" si="12"/>
        <v>9.5932360753919671E-2</v>
      </c>
      <c r="AF46" s="384"/>
      <c r="AG46" s="7"/>
      <c r="AH46" s="7">
        <f t="shared" si="13"/>
        <v>623.8586191724595</v>
      </c>
      <c r="AI46" s="7">
        <f t="shared" si="14"/>
        <v>35.258026935584034</v>
      </c>
      <c r="AJ46" s="7">
        <f t="shared" si="15"/>
        <v>295.70990282750915</v>
      </c>
      <c r="AK46" s="7">
        <f t="shared" si="16"/>
        <v>328.14871634495029</v>
      </c>
      <c r="AL46" s="7">
        <f t="shared" si="17"/>
        <v>95.932360753919667</v>
      </c>
      <c r="AM46" s="7">
        <f t="shared" si="18"/>
        <v>8.387023566797069</v>
      </c>
      <c r="AN46" s="493">
        <f t="shared" si="19"/>
        <v>9.30706408910725</v>
      </c>
      <c r="AO46" s="521">
        <f>main!R50</f>
        <v>37.270000000000003</v>
      </c>
      <c r="AP46" s="521">
        <f>main!S50</f>
        <v>8.4629999999999992</v>
      </c>
    </row>
    <row r="47" spans="1:42" s="478" customFormat="1">
      <c r="A47" s="478">
        <v>2017</v>
      </c>
      <c r="B47" s="478" t="s">
        <v>1750</v>
      </c>
      <c r="C47" s="478">
        <v>21</v>
      </c>
      <c r="D47" s="478" t="str">
        <f>main!$B$30</f>
        <v>McLane-PARFLUX-Mark78H-21 ; 2241, B250x21</v>
      </c>
      <c r="E47" s="478">
        <v>2000</v>
      </c>
      <c r="F47" s="479">
        <f>main!E51</f>
        <v>169.55714285714288</v>
      </c>
      <c r="G47" s="480">
        <f>main!I51</f>
        <v>21.19464285714286</v>
      </c>
      <c r="H47" s="480">
        <f>main!J51</f>
        <v>7.7413433035714299</v>
      </c>
      <c r="I47" s="480">
        <f>main!AF51</f>
        <v>68.59309359225982</v>
      </c>
      <c r="J47" s="480">
        <f>main!AG51</f>
        <v>8.2308779075287628</v>
      </c>
      <c r="K47" s="480">
        <f>main!M51</f>
        <v>15.475208282470703</v>
      </c>
      <c r="L47" s="480">
        <f>main!O51</f>
        <v>1.1818984746932983</v>
      </c>
      <c r="M47" s="480">
        <f>main!AH51</f>
        <v>7.2443303749419403</v>
      </c>
      <c r="N47" s="480">
        <f>main!AB51</f>
        <v>3.6869498918197303</v>
      </c>
      <c r="O47" s="480">
        <f>main!AC51</f>
        <v>7.8871064079547022</v>
      </c>
      <c r="P47" s="480">
        <f t="shared" si="1"/>
        <v>5.3100268575168892</v>
      </c>
      <c r="Q47" s="480">
        <f t="shared" si="2"/>
        <v>0.63718051571961809</v>
      </c>
      <c r="R47" s="480">
        <f t="shared" si="3"/>
        <v>1.1979890000887772</v>
      </c>
      <c r="S47" s="480">
        <f t="shared" si="4"/>
        <v>9.1494818425682523E-2</v>
      </c>
      <c r="T47" s="480">
        <f t="shared" si="5"/>
        <v>0.56080848436915898</v>
      </c>
      <c r="U47" s="480">
        <f t="shared" si="6"/>
        <v>0.61056798375775456</v>
      </c>
      <c r="V47" s="481">
        <f>main!T51</f>
        <v>43144</v>
      </c>
      <c r="W47" s="481">
        <f>main!U51</f>
        <v>43160</v>
      </c>
      <c r="X47" s="481">
        <f>main!V51</f>
        <v>43152</v>
      </c>
      <c r="Y47" s="478">
        <f>main!H51</f>
        <v>16</v>
      </c>
      <c r="Z47" s="480">
        <f t="shared" si="7"/>
        <v>0.28541944855642076</v>
      </c>
      <c r="AA47" s="480">
        <f t="shared" si="8"/>
        <v>9.9749292263844894E-2</v>
      </c>
      <c r="AB47" s="480">
        <f t="shared" si="9"/>
        <v>6.5306794022614223E-3</v>
      </c>
      <c r="AC47" s="480">
        <f t="shared" si="10"/>
        <v>4.6695127757631891E-2</v>
      </c>
      <c r="AD47" s="480">
        <f t="shared" si="11"/>
        <v>5.3054164506212996E-2</v>
      </c>
      <c r="AE47" s="480">
        <f t="shared" si="12"/>
        <v>1.0160891725041679E-2</v>
      </c>
      <c r="AF47" s="480"/>
      <c r="AG47" s="480"/>
      <c r="AH47" s="480">
        <f t="shared" si="13"/>
        <v>99.749292263844893</v>
      </c>
      <c r="AI47" s="480">
        <f t="shared" si="14"/>
        <v>6.5306794022614225</v>
      </c>
      <c r="AJ47" s="480">
        <f t="shared" si="15"/>
        <v>46.695127757631887</v>
      </c>
      <c r="AK47" s="480">
        <f t="shared" si="16"/>
        <v>53.054164506212999</v>
      </c>
      <c r="AL47" s="480">
        <f t="shared" si="17"/>
        <v>10.160891725041679</v>
      </c>
      <c r="AM47" s="7">
        <f t="shared" si="18"/>
        <v>7.1501179098552061</v>
      </c>
      <c r="AN47" s="493">
        <f t="shared" si="19"/>
        <v>8.1238353987858556</v>
      </c>
      <c r="AO47" s="521">
        <f>main!R51</f>
        <v>37.72</v>
      </c>
      <c r="AP47" s="521">
        <f>main!S51</f>
        <v>8.532</v>
      </c>
    </row>
    <row r="48" spans="1:42">
      <c r="A48">
        <v>2017</v>
      </c>
      <c r="B48" t="s">
        <v>1776</v>
      </c>
      <c r="C48">
        <v>1</v>
      </c>
      <c r="D48" t="str">
        <f>main!$B$54</f>
        <v>McLane-PARFLUX-Mark78H-21 ; 10705, A250x21</v>
      </c>
      <c r="E48">
        <v>3800</v>
      </c>
      <c r="F48" s="68">
        <f>main!E55</f>
        <v>378.02857142857141</v>
      </c>
      <c r="G48" s="7">
        <f>main!I55</f>
        <v>47.253571428571426</v>
      </c>
      <c r="H48" s="7">
        <f>main!J55</f>
        <v>17.259366964285714</v>
      </c>
      <c r="I48" s="7">
        <f>main!AF55</f>
        <v>66.787964866764781</v>
      </c>
      <c r="J48" s="7">
        <f>main!AG55</f>
        <v>8.0142701797122804</v>
      </c>
      <c r="K48" s="7">
        <f>main!M55</f>
        <v>14.449564456939697</v>
      </c>
      <c r="L48" s="7">
        <f>main!O55</f>
        <v>0.87072771787643433</v>
      </c>
      <c r="M48" s="7">
        <f>main!AH55</f>
        <v>6.4352942772274169</v>
      </c>
      <c r="N48" s="7">
        <f>main!AB55</f>
        <v>4.6444293848860845</v>
      </c>
      <c r="O48" s="7">
        <f>main!AC55</f>
        <v>9.9353421764971479</v>
      </c>
      <c r="P48" s="7">
        <f t="shared" si="1"/>
        <v>11.527179944333151</v>
      </c>
      <c r="Q48" s="7">
        <f t="shared" si="2"/>
        <v>1.3832122998258627</v>
      </c>
      <c r="R48" s="7">
        <f t="shared" si="3"/>
        <v>2.4939033543642206</v>
      </c>
      <c r="S48" s="7">
        <f t="shared" si="4"/>
        <v>0.15028209208804422</v>
      </c>
      <c r="T48" s="7">
        <f t="shared" si="5"/>
        <v>1.1106910545383579</v>
      </c>
      <c r="U48" s="7">
        <f t="shared" si="6"/>
        <v>1.714777165399094</v>
      </c>
      <c r="V48" s="161">
        <f>main!T55</f>
        <v>42824</v>
      </c>
      <c r="W48" s="161">
        <f>main!U55</f>
        <v>42840</v>
      </c>
      <c r="X48" s="161">
        <f>main!V55</f>
        <v>42832</v>
      </c>
      <c r="Y48">
        <f>main!H55</f>
        <v>16</v>
      </c>
      <c r="Z48" s="7">
        <f t="shared" si="7"/>
        <v>0.80159911093460712</v>
      </c>
      <c r="AA48" s="7">
        <f t="shared" si="8"/>
        <v>0.20765223600035143</v>
      </c>
      <c r="AB48" s="7">
        <f t="shared" si="9"/>
        <v>1.0726773168311507E-2</v>
      </c>
      <c r="AC48" s="7">
        <f t="shared" si="10"/>
        <v>9.2480520777548536E-2</v>
      </c>
      <c r="AD48" s="7">
        <f t="shared" si="11"/>
        <v>0.1151717152228029</v>
      </c>
      <c r="AE48" s="7">
        <f t="shared" si="12"/>
        <v>2.8536814202015204E-2</v>
      </c>
      <c r="AF48" s="384"/>
      <c r="AG48" s="7"/>
      <c r="AH48" s="7">
        <f t="shared" si="13"/>
        <v>207.65223600035142</v>
      </c>
      <c r="AI48" s="7">
        <f t="shared" si="14"/>
        <v>10.726773168311507</v>
      </c>
      <c r="AJ48" s="7">
        <f t="shared" si="15"/>
        <v>92.480520777548534</v>
      </c>
      <c r="AK48" s="7">
        <f t="shared" si="16"/>
        <v>115.1717152228029</v>
      </c>
      <c r="AL48" s="7">
        <f t="shared" si="17"/>
        <v>28.536814202015204</v>
      </c>
      <c r="AM48" s="7">
        <f t="shared" si="18"/>
        <v>8.6214669897886758</v>
      </c>
      <c r="AN48" s="493">
        <f t="shared" si="19"/>
        <v>10.736846339124368</v>
      </c>
      <c r="AO48">
        <f>main!R55</f>
        <v>37.28</v>
      </c>
      <c r="AP48" s="521">
        <f>main!S55</f>
        <v>8.5489999999999995</v>
      </c>
    </row>
    <row r="49" spans="1:42">
      <c r="A49">
        <v>2017</v>
      </c>
      <c r="B49" t="s">
        <v>1776</v>
      </c>
      <c r="C49">
        <v>2</v>
      </c>
      <c r="D49" t="str">
        <f>main!$B$54</f>
        <v>McLane-PARFLUX-Mark78H-21 ; 10705, A250x21</v>
      </c>
      <c r="E49">
        <v>3800</v>
      </c>
      <c r="F49" s="68">
        <f>main!E56</f>
        <v>436.18571428571437</v>
      </c>
      <c r="G49" s="7">
        <f>main!I56</f>
        <v>54.523214285714296</v>
      </c>
      <c r="H49" s="7">
        <f>main!J56</f>
        <v>19.914604017857148</v>
      </c>
      <c r="I49" s="7">
        <f>main!AF56</f>
        <v>77.195638160724116</v>
      </c>
      <c r="J49" s="7">
        <f>main!AG56</f>
        <v>9.2631464688215601</v>
      </c>
      <c r="K49" s="7">
        <f>main!M56</f>
        <v>13.149917602539063</v>
      </c>
      <c r="L49" s="7">
        <f>main!O56</f>
        <v>0.56721854209899902</v>
      </c>
      <c r="M49" s="7">
        <f>main!AH56</f>
        <v>3.8867711337175024</v>
      </c>
      <c r="N49" s="7">
        <f>main!AB56</f>
        <v>3.0722960237775929</v>
      </c>
      <c r="O49" s="7">
        <f>main!AC56</f>
        <v>6.5722416542825037</v>
      </c>
      <c r="P49" s="7">
        <f t="shared" si="1"/>
        <v>15.373205658766029</v>
      </c>
      <c r="Q49" s="7">
        <f t="shared" si="2"/>
        <v>1.844718938859931</v>
      </c>
      <c r="R49" s="7">
        <f t="shared" si="3"/>
        <v>2.6187540192201486</v>
      </c>
      <c r="S49" s="7">
        <f t="shared" si="4"/>
        <v>0.11295932657487799</v>
      </c>
      <c r="T49" s="7">
        <f t="shared" si="5"/>
        <v>0.77403508036021751</v>
      </c>
      <c r="U49" s="7">
        <f t="shared" si="6"/>
        <v>1.3088359005470247</v>
      </c>
      <c r="V49" s="161">
        <f>main!T56</f>
        <v>42840</v>
      </c>
      <c r="W49" s="161">
        <f>main!U56</f>
        <v>42856</v>
      </c>
      <c r="X49" s="161">
        <f>main!V56</f>
        <v>42848</v>
      </c>
      <c r="Y49">
        <f>main!H56</f>
        <v>16</v>
      </c>
      <c r="Z49" s="7">
        <f t="shared" si="7"/>
        <v>0.61183558739167787</v>
      </c>
      <c r="AA49" s="7">
        <f t="shared" si="8"/>
        <v>0.21804779510575759</v>
      </c>
      <c r="AB49" s="7">
        <f t="shared" si="9"/>
        <v>8.0627642094845114E-3</v>
      </c>
      <c r="AC49" s="7">
        <f t="shared" si="10"/>
        <v>6.4449215683615113E-2</v>
      </c>
      <c r="AD49" s="7">
        <f t="shared" si="11"/>
        <v>0.15359857942214247</v>
      </c>
      <c r="AE49" s="7">
        <f t="shared" si="12"/>
        <v>2.1781259786104588E-2</v>
      </c>
      <c r="AF49" s="384"/>
      <c r="AG49" s="7"/>
      <c r="AH49" s="7">
        <f t="shared" si="13"/>
        <v>218.04779510575759</v>
      </c>
      <c r="AI49" s="7">
        <f t="shared" si="14"/>
        <v>8.0627642094845111</v>
      </c>
      <c r="AJ49" s="7">
        <f t="shared" si="15"/>
        <v>64.449215683615108</v>
      </c>
      <c r="AK49" s="7">
        <f t="shared" si="16"/>
        <v>153.59857942214248</v>
      </c>
      <c r="AL49" s="7">
        <f t="shared" si="17"/>
        <v>21.781259786104588</v>
      </c>
      <c r="AM49" s="7">
        <f t="shared" si="18"/>
        <v>7.9934392237095615</v>
      </c>
      <c r="AN49" s="493">
        <f t="shared" si="19"/>
        <v>19.05036231140917</v>
      </c>
      <c r="AO49" s="521">
        <f>main!R56</f>
        <v>36.72</v>
      </c>
      <c r="AP49" s="521">
        <f>main!S56</f>
        <v>8.6180000000000003</v>
      </c>
    </row>
    <row r="50" spans="1:42">
      <c r="A50">
        <v>2017</v>
      </c>
      <c r="B50" t="s">
        <v>1776</v>
      </c>
      <c r="C50">
        <v>3</v>
      </c>
      <c r="D50" t="str">
        <f>main!$B$54</f>
        <v>McLane-PARFLUX-Mark78H-21 ; 10705, A250x21</v>
      </c>
      <c r="E50">
        <v>3800</v>
      </c>
      <c r="F50" s="68">
        <f>main!E57</f>
        <v>503.48571428571427</v>
      </c>
      <c r="G50" s="7">
        <f>main!I57</f>
        <v>62.935714285714283</v>
      </c>
      <c r="H50" s="7">
        <f>main!J57</f>
        <v>22.987269642857143</v>
      </c>
      <c r="I50" s="7">
        <f>main!AF57</f>
        <v>77.974805954600711</v>
      </c>
      <c r="J50" s="7">
        <f>main!AG57</f>
        <v>9.3566432721440513</v>
      </c>
      <c r="K50" s="7">
        <f>main!M57</f>
        <v>13.338409423828125</v>
      </c>
      <c r="L50" s="7">
        <f>main!O57</f>
        <v>0.57704097032546997</v>
      </c>
      <c r="M50" s="7">
        <f>main!AH57</f>
        <v>3.9817661516840737</v>
      </c>
      <c r="N50" s="7">
        <f>main!AB57</f>
        <v>2.594775722021661</v>
      </c>
      <c r="O50" s="7">
        <f>main!AC57</f>
        <v>5.5507324007220227</v>
      </c>
      <c r="P50" s="7">
        <f t="shared" si="1"/>
        <v>17.924278898278693</v>
      </c>
      <c r="Q50" s="7">
        <f t="shared" si="2"/>
        <v>2.1508368184880049</v>
      </c>
      <c r="R50" s="7">
        <f t="shared" si="3"/>
        <v>3.0661361403236387</v>
      </c>
      <c r="S50" s="7">
        <f t="shared" si="4"/>
        <v>0.13264596379847507</v>
      </c>
      <c r="T50" s="7">
        <f t="shared" si="5"/>
        <v>0.91529932183563412</v>
      </c>
      <c r="U50" s="7">
        <f t="shared" si="6"/>
        <v>1.2759618241074091</v>
      </c>
      <c r="V50" s="161">
        <f>main!T57</f>
        <v>42856</v>
      </c>
      <c r="W50" s="161">
        <f>main!U57</f>
        <v>42872</v>
      </c>
      <c r="X50" s="161">
        <f>main!V57</f>
        <v>42864</v>
      </c>
      <c r="Y50">
        <f>main!H57</f>
        <v>16</v>
      </c>
      <c r="Z50" s="7">
        <f t="shared" si="7"/>
        <v>0.59646809184851257</v>
      </c>
      <c r="AA50" s="7">
        <f t="shared" si="8"/>
        <v>0.25529859619680589</v>
      </c>
      <c r="AB50" s="7">
        <f t="shared" si="9"/>
        <v>9.4679488792630308E-3</v>
      </c>
      <c r="AC50" s="7">
        <f t="shared" si="10"/>
        <v>7.6211433958004504E-2</v>
      </c>
      <c r="AD50" s="7">
        <f t="shared" si="11"/>
        <v>0.17908716223880142</v>
      </c>
      <c r="AE50" s="7">
        <f t="shared" si="12"/>
        <v>2.1234179133090517E-2</v>
      </c>
      <c r="AF50" s="384"/>
      <c r="AG50" s="7"/>
      <c r="AH50" s="7">
        <f t="shared" si="13"/>
        <v>255.2985961968059</v>
      </c>
      <c r="AI50" s="7">
        <f t="shared" si="14"/>
        <v>9.4679488792630302</v>
      </c>
      <c r="AJ50" s="7">
        <f t="shared" si="15"/>
        <v>76.211433958004505</v>
      </c>
      <c r="AK50" s="7">
        <f t="shared" si="16"/>
        <v>179.08716223880143</v>
      </c>
      <c r="AL50" s="7">
        <f t="shared" si="17"/>
        <v>21.234179133090517</v>
      </c>
      <c r="AM50" s="7">
        <f t="shared" si="18"/>
        <v>8.0494133343838552</v>
      </c>
      <c r="AN50" s="493">
        <f t="shared" si="19"/>
        <v>18.91509602793095</v>
      </c>
      <c r="AO50" s="521">
        <f>main!R57</f>
        <v>36.85</v>
      </c>
      <c r="AP50" s="521">
        <f>main!S57</f>
        <v>8.6289999999999996</v>
      </c>
    </row>
    <row r="51" spans="1:42">
      <c r="A51">
        <v>2017</v>
      </c>
      <c r="B51" t="s">
        <v>1776</v>
      </c>
      <c r="C51">
        <v>4</v>
      </c>
      <c r="D51" t="str">
        <f>main!$B$54</f>
        <v>McLane-PARFLUX-Mark78H-21 ; 10705, A250x21</v>
      </c>
      <c r="E51">
        <v>3800</v>
      </c>
      <c r="F51" s="68">
        <f>main!E58</f>
        <v>525.70000000000005</v>
      </c>
      <c r="G51" s="7">
        <f>main!I58</f>
        <v>65.712500000000006</v>
      </c>
      <c r="H51" s="7">
        <f>main!J58</f>
        <v>24.001490625000002</v>
      </c>
      <c r="I51" s="7">
        <f>main!AF58</f>
        <v>78.201737405835971</v>
      </c>
      <c r="J51" s="7">
        <f>main!AG58</f>
        <v>9.3838740758689703</v>
      </c>
      <c r="K51" s="7">
        <f>main!M58</f>
        <v>13.126797676086426</v>
      </c>
      <c r="L51" s="7">
        <f>main!O58</f>
        <v>0.56734365224838257</v>
      </c>
      <c r="M51" s="7">
        <f>main!AH58</f>
        <v>3.7429236002174555</v>
      </c>
      <c r="N51" s="7">
        <f>main!AB58</f>
        <v>2.5566374412391353</v>
      </c>
      <c r="O51" s="7">
        <f>main!AC58</f>
        <v>5.4691471642598675</v>
      </c>
      <c r="P51" s="7">
        <f t="shared" si="1"/>
        <v>18.769582672048841</v>
      </c>
      <c r="Q51" s="7">
        <f t="shared" si="2"/>
        <v>2.2522696565814964</v>
      </c>
      <c r="R51" s="7">
        <f t="shared" si="3"/>
        <v>3.1506271135886021</v>
      </c>
      <c r="S51" s="7">
        <f t="shared" si="4"/>
        <v>0.13617093350592815</v>
      </c>
      <c r="T51" s="7">
        <f t="shared" si="5"/>
        <v>0.89835745700710523</v>
      </c>
      <c r="U51" s="7">
        <f t="shared" si="6"/>
        <v>1.3126768438972856</v>
      </c>
      <c r="V51" s="161">
        <f>main!T58</f>
        <v>42872</v>
      </c>
      <c r="W51" s="161">
        <f>main!U58</f>
        <v>42888</v>
      </c>
      <c r="X51" s="161">
        <f>main!V58</f>
        <v>42880</v>
      </c>
      <c r="Y51">
        <f>main!H58</f>
        <v>16</v>
      </c>
      <c r="Z51" s="7">
        <f t="shared" si="7"/>
        <v>0.61363109577425101</v>
      </c>
      <c r="AA51" s="7">
        <f t="shared" si="8"/>
        <v>0.26233364809230658</v>
      </c>
      <c r="AB51" s="7">
        <f t="shared" si="9"/>
        <v>9.719552712771461E-3</v>
      </c>
      <c r="AC51" s="7">
        <f t="shared" si="10"/>
        <v>7.480078742773566E-2</v>
      </c>
      <c r="AD51" s="7">
        <f t="shared" si="11"/>
        <v>0.18753286066457089</v>
      </c>
      <c r="AE51" s="7">
        <f t="shared" si="12"/>
        <v>2.1845179628844819E-2</v>
      </c>
      <c r="AF51" s="384"/>
      <c r="AG51" s="7"/>
      <c r="AH51" s="7">
        <f t="shared" si="13"/>
        <v>262.33364809230659</v>
      </c>
      <c r="AI51" s="7">
        <f t="shared" si="14"/>
        <v>9.7195527127714616</v>
      </c>
      <c r="AJ51" s="7">
        <f t="shared" si="15"/>
        <v>74.800787427735656</v>
      </c>
      <c r="AK51" s="7">
        <f t="shared" si="16"/>
        <v>187.5328606645709</v>
      </c>
      <c r="AL51" s="7">
        <f t="shared" si="17"/>
        <v>21.845179628844818</v>
      </c>
      <c r="AM51" s="7">
        <f t="shared" si="18"/>
        <v>7.6959084063042997</v>
      </c>
      <c r="AN51" s="493">
        <f t="shared" si="19"/>
        <v>19.294392057584432</v>
      </c>
      <c r="AO51" s="521">
        <f>main!R58</f>
        <v>37.159999999999997</v>
      </c>
      <c r="AP51" s="521">
        <f>main!S58</f>
        <v>8.625</v>
      </c>
    </row>
    <row r="52" spans="1:42">
      <c r="A52">
        <v>2017</v>
      </c>
      <c r="B52" t="s">
        <v>1776</v>
      </c>
      <c r="C52">
        <v>5</v>
      </c>
      <c r="D52" t="str">
        <f>main!$B$54</f>
        <v>McLane-PARFLUX-Mark78H-21 ; 10705, A250x21</v>
      </c>
      <c r="E52">
        <v>3800</v>
      </c>
      <c r="F52" s="68">
        <f>main!E59</f>
        <v>538.7285714285714</v>
      </c>
      <c r="G52" s="7">
        <f>main!I59</f>
        <v>67.341071428571425</v>
      </c>
      <c r="H52" s="7">
        <f>main!J59</f>
        <v>24.596326339285714</v>
      </c>
      <c r="I52" s="7">
        <f>main!AF59</f>
        <v>76.600431301857398</v>
      </c>
      <c r="J52" s="7">
        <f>main!AG59</f>
        <v>9.1917241910310672</v>
      </c>
      <c r="K52" s="7">
        <f>main!M59</f>
        <v>13.504899024963379</v>
      </c>
      <c r="L52" s="7">
        <f>main!O59</f>
        <v>0.61224067211151123</v>
      </c>
      <c r="M52" s="7">
        <f>main!AH59</f>
        <v>4.3131748339323117</v>
      </c>
      <c r="N52" s="7">
        <f>main!AB59</f>
        <v>2.6383422983904601</v>
      </c>
      <c r="O52" s="7">
        <f>main!AC59</f>
        <v>5.6439298223667764</v>
      </c>
      <c r="P52" s="7">
        <f t="shared" si="1"/>
        <v>18.840892060305208</v>
      </c>
      <c r="Q52" s="7">
        <f t="shared" si="2"/>
        <v>2.2608264782330711</v>
      </c>
      <c r="R52" s="7">
        <f t="shared" si="3"/>
        <v>3.3217090359710073</v>
      </c>
      <c r="S52" s="7">
        <f t="shared" si="4"/>
        <v>0.15058871369438354</v>
      </c>
      <c r="T52" s="7">
        <f t="shared" si="5"/>
        <v>1.0608825577379359</v>
      </c>
      <c r="U52" s="7">
        <f t="shared" si="6"/>
        <v>1.3881993974696007</v>
      </c>
      <c r="V52" s="161">
        <f>main!T59</f>
        <v>42888</v>
      </c>
      <c r="W52" s="161">
        <f>main!U59</f>
        <v>42904</v>
      </c>
      <c r="X52" s="161">
        <f>main!V59</f>
        <v>42896</v>
      </c>
      <c r="Y52">
        <f>main!H59</f>
        <v>16</v>
      </c>
      <c r="Z52" s="7">
        <f t="shared" si="7"/>
        <v>0.64893528165952885</v>
      </c>
      <c r="AA52" s="7">
        <f t="shared" si="8"/>
        <v>0.27657860416078328</v>
      </c>
      <c r="AB52" s="7">
        <f t="shared" si="9"/>
        <v>1.0748659078828233E-2</v>
      </c>
      <c r="AC52" s="7">
        <f t="shared" si="10"/>
        <v>8.8333268754199501E-2</v>
      </c>
      <c r="AD52" s="7">
        <f t="shared" si="11"/>
        <v>0.18824533540658378</v>
      </c>
      <c r="AE52" s="7">
        <f t="shared" si="12"/>
        <v>2.310200361906475E-2</v>
      </c>
      <c r="AF52" s="384"/>
      <c r="AG52" s="7"/>
      <c r="AH52" s="7">
        <f t="shared" si="13"/>
        <v>276.5786041607833</v>
      </c>
      <c r="AI52" s="7">
        <f t="shared" si="14"/>
        <v>10.748659078828233</v>
      </c>
      <c r="AJ52" s="7">
        <f t="shared" si="15"/>
        <v>88.333268754199494</v>
      </c>
      <c r="AK52" s="7">
        <f t="shared" si="16"/>
        <v>188.24533540658379</v>
      </c>
      <c r="AL52" s="7">
        <f t="shared" si="17"/>
        <v>23.10200361906475</v>
      </c>
      <c r="AM52" s="7">
        <f t="shared" si="18"/>
        <v>8.2180733528138994</v>
      </c>
      <c r="AN52" s="493">
        <f t="shared" si="19"/>
        <v>17.513378555039761</v>
      </c>
      <c r="AO52" s="521">
        <f>main!R59</f>
        <v>37.130000000000003</v>
      </c>
      <c r="AP52" s="521">
        <f>main!S59</f>
        <v>8.625</v>
      </c>
    </row>
    <row r="53" spans="1:42">
      <c r="A53">
        <v>2017</v>
      </c>
      <c r="B53" t="s">
        <v>1776</v>
      </c>
      <c r="C53">
        <v>6</v>
      </c>
      <c r="D53" t="str">
        <f>main!$B$54</f>
        <v>McLane-PARFLUX-Mark78H-21 ; 10705, A250x21</v>
      </c>
      <c r="E53">
        <v>3800</v>
      </c>
      <c r="F53" s="68">
        <f>main!E60</f>
        <v>422.01428571428573</v>
      </c>
      <c r="G53" s="7">
        <f>main!I60</f>
        <v>52.751785714285717</v>
      </c>
      <c r="H53" s="7">
        <f>main!J60</f>
        <v>19.267589732142859</v>
      </c>
      <c r="I53" s="7">
        <f>main!AF60</f>
        <v>70.438787792737728</v>
      </c>
      <c r="J53" s="7">
        <f>main!AG60</f>
        <v>8.4523533188736995</v>
      </c>
      <c r="K53" s="7">
        <f>main!M60</f>
        <v>14.781429290771484</v>
      </c>
      <c r="L53" s="7">
        <f>main!O60</f>
        <v>0.91153717041015625</v>
      </c>
      <c r="M53" s="7">
        <f>main!AH60</f>
        <v>6.3290759718977849</v>
      </c>
      <c r="N53" s="7">
        <f>main!AB60</f>
        <v>2.9727659840941825</v>
      </c>
      <c r="O53" s="7">
        <f>main!AC60</f>
        <v>6.3593274469284227</v>
      </c>
      <c r="P53" s="7">
        <f t="shared" si="1"/>
        <v>13.571856644199432</v>
      </c>
      <c r="Q53" s="7">
        <f t="shared" si="2"/>
        <v>1.6285647601917452</v>
      </c>
      <c r="R53" s="7">
        <f t="shared" si="3"/>
        <v>2.8480251522926432</v>
      </c>
      <c r="S53" s="7">
        <f t="shared" si="4"/>
        <v>0.17563124225061283</v>
      </c>
      <c r="T53" s="7">
        <f t="shared" si="5"/>
        <v>1.2194603921008986</v>
      </c>
      <c r="U53" s="7">
        <f t="shared" si="6"/>
        <v>1.2252891221977233</v>
      </c>
      <c r="V53" s="161">
        <f>main!T60</f>
        <v>42904</v>
      </c>
      <c r="W53" s="161">
        <f>main!U60</f>
        <v>42920</v>
      </c>
      <c r="X53" s="161">
        <f>main!V60</f>
        <v>42912</v>
      </c>
      <c r="Y53">
        <f>main!H60</f>
        <v>16</v>
      </c>
      <c r="Z53" s="7">
        <f t="shared" si="7"/>
        <v>0.57278035351196632</v>
      </c>
      <c r="AA53" s="7">
        <f t="shared" si="8"/>
        <v>0.23713781451229335</v>
      </c>
      <c r="AB53" s="7">
        <f t="shared" si="9"/>
        <v>1.2536134350507697E-2</v>
      </c>
      <c r="AC53" s="7">
        <f t="shared" si="10"/>
        <v>0.10153708510415475</v>
      </c>
      <c r="AD53" s="7">
        <f t="shared" si="11"/>
        <v>0.13560072940813866</v>
      </c>
      <c r="AE53" s="7">
        <f t="shared" si="12"/>
        <v>2.0390899021429914E-2</v>
      </c>
      <c r="AF53" s="384"/>
      <c r="AG53" s="7"/>
      <c r="AH53" s="7">
        <f t="shared" si="13"/>
        <v>237.13781451229335</v>
      </c>
      <c r="AI53" s="7">
        <f t="shared" si="14"/>
        <v>12.536134350507696</v>
      </c>
      <c r="AJ53" s="7">
        <f t="shared" si="15"/>
        <v>101.53708510415476</v>
      </c>
      <c r="AK53" s="7">
        <f t="shared" si="16"/>
        <v>135.60072940813868</v>
      </c>
      <c r="AL53" s="7">
        <f t="shared" si="17"/>
        <v>20.390899021429913</v>
      </c>
      <c r="AM53" s="7">
        <f t="shared" si="18"/>
        <v>8.0995530412485284</v>
      </c>
      <c r="AN53" s="493">
        <f t="shared" si="19"/>
        <v>10.816789738907595</v>
      </c>
      <c r="AO53" s="521">
        <f>main!R60</f>
        <v>37.18</v>
      </c>
      <c r="AP53" s="521">
        <f>main!S60</f>
        <v>8.5850000000000009</v>
      </c>
    </row>
    <row r="54" spans="1:42">
      <c r="A54">
        <v>2017</v>
      </c>
      <c r="B54" t="s">
        <v>1776</v>
      </c>
      <c r="C54">
        <v>7</v>
      </c>
      <c r="D54" t="str">
        <f>main!$B$54</f>
        <v>McLane-PARFLUX-Mark78H-21 ; 10705, A250x21</v>
      </c>
      <c r="E54">
        <v>3800</v>
      </c>
      <c r="F54" s="68">
        <f>main!E61</f>
        <v>457.61428571428564</v>
      </c>
      <c r="G54" s="7">
        <f>main!I61</f>
        <v>57.201785714285705</v>
      </c>
      <c r="H54" s="7">
        <f>main!J61</f>
        <v>20.892952232142854</v>
      </c>
      <c r="I54" s="7">
        <f>main!AF61</f>
        <v>67.582089077132139</v>
      </c>
      <c r="J54" s="7">
        <f>main!AG61</f>
        <v>8.1095616890557807</v>
      </c>
      <c r="K54" s="7">
        <f>main!M61</f>
        <v>15.296235084533691</v>
      </c>
      <c r="L54" s="7">
        <f>main!O61</f>
        <v>1.0207319259643555</v>
      </c>
      <c r="M54" s="7">
        <f>main!AH61</f>
        <v>7.1866733954779107</v>
      </c>
      <c r="N54" s="7">
        <f>main!AB61</f>
        <v>3.16176786473841</v>
      </c>
      <c r="O54" s="7">
        <f>main!AC61</f>
        <v>6.7636394087622316</v>
      </c>
      <c r="P54" s="7">
        <f t="shared" si="1"/>
        <v>14.11989358836945</v>
      </c>
      <c r="Q54" s="7">
        <f t="shared" si="2"/>
        <v>1.6943268499305812</v>
      </c>
      <c r="R54" s="7">
        <f t="shared" si="3"/>
        <v>3.1958350895279</v>
      </c>
      <c r="S54" s="7">
        <f t="shared" si="4"/>
        <v>0.21326103370996455</v>
      </c>
      <c r="T54" s="7">
        <f t="shared" si="5"/>
        <v>1.5015082395973187</v>
      </c>
      <c r="U54" s="7">
        <f t="shared" si="6"/>
        <v>1.4131239508270823</v>
      </c>
      <c r="V54" s="161">
        <f>main!T61</f>
        <v>42920</v>
      </c>
      <c r="W54" s="161">
        <f>main!U61</f>
        <v>42936</v>
      </c>
      <c r="X54" s="161">
        <f>main!V61</f>
        <v>42928</v>
      </c>
      <c r="Y54">
        <f>main!H61</f>
        <v>16</v>
      </c>
      <c r="Z54" s="7">
        <f t="shared" si="7"/>
        <v>0.66058664967103908</v>
      </c>
      <c r="AA54" s="7">
        <f t="shared" si="8"/>
        <v>0.26609784259183183</v>
      </c>
      <c r="AB54" s="7">
        <f t="shared" si="9"/>
        <v>1.5222058080654143E-2</v>
      </c>
      <c r="AC54" s="7">
        <f t="shared" si="10"/>
        <v>0.12502150204806983</v>
      </c>
      <c r="AD54" s="7">
        <f t="shared" si="11"/>
        <v>0.14107634054376197</v>
      </c>
      <c r="AE54" s="7">
        <f t="shared" si="12"/>
        <v>2.3516790661126347E-2</v>
      </c>
      <c r="AF54" s="384"/>
      <c r="AG54" s="7"/>
      <c r="AH54" s="7">
        <f t="shared" si="13"/>
        <v>266.09784259183181</v>
      </c>
      <c r="AI54" s="7">
        <f t="shared" si="14"/>
        <v>15.222058080654143</v>
      </c>
      <c r="AJ54" s="7">
        <f t="shared" si="15"/>
        <v>125.02150204806983</v>
      </c>
      <c r="AK54" s="7">
        <f t="shared" si="16"/>
        <v>141.07634054376197</v>
      </c>
      <c r="AL54" s="7">
        <f t="shared" si="17"/>
        <v>23.516790661126347</v>
      </c>
      <c r="AM54" s="7">
        <f t="shared" si="18"/>
        <v>8.2131799383265278</v>
      </c>
      <c r="AN54" s="493">
        <f t="shared" si="19"/>
        <v>9.267888730700431</v>
      </c>
      <c r="AO54" s="521">
        <f>main!R61</f>
        <v>37.130000000000003</v>
      </c>
      <c r="AP54" s="521">
        <f>main!S61</f>
        <v>8.6180000000000003</v>
      </c>
    </row>
    <row r="55" spans="1:42">
      <c r="A55">
        <v>2017</v>
      </c>
      <c r="B55" t="s">
        <v>1776</v>
      </c>
      <c r="C55">
        <v>8</v>
      </c>
      <c r="D55" t="str">
        <f>main!$B$54</f>
        <v>McLane-PARFLUX-Mark78H-21 ; 10705, A250x21</v>
      </c>
      <c r="E55">
        <v>3800</v>
      </c>
      <c r="F55" s="68">
        <f>main!E62</f>
        <v>435.92857142857144</v>
      </c>
      <c r="G55" s="7">
        <f>main!I62</f>
        <v>54.491071428571431</v>
      </c>
      <c r="H55" s="7">
        <f>main!J62</f>
        <v>19.902863839285715</v>
      </c>
      <c r="I55" s="7">
        <f>main!AF62</f>
        <v>68.038919172259554</v>
      </c>
      <c r="J55" s="7">
        <f>main!AG62</f>
        <v>8.1643793469358847</v>
      </c>
      <c r="K55" s="7">
        <f>main!M62</f>
        <v>14.799246788024902</v>
      </c>
      <c r="L55" s="7">
        <f>main!O62</f>
        <v>0.94557881355285645</v>
      </c>
      <c r="M55" s="7">
        <f>main!AH62</f>
        <v>6.6348674410890176</v>
      </c>
      <c r="N55" s="7">
        <f>main!AB62</f>
        <v>3.4741219788519642</v>
      </c>
      <c r="O55" s="7">
        <f>main!AC62</f>
        <v>7.4318259063444119</v>
      </c>
      <c r="P55" s="7">
        <f t="shared" si="1"/>
        <v>13.541693440576481</v>
      </c>
      <c r="Q55" s="7">
        <f t="shared" si="2"/>
        <v>1.6249453047434135</v>
      </c>
      <c r="R55" s="7">
        <f t="shared" si="3"/>
        <v>2.945473937460461</v>
      </c>
      <c r="S55" s="7">
        <f t="shared" si="4"/>
        <v>0.18819726375455834</v>
      </c>
      <c r="T55" s="7">
        <f t="shared" si="5"/>
        <v>1.3205286327170476</v>
      </c>
      <c r="U55" s="7">
        <f t="shared" si="6"/>
        <v>1.4791461909124899</v>
      </c>
      <c r="V55" s="161">
        <f>main!T62</f>
        <v>42936</v>
      </c>
      <c r="W55" s="161">
        <f>main!U62</f>
        <v>42952</v>
      </c>
      <c r="X55" s="161">
        <f>main!V62</f>
        <v>42944</v>
      </c>
      <c r="Y55">
        <f>main!H62</f>
        <v>16</v>
      </c>
      <c r="Z55" s="7">
        <f t="shared" si="7"/>
        <v>0.69144976706160488</v>
      </c>
      <c r="AA55" s="7">
        <f t="shared" si="8"/>
        <v>0.24525178496756544</v>
      </c>
      <c r="AB55" s="7">
        <f t="shared" si="9"/>
        <v>1.3433066649147634E-2</v>
      </c>
      <c r="AC55" s="7">
        <f t="shared" si="10"/>
        <v>0.1099524257049998</v>
      </c>
      <c r="AD55" s="7">
        <f t="shared" si="11"/>
        <v>0.13529935926256564</v>
      </c>
      <c r="AE55" s="7">
        <f t="shared" si="12"/>
        <v>2.4615513245340153E-2</v>
      </c>
      <c r="AF55" s="384"/>
      <c r="AG55" s="7"/>
      <c r="AH55" s="7">
        <f t="shared" si="13"/>
        <v>245.25178496756544</v>
      </c>
      <c r="AI55" s="7">
        <f t="shared" si="14"/>
        <v>13.433066649147634</v>
      </c>
      <c r="AJ55" s="7">
        <f t="shared" si="15"/>
        <v>109.9524257049998</v>
      </c>
      <c r="AK55" s="7">
        <f t="shared" si="16"/>
        <v>135.29935926256564</v>
      </c>
      <c r="AL55" s="7">
        <f t="shared" si="17"/>
        <v>24.615513245340154</v>
      </c>
      <c r="AM55" s="7">
        <f t="shared" si="18"/>
        <v>8.185206593311781</v>
      </c>
      <c r="AN55" s="493">
        <f t="shared" si="19"/>
        <v>10.072112556007513</v>
      </c>
      <c r="AO55" s="521">
        <f>main!R62</f>
        <v>36.68</v>
      </c>
      <c r="AP55" s="521">
        <f>main!S62</f>
        <v>8.5909999999999993</v>
      </c>
    </row>
    <row r="56" spans="1:42">
      <c r="A56">
        <v>2017</v>
      </c>
      <c r="B56" t="s">
        <v>1776</v>
      </c>
      <c r="C56">
        <v>9</v>
      </c>
      <c r="D56" t="str">
        <f>main!$B$54</f>
        <v>McLane-PARFLUX-Mark78H-21 ; 10705, A250x21</v>
      </c>
      <c r="E56">
        <v>3800</v>
      </c>
      <c r="F56" s="68">
        <f>main!E63</f>
        <v>415.67142857142863</v>
      </c>
      <c r="G56" s="7">
        <f>main!I63</f>
        <v>51.958928571428579</v>
      </c>
      <c r="H56" s="7">
        <f>main!J63</f>
        <v>18.977998660714288</v>
      </c>
      <c r="I56" s="7">
        <f>main!AF63</f>
        <v>66.097617870724363</v>
      </c>
      <c r="J56" s="7">
        <f>main!AG63</f>
        <v>7.9314314923071807</v>
      </c>
      <c r="K56" s="7">
        <f>main!M63</f>
        <v>15.572234153747559</v>
      </c>
      <c r="L56" s="7">
        <f>main!O63</f>
        <v>1.0858781337738037</v>
      </c>
      <c r="M56" s="7">
        <f>main!AH63</f>
        <v>7.6408026614403779</v>
      </c>
      <c r="N56" s="7">
        <f>main!AB63</f>
        <v>3.3479798448652889</v>
      </c>
      <c r="O56" s="7">
        <f>main!AC63</f>
        <v>7.1619832281222928</v>
      </c>
      <c r="P56" s="7">
        <f t="shared" si="1"/>
        <v>12.544005034270118</v>
      </c>
      <c r="Q56" s="7">
        <f t="shared" si="2"/>
        <v>1.5052269623855281</v>
      </c>
      <c r="R56" s="7">
        <f t="shared" si="3"/>
        <v>2.9552983891415043</v>
      </c>
      <c r="S56" s="7">
        <f t="shared" si="4"/>
        <v>0.20607793768458177</v>
      </c>
      <c r="T56" s="7">
        <f t="shared" si="5"/>
        <v>1.4500714267559767</v>
      </c>
      <c r="U56" s="7">
        <f t="shared" si="6"/>
        <v>1.3592010811136306</v>
      </c>
      <c r="V56" s="161">
        <f>main!T63</f>
        <v>42952</v>
      </c>
      <c r="W56" s="161">
        <f>main!U63</f>
        <v>42968</v>
      </c>
      <c r="X56" s="161">
        <f>main!V63</f>
        <v>42960</v>
      </c>
      <c r="Y56">
        <f>main!H63</f>
        <v>16</v>
      </c>
      <c r="Z56" s="7">
        <f t="shared" si="7"/>
        <v>0.63537957011951884</v>
      </c>
      <c r="AA56" s="7">
        <f t="shared" si="8"/>
        <v>0.24606980758880137</v>
      </c>
      <c r="AB56" s="7">
        <f t="shared" si="9"/>
        <v>1.4709346016030106E-2</v>
      </c>
      <c r="AC56" s="7">
        <f t="shared" si="10"/>
        <v>0.12073867000466083</v>
      </c>
      <c r="AD56" s="7">
        <f t="shared" si="11"/>
        <v>0.12533113758414055</v>
      </c>
      <c r="AE56" s="7">
        <f t="shared" si="12"/>
        <v>2.2619422218565995E-2</v>
      </c>
      <c r="AF56" s="384"/>
      <c r="AG56" s="7"/>
      <c r="AH56" s="7">
        <f t="shared" si="13"/>
        <v>246.06980758880138</v>
      </c>
      <c r="AI56" s="7">
        <f t="shared" si="14"/>
        <v>14.709346016030105</v>
      </c>
      <c r="AJ56" s="7">
        <f t="shared" si="15"/>
        <v>120.73867000466083</v>
      </c>
      <c r="AK56" s="7">
        <f t="shared" si="16"/>
        <v>125.33113758414055</v>
      </c>
      <c r="AL56" s="7">
        <f t="shared" si="17"/>
        <v>22.619422218565994</v>
      </c>
      <c r="AM56" s="7">
        <f t="shared" si="18"/>
        <v>8.2082962677661513</v>
      </c>
      <c r="AN56" s="493">
        <f t="shared" si="19"/>
        <v>8.5205105276302469</v>
      </c>
      <c r="AO56" s="521">
        <f>main!R63</f>
        <v>36.880000000000003</v>
      </c>
      <c r="AP56" s="521">
        <f>main!S63</f>
        <v>8.5909999999999993</v>
      </c>
    </row>
    <row r="57" spans="1:42">
      <c r="A57">
        <v>2017</v>
      </c>
      <c r="B57" t="s">
        <v>1776</v>
      </c>
      <c r="C57">
        <v>10</v>
      </c>
      <c r="D57" t="str">
        <f>main!$B$54</f>
        <v>McLane-PARFLUX-Mark78H-21 ; 10705, A250x21</v>
      </c>
      <c r="E57">
        <v>3800</v>
      </c>
      <c r="F57" s="68">
        <f>main!E64</f>
        <v>403.55714285714282</v>
      </c>
      <c r="G57" s="7">
        <f>main!I64</f>
        <v>50.444642857142853</v>
      </c>
      <c r="H57" s="7">
        <f>main!J64</f>
        <v>18.424905803571427</v>
      </c>
      <c r="I57" s="7">
        <f>main!AF64</f>
        <v>66.240396936302503</v>
      </c>
      <c r="J57" s="7">
        <f>main!AG64</f>
        <v>7.9485643696127362</v>
      </c>
      <c r="K57" s="7">
        <f>main!M64</f>
        <v>15.232702255249023</v>
      </c>
      <c r="L57" s="7">
        <f>main!O64</f>
        <v>1.0536642074584961</v>
      </c>
      <c r="M57" s="7">
        <f>main!AH64</f>
        <v>7.2841378856362873</v>
      </c>
      <c r="N57" s="7">
        <f>main!AB64</f>
        <v>3.5840487511223573</v>
      </c>
      <c r="O57" s="7">
        <f>main!AC64</f>
        <v>7.6669807566729258</v>
      </c>
      <c r="P57" s="7">
        <f t="shared" si="1"/>
        <v>12.20473073942555</v>
      </c>
      <c r="Q57" s="7">
        <f t="shared" si="2"/>
        <v>1.4645154978373875</v>
      </c>
      <c r="R57" s="7">
        <f t="shared" si="3"/>
        <v>2.8066110418681327</v>
      </c>
      <c r="S57" s="7">
        <f t="shared" si="4"/>
        <v>0.19413663771017531</v>
      </c>
      <c r="T57" s="7">
        <f t="shared" si="5"/>
        <v>1.3420955440307452</v>
      </c>
      <c r="U57" s="7">
        <f t="shared" si="6"/>
        <v>1.4126339823949343</v>
      </c>
      <c r="V57" s="161">
        <f>main!T64</f>
        <v>42968</v>
      </c>
      <c r="W57" s="161">
        <f>main!U64</f>
        <v>42984</v>
      </c>
      <c r="X57" s="161">
        <f>main!V64</f>
        <v>42976</v>
      </c>
      <c r="Y57">
        <f>main!H64</f>
        <v>16</v>
      </c>
      <c r="Z57" s="7">
        <f t="shared" si="7"/>
        <v>0.66035760634837248</v>
      </c>
      <c r="AA57" s="7">
        <f t="shared" si="8"/>
        <v>0.23368951222882037</v>
      </c>
      <c r="AB57" s="7">
        <f t="shared" si="9"/>
        <v>1.3857004832988958E-2</v>
      </c>
      <c r="AC57" s="7">
        <f t="shared" si="10"/>
        <v>0.11174817185934598</v>
      </c>
      <c r="AD57" s="7">
        <f t="shared" si="11"/>
        <v>0.1219413403694744</v>
      </c>
      <c r="AE57" s="7">
        <f t="shared" si="12"/>
        <v>2.3508636751455054E-2</v>
      </c>
      <c r="AF57" s="384"/>
      <c r="AG57" s="7"/>
      <c r="AH57" s="7">
        <f t="shared" si="13"/>
        <v>233.68951222882038</v>
      </c>
      <c r="AI57" s="7">
        <f t="shared" si="14"/>
        <v>13.857004832988958</v>
      </c>
      <c r="AJ57" s="7">
        <f t="shared" si="15"/>
        <v>111.74817185934597</v>
      </c>
      <c r="AK57" s="7">
        <f t="shared" si="16"/>
        <v>121.9413403694744</v>
      </c>
      <c r="AL57" s="7">
        <f t="shared" si="17"/>
        <v>23.508636751455054</v>
      </c>
      <c r="AM57" s="7">
        <f t="shared" si="18"/>
        <v>8.0643813873334622</v>
      </c>
      <c r="AN57" s="493">
        <f t="shared" si="19"/>
        <v>8.7999781943621969</v>
      </c>
      <c r="AO57" s="521">
        <f>main!R64</f>
        <v>37.135000000000005</v>
      </c>
      <c r="AP57" s="521">
        <f>main!S64</f>
        <v>8.5609999999999999</v>
      </c>
    </row>
    <row r="58" spans="1:42">
      <c r="A58">
        <v>2017</v>
      </c>
      <c r="B58" t="s">
        <v>1776</v>
      </c>
      <c r="C58">
        <v>11</v>
      </c>
      <c r="D58" t="str">
        <f>main!$B$54</f>
        <v>McLane-PARFLUX-Mark78H-21 ; 10705, A250x21</v>
      </c>
      <c r="E58">
        <v>3800</v>
      </c>
      <c r="F58" s="68">
        <f>main!E65</f>
        <v>371.18571428571431</v>
      </c>
      <c r="G58" s="7">
        <f>main!I65</f>
        <v>46.398214285714289</v>
      </c>
      <c r="H58" s="7">
        <f>main!J65</f>
        <v>16.946947767857147</v>
      </c>
      <c r="I58" s="7">
        <f>main!AF65</f>
        <v>67.740119549827853</v>
      </c>
      <c r="J58" s="7">
        <f>main!AG65</f>
        <v>8.1285246699960982</v>
      </c>
      <c r="K58" s="7">
        <f>main!M65</f>
        <v>14.561279296875</v>
      </c>
      <c r="L58" s="7">
        <f>main!O65</f>
        <v>0.92084378004074097</v>
      </c>
      <c r="M58" s="7">
        <f>main!AH65</f>
        <v>6.4327546268789018</v>
      </c>
      <c r="N58" s="7">
        <f>main!AB65</f>
        <v>3.9359991414905364</v>
      </c>
      <c r="O58" s="7">
        <f>main!AC65</f>
        <v>8.4198714279874096</v>
      </c>
      <c r="P58" s="7">
        <f t="shared" si="1"/>
        <v>11.479882677993313</v>
      </c>
      <c r="Q58" s="7">
        <f t="shared" si="2"/>
        <v>1.3775368301216213</v>
      </c>
      <c r="R58" s="7">
        <f t="shared" si="3"/>
        <v>2.4676923967732023</v>
      </c>
      <c r="S58" s="7">
        <f t="shared" si="4"/>
        <v>0.15605491442706573</v>
      </c>
      <c r="T58" s="7">
        <f t="shared" si="5"/>
        <v>1.0901555666515814</v>
      </c>
      <c r="U58" s="7">
        <f t="shared" si="6"/>
        <v>1.4269112130217538</v>
      </c>
      <c r="V58" s="161">
        <f>main!T65</f>
        <v>42984</v>
      </c>
      <c r="W58" s="161">
        <f>main!U65</f>
        <v>43000</v>
      </c>
      <c r="X58" s="161">
        <f>main!V65</f>
        <v>42992</v>
      </c>
      <c r="Y58">
        <f>main!H65</f>
        <v>16</v>
      </c>
      <c r="Z58" s="7">
        <f t="shared" si="7"/>
        <v>0.66703171865170696</v>
      </c>
      <c r="AA58" s="7">
        <f t="shared" si="8"/>
        <v>0.20546980822424665</v>
      </c>
      <c r="AB58" s="7">
        <f t="shared" si="9"/>
        <v>1.1138823299576427E-2</v>
      </c>
      <c r="AC58" s="7">
        <f t="shared" si="10"/>
        <v>9.0770655008458073E-2</v>
      </c>
      <c r="AD58" s="7">
        <f t="shared" si="11"/>
        <v>0.11469915321578862</v>
      </c>
      <c r="AE58" s="7">
        <f t="shared" si="12"/>
        <v>2.3746234199063972E-2</v>
      </c>
      <c r="AF58" s="384"/>
      <c r="AG58" s="7"/>
      <c r="AH58" s="7">
        <f t="shared" si="13"/>
        <v>205.46980822424666</v>
      </c>
      <c r="AI58" s="7">
        <f t="shared" si="14"/>
        <v>11.138823299576426</v>
      </c>
      <c r="AJ58" s="7">
        <f t="shared" si="15"/>
        <v>90.770655008458078</v>
      </c>
      <c r="AK58" s="7">
        <f t="shared" si="16"/>
        <v>114.69915321578863</v>
      </c>
      <c r="AL58" s="7">
        <f t="shared" si="17"/>
        <v>23.74623419906397</v>
      </c>
      <c r="AM58" s="7">
        <f t="shared" si="18"/>
        <v>8.1490344686507239</v>
      </c>
      <c r="AN58" s="493">
        <f t="shared" si="19"/>
        <v>10.297241470753043</v>
      </c>
      <c r="AO58" s="521">
        <f>main!R65</f>
        <v>37.17</v>
      </c>
      <c r="AP58" s="521">
        <f>main!S65</f>
        <v>8.6029999999999998</v>
      </c>
    </row>
    <row r="59" spans="1:42">
      <c r="A59">
        <v>2017</v>
      </c>
      <c r="B59" t="s">
        <v>1776</v>
      </c>
      <c r="C59">
        <v>12</v>
      </c>
      <c r="D59" t="str">
        <f>main!$B$54</f>
        <v>McLane-PARFLUX-Mark78H-21 ; 10705, A250x21</v>
      </c>
      <c r="E59">
        <v>3800</v>
      </c>
      <c r="F59" s="68">
        <f>main!E66</f>
        <v>470.35714285714283</v>
      </c>
      <c r="G59" s="7">
        <f>main!I66</f>
        <v>58.794642857142854</v>
      </c>
      <c r="H59" s="7">
        <f>main!J66</f>
        <v>21.474743303571429</v>
      </c>
      <c r="I59" s="7">
        <f>main!AF66</f>
        <v>67.204531807899073</v>
      </c>
      <c r="J59" s="7">
        <f>main!AG66</f>
        <v>8.0642564312898877</v>
      </c>
      <c r="K59" s="7">
        <f>main!M66</f>
        <v>15.105032920837402</v>
      </c>
      <c r="L59" s="7">
        <f>main!O66</f>
        <v>0.99744933843612671</v>
      </c>
      <c r="M59" s="7">
        <f>main!AH66</f>
        <v>7.0407764895475147</v>
      </c>
      <c r="N59" s="7">
        <f>main!AB66</f>
        <v>3.8763983214354618</v>
      </c>
      <c r="O59" s="7">
        <f>main!AC66</f>
        <v>8.292373625313525</v>
      </c>
      <c r="P59" s="7">
        <f t="shared" si="1"/>
        <v>14.432000694113338</v>
      </c>
      <c r="Q59" s="7">
        <f t="shared" si="2"/>
        <v>1.7317783679612535</v>
      </c>
      <c r="R59" s="7">
        <f t="shared" si="3"/>
        <v>3.2437670456697898</v>
      </c>
      <c r="S59" s="7">
        <f t="shared" si="4"/>
        <v>0.21419968501232967</v>
      </c>
      <c r="T59" s="7">
        <f t="shared" si="5"/>
        <v>1.5119886777085365</v>
      </c>
      <c r="U59" s="7">
        <f t="shared" si="6"/>
        <v>1.7807659498091395</v>
      </c>
      <c r="V59" s="161">
        <f>main!T66</f>
        <v>43000</v>
      </c>
      <c r="W59" s="161">
        <f>main!U66</f>
        <v>43016</v>
      </c>
      <c r="X59" s="161">
        <f>main!V66</f>
        <v>43008</v>
      </c>
      <c r="Y59">
        <f>main!H66</f>
        <v>16</v>
      </c>
      <c r="Z59" s="7">
        <f t="shared" si="7"/>
        <v>0.83244658895221713</v>
      </c>
      <c r="AA59" s="7">
        <f t="shared" si="8"/>
        <v>0.27008884643378767</v>
      </c>
      <c r="AB59" s="7">
        <f t="shared" si="9"/>
        <v>1.5289056746062075E-2</v>
      </c>
      <c r="AC59" s="7">
        <f t="shared" si="10"/>
        <v>0.12589414468847099</v>
      </c>
      <c r="AD59" s="7">
        <f t="shared" si="11"/>
        <v>0.14419470174531671</v>
      </c>
      <c r="AE59" s="7">
        <f t="shared" si="12"/>
        <v>2.9634980026778824E-2</v>
      </c>
      <c r="AF59" s="384"/>
      <c r="AG59" s="7"/>
      <c r="AH59" s="7">
        <f t="shared" si="13"/>
        <v>270.08884643378769</v>
      </c>
      <c r="AI59" s="7">
        <f t="shared" si="14"/>
        <v>15.289056746062075</v>
      </c>
      <c r="AJ59" s="7">
        <f t="shared" si="15"/>
        <v>125.89414468847099</v>
      </c>
      <c r="AK59" s="7">
        <f t="shared" si="16"/>
        <v>144.19470174531671</v>
      </c>
      <c r="AL59" s="7">
        <f t="shared" si="17"/>
        <v>29.634980026778823</v>
      </c>
      <c r="AM59" s="7">
        <f t="shared" si="18"/>
        <v>8.2342649896238314</v>
      </c>
      <c r="AN59" s="493">
        <f t="shared" si="19"/>
        <v>9.4312359578661518</v>
      </c>
      <c r="AO59" s="521">
        <f>main!R66</f>
        <v>37.08</v>
      </c>
      <c r="AP59" s="521">
        <f>main!S66</f>
        <v>8.5749999999999993</v>
      </c>
    </row>
    <row r="60" spans="1:42">
      <c r="A60">
        <v>2017</v>
      </c>
      <c r="B60" t="s">
        <v>1776</v>
      </c>
      <c r="C60">
        <v>13</v>
      </c>
      <c r="D60" t="str">
        <f>main!$B$54</f>
        <v>McLane-PARFLUX-Mark78H-21 ; 10705, A250x21</v>
      </c>
      <c r="E60">
        <v>3800</v>
      </c>
      <c r="F60" s="68">
        <f>main!E67</f>
        <v>439.5428571428572</v>
      </c>
      <c r="G60" s="7">
        <f>main!I67</f>
        <v>54.94285714285715</v>
      </c>
      <c r="H60" s="7">
        <f>main!J67</f>
        <v>20.067878571428576</v>
      </c>
      <c r="I60" s="7">
        <f>main!AF67</f>
        <v>70.42269473031817</v>
      </c>
      <c r="J60" s="7">
        <f>main!AG67</f>
        <v>8.4504222202018564</v>
      </c>
      <c r="K60" s="7">
        <f>main!M67</f>
        <v>14.010642051696777</v>
      </c>
      <c r="L60" s="7">
        <f>main!O67</f>
        <v>0.77720421552658081</v>
      </c>
      <c r="M60" s="7">
        <f>main!AH67</f>
        <v>5.5602198314949209</v>
      </c>
      <c r="N60" s="7">
        <f>main!AB67</f>
        <v>3.7150514028699928</v>
      </c>
      <c r="O60" s="7">
        <f>main!AC67</f>
        <v>7.9472210323409707</v>
      </c>
      <c r="P60" s="7">
        <f t="shared" si="1"/>
        <v>14.13234086520808</v>
      </c>
      <c r="Q60" s="7">
        <f t="shared" si="2"/>
        <v>1.6958204699231272</v>
      </c>
      <c r="R60" s="7">
        <f t="shared" si="3"/>
        <v>2.8116386340120187</v>
      </c>
      <c r="S60" s="7">
        <f t="shared" si="4"/>
        <v>0.15596839822389827</v>
      </c>
      <c r="T60" s="7">
        <f t="shared" si="5"/>
        <v>1.1158181640888913</v>
      </c>
      <c r="U60" s="7">
        <f t="shared" si="6"/>
        <v>1.5948386665732184</v>
      </c>
      <c r="V60" s="161">
        <f>main!T67</f>
        <v>43016</v>
      </c>
      <c r="W60" s="161">
        <f>main!U67</f>
        <v>43032</v>
      </c>
      <c r="X60" s="161">
        <f>main!V67</f>
        <v>43024</v>
      </c>
      <c r="Y60">
        <f>main!H67</f>
        <v>16</v>
      </c>
      <c r="Z60" s="7">
        <f t="shared" si="7"/>
        <v>0.74553200439410394</v>
      </c>
      <c r="AA60" s="7">
        <f t="shared" si="8"/>
        <v>0.23410812939317391</v>
      </c>
      <c r="AB60" s="7">
        <f t="shared" si="9"/>
        <v>1.1132647981720076E-2</v>
      </c>
      <c r="AC60" s="7">
        <f t="shared" si="10"/>
        <v>9.2907424153945997E-2</v>
      </c>
      <c r="AD60" s="7">
        <f t="shared" si="11"/>
        <v>0.14120070523922792</v>
      </c>
      <c r="AE60" s="7">
        <f t="shared" si="12"/>
        <v>2.654083319309733E-2</v>
      </c>
      <c r="AF60" s="384"/>
      <c r="AG60" s="7"/>
      <c r="AH60" s="7">
        <f t="shared" si="13"/>
        <v>234.1081293931739</v>
      </c>
      <c r="AI60" s="7">
        <f t="shared" si="14"/>
        <v>11.132647981720076</v>
      </c>
      <c r="AJ60" s="7">
        <f t="shared" si="15"/>
        <v>92.907424153945996</v>
      </c>
      <c r="AK60" s="7">
        <f t="shared" si="16"/>
        <v>141.20070523922791</v>
      </c>
      <c r="AL60" s="7">
        <f t="shared" si="17"/>
        <v>26.540833193097331</v>
      </c>
      <c r="AM60" s="7">
        <f t="shared" si="18"/>
        <v>8.3454919536215417</v>
      </c>
      <c r="AN60" s="493">
        <f t="shared" si="19"/>
        <v>12.683478851669516</v>
      </c>
      <c r="AO60" s="521">
        <f>main!R67</f>
        <v>37.39</v>
      </c>
      <c r="AP60" s="521">
        <f>main!S67</f>
        <v>8.6270000000000007</v>
      </c>
    </row>
    <row r="61" spans="1:42">
      <c r="A61">
        <v>2017</v>
      </c>
      <c r="B61" t="s">
        <v>1776</v>
      </c>
      <c r="C61">
        <v>14</v>
      </c>
      <c r="D61" t="str">
        <f>main!$B$54</f>
        <v>McLane-PARFLUX-Mark78H-21 ; 10705, A250x21</v>
      </c>
      <c r="E61">
        <v>3800</v>
      </c>
      <c r="F61" s="68">
        <f>main!E68</f>
        <v>630.97142857142853</v>
      </c>
      <c r="G61" s="7">
        <f>main!I68</f>
        <v>78.871428571428567</v>
      </c>
      <c r="H61" s="7">
        <f>main!J68</f>
        <v>28.807789285714286</v>
      </c>
      <c r="I61" s="7">
        <f>main!AF68</f>
        <v>72.133338576172264</v>
      </c>
      <c r="J61" s="7">
        <f>main!AG68</f>
        <v>8.6556921665055953</v>
      </c>
      <c r="K61" s="7">
        <f>main!M68</f>
        <v>14.316464424133301</v>
      </c>
      <c r="L61" s="7">
        <f>main!O68</f>
        <v>0.73557496070861816</v>
      </c>
      <c r="M61" s="7">
        <f>main!AH68</f>
        <v>5.6607722576277055</v>
      </c>
      <c r="N61" s="7">
        <f>main!AB68</f>
        <v>3.2359814482345901</v>
      </c>
      <c r="O61" s="7">
        <f>main!AC68</f>
        <v>6.9223967684021543</v>
      </c>
      <c r="P61" s="7">
        <f t="shared" si="1"/>
        <v>20.780020181774564</v>
      </c>
      <c r="Q61" s="7">
        <f t="shared" si="2"/>
        <v>2.4935135605470093</v>
      </c>
      <c r="R61" s="7">
        <f t="shared" si="3"/>
        <v>4.1242569044685711</v>
      </c>
      <c r="S61" s="7">
        <f t="shared" si="4"/>
        <v>0.21190288471941437</v>
      </c>
      <c r="T61" s="7">
        <f t="shared" si="5"/>
        <v>1.6307433439215608</v>
      </c>
      <c r="U61" s="7">
        <f t="shared" si="6"/>
        <v>1.9941894745623878</v>
      </c>
      <c r="V61" s="161">
        <f>main!T68</f>
        <v>43032</v>
      </c>
      <c r="W61" s="161">
        <f>main!U68</f>
        <v>43048</v>
      </c>
      <c r="X61" s="161">
        <f>main!V68</f>
        <v>43040</v>
      </c>
      <c r="Y61">
        <f>main!H68</f>
        <v>16</v>
      </c>
      <c r="Z61" s="7">
        <f t="shared" si="7"/>
        <v>0.93221471693222624</v>
      </c>
      <c r="AA61" s="7">
        <f t="shared" si="8"/>
        <v>0.34340190711645058</v>
      </c>
      <c r="AB61" s="7">
        <f t="shared" si="9"/>
        <v>1.5125116682327936E-2</v>
      </c>
      <c r="AC61" s="7">
        <f t="shared" si="10"/>
        <v>0.13578212688772365</v>
      </c>
      <c r="AD61" s="7">
        <f t="shared" si="11"/>
        <v>0.20761978022872685</v>
      </c>
      <c r="AE61" s="7">
        <f t="shared" si="12"/>
        <v>3.3186711175942553E-2</v>
      </c>
      <c r="AF61" s="384"/>
      <c r="AG61" s="7"/>
      <c r="AH61" s="7">
        <f t="shared" si="13"/>
        <v>343.40190711645056</v>
      </c>
      <c r="AI61" s="7">
        <f t="shared" si="14"/>
        <v>15.125116682327937</v>
      </c>
      <c r="AJ61" s="7">
        <f t="shared" si="15"/>
        <v>135.78212688772365</v>
      </c>
      <c r="AK61" s="7">
        <f t="shared" si="16"/>
        <v>207.61978022872685</v>
      </c>
      <c r="AL61" s="7">
        <f t="shared" si="17"/>
        <v>33.186711175942555</v>
      </c>
      <c r="AM61" s="7">
        <f t="shared" si="18"/>
        <v>8.9772614479312001</v>
      </c>
      <c r="AN61" s="493">
        <f t="shared" si="19"/>
        <v>13.726821722394256</v>
      </c>
      <c r="AO61" s="521">
        <f>main!R68</f>
        <v>37.4</v>
      </c>
      <c r="AP61" s="521">
        <f>main!S68</f>
        <v>8.5869999999999997</v>
      </c>
    </row>
    <row r="62" spans="1:42">
      <c r="A62">
        <v>2017</v>
      </c>
      <c r="B62" t="s">
        <v>1776</v>
      </c>
      <c r="C62">
        <v>15</v>
      </c>
      <c r="D62" t="str">
        <f>main!$B$54</f>
        <v>McLane-PARFLUX-Mark78H-21 ; 10705, A250x21</v>
      </c>
      <c r="E62">
        <v>3800</v>
      </c>
      <c r="F62" s="68">
        <f>main!E69</f>
        <v>1039.5428571428572</v>
      </c>
      <c r="G62" s="7">
        <f>main!I69</f>
        <v>129.94285714285715</v>
      </c>
      <c r="H62" s="7">
        <f>main!J69</f>
        <v>47.461628571428577</v>
      </c>
      <c r="I62" s="7">
        <f>main!AF69</f>
        <v>70.905242771025968</v>
      </c>
      <c r="J62" s="7">
        <f>main!AG69</f>
        <v>8.5083259215743716</v>
      </c>
      <c r="K62" s="7">
        <f>main!M69</f>
        <v>13.89695930480957</v>
      </c>
      <c r="L62" s="7">
        <f>main!O69</f>
        <v>0.68717598915100098</v>
      </c>
      <c r="M62" s="7">
        <f>main!AH69</f>
        <v>5.3886333832351987</v>
      </c>
      <c r="N62" s="7">
        <f>main!AB69</f>
        <v>4.4518393939393945</v>
      </c>
      <c r="O62" s="7">
        <f>main!AC69</f>
        <v>9.5233545454545467</v>
      </c>
      <c r="P62" s="7">
        <f t="shared" si="1"/>
        <v>33.652782961654054</v>
      </c>
      <c r="Q62" s="7">
        <f t="shared" si="2"/>
        <v>4.038190046544206</v>
      </c>
      <c r="R62" s="7">
        <f t="shared" si="3"/>
        <v>6.5957232079713011</v>
      </c>
      <c r="S62" s="7">
        <f t="shared" si="4"/>
        <v>0.32614491560288844</v>
      </c>
      <c r="T62" s="7">
        <f t="shared" si="5"/>
        <v>2.5575331614270955</v>
      </c>
      <c r="U62" s="7">
        <f t="shared" si="6"/>
        <v>4.5199391619038973</v>
      </c>
      <c r="V62" s="161">
        <f>main!T69</f>
        <v>43048</v>
      </c>
      <c r="W62" s="161">
        <f>main!U69</f>
        <v>43064</v>
      </c>
      <c r="X62" s="161">
        <f>main!V69</f>
        <v>43056</v>
      </c>
      <c r="Y62">
        <f>main!H69</f>
        <v>16</v>
      </c>
      <c r="Z62" s="7">
        <f t="shared" si="7"/>
        <v>2.1129154777480528</v>
      </c>
      <c r="AA62" s="7">
        <f t="shared" si="8"/>
        <v>0.54918594570951718</v>
      </c>
      <c r="AB62" s="7">
        <f t="shared" si="9"/>
        <v>2.3279437230755779E-2</v>
      </c>
      <c r="AC62" s="7">
        <f t="shared" si="10"/>
        <v>0.21295030486487057</v>
      </c>
      <c r="AD62" s="7">
        <f t="shared" si="11"/>
        <v>0.33623564084464663</v>
      </c>
      <c r="AE62" s="7">
        <f t="shared" si="12"/>
        <v>7.5219490129870156E-2</v>
      </c>
      <c r="AF62" s="384"/>
      <c r="AG62" s="7"/>
      <c r="AH62" s="7">
        <f t="shared" si="13"/>
        <v>549.18594570951723</v>
      </c>
      <c r="AI62" s="7">
        <f t="shared" si="14"/>
        <v>23.279437230755779</v>
      </c>
      <c r="AJ62" s="7">
        <f t="shared" si="15"/>
        <v>212.95030486487056</v>
      </c>
      <c r="AK62" s="7">
        <f t="shared" si="16"/>
        <v>336.23564084464664</v>
      </c>
      <c r="AL62" s="7">
        <f t="shared" si="17"/>
        <v>75.219490129870152</v>
      </c>
      <c r="AM62" s="7">
        <f t="shared" si="18"/>
        <v>9.147570998130913</v>
      </c>
      <c r="AN62" s="493">
        <f t="shared" si="19"/>
        <v>14.443460875438465</v>
      </c>
      <c r="AO62" s="521">
        <f>main!R69</f>
        <v>37.340000000000003</v>
      </c>
      <c r="AP62" s="521">
        <f>main!S69</f>
        <v>8.4830000000000005</v>
      </c>
    </row>
    <row r="63" spans="1:42" s="181" customFormat="1">
      <c r="A63" s="181">
        <v>2017</v>
      </c>
      <c r="B63" s="181" t="s">
        <v>1776</v>
      </c>
      <c r="C63" s="181">
        <v>16</v>
      </c>
      <c r="D63" s="181" t="str">
        <f>main!$B$54</f>
        <v>McLane-PARFLUX-Mark78H-21 ; 10705, A250x21</v>
      </c>
      <c r="E63" s="181">
        <v>3800</v>
      </c>
      <c r="F63" s="467">
        <f>main!E70</f>
        <v>1515.7285714285715</v>
      </c>
      <c r="G63" s="468">
        <f>main!I70</f>
        <v>189.46607142857144</v>
      </c>
      <c r="H63" s="468">
        <f>main!J70</f>
        <v>69.202482589285722</v>
      </c>
      <c r="I63" s="468">
        <f>main!AF70</f>
        <v>62.701261210272605</v>
      </c>
      <c r="J63" s="468">
        <f>main!AG70</f>
        <v>7.523883216838307</v>
      </c>
      <c r="K63" s="468">
        <f>main!M70</f>
        <v>13.75196361541748</v>
      </c>
      <c r="L63" s="468">
        <f>main!O70</f>
        <v>0.80116128921508789</v>
      </c>
      <c r="M63" s="468">
        <f>main!AH70</f>
        <v>6.2280803985791735</v>
      </c>
      <c r="N63" s="468">
        <f>main!AB70</f>
        <v>7.219189339306527</v>
      </c>
      <c r="O63" s="468">
        <f>main!AC70</f>
        <v>15.443256938374125</v>
      </c>
      <c r="P63" s="471">
        <f t="shared" si="1"/>
        <v>43.390829372301461</v>
      </c>
      <c r="Q63" s="471">
        <f t="shared" si="2"/>
        <v>5.2067139731707197</v>
      </c>
      <c r="R63" s="468">
        <f t="shared" si="3"/>
        <v>9.5167002266441898</v>
      </c>
      <c r="S63" s="468">
        <f t="shared" si="4"/>
        <v>0.55442350168116827</v>
      </c>
      <c r="T63" s="468">
        <f t="shared" si="5"/>
        <v>4.3099862534734692</v>
      </c>
      <c r="U63" s="468">
        <f t="shared" si="6"/>
        <v>10.687117193997013</v>
      </c>
      <c r="V63" s="469">
        <f>main!T70</f>
        <v>43064</v>
      </c>
      <c r="W63" s="469">
        <f>main!U70</f>
        <v>43080</v>
      </c>
      <c r="X63" s="469">
        <f>main!V70</f>
        <v>43072</v>
      </c>
      <c r="Y63" s="181">
        <f>main!H70</f>
        <v>16</v>
      </c>
      <c r="Z63" s="468">
        <f t="shared" si="7"/>
        <v>4.9958582456211698</v>
      </c>
      <c r="AA63" s="468">
        <f t="shared" si="8"/>
        <v>0.79239802053656871</v>
      </c>
      <c r="AB63" s="468">
        <f t="shared" si="9"/>
        <v>3.9573411968677252E-2</v>
      </c>
      <c r="AC63" s="468">
        <f t="shared" si="10"/>
        <v>0.3588664657346769</v>
      </c>
      <c r="AD63" s="468">
        <f t="shared" si="11"/>
        <v>0.43353155480189176</v>
      </c>
      <c r="AE63" s="468">
        <f t="shared" si="12"/>
        <v>0.1778518421367451</v>
      </c>
      <c r="AF63" s="384"/>
      <c r="AG63" s="468"/>
      <c r="AH63" s="468">
        <f t="shared" si="13"/>
        <v>792.39802053656877</v>
      </c>
      <c r="AI63" s="468">
        <f t="shared" si="14"/>
        <v>39.573411968677249</v>
      </c>
      <c r="AJ63" s="468">
        <f t="shared" si="15"/>
        <v>358.86646573467692</v>
      </c>
      <c r="AK63" s="468">
        <f t="shared" si="16"/>
        <v>433.53155480189179</v>
      </c>
      <c r="AL63" s="468">
        <f t="shared" si="17"/>
        <v>177.85184213674509</v>
      </c>
      <c r="AM63" s="7">
        <f t="shared" si="18"/>
        <v>9.0683731293809924</v>
      </c>
      <c r="AN63" s="493">
        <f t="shared" si="19"/>
        <v>10.955121967876723</v>
      </c>
      <c r="AO63" s="521">
        <f>main!R70</f>
        <v>36.659999999999997</v>
      </c>
      <c r="AP63" s="521">
        <f>main!S70</f>
        <v>8.4580000000000002</v>
      </c>
    </row>
    <row r="64" spans="1:42">
      <c r="A64">
        <v>2017</v>
      </c>
      <c r="B64" t="s">
        <v>1776</v>
      </c>
      <c r="C64">
        <v>17</v>
      </c>
      <c r="D64" t="str">
        <f>main!$B$54</f>
        <v>McLane-PARFLUX-Mark78H-21 ; 10705, A250x21</v>
      </c>
      <c r="E64">
        <v>3800</v>
      </c>
      <c r="F64" s="68">
        <f>main!E71</f>
        <v>1232.757142857143</v>
      </c>
      <c r="G64" s="7">
        <f>main!I71</f>
        <v>154.09464285714287</v>
      </c>
      <c r="H64" s="7">
        <f>main!J71</f>
        <v>56.28306830357144</v>
      </c>
      <c r="I64" s="7">
        <f>main!AF71</f>
        <v>57.257432179076496</v>
      </c>
      <c r="J64" s="7">
        <f>main!AG71</f>
        <v>6.870647012453265</v>
      </c>
      <c r="K64" s="7">
        <f>main!M71</f>
        <v>14.60549259185791</v>
      </c>
      <c r="L64" s="7">
        <f>main!O71</f>
        <v>0.9976387619972229</v>
      </c>
      <c r="M64" s="7">
        <f>main!AH71</f>
        <v>7.7348455794046451</v>
      </c>
      <c r="N64" s="7">
        <f>main!AB71</f>
        <v>7.6515185159077026</v>
      </c>
      <c r="O64" s="7">
        <f>main!AC71</f>
        <v>16.36809354292965</v>
      </c>
      <c r="P64" s="7">
        <f t="shared" si="1"/>
        <v>32.226239662220713</v>
      </c>
      <c r="Q64" s="7">
        <f t="shared" si="2"/>
        <v>3.8670109509163617</v>
      </c>
      <c r="R64" s="7">
        <f t="shared" si="3"/>
        <v>8.2204193715484539</v>
      </c>
      <c r="S64" s="7">
        <f t="shared" si="4"/>
        <v>0.56150170583780146</v>
      </c>
      <c r="T64" s="7">
        <f t="shared" si="5"/>
        <v>4.3534084206320927</v>
      </c>
      <c r="U64" s="7">
        <f t="shared" si="6"/>
        <v>9.2124652687595603</v>
      </c>
      <c r="V64" s="161">
        <f>main!T71</f>
        <v>43080</v>
      </c>
      <c r="W64" s="161">
        <f>main!U71</f>
        <v>43096</v>
      </c>
      <c r="X64" s="161">
        <f>main!V71</f>
        <v>43088</v>
      </c>
      <c r="Y64">
        <f>main!H71</f>
        <v>16</v>
      </c>
      <c r="Z64" s="7">
        <f t="shared" si="7"/>
        <v>4.3065093925687483</v>
      </c>
      <c r="AA64" s="7">
        <f t="shared" si="8"/>
        <v>0.68446456049529181</v>
      </c>
      <c r="AB64" s="7">
        <f t="shared" si="9"/>
        <v>4.0078637104768125E-2</v>
      </c>
      <c r="AC64" s="7">
        <f t="shared" si="10"/>
        <v>0.36248196674705185</v>
      </c>
      <c r="AD64" s="7">
        <f t="shared" si="11"/>
        <v>0.32198259374823995</v>
      </c>
      <c r="AE64" s="7">
        <f t="shared" si="12"/>
        <v>0.15331112113096293</v>
      </c>
      <c r="AF64" s="384"/>
      <c r="AG64" s="7"/>
      <c r="AH64" s="7">
        <f t="shared" si="13"/>
        <v>684.46456049529183</v>
      </c>
      <c r="AI64" s="7">
        <f t="shared" si="14"/>
        <v>40.078637104768127</v>
      </c>
      <c r="AJ64" s="7">
        <f t="shared" si="15"/>
        <v>362.48196674705184</v>
      </c>
      <c r="AK64" s="7">
        <f t="shared" si="16"/>
        <v>321.98259374823994</v>
      </c>
      <c r="AL64" s="7">
        <f t="shared" si="17"/>
        <v>153.31112113096293</v>
      </c>
      <c r="AM64" s="7">
        <f t="shared" si="18"/>
        <v>9.0442687908648374</v>
      </c>
      <c r="AN64" s="493">
        <f t="shared" si="19"/>
        <v>8.0337710313491151</v>
      </c>
      <c r="AO64" s="521">
        <f>main!R71</f>
        <v>36.64</v>
      </c>
      <c r="AP64" s="521">
        <f>main!S71</f>
        <v>8.3999999999999986</v>
      </c>
    </row>
    <row r="65" spans="1:43">
      <c r="A65">
        <v>2017</v>
      </c>
      <c r="B65" t="s">
        <v>1776</v>
      </c>
      <c r="C65">
        <v>18</v>
      </c>
      <c r="D65" t="str">
        <f>main!$B$54</f>
        <v>McLane-PARFLUX-Mark78H-21 ; 10705, A250x21</v>
      </c>
      <c r="E65">
        <v>3800</v>
      </c>
      <c r="F65" s="68">
        <f>main!E72</f>
        <v>956.41428571428582</v>
      </c>
      <c r="G65" s="7">
        <f>main!I72</f>
        <v>119.55178571428573</v>
      </c>
      <c r="H65" s="7">
        <f>main!J72</f>
        <v>43.666289732142864</v>
      </c>
      <c r="I65" s="7">
        <f>main!AF72</f>
        <v>52.593011702261741</v>
      </c>
      <c r="J65" s="7">
        <f>main!AG72</f>
        <v>6.3109365016217263</v>
      </c>
      <c r="K65" s="7">
        <f>main!M72</f>
        <v>14.900846481323242</v>
      </c>
      <c r="L65" s="7">
        <f>main!O72</f>
        <v>1.1548150777816772</v>
      </c>
      <c r="M65" s="7">
        <f>main!AH72</f>
        <v>8.5899099797015168</v>
      </c>
      <c r="N65" s="7">
        <f>main!AB72</f>
        <v>9.0236397842971563</v>
      </c>
      <c r="O65" s="7">
        <f>main!AC72</f>
        <v>19.303329107811184</v>
      </c>
      <c r="P65" s="7">
        <f t="shared" si="1"/>
        <v>22.965416868769413</v>
      </c>
      <c r="Q65" s="7">
        <f t="shared" si="2"/>
        <v>2.755751817609704</v>
      </c>
      <c r="R65" s="7">
        <f t="shared" si="3"/>
        <v>6.5066467970764226</v>
      </c>
      <c r="S65" s="7">
        <f t="shared" si="4"/>
        <v>0.50426489773461813</v>
      </c>
      <c r="T65" s="7">
        <f t="shared" si="5"/>
        <v>3.7508949794667186</v>
      </c>
      <c r="U65" s="7">
        <f t="shared" si="6"/>
        <v>8.4290476161658994</v>
      </c>
      <c r="V65" s="161">
        <f>main!T72</f>
        <v>43096</v>
      </c>
      <c r="W65" s="161">
        <f>main!U72</f>
        <v>43112</v>
      </c>
      <c r="X65" s="161">
        <f>main!V72</f>
        <v>43104</v>
      </c>
      <c r="Y65">
        <f>main!H72</f>
        <v>16</v>
      </c>
      <c r="Z65" s="7">
        <f t="shared" si="7"/>
        <v>3.9402886925961078</v>
      </c>
      <c r="AA65" s="7">
        <f t="shared" si="8"/>
        <v>0.54176909217955227</v>
      </c>
      <c r="AB65" s="7">
        <f t="shared" si="9"/>
        <v>3.59932118297372E-2</v>
      </c>
      <c r="AC65" s="7">
        <f t="shared" si="10"/>
        <v>0.31231431968915224</v>
      </c>
      <c r="AD65" s="7">
        <f t="shared" si="11"/>
        <v>0.2294547724904</v>
      </c>
      <c r="AE65" s="7">
        <f t="shared" si="12"/>
        <v>0.140273716361556</v>
      </c>
      <c r="AF65" s="384"/>
      <c r="AG65" s="7"/>
      <c r="AH65" s="7">
        <f t="shared" si="13"/>
        <v>541.76909217955222</v>
      </c>
      <c r="AI65" s="7">
        <f t="shared" si="14"/>
        <v>35.993211829737199</v>
      </c>
      <c r="AJ65" s="7">
        <f t="shared" si="15"/>
        <v>312.31431968915223</v>
      </c>
      <c r="AK65" s="7">
        <f t="shared" si="16"/>
        <v>229.45477249039999</v>
      </c>
      <c r="AL65" s="7">
        <f t="shared" si="17"/>
        <v>140.27371636155601</v>
      </c>
      <c r="AM65" s="7">
        <f t="shared" si="18"/>
        <v>8.6770339131314067</v>
      </c>
      <c r="AN65" s="493">
        <f t="shared" si="19"/>
        <v>6.3749457418753321</v>
      </c>
      <c r="AO65" s="521">
        <f>main!R72</f>
        <v>36.840000000000003</v>
      </c>
      <c r="AP65" s="521">
        <f>main!S72</f>
        <v>8.5060000000000002</v>
      </c>
    </row>
    <row r="66" spans="1:43">
      <c r="A66">
        <v>2017</v>
      </c>
      <c r="B66" t="s">
        <v>1776</v>
      </c>
      <c r="C66">
        <v>19</v>
      </c>
      <c r="D66" t="str">
        <f>main!$B$54</f>
        <v>McLane-PARFLUX-Mark78H-21 ; 10705, A250x21</v>
      </c>
      <c r="E66">
        <v>3800</v>
      </c>
      <c r="F66" s="68">
        <f>main!E73</f>
        <v>1134</v>
      </c>
      <c r="G66" s="7">
        <f>main!I73</f>
        <v>141.75</v>
      </c>
      <c r="H66" s="7">
        <f>main!J73</f>
        <v>51.774187500000004</v>
      </c>
      <c r="I66" s="7">
        <f>main!AF73</f>
        <v>57.917395593542253</v>
      </c>
      <c r="J66" s="7">
        <f>main!AG73</f>
        <v>6.9498397999982267</v>
      </c>
      <c r="K66" s="7">
        <f>main!M73</f>
        <v>14.323931694030762</v>
      </c>
      <c r="L66" s="7">
        <f>main!O73</f>
        <v>1.015917181968689</v>
      </c>
      <c r="M66" s="7">
        <f>main!AH73</f>
        <v>7.3740918940325351</v>
      </c>
      <c r="N66" s="7">
        <f>main!AB73</f>
        <v>8.5199900984893606</v>
      </c>
      <c r="O66" s="7">
        <f>main!AC73</f>
        <v>18.225923994952854</v>
      </c>
      <c r="P66" s="7">
        <f t="shared" si="1"/>
        <v>29.986260989717305</v>
      </c>
      <c r="Q66" s="7">
        <f t="shared" si="2"/>
        <v>3.5982230890007072</v>
      </c>
      <c r="R66" s="7">
        <f t="shared" si="3"/>
        <v>7.4160992526394134</v>
      </c>
      <c r="S66" s="7">
        <f t="shared" si="4"/>
        <v>0.52598286663718519</v>
      </c>
      <c r="T66" s="7">
        <f t="shared" si="5"/>
        <v>3.8178761636387062</v>
      </c>
      <c r="U66" s="7">
        <f t="shared" si="6"/>
        <v>9.4363240627543821</v>
      </c>
      <c r="V66" s="161">
        <f>main!T73</f>
        <v>43112</v>
      </c>
      <c r="W66" s="161">
        <f>main!U73</f>
        <v>43128</v>
      </c>
      <c r="X66" s="161">
        <f>main!V73</f>
        <v>43120</v>
      </c>
      <c r="Y66">
        <f>main!H73</f>
        <v>16</v>
      </c>
      <c r="Z66" s="7">
        <f t="shared" si="7"/>
        <v>4.4111556485733168</v>
      </c>
      <c r="AA66" s="7">
        <f t="shared" si="8"/>
        <v>0.61749369297580459</v>
      </c>
      <c r="AB66" s="7">
        <f t="shared" si="9"/>
        <v>3.7543388054046049E-2</v>
      </c>
      <c r="AC66" s="7">
        <f t="shared" si="10"/>
        <v>0.3178914374386933</v>
      </c>
      <c r="AD66" s="7">
        <f t="shared" si="11"/>
        <v>0.29960225553711134</v>
      </c>
      <c r="AE66" s="7">
        <f t="shared" si="12"/>
        <v>0.15703651294315832</v>
      </c>
      <c r="AF66" s="384"/>
      <c r="AG66" s="7"/>
      <c r="AH66" s="7">
        <f t="shared" si="13"/>
        <v>617.49369297580461</v>
      </c>
      <c r="AI66" s="7">
        <f t="shared" si="14"/>
        <v>37.543388054046048</v>
      </c>
      <c r="AJ66" s="7">
        <f t="shared" si="15"/>
        <v>317.89143743869329</v>
      </c>
      <c r="AK66" s="7">
        <f t="shared" si="16"/>
        <v>299.60225553711132</v>
      </c>
      <c r="AL66" s="7">
        <f t="shared" si="17"/>
        <v>157.03651294315833</v>
      </c>
      <c r="AM66" s="7">
        <f t="shared" si="18"/>
        <v>8.4673081976796745</v>
      </c>
      <c r="AN66" s="493">
        <f t="shared" si="19"/>
        <v>7.9801603175988056</v>
      </c>
      <c r="AO66" s="521">
        <f>main!R73</f>
        <v>35.869999999999997</v>
      </c>
      <c r="AP66" s="521">
        <f>main!S73</f>
        <v>8.4870000000000001</v>
      </c>
    </row>
    <row r="67" spans="1:43" s="181" customFormat="1">
      <c r="A67" s="181">
        <v>2017</v>
      </c>
      <c r="B67" s="181" t="s">
        <v>1776</v>
      </c>
      <c r="C67" s="181">
        <v>20</v>
      </c>
      <c r="D67" s="181" t="str">
        <f>main!$B$54</f>
        <v>McLane-PARFLUX-Mark78H-21 ; 10705, A250x21</v>
      </c>
      <c r="E67" s="181">
        <v>3800</v>
      </c>
      <c r="F67" s="467">
        <f>main!E74</f>
        <v>2021.5714285714284</v>
      </c>
      <c r="G67" s="468">
        <f>main!I74</f>
        <v>252.69642857142856</v>
      </c>
      <c r="H67" s="468">
        <f>main!J74</f>
        <v>92.297370535714279</v>
      </c>
      <c r="I67" s="468">
        <f>main!AF74</f>
        <v>63.649707192043287</v>
      </c>
      <c r="J67" s="468">
        <f>main!AG74</f>
        <v>7.6376926788264985</v>
      </c>
      <c r="K67" s="468">
        <f>main!M74</f>
        <v>14.189774990081787</v>
      </c>
      <c r="L67" s="468">
        <f>main!O74</f>
        <v>0.92484325170516968</v>
      </c>
      <c r="M67" s="468">
        <f>main!AH74</f>
        <v>6.5520823112552886</v>
      </c>
      <c r="N67" s="468">
        <f>main!AB74</f>
        <v>6.751974461787106</v>
      </c>
      <c r="O67" s="468">
        <f>main!AC74</f>
        <v>14.443793001380818</v>
      </c>
      <c r="P67" s="471">
        <f t="shared" si="1"/>
        <v>58.747006091937379</v>
      </c>
      <c r="Q67" s="471">
        <f t="shared" si="2"/>
        <v>7.0493895121556145</v>
      </c>
      <c r="R67" s="471">
        <f t="shared" si="3"/>
        <v>13.096789200779902</v>
      </c>
      <c r="S67" s="471">
        <f t="shared" si="4"/>
        <v>0.85360600290086919</v>
      </c>
      <c r="T67" s="471">
        <f t="shared" si="5"/>
        <v>6.047399688624286</v>
      </c>
      <c r="U67" s="471">
        <f t="shared" si="6"/>
        <v>13.331241145896021</v>
      </c>
      <c r="V67" s="469">
        <f>main!T74</f>
        <v>43128</v>
      </c>
      <c r="W67" s="469">
        <f>main!U74</f>
        <v>43144</v>
      </c>
      <c r="X67" s="469">
        <f>main!V74</f>
        <v>43136</v>
      </c>
      <c r="Y67" s="181">
        <f>main!H74</f>
        <v>16</v>
      </c>
      <c r="Z67" s="468">
        <f t="shared" si="7"/>
        <v>6.2318948874724454</v>
      </c>
      <c r="AA67" s="468">
        <f t="shared" si="8"/>
        <v>1.0904903580999086</v>
      </c>
      <c r="AB67" s="468">
        <f t="shared" si="9"/>
        <v>6.0928337109269752E-2</v>
      </c>
      <c r="AC67" s="468">
        <f t="shared" si="10"/>
        <v>0.50353036541417873</v>
      </c>
      <c r="AD67" s="468">
        <f t="shared" si="11"/>
        <v>0.58695999268572974</v>
      </c>
      <c r="AE67" s="468">
        <f t="shared" si="12"/>
        <v>0.22185457057573676</v>
      </c>
      <c r="AF67" s="384"/>
      <c r="AG67" s="468"/>
      <c r="AH67" s="468">
        <f t="shared" si="13"/>
        <v>1090.4903580999085</v>
      </c>
      <c r="AI67" s="468">
        <f t="shared" si="14"/>
        <v>60.928337109269755</v>
      </c>
      <c r="AJ67" s="468">
        <f t="shared" si="15"/>
        <v>503.53036541417873</v>
      </c>
      <c r="AK67" s="468">
        <f t="shared" si="16"/>
        <v>586.95999268572973</v>
      </c>
      <c r="AL67" s="468">
        <f t="shared" si="17"/>
        <v>221.85457057573677</v>
      </c>
      <c r="AM67" s="7">
        <f t="shared" si="18"/>
        <v>8.2643050722218163</v>
      </c>
      <c r="AN67" s="493">
        <f t="shared" si="19"/>
        <v>9.6336125444071659</v>
      </c>
      <c r="AO67" s="521">
        <f>main!R74</f>
        <v>35.520000000000003</v>
      </c>
      <c r="AP67" s="521">
        <f>main!S74</f>
        <v>8.3670000000000009</v>
      </c>
    </row>
    <row r="68" spans="1:43" s="478" customFormat="1">
      <c r="A68" s="478">
        <v>2017</v>
      </c>
      <c r="B68" s="478" t="s">
        <v>1776</v>
      </c>
      <c r="C68" s="478">
        <v>21</v>
      </c>
      <c r="D68" s="478" t="str">
        <f>main!$B$54</f>
        <v>McLane-PARFLUX-Mark78H-21 ; 10705, A250x21</v>
      </c>
      <c r="E68" s="478">
        <v>3800</v>
      </c>
      <c r="F68" s="479">
        <f>main!E75</f>
        <v>592.28571428571433</v>
      </c>
      <c r="G68" s="480">
        <f>main!I75</f>
        <v>74.035714285714292</v>
      </c>
      <c r="H68" s="480">
        <f>main!J75</f>
        <v>27.041544642857147</v>
      </c>
      <c r="I68" s="480">
        <f>main!AF75</f>
        <v>69.230815392121485</v>
      </c>
      <c r="J68" s="480">
        <f>main!AG75</f>
        <v>8.3074017964326909</v>
      </c>
      <c r="K68" s="480">
        <f>main!M75</f>
        <v>12.772136688232422</v>
      </c>
      <c r="L68" s="480">
        <f>main!O75</f>
        <v>0.62740534543991089</v>
      </c>
      <c r="M68" s="480">
        <f>main!AH75</f>
        <v>4.4647348917997309</v>
      </c>
      <c r="N68" s="480">
        <f>main!AB75</f>
        <v>5.9307156115078881</v>
      </c>
      <c r="O68" s="480">
        <f>main!AC75</f>
        <v>12.686959811160875</v>
      </c>
      <c r="P68" s="480">
        <f t="shared" si="1"/>
        <v>18.721081850874548</v>
      </c>
      <c r="Q68" s="480">
        <f t="shared" si="2"/>
        <v>2.2464497654438627</v>
      </c>
      <c r="R68" s="480">
        <f t="shared" si="3"/>
        <v>3.4537830443951067</v>
      </c>
      <c r="S68" s="480">
        <f t="shared" si="4"/>
        <v>0.1696600965788056</v>
      </c>
      <c r="T68" s="480">
        <f t="shared" si="5"/>
        <v>1.2073332789512439</v>
      </c>
      <c r="U68" s="480">
        <f t="shared" si="6"/>
        <v>3.4307499011564127</v>
      </c>
      <c r="V68" s="481">
        <f>main!T75</f>
        <v>43144</v>
      </c>
      <c r="W68" s="481">
        <f>main!U75</f>
        <v>43160</v>
      </c>
      <c r="X68" s="481">
        <f>main!V75</f>
        <v>43152</v>
      </c>
      <c r="Y68" s="478">
        <f>main!H75</f>
        <v>16</v>
      </c>
      <c r="Z68" s="480">
        <f t="shared" si="7"/>
        <v>1.603757109726804</v>
      </c>
      <c r="AA68" s="480">
        <f t="shared" si="8"/>
        <v>0.28757560736012544</v>
      </c>
      <c r="AB68" s="480">
        <f t="shared" si="9"/>
        <v>1.2109928378215959E-2</v>
      </c>
      <c r="AC68" s="480">
        <f t="shared" si="10"/>
        <v>0.10052733380110274</v>
      </c>
      <c r="AD68" s="480">
        <f t="shared" si="11"/>
        <v>0.1870482735590227</v>
      </c>
      <c r="AE68" s="480">
        <f t="shared" si="12"/>
        <v>5.7093524732175292E-2</v>
      </c>
      <c r="AF68" s="480"/>
      <c r="AG68" s="480"/>
      <c r="AH68" s="480">
        <f t="shared" si="13"/>
        <v>287.57560736012545</v>
      </c>
      <c r="AI68" s="480">
        <f t="shared" si="14"/>
        <v>12.10992837821596</v>
      </c>
      <c r="AJ68" s="480">
        <f t="shared" si="15"/>
        <v>100.52733380110274</v>
      </c>
      <c r="AK68" s="480">
        <f t="shared" si="16"/>
        <v>187.0482735590227</v>
      </c>
      <c r="AL68" s="480">
        <f t="shared" si="17"/>
        <v>57.09352473217529</v>
      </c>
      <c r="AM68" s="7">
        <f t="shared" si="18"/>
        <v>8.3012327291660224</v>
      </c>
      <c r="AN68" s="493">
        <f t="shared" si="19"/>
        <v>15.445861256743349</v>
      </c>
      <c r="AO68" s="521">
        <f>main!R75</f>
        <v>36.97</v>
      </c>
      <c r="AP68" s="521">
        <f>main!S75</f>
        <v>8.5549999999999997</v>
      </c>
    </row>
    <row r="69" spans="1:43" s="558" customFormat="1">
      <c r="H69" s="559">
        <f>main!J76</f>
        <v>20</v>
      </c>
      <c r="I69" s="561">
        <f>main!AF76</f>
        <v>0.37827359132425836</v>
      </c>
      <c r="J69" s="561">
        <f>main!AG76</f>
        <v>4.5391213353639118E-2</v>
      </c>
      <c r="K69" s="558">
        <v>1.4999999999999999E-2</v>
      </c>
      <c r="L69" s="560">
        <f>main!O76</f>
        <v>2.5000000000000001E-3</v>
      </c>
      <c r="N69" s="558">
        <v>0.128</v>
      </c>
      <c r="O69" s="575">
        <f>'BSi_results and calculations'!M85</f>
        <v>0.2739110369819483</v>
      </c>
      <c r="P69" s="561">
        <f t="shared" si="1"/>
        <v>7.5654718264851678E-2</v>
      </c>
      <c r="Q69" s="561">
        <f t="shared" si="2"/>
        <v>9.0782426707278242E-3</v>
      </c>
      <c r="R69" s="562">
        <f t="shared" si="3"/>
        <v>2.9999999999999996E-3</v>
      </c>
      <c r="S69" s="559">
        <f t="shared" si="4"/>
        <v>5.0000000000000001E-4</v>
      </c>
      <c r="U69" s="561">
        <f t="shared" si="6"/>
        <v>5.4782207396389664E-2</v>
      </c>
      <c r="Z69" s="561">
        <f t="shared" si="7"/>
        <v>2.5600000000000001E-2</v>
      </c>
      <c r="AA69" s="563">
        <f t="shared" si="8"/>
        <v>2.4979184013322229E-4</v>
      </c>
      <c r="AB69" s="559">
        <f t="shared" si="9"/>
        <v>3.5688793718772308E-5</v>
      </c>
      <c r="AD69" s="562">
        <f t="shared" si="11"/>
        <v>7.5589031396568066E-4</v>
      </c>
      <c r="AE69" s="562">
        <f t="shared" si="12"/>
        <v>9.1135635457458171E-4</v>
      </c>
      <c r="AH69" s="561">
        <f t="shared" si="13"/>
        <v>0.24979184013322228</v>
      </c>
      <c r="AI69" s="559">
        <f t="shared" si="14"/>
        <v>3.5688793718772309E-2</v>
      </c>
      <c r="AJ69" s="558">
        <f>SQRT(AH69^2+AK69^2)</f>
        <v>0.79609429726903369</v>
      </c>
      <c r="AK69" s="561">
        <f t="shared" si="16"/>
        <v>0.75589031396568063</v>
      </c>
      <c r="AL69" s="561">
        <f t="shared" si="17"/>
        <v>0.91135635457458175</v>
      </c>
      <c r="AM69" s="558">
        <f t="shared" si="18"/>
        <v>22.306562209478322</v>
      </c>
      <c r="AQ69" s="558" t="s">
        <v>2814</v>
      </c>
    </row>
    <row r="70" spans="1:43">
      <c r="A70" t="s">
        <v>2672</v>
      </c>
      <c r="G70" s="7">
        <f t="shared" ref="G70:N70" si="20">AVERAGE(G6:G68)</f>
        <v>77.996279761904759</v>
      </c>
      <c r="H70" s="7">
        <f t="shared" si="20"/>
        <v>28.488141183035708</v>
      </c>
      <c r="I70" s="7">
        <f t="shared" si="20"/>
        <v>66.008574406134144</v>
      </c>
      <c r="J70" s="7">
        <f t="shared" si="20"/>
        <v>7.9207466573314891</v>
      </c>
      <c r="K70" s="7">
        <f t="shared" si="20"/>
        <v>15.628118325793555</v>
      </c>
      <c r="L70" s="7">
        <f t="shared" si="20"/>
        <v>1.1098550879766071</v>
      </c>
      <c r="M70" s="7">
        <f t="shared" si="20"/>
        <v>7.7073716684620637</v>
      </c>
      <c r="N70" s="7">
        <f t="shared" si="20"/>
        <v>4.2352187784939606</v>
      </c>
      <c r="P70" s="7">
        <f t="shared" ref="P70:U70" si="21">AVERAGE(P6:P68)</f>
        <v>17.98009842988872</v>
      </c>
      <c r="Q70" s="7">
        <f t="shared" si="21"/>
        <v>2.1575349235810433</v>
      </c>
      <c r="R70" s="7">
        <f t="shared" si="21"/>
        <v>4.3413740978094104</v>
      </c>
      <c r="S70" s="7">
        <f t="shared" si="21"/>
        <v>0.30930881485017137</v>
      </c>
      <c r="T70" s="7">
        <f t="shared" si="21"/>
        <v>2.183839174228368</v>
      </c>
      <c r="U70" s="7">
        <f t="shared" si="21"/>
        <v>3.3498457860248414</v>
      </c>
      <c r="AB70" s="7">
        <f>AVERAGE(AB6:AB68)</f>
        <v>2.2077716977171393E-2</v>
      </c>
      <c r="AC70" s="7">
        <f>AVERAGE(AC6:AC68)</f>
        <v>0.18183506862850685</v>
      </c>
      <c r="AD70" s="7">
        <f>AVERAGE(AD6:AD68)</f>
        <v>0.17964487290433337</v>
      </c>
      <c r="AE70" s="7">
        <f>AVERAGE(AE6:AE68)</f>
        <v>5.574714238683378E-2</v>
      </c>
    </row>
    <row r="71" spans="1:43">
      <c r="A71" t="s">
        <v>2673</v>
      </c>
      <c r="G71" s="7">
        <f t="shared" ref="G71:N71" si="22">STDEVP(G6:G68)</f>
        <v>56.046705696720686</v>
      </c>
      <c r="H71" s="7">
        <f t="shared" si="22"/>
        <v>20.471059255727234</v>
      </c>
      <c r="I71" s="7">
        <f t="shared" si="22"/>
        <v>10.530646960108161</v>
      </c>
      <c r="J71" s="7">
        <f t="shared" si="22"/>
        <v>1.2636326031768328</v>
      </c>
      <c r="K71" s="7">
        <f t="shared" si="22"/>
        <v>2.0432483239573349</v>
      </c>
      <c r="L71" s="7">
        <f t="shared" si="22"/>
        <v>0.43827447131430053</v>
      </c>
      <c r="M71" s="7">
        <f t="shared" si="22"/>
        <v>2.9536951173635906</v>
      </c>
      <c r="N71" s="7">
        <f t="shared" si="22"/>
        <v>2.4064323522043045</v>
      </c>
      <c r="P71" s="7">
        <f t="shared" ref="P71:U71" si="23">STDEVP(P6:P68)</f>
        <v>12.131923562639564</v>
      </c>
      <c r="Q71" s="7">
        <f t="shared" si="23"/>
        <v>1.4557789479672285</v>
      </c>
      <c r="R71" s="7">
        <f t="shared" si="23"/>
        <v>3.0225133671309226</v>
      </c>
      <c r="S71" s="7">
        <f t="shared" si="23"/>
        <v>0.23653068693260756</v>
      </c>
      <c r="T71" s="7">
        <f t="shared" si="23"/>
        <v>1.7166648377905565</v>
      </c>
      <c r="U71" s="7">
        <f t="shared" si="23"/>
        <v>3.8256073742877206</v>
      </c>
      <c r="AB71" s="7">
        <f>STDEVP(AB6:AB68)</f>
        <v>1.6882989788194695E-2</v>
      </c>
      <c r="AC71" s="7">
        <f>STDEVP(AC6:AC68)</f>
        <v>0.14293628957456764</v>
      </c>
      <c r="AD71" s="7">
        <f>STDEVP(AD6:AD68)</f>
        <v>0.12121390074664676</v>
      </c>
      <c r="AE71" s="7">
        <f>STDEVP(AE6:AE68)</f>
        <v>6.3664625965846572E-2</v>
      </c>
    </row>
    <row r="72" spans="1:43">
      <c r="A72" t="s">
        <v>2674</v>
      </c>
      <c r="G72" s="7">
        <f t="shared" ref="G72:N72" si="24">G71*1.96</f>
        <v>109.85154316557254</v>
      </c>
      <c r="H72" s="7">
        <f t="shared" si="24"/>
        <v>40.123276141225375</v>
      </c>
      <c r="I72" s="7">
        <f t="shared" si="24"/>
        <v>20.640068041811993</v>
      </c>
      <c r="J72" s="7">
        <f t="shared" si="24"/>
        <v>2.4767199022265922</v>
      </c>
      <c r="K72" s="7">
        <f t="shared" si="24"/>
        <v>4.0047667149563759</v>
      </c>
      <c r="L72" s="7">
        <f t="shared" si="24"/>
        <v>0.85901796377602901</v>
      </c>
      <c r="M72" s="7">
        <f t="shared" si="24"/>
        <v>5.7892424300326377</v>
      </c>
      <c r="N72" s="7">
        <f t="shared" si="24"/>
        <v>4.716607410320437</v>
      </c>
      <c r="P72" s="7">
        <f t="shared" ref="P72:U72" si="25">P71*1.96</f>
        <v>23.778570182773546</v>
      </c>
      <c r="Q72" s="7">
        <f t="shared" si="25"/>
        <v>2.8533267380157676</v>
      </c>
      <c r="R72" s="7">
        <f t="shared" si="25"/>
        <v>5.9241261995766079</v>
      </c>
      <c r="S72" s="7">
        <f t="shared" si="25"/>
        <v>0.46360014638791081</v>
      </c>
      <c r="T72" s="7">
        <f t="shared" si="25"/>
        <v>3.3646630820694905</v>
      </c>
      <c r="U72" s="7">
        <f t="shared" si="25"/>
        <v>7.4981904536039323</v>
      </c>
      <c r="AB72" s="7">
        <f>AB71*1.96</f>
        <v>3.3090659984861603E-2</v>
      </c>
      <c r="AC72" s="7">
        <f>AC71*1.96</f>
        <v>0.28015512756615257</v>
      </c>
      <c r="AD72" s="7">
        <f>AD71*1.96</f>
        <v>0.23757924546342765</v>
      </c>
      <c r="AE72" s="7">
        <f>AE71*1.96</f>
        <v>0.12478266689305928</v>
      </c>
    </row>
    <row r="73" spans="1:43">
      <c r="G73" s="7">
        <f t="shared" ref="G73:N73" si="26">G70+G72</f>
        <v>187.8478229274773</v>
      </c>
      <c r="H73" s="7">
        <f t="shared" si="26"/>
        <v>68.611417324261083</v>
      </c>
      <c r="I73" s="7">
        <f t="shared" si="26"/>
        <v>86.648642447946145</v>
      </c>
      <c r="J73" s="7">
        <f t="shared" si="26"/>
        <v>10.397466559558081</v>
      </c>
      <c r="K73" s="7">
        <f t="shared" si="26"/>
        <v>19.63288504074993</v>
      </c>
      <c r="L73" s="7">
        <f t="shared" si="26"/>
        <v>1.9688730517526363</v>
      </c>
      <c r="M73" s="7">
        <f t="shared" si="26"/>
        <v>13.496614098494701</v>
      </c>
      <c r="N73" s="7">
        <f t="shared" si="26"/>
        <v>8.9518261888143975</v>
      </c>
      <c r="P73" s="7">
        <f t="shared" ref="P73:U73" si="27">P70+P72</f>
        <v>41.758668612662262</v>
      </c>
      <c r="Q73" s="7">
        <f t="shared" si="27"/>
        <v>5.0108616615968113</v>
      </c>
      <c r="R73" s="7">
        <f t="shared" si="27"/>
        <v>10.265500297386019</v>
      </c>
      <c r="S73" s="7">
        <f t="shared" si="27"/>
        <v>0.77290896123808217</v>
      </c>
      <c r="T73" s="7">
        <f t="shared" si="27"/>
        <v>5.5485022562978585</v>
      </c>
      <c r="U73" s="7">
        <f t="shared" si="27"/>
        <v>10.848036239628774</v>
      </c>
      <c r="AB73" s="7">
        <f>AB70+AB72</f>
        <v>5.5168376962033E-2</v>
      </c>
      <c r="AC73" s="7">
        <f>AC70+AC72</f>
        <v>0.46199019619465942</v>
      </c>
      <c r="AD73" s="7">
        <f>AD70+AD72</f>
        <v>0.41722411836776102</v>
      </c>
      <c r="AE73" s="7">
        <f>AE70+AE72</f>
        <v>0.18052980927989307</v>
      </c>
    </row>
    <row r="74" spans="1:43">
      <c r="A74" t="s">
        <v>2100</v>
      </c>
      <c r="M74" s="71">
        <f>M76/L76</f>
        <v>8.1018988069866538</v>
      </c>
      <c r="AC74" t="s">
        <v>2100</v>
      </c>
      <c r="AD74" t="s">
        <v>2675</v>
      </c>
      <c r="AE74" t="s">
        <v>2676</v>
      </c>
    </row>
    <row r="75" spans="1:43">
      <c r="A75" t="s">
        <v>2675</v>
      </c>
      <c r="M75" s="7">
        <f>M76/J76</f>
        <v>0.97306125317467085</v>
      </c>
      <c r="R75" s="7"/>
      <c r="T75" s="7"/>
      <c r="AC75" s="7">
        <f>AC70/AB70</f>
        <v>8.2361355033460359</v>
      </c>
      <c r="AD75" s="7">
        <f>AC70/AD70</f>
        <v>1.0121918075855125</v>
      </c>
      <c r="AE75" s="7">
        <f>AC70/AE70</f>
        <v>3.2617827720520469</v>
      </c>
    </row>
    <row r="76" spans="1:43">
      <c r="A76" t="s">
        <v>2683</v>
      </c>
      <c r="J76" s="68">
        <f>1000*((G70*J70)/100)/12</f>
        <v>514.82397684033231</v>
      </c>
      <c r="K76" s="68">
        <f>1000*(($G$70*K70)/100)/12</f>
        <v>1015.7792409089539</v>
      </c>
      <c r="L76" s="68">
        <f>1000*(($G$70*L70)/100)/14</f>
        <v>61.831834240712048</v>
      </c>
      <c r="M76" s="68">
        <f>1000*(($G$70*M70)/100)/12</f>
        <v>500.95526406862149</v>
      </c>
      <c r="N76" s="68">
        <f>1000*(($G$70*N70)/100)/28</f>
        <v>117.97546739295981</v>
      </c>
    </row>
    <row r="77" spans="1:43">
      <c r="I77" s="464" t="s">
        <v>2689</v>
      </c>
    </row>
    <row r="78" spans="1:43" s="105" customFormat="1">
      <c r="A78" s="105" t="s">
        <v>2684</v>
      </c>
      <c r="G78" s="489">
        <f>AVERAGE(G6:G26)</f>
        <v>57.494281462585022</v>
      </c>
      <c r="H78" s="490">
        <v>65</v>
      </c>
      <c r="I78" s="491">
        <f>$H$82/H78*100</f>
        <v>2.9230769230769229</v>
      </c>
      <c r="AM78" s="489">
        <f>AVERAGE(AM6:AM26)</f>
        <v>8.0197752800865256</v>
      </c>
    </row>
    <row r="79" spans="1:43">
      <c r="A79" s="465" t="s">
        <v>2685</v>
      </c>
      <c r="G79" s="7">
        <f>AVERAGE(G27:G47)</f>
        <v>87.677465986394537</v>
      </c>
      <c r="H79" s="483">
        <v>109</v>
      </c>
      <c r="I79" s="484">
        <f t="shared" ref="I79:I80" si="28">$H$82/H79*100</f>
        <v>1.7431192660550456</v>
      </c>
      <c r="AM79" s="7">
        <f>AVERAGE(AM27:AM47)</f>
        <v>8.1161657745939095</v>
      </c>
    </row>
    <row r="80" spans="1:43">
      <c r="A80" s="465" t="s">
        <v>2686</v>
      </c>
      <c r="G80" s="7">
        <f>AVERAGE(G48:G68)</f>
        <v>88.81709183673469</v>
      </c>
      <c r="H80" s="483">
        <v>78</v>
      </c>
      <c r="I80" s="484">
        <f t="shared" si="28"/>
        <v>2.4358974358974361</v>
      </c>
      <c r="AM80" s="7">
        <f>AVERAGE(AM48:AM68)</f>
        <v>8.382145915494748</v>
      </c>
    </row>
    <row r="81" spans="1:9">
      <c r="H81" s="485" t="s">
        <v>2687</v>
      </c>
      <c r="I81" s="486"/>
    </row>
    <row r="82" spans="1:9">
      <c r="A82" t="s">
        <v>2688</v>
      </c>
      <c r="H82" s="487">
        <v>1.9</v>
      </c>
      <c r="I82" s="488">
        <f>H82/AVERAGE(G78:G80)*100</f>
        <v>2.4360136224445998</v>
      </c>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76B85-09A5-4EAE-9DAC-1E16C67B6B3F}">
  <sheetPr>
    <tabColor rgb="FF99FF99"/>
  </sheetPr>
  <dimension ref="A1:BD82"/>
  <sheetViews>
    <sheetView topLeftCell="C1" zoomScale="75" zoomScaleNormal="75" workbookViewId="0">
      <pane ySplit="5" topLeftCell="A6" activePane="bottomLeft" state="frozen"/>
      <selection pane="bottomLeft" activeCell="BD6" sqref="BD6:BD68"/>
    </sheetView>
  </sheetViews>
  <sheetFormatPr defaultColWidth="8.83203125" defaultRowHeight="15.5"/>
  <cols>
    <col min="1" max="1" width="10.83203125" style="623" bestFit="1" customWidth="1"/>
    <col min="2" max="2" width="7.6640625" style="623" bestFit="1" customWidth="1"/>
    <col min="3" max="3" width="4" style="623" bestFit="1" customWidth="1"/>
    <col min="4" max="4" width="31" style="623" bestFit="1" customWidth="1"/>
    <col min="5" max="5" width="7.5" style="623" bestFit="1" customWidth="1"/>
    <col min="6" max="6" width="7.5" style="634" customWidth="1"/>
    <col min="7" max="7" width="8.5" style="623" bestFit="1" customWidth="1"/>
    <col min="8" max="8" width="10.33203125" style="623" bestFit="1" customWidth="1"/>
    <col min="9" max="9" width="7.5" style="623" bestFit="1" customWidth="1"/>
    <col min="10" max="10" width="4.33203125" style="623" bestFit="1" customWidth="1"/>
    <col min="11" max="12" width="9.6640625" style="623" bestFit="1" customWidth="1"/>
    <col min="13" max="13" width="4.33203125" style="133" customWidth="1"/>
    <col min="14" max="14" width="9.6640625" style="623" bestFit="1" customWidth="1"/>
    <col min="15" max="15" width="4.33203125" style="133" bestFit="1" customWidth="1"/>
    <col min="16" max="16" width="9.6640625" style="623" bestFit="1" customWidth="1"/>
    <col min="17" max="17" width="4.33203125" style="623" bestFit="1" customWidth="1"/>
    <col min="18" max="18" width="9.6640625" style="623" bestFit="1" customWidth="1"/>
    <col min="19" max="19" width="4.33203125" style="133" bestFit="1" customWidth="1"/>
    <col min="20" max="20" width="9.6640625" style="623" bestFit="1" customWidth="1"/>
    <col min="21" max="21" width="4.33203125" style="623" bestFit="1" customWidth="1"/>
    <col min="22" max="22" width="9.6640625" style="623" bestFit="1" customWidth="1"/>
    <col min="23" max="28" width="8.1640625" style="623" bestFit="1" customWidth="1"/>
    <col min="29" max="30" width="10.1640625" style="623" bestFit="1" customWidth="1"/>
    <col min="31" max="31" width="21.5" style="623" bestFit="1" customWidth="1"/>
    <col min="32" max="32" width="9.5" style="623" bestFit="1" customWidth="1"/>
    <col min="33" max="33" width="8.1640625" style="623" bestFit="1" customWidth="1"/>
    <col min="34" max="34" width="68.83203125" style="623" bestFit="1" customWidth="1"/>
    <col min="35" max="35" width="66.5" style="623" bestFit="1" customWidth="1"/>
    <col min="36" max="36" width="71" style="623" bestFit="1" customWidth="1"/>
    <col min="37" max="37" width="72.5" style="623" bestFit="1" customWidth="1"/>
    <col min="38" max="38" width="69.5" style="623" bestFit="1" customWidth="1"/>
    <col min="39" max="39" width="5.5" style="377" bestFit="1" customWidth="1"/>
    <col min="40" max="40" width="5.33203125" style="623" customWidth="1"/>
    <col min="41" max="41" width="68.83203125" style="623" bestFit="1" customWidth="1"/>
    <col min="42" max="42" width="4.33203125" style="623" bestFit="1" customWidth="1"/>
    <col min="43" max="43" width="66.5" style="623" bestFit="1" customWidth="1"/>
    <col min="44" max="44" width="4.33203125" style="623" bestFit="1" customWidth="1"/>
    <col min="45" max="45" width="71" style="623" bestFit="1" customWidth="1"/>
    <col min="46" max="46" width="4.33203125" style="623" bestFit="1" customWidth="1"/>
    <col min="47" max="47" width="72.5" style="623" bestFit="1" customWidth="1"/>
    <col min="48" max="48" width="4.33203125" style="623" bestFit="1" customWidth="1"/>
    <col min="49" max="49" width="69.5" style="623" bestFit="1" customWidth="1"/>
    <col min="50" max="50" width="4.33203125" style="623" bestFit="1" customWidth="1"/>
    <col min="51" max="51" width="7.33203125" style="623" bestFit="1" customWidth="1"/>
    <col min="52" max="52" width="6.33203125" style="623" bestFit="1" customWidth="1"/>
    <col min="53" max="53" width="6.6640625" style="623" bestFit="1" customWidth="1"/>
    <col min="54" max="54" width="7.1640625" style="623" bestFit="1" customWidth="1"/>
    <col min="55" max="55" width="7.6640625" style="623" bestFit="1" customWidth="1"/>
    <col min="56" max="56" width="5.83203125" style="623" bestFit="1" customWidth="1"/>
    <col min="57" max="16384" width="8.83203125" style="623"/>
  </cols>
  <sheetData>
    <row r="1" spans="1:56" s="377" customFormat="1">
      <c r="A1" s="377" t="s">
        <v>2171</v>
      </c>
      <c r="B1" s="377" t="s">
        <v>1628</v>
      </c>
      <c r="C1" s="377" t="s">
        <v>1629</v>
      </c>
      <c r="D1" s="377" t="s">
        <v>67</v>
      </c>
      <c r="E1" s="377" t="s">
        <v>1638</v>
      </c>
      <c r="F1" s="377" t="s">
        <v>2846</v>
      </c>
      <c r="G1" s="377" t="s">
        <v>2172</v>
      </c>
      <c r="H1" s="377" t="s">
        <v>2173</v>
      </c>
      <c r="I1" s="377" t="s">
        <v>2173</v>
      </c>
      <c r="J1" s="377" t="s">
        <v>2556</v>
      </c>
      <c r="K1" s="377" t="s">
        <v>2095</v>
      </c>
      <c r="L1" s="377" t="s">
        <v>2096</v>
      </c>
      <c r="M1" s="133" t="s">
        <v>2834</v>
      </c>
      <c r="N1" s="377" t="s">
        <v>2107</v>
      </c>
      <c r="O1" s="133" t="s">
        <v>2835</v>
      </c>
      <c r="P1" s="377" t="s">
        <v>2108</v>
      </c>
      <c r="Q1" s="377" t="s">
        <v>2836</v>
      </c>
      <c r="R1" s="377" t="s">
        <v>2097</v>
      </c>
      <c r="S1" s="133" t="s">
        <v>2837</v>
      </c>
      <c r="T1" s="377" t="s">
        <v>2112</v>
      </c>
      <c r="U1" s="377" t="s">
        <v>2838</v>
      </c>
      <c r="V1" s="377" t="s">
        <v>2113</v>
      </c>
      <c r="W1" s="377" t="s">
        <v>2095</v>
      </c>
      <c r="X1" s="377" t="s">
        <v>2096</v>
      </c>
      <c r="Y1" s="377" t="s">
        <v>2107</v>
      </c>
      <c r="Z1" s="377" t="s">
        <v>2108</v>
      </c>
      <c r="AA1" s="377" t="s">
        <v>2097</v>
      </c>
      <c r="AB1" s="377" t="s">
        <v>2113</v>
      </c>
      <c r="AC1" s="462" t="s">
        <v>2083</v>
      </c>
      <c r="AD1" s="462" t="s">
        <v>2083</v>
      </c>
      <c r="AE1" s="462" t="s">
        <v>2083</v>
      </c>
      <c r="AF1" s="377" t="s">
        <v>2083</v>
      </c>
      <c r="AG1" s="377" t="s">
        <v>2112</v>
      </c>
      <c r="AH1" s="377" t="s">
        <v>2174</v>
      </c>
      <c r="AI1" s="377" t="s">
        <v>2175</v>
      </c>
      <c r="AJ1" s="377" t="s">
        <v>2176</v>
      </c>
      <c r="AK1" s="377" t="s">
        <v>2177</v>
      </c>
      <c r="AL1" s="377" t="s">
        <v>2178</v>
      </c>
      <c r="AM1" s="377" t="s">
        <v>66</v>
      </c>
      <c r="AO1" s="377" t="s">
        <v>2174</v>
      </c>
      <c r="AP1" s="377" t="s">
        <v>2839</v>
      </c>
      <c r="AQ1" s="377" t="s">
        <v>2175</v>
      </c>
      <c r="AR1" s="377" t="s">
        <v>2840</v>
      </c>
      <c r="AS1" s="377" t="s">
        <v>2176</v>
      </c>
      <c r="AT1" s="377" t="s">
        <v>2841</v>
      </c>
      <c r="AU1" s="377" t="s">
        <v>2177</v>
      </c>
      <c r="AV1" s="377" t="s">
        <v>2842</v>
      </c>
      <c r="AW1" s="377" t="s">
        <v>2178</v>
      </c>
      <c r="AX1" s="377" t="s">
        <v>2843</v>
      </c>
      <c r="AY1" s="377" t="s">
        <v>2100</v>
      </c>
      <c r="AZ1" s="377" t="s">
        <v>2699</v>
      </c>
      <c r="BA1" s="377" t="s">
        <v>2700</v>
      </c>
      <c r="BB1" s="377" t="s">
        <v>2844</v>
      </c>
      <c r="BC1" s="377" t="s">
        <v>1634</v>
      </c>
      <c r="BD1" s="377" t="s">
        <v>2845</v>
      </c>
    </row>
    <row r="2" spans="1:56">
      <c r="A2" s="623" t="s">
        <v>2179</v>
      </c>
      <c r="E2" s="40" t="s">
        <v>2180</v>
      </c>
      <c r="F2" s="40"/>
      <c r="H2" s="623" t="s">
        <v>2161</v>
      </c>
      <c r="I2" s="300" t="s">
        <v>2161</v>
      </c>
      <c r="J2" s="300"/>
      <c r="K2" s="7" t="s">
        <v>2092</v>
      </c>
      <c r="L2" s="623" t="s">
        <v>2092</v>
      </c>
      <c r="N2" s="623" t="s">
        <v>2092</v>
      </c>
      <c r="P2" s="623" t="s">
        <v>2092</v>
      </c>
      <c r="R2" s="623" t="s">
        <v>2092</v>
      </c>
      <c r="T2" s="623" t="s">
        <v>2092</v>
      </c>
      <c r="V2" s="623" t="s">
        <v>2092</v>
      </c>
      <c r="W2" s="7" t="s">
        <v>2161</v>
      </c>
      <c r="X2" s="7" t="s">
        <v>2161</v>
      </c>
      <c r="Y2" s="7" t="s">
        <v>2161</v>
      </c>
      <c r="Z2" s="623" t="s">
        <v>2161</v>
      </c>
      <c r="AA2" s="623" t="s">
        <v>2161</v>
      </c>
      <c r="AB2" s="623" t="s">
        <v>2161</v>
      </c>
      <c r="AC2" s="302" t="s">
        <v>2181</v>
      </c>
      <c r="AD2" s="302" t="s">
        <v>2182</v>
      </c>
      <c r="AE2" s="303" t="s">
        <v>2183</v>
      </c>
      <c r="AF2" s="304" t="s">
        <v>2184</v>
      </c>
      <c r="AG2" s="7" t="s">
        <v>2161</v>
      </c>
      <c r="AH2" s="307" t="s">
        <v>2185</v>
      </c>
      <c r="AI2" s="308" t="s">
        <v>2186</v>
      </c>
      <c r="AJ2" s="308" t="s">
        <v>2187</v>
      </c>
      <c r="AK2" s="308" t="s">
        <v>2188</v>
      </c>
      <c r="AL2" s="308" t="s">
        <v>2189</v>
      </c>
      <c r="AM2" s="473" t="s">
        <v>2190</v>
      </c>
      <c r="AO2" s="307" t="s">
        <v>2185</v>
      </c>
      <c r="AP2" s="307"/>
      <c r="AQ2" s="308" t="s">
        <v>2186</v>
      </c>
      <c r="AR2" s="308"/>
      <c r="AS2" s="308" t="s">
        <v>2187</v>
      </c>
      <c r="AT2" s="308"/>
      <c r="AU2" s="308" t="s">
        <v>2188</v>
      </c>
      <c r="AV2" s="308"/>
      <c r="AW2" s="308" t="s">
        <v>2189</v>
      </c>
      <c r="AX2" s="308"/>
    </row>
    <row r="3" spans="1:56">
      <c r="E3" s="40"/>
      <c r="F3" s="40"/>
      <c r="G3" s="623" t="s">
        <v>2118</v>
      </c>
      <c r="H3" s="623" t="s">
        <v>2118</v>
      </c>
      <c r="I3" s="623" t="s">
        <v>2118</v>
      </c>
      <c r="K3" s="7" t="s">
        <v>2118</v>
      </c>
      <c r="L3" s="623" t="s">
        <v>2118</v>
      </c>
      <c r="N3" s="623" t="s">
        <v>2118</v>
      </c>
      <c r="P3" s="623" t="s">
        <v>2118</v>
      </c>
      <c r="R3" s="623" t="s">
        <v>2118</v>
      </c>
      <c r="T3" s="623" t="s">
        <v>2118</v>
      </c>
      <c r="V3" s="623" t="s">
        <v>2118</v>
      </c>
      <c r="W3" s="7" t="s">
        <v>2118</v>
      </c>
      <c r="X3" s="7" t="s">
        <v>2118</v>
      </c>
      <c r="Y3" s="7" t="s">
        <v>2118</v>
      </c>
      <c r="Z3" s="623" t="s">
        <v>2118</v>
      </c>
      <c r="AA3" s="623" t="s">
        <v>2118</v>
      </c>
      <c r="AB3" s="623" t="s">
        <v>2118</v>
      </c>
      <c r="AC3" s="161"/>
      <c r="AD3" s="161"/>
      <c r="AE3" s="309">
        <v>1</v>
      </c>
      <c r="AF3" s="68"/>
      <c r="AG3" s="7" t="s">
        <v>2118</v>
      </c>
      <c r="AH3" s="307" t="s">
        <v>2191</v>
      </c>
      <c r="AI3" s="308" t="s">
        <v>2191</v>
      </c>
      <c r="AJ3" s="308" t="s">
        <v>2191</v>
      </c>
      <c r="AK3" s="308" t="s">
        <v>2191</v>
      </c>
      <c r="AL3" s="308" t="s">
        <v>2191</v>
      </c>
      <c r="AM3" s="474" t="s">
        <v>2192</v>
      </c>
      <c r="AO3" s="307" t="s">
        <v>2193</v>
      </c>
      <c r="AP3" s="307"/>
      <c r="AQ3" s="307" t="s">
        <v>2193</v>
      </c>
      <c r="AR3" s="307"/>
      <c r="AS3" s="307" t="s">
        <v>2193</v>
      </c>
      <c r="AT3" s="307"/>
      <c r="AU3" s="307" t="s">
        <v>2193</v>
      </c>
      <c r="AV3" s="307"/>
      <c r="AW3" s="307" t="s">
        <v>2193</v>
      </c>
      <c r="AX3" s="307"/>
      <c r="AY3" s="307" t="s">
        <v>2682</v>
      </c>
    </row>
    <row r="4" spans="1:56">
      <c r="E4" s="40" t="s">
        <v>2194</v>
      </c>
      <c r="F4" s="40"/>
      <c r="G4" s="623" t="s">
        <v>1940</v>
      </c>
      <c r="H4" s="623" t="s">
        <v>2131</v>
      </c>
      <c r="I4" s="623" t="s">
        <v>2132</v>
      </c>
      <c r="K4" s="7" t="s">
        <v>1662</v>
      </c>
      <c r="L4" s="623" t="s">
        <v>1662</v>
      </c>
      <c r="N4" s="623" t="s">
        <v>1662</v>
      </c>
      <c r="P4" s="623" t="s">
        <v>1662</v>
      </c>
      <c r="R4" s="623" t="s">
        <v>1662</v>
      </c>
      <c r="T4" s="623" t="s">
        <v>1662</v>
      </c>
      <c r="V4" s="623" t="s">
        <v>1662</v>
      </c>
      <c r="W4" s="7" t="s">
        <v>2132</v>
      </c>
      <c r="X4" s="7" t="s">
        <v>2132</v>
      </c>
      <c r="Y4" s="7" t="s">
        <v>2132</v>
      </c>
      <c r="Z4" s="623" t="s">
        <v>2132</v>
      </c>
      <c r="AA4" s="623" t="s">
        <v>2132</v>
      </c>
      <c r="AB4" s="623" t="s">
        <v>2132</v>
      </c>
      <c r="AC4" s="161" t="s">
        <v>1641</v>
      </c>
      <c r="AD4" s="161" t="s">
        <v>1641</v>
      </c>
      <c r="AE4" s="309" t="s">
        <v>2195</v>
      </c>
      <c r="AF4" s="68" t="s">
        <v>2130</v>
      </c>
      <c r="AG4" s="7" t="s">
        <v>2132</v>
      </c>
      <c r="AH4" s="307" t="s">
        <v>2118</v>
      </c>
      <c r="AI4" s="308" t="s">
        <v>2118</v>
      </c>
      <c r="AJ4" s="308" t="s">
        <v>2118</v>
      </c>
      <c r="AK4" s="308" t="s">
        <v>2118</v>
      </c>
      <c r="AL4" s="308" t="s">
        <v>2118</v>
      </c>
      <c r="AM4" s="474"/>
      <c r="AO4" s="307" t="s">
        <v>2118</v>
      </c>
      <c r="AP4" s="307"/>
      <c r="AQ4" s="308" t="s">
        <v>2118</v>
      </c>
      <c r="AR4" s="308"/>
      <c r="AS4" s="308" t="s">
        <v>2118</v>
      </c>
      <c r="AT4" s="308"/>
      <c r="AU4" s="308" t="s">
        <v>2118</v>
      </c>
      <c r="AV4" s="308"/>
      <c r="AW4" s="308" t="s">
        <v>2118</v>
      </c>
      <c r="AX4" s="308"/>
    </row>
    <row r="5" spans="1:56" s="310" customFormat="1">
      <c r="E5" s="311"/>
      <c r="F5" s="311"/>
      <c r="K5" s="312"/>
      <c r="M5" s="635"/>
      <c r="O5" s="635"/>
      <c r="S5" s="635"/>
      <c r="W5" s="312"/>
      <c r="X5" s="312"/>
      <c r="Y5" s="312"/>
      <c r="AC5" s="313"/>
      <c r="AD5" s="313"/>
      <c r="AE5" s="314"/>
      <c r="AF5" s="315"/>
      <c r="AG5" s="312"/>
      <c r="AH5" s="316"/>
      <c r="AI5" s="317"/>
      <c r="AJ5" s="317"/>
      <c r="AK5" s="317"/>
      <c r="AL5" s="317"/>
      <c r="AM5" s="475"/>
      <c r="AO5" s="316"/>
      <c r="AP5" s="316"/>
      <c r="AQ5" s="317"/>
      <c r="AR5" s="317"/>
      <c r="AS5" s="317"/>
      <c r="AT5" s="317"/>
      <c r="AU5" s="317"/>
      <c r="AV5" s="317"/>
      <c r="AW5" s="317"/>
      <c r="AX5" s="317"/>
    </row>
    <row r="6" spans="1:56">
      <c r="A6" s="623">
        <v>2017</v>
      </c>
      <c r="B6" s="623" t="s">
        <v>1708</v>
      </c>
      <c r="C6" s="623">
        <v>1</v>
      </c>
      <c r="D6" s="623" t="str">
        <f>main!$B$6</f>
        <v>McLane-PARFLUX-Mark78H-21 ; 14182-01, G250x21</v>
      </c>
      <c r="E6" s="623">
        <v>1000</v>
      </c>
      <c r="F6" s="634">
        <v>1</v>
      </c>
      <c r="G6" s="68">
        <f>main!E7</f>
        <v>297.18571428571431</v>
      </c>
      <c r="H6" s="7">
        <f>main!I7</f>
        <v>37.148214285714289</v>
      </c>
      <c r="I6" s="7">
        <f>main!J7</f>
        <v>13.568385267857145</v>
      </c>
      <c r="J6" s="7">
        <v>1</v>
      </c>
      <c r="K6" s="7">
        <f>main!AF7</f>
        <v>74.211274839316005</v>
      </c>
      <c r="L6" s="7">
        <f>main!AG7</f>
        <v>8.9050356322374373</v>
      </c>
      <c r="M6" s="370">
        <v>1</v>
      </c>
      <c r="N6" s="7">
        <f>main!M7</f>
        <v>15.688009262084961</v>
      </c>
      <c r="O6" s="370">
        <v>1</v>
      </c>
      <c r="P6" s="7">
        <f>main!O7</f>
        <v>1.185608983039856</v>
      </c>
      <c r="Q6" s="7">
        <v>1</v>
      </c>
      <c r="R6" s="7">
        <f>main!AH7</f>
        <v>6.7829736298475236</v>
      </c>
      <c r="S6" s="370">
        <v>1</v>
      </c>
      <c r="T6" s="7">
        <f>main!AB7</f>
        <v>2.2842570593463698</v>
      </c>
      <c r="U6" s="7">
        <v>1</v>
      </c>
      <c r="V6" s="7">
        <f>main!AC7</f>
        <v>4.8864722924928223</v>
      </c>
      <c r="W6" s="7">
        <f>(K6/100)*I6</f>
        <v>10.069271682386729</v>
      </c>
      <c r="X6" s="7">
        <f>(L6/100)*I6</f>
        <v>1.2082695428219339</v>
      </c>
      <c r="Y6" s="7">
        <f>(N6/100)*I6</f>
        <v>2.1286095375368004</v>
      </c>
      <c r="Z6" s="7">
        <f>(P6/100)*I6</f>
        <v>0.16086799458917073</v>
      </c>
      <c r="AA6" s="7">
        <f>(R6/100)*I6</f>
        <v>0.92033999471486638</v>
      </c>
      <c r="AB6" s="7">
        <f>(V6/100)*I6</f>
        <v>0.66301538665251747</v>
      </c>
      <c r="AC6" s="161">
        <f>main!T7</f>
        <v>42824</v>
      </c>
      <c r="AD6" s="161">
        <f>main!U7</f>
        <v>42840</v>
      </c>
      <c r="AE6" s="624">
        <f>main!V7</f>
        <v>42832</v>
      </c>
      <c r="AF6" s="623">
        <f>main!H7</f>
        <v>16</v>
      </c>
      <c r="AG6" s="7">
        <f>(T6/100)*I6</f>
        <v>0.30993679832033971</v>
      </c>
      <c r="AH6" s="7">
        <f>Y6/12.01</f>
        <v>0.17723643110214823</v>
      </c>
      <c r="AI6" s="256">
        <f>Z6/14.01</f>
        <v>1.1482369349690987E-2</v>
      </c>
      <c r="AJ6" s="7">
        <f>AA6/12.01</f>
        <v>7.6631140276008855E-2</v>
      </c>
      <c r="AK6" s="7">
        <f>X6/12.01</f>
        <v>0.10060529082613938</v>
      </c>
      <c r="AL6" s="7">
        <f>AG6/28.09</f>
        <v>1.1033705885380553E-2</v>
      </c>
      <c r="AM6" s="384"/>
      <c r="AN6" s="7"/>
      <c r="AO6" s="7">
        <f>AH6*1000</f>
        <v>177.23643110214823</v>
      </c>
      <c r="AP6" s="7">
        <v>1</v>
      </c>
      <c r="AQ6" s="7">
        <f t="shared" ref="AQ6:AQ37" si="0">AI6*1000</f>
        <v>11.482369349690988</v>
      </c>
      <c r="AR6" s="7">
        <v>1</v>
      </c>
      <c r="AS6" s="7">
        <f t="shared" ref="AS6:AS37" si="1">AJ6*1000</f>
        <v>76.63114027600885</v>
      </c>
      <c r="AT6" s="7">
        <v>1</v>
      </c>
      <c r="AU6" s="7">
        <f t="shared" ref="AU6:AU37" si="2">AK6*1000</f>
        <v>100.60529082613938</v>
      </c>
      <c r="AV6" s="7">
        <v>1</v>
      </c>
      <c r="AW6" s="7">
        <f t="shared" ref="AW6:AW37" si="3">AL6*1000</f>
        <v>11.033705885380552</v>
      </c>
      <c r="AX6" s="7">
        <v>1</v>
      </c>
      <c r="AY6" s="7">
        <f>AS6/AQ6</f>
        <v>6.6738090321115768</v>
      </c>
      <c r="AZ6" s="7">
        <f>AU6/AQ6</f>
        <v>8.7617187500458567</v>
      </c>
      <c r="BA6" s="492">
        <f>main!R7</f>
        <v>35.83</v>
      </c>
      <c r="BB6" s="492">
        <v>1</v>
      </c>
      <c r="BC6" s="492">
        <f>main!S7</f>
        <v>8.2609999999999992</v>
      </c>
      <c r="BD6" s="623">
        <v>1</v>
      </c>
    </row>
    <row r="7" spans="1:56">
      <c r="A7" s="623">
        <v>2017</v>
      </c>
      <c r="B7" s="623" t="s">
        <v>1708</v>
      </c>
      <c r="C7" s="623">
        <v>2</v>
      </c>
      <c r="D7" s="623" t="str">
        <f>main!$B$6</f>
        <v>McLane-PARFLUX-Mark78H-21 ; 14182-01, G250x21</v>
      </c>
      <c r="E7" s="623">
        <v>1000</v>
      </c>
      <c r="F7" s="634">
        <v>1</v>
      </c>
      <c r="G7" s="68">
        <f>main!E8</f>
        <v>231.91428571428565</v>
      </c>
      <c r="H7" s="7">
        <f>main!I8</f>
        <v>28.989285714285707</v>
      </c>
      <c r="I7" s="7">
        <f>main!J8</f>
        <v>10.588336607142855</v>
      </c>
      <c r="J7" s="7">
        <v>1</v>
      </c>
      <c r="K7" s="7">
        <f>main!AF8</f>
        <v>85.926931186063783</v>
      </c>
      <c r="L7" s="7">
        <f>main!AG8</f>
        <v>10.310864294374449</v>
      </c>
      <c r="M7" s="370">
        <v>1</v>
      </c>
      <c r="N7" s="7">
        <f>main!M8</f>
        <v>14.482656478881836</v>
      </c>
      <c r="O7" s="370">
        <v>1</v>
      </c>
      <c r="P7" s="7">
        <f>main!O8</f>
        <v>0.64278417825698853</v>
      </c>
      <c r="Q7" s="7">
        <v>1</v>
      </c>
      <c r="R7" s="7">
        <f>main!AH8</f>
        <v>4.1717921845073871</v>
      </c>
      <c r="S7" s="370">
        <v>1</v>
      </c>
      <c r="T7" s="7">
        <f>main!AB8</f>
        <v>0.76764349168346779</v>
      </c>
      <c r="U7" s="7">
        <v>1</v>
      </c>
      <c r="V7" s="7">
        <f>main!AC8</f>
        <v>1.6421394594254033</v>
      </c>
      <c r="W7" s="7">
        <f t="shared" ref="W7:W68" si="4">(K7/100)*I7</f>
        <v>9.0982327101684408</v>
      </c>
      <c r="X7" s="7">
        <f t="shared" ref="X7:X68" si="5">(L7/100)*I7</f>
        <v>1.0917490185940715</v>
      </c>
      <c r="Y7" s="7">
        <f t="shared" ref="Y7:Y68" si="6">(N7/100)*I7</f>
        <v>1.5334724176401919</v>
      </c>
      <c r="Z7" s="7">
        <f t="shared" ref="Z7:Z68" si="7">(P7/100)*I7</f>
        <v>6.8060152451307102E-2</v>
      </c>
      <c r="AA7" s="7">
        <f t="shared" ref="AA7:AA68" si="8">(R7/100)*I7</f>
        <v>0.44172339904612024</v>
      </c>
      <c r="AB7" s="7">
        <f t="shared" ref="AB7:AB68" si="9">(V7/100)*I7</f>
        <v>0.17387525352267777</v>
      </c>
      <c r="AC7" s="161">
        <f>main!T8</f>
        <v>42840</v>
      </c>
      <c r="AD7" s="161">
        <f>main!U8</f>
        <v>42856</v>
      </c>
      <c r="AE7" s="624">
        <f>main!V8</f>
        <v>42848</v>
      </c>
      <c r="AF7" s="623">
        <f>main!H8</f>
        <v>16</v>
      </c>
      <c r="AG7" s="7">
        <f t="shared" ref="AG7:AG68" si="10">(T7/100)*I7</f>
        <v>8.1280676842270236E-2</v>
      </c>
      <c r="AH7" s="7">
        <f t="shared" ref="AH7:AH68" si="11">Y7/12.01</f>
        <v>0.12768296566529491</v>
      </c>
      <c r="AI7" s="7">
        <f t="shared" ref="AI7:AI68" si="12">Z7/14.01</f>
        <v>4.8579694826057888E-3</v>
      </c>
      <c r="AJ7" s="7">
        <f t="shared" ref="AJ7:AJ68" si="13">AA7/12.01</f>
        <v>3.6779633559210677E-2</v>
      </c>
      <c r="AK7" s="7">
        <f t="shared" ref="AK7:AK68" si="14">X7/12.01</f>
        <v>9.0903332106084214E-2</v>
      </c>
      <c r="AL7" s="7">
        <f t="shared" ref="AL7:AL68" si="15">AG7/28.09</f>
        <v>2.8935805212627354E-3</v>
      </c>
      <c r="AM7" s="384"/>
      <c r="AN7" s="7"/>
      <c r="AO7" s="7">
        <f t="shared" ref="AO7:AO68" si="16">AH7*1000</f>
        <v>127.68296566529492</v>
      </c>
      <c r="AP7" s="7">
        <v>1</v>
      </c>
      <c r="AQ7" s="7">
        <f t="shared" si="0"/>
        <v>4.8579694826057889</v>
      </c>
      <c r="AR7" s="7">
        <v>1</v>
      </c>
      <c r="AS7" s="7">
        <f t="shared" si="1"/>
        <v>36.77963355921068</v>
      </c>
      <c r="AT7" s="7">
        <v>1</v>
      </c>
      <c r="AU7" s="7">
        <f t="shared" si="2"/>
        <v>90.903332106084221</v>
      </c>
      <c r="AV7" s="7">
        <v>1</v>
      </c>
      <c r="AW7" s="7">
        <f t="shared" si="3"/>
        <v>2.8935805212627352</v>
      </c>
      <c r="AX7" s="7">
        <v>1</v>
      </c>
      <c r="AY7" s="7">
        <f t="shared" ref="AY7:AY68" si="17">AS7/AQ7</f>
        <v>7.5709890090709839</v>
      </c>
      <c r="AZ7" s="7">
        <f t="shared" ref="AZ7:AZ68" si="18">AU7/AQ7</f>
        <v>18.712207318627321</v>
      </c>
      <c r="BA7" s="492">
        <f>main!R8</f>
        <v>34.549999999999997</v>
      </c>
      <c r="BB7" s="492">
        <v>1</v>
      </c>
      <c r="BC7" s="492">
        <f>main!S8</f>
        <v>7.9279999999999999</v>
      </c>
      <c r="BD7" s="647">
        <v>1</v>
      </c>
    </row>
    <row r="8" spans="1:56">
      <c r="A8" s="623">
        <v>2017</v>
      </c>
      <c r="B8" s="623" t="s">
        <v>1708</v>
      </c>
      <c r="C8" s="623">
        <v>3</v>
      </c>
      <c r="D8" s="623" t="str">
        <f>main!$B$6</f>
        <v>McLane-PARFLUX-Mark78H-21 ; 14182-01, G250x21</v>
      </c>
      <c r="E8" s="623">
        <v>1000</v>
      </c>
      <c r="F8" s="634">
        <v>1</v>
      </c>
      <c r="G8" s="68">
        <f>main!E9</f>
        <v>93.357142857142861</v>
      </c>
      <c r="H8" s="7">
        <f>main!I9</f>
        <v>11.669642857142858</v>
      </c>
      <c r="I8" s="7">
        <f>main!J9</f>
        <v>4.2623370535714287</v>
      </c>
      <c r="J8" s="7">
        <v>1</v>
      </c>
      <c r="K8" s="7">
        <f>main!AF9</f>
        <v>95.480731055373369</v>
      </c>
      <c r="L8" s="7">
        <f>main!AG9</f>
        <v>11.457279423930947</v>
      </c>
      <c r="M8" s="370">
        <v>3</v>
      </c>
      <c r="N8" s="7">
        <f>main!M9</f>
        <v>12.423464775085449</v>
      </c>
      <c r="O8" s="370">
        <v>1</v>
      </c>
      <c r="P8" s="7">
        <f>main!O9</f>
        <v>0.12038497626781464</v>
      </c>
      <c r="Q8" s="7">
        <v>3</v>
      </c>
      <c r="R8" s="7">
        <f>main!AH9</f>
        <v>0.96618535115450221</v>
      </c>
      <c r="S8" s="370">
        <v>3</v>
      </c>
      <c r="T8" s="7">
        <f>main!AB9</f>
        <v>3.8679984747055335E-2</v>
      </c>
      <c r="U8" s="7">
        <v>1</v>
      </c>
      <c r="V8" s="7">
        <f>main!AC9</f>
        <v>8.2744047114651303E-2</v>
      </c>
      <c r="W8" s="7">
        <f t="shared" si="4"/>
        <v>4.0697105787940613</v>
      </c>
      <c r="X8" s="7">
        <f t="shared" si="5"/>
        <v>0.48834786621742388</v>
      </c>
      <c r="Y8" s="7">
        <f t="shared" si="6"/>
        <v>0.52952994244586149</v>
      </c>
      <c r="Z8" s="7">
        <f t="shared" si="7"/>
        <v>5.1312134503962341E-3</v>
      </c>
      <c r="AA8" s="7">
        <f t="shared" si="8"/>
        <v>4.1182076228437565E-2</v>
      </c>
      <c r="AB8" s="7">
        <f t="shared" si="9"/>
        <v>3.5268301797923831E-3</v>
      </c>
      <c r="AC8" s="161">
        <f>main!T9</f>
        <v>42856</v>
      </c>
      <c r="AD8" s="161">
        <f>main!U9</f>
        <v>42872</v>
      </c>
      <c r="AE8" s="624">
        <f>main!V9</f>
        <v>42864</v>
      </c>
      <c r="AF8" s="623">
        <f>main!H9</f>
        <v>16</v>
      </c>
      <c r="AG8" s="7">
        <f t="shared" si="10"/>
        <v>1.6486713221895164E-3</v>
      </c>
      <c r="AH8" s="7">
        <f t="shared" si="11"/>
        <v>4.409075290973035E-2</v>
      </c>
      <c r="AI8" s="7">
        <f t="shared" si="12"/>
        <v>3.6625363671636218E-4</v>
      </c>
      <c r="AJ8" s="7">
        <f t="shared" si="13"/>
        <v>3.4289822005360172E-3</v>
      </c>
      <c r="AK8" s="7">
        <f t="shared" si="14"/>
        <v>4.0661770709194328E-2</v>
      </c>
      <c r="AL8" s="7">
        <f t="shared" si="15"/>
        <v>5.8692464300089586E-5</v>
      </c>
      <c r="AM8" s="384"/>
      <c r="AN8" s="7"/>
      <c r="AO8" s="7">
        <f t="shared" si="16"/>
        <v>44.090752909730348</v>
      </c>
      <c r="AP8" s="7">
        <v>1</v>
      </c>
      <c r="AQ8" s="7">
        <f t="shared" si="0"/>
        <v>0.36625363671636219</v>
      </c>
      <c r="AR8" s="7">
        <v>3</v>
      </c>
      <c r="AS8" s="7">
        <f t="shared" si="1"/>
        <v>3.4289822005360171</v>
      </c>
      <c r="AT8" s="7">
        <v>3</v>
      </c>
      <c r="AU8" s="7">
        <f t="shared" si="2"/>
        <v>40.661770709194329</v>
      </c>
      <c r="AV8" s="7">
        <v>3</v>
      </c>
      <c r="AW8" s="7">
        <f t="shared" si="3"/>
        <v>5.8692464300089585E-2</v>
      </c>
      <c r="AX8" s="7">
        <v>1</v>
      </c>
      <c r="AY8" s="278">
        <f t="shared" si="17"/>
        <v>9.3623157746049195</v>
      </c>
      <c r="AZ8" s="278">
        <f t="shared" si="18"/>
        <v>111.02079715507105</v>
      </c>
      <c r="BA8" s="492">
        <f>main!R9</f>
        <v>34.67</v>
      </c>
      <c r="BB8" s="492">
        <v>1</v>
      </c>
      <c r="BC8" s="492">
        <f>main!S9</f>
        <v>8.0730000000000004</v>
      </c>
      <c r="BD8" s="647">
        <v>1</v>
      </c>
    </row>
    <row r="9" spans="1:56">
      <c r="A9" s="623">
        <v>2017</v>
      </c>
      <c r="B9" s="623" t="s">
        <v>1708</v>
      </c>
      <c r="C9" s="623">
        <v>4</v>
      </c>
      <c r="D9" s="623" t="str">
        <f>main!$B$6</f>
        <v>McLane-PARFLUX-Mark78H-21 ; 14182-01, G250x21</v>
      </c>
      <c r="E9" s="623">
        <v>1000</v>
      </c>
      <c r="F9" s="634">
        <v>1</v>
      </c>
      <c r="G9" s="68">
        <f>main!E10</f>
        <v>298.58571428571429</v>
      </c>
      <c r="H9" s="7">
        <f>main!I10</f>
        <v>37.323214285714286</v>
      </c>
      <c r="I9" s="7">
        <f>main!J10</f>
        <v>13.632304017857143</v>
      </c>
      <c r="J9" s="7">
        <v>1</v>
      </c>
      <c r="K9" s="7">
        <f>main!AF10</f>
        <v>88.188410005111606</v>
      </c>
      <c r="L9" s="7">
        <f>main!AG10</f>
        <v>10.582232081934702</v>
      </c>
      <c r="M9" s="370">
        <v>1</v>
      </c>
      <c r="N9" s="7">
        <f>main!M10</f>
        <v>14.00540828704834</v>
      </c>
      <c r="O9" s="370">
        <v>1</v>
      </c>
      <c r="P9" s="7">
        <f>main!O10</f>
        <v>0.5119737982749939</v>
      </c>
      <c r="Q9" s="7">
        <v>1</v>
      </c>
      <c r="R9" s="7">
        <f>main!AH10</f>
        <v>3.4231762051136378</v>
      </c>
      <c r="S9" s="370">
        <v>1</v>
      </c>
      <c r="T9" s="7">
        <f>main!AB10</f>
        <v>0.62082131685558728</v>
      </c>
      <c r="U9" s="7">
        <v>1</v>
      </c>
      <c r="V9" s="7">
        <f>main!AC10</f>
        <v>1.3280581320702116</v>
      </c>
      <c r="W9" s="7">
        <f t="shared" si="4"/>
        <v>12.02211216041116</v>
      </c>
      <c r="X9" s="7">
        <f t="shared" si="5"/>
        <v>1.4426020492845519</v>
      </c>
      <c r="Y9" s="7">
        <f t="shared" si="6"/>
        <v>1.9092598366325881</v>
      </c>
      <c r="Z9" s="7">
        <f t="shared" si="7"/>
        <v>6.9793824672617813E-2</v>
      </c>
      <c r="AA9" s="7">
        <f t="shared" si="8"/>
        <v>0.46665778734803615</v>
      </c>
      <c r="AB9" s="7">
        <f t="shared" si="9"/>
        <v>0.18104492209768597</v>
      </c>
      <c r="AC9" s="161">
        <f>main!T10</f>
        <v>42872</v>
      </c>
      <c r="AD9" s="161">
        <f>main!U10</f>
        <v>42888</v>
      </c>
      <c r="AE9" s="624">
        <f>main!V10</f>
        <v>42880</v>
      </c>
      <c r="AF9" s="623">
        <f>main!H10</f>
        <v>16</v>
      </c>
      <c r="AG9" s="7">
        <f t="shared" si="10"/>
        <v>8.4632249321417857E-2</v>
      </c>
      <c r="AH9" s="7">
        <f t="shared" si="11"/>
        <v>0.15897250929496987</v>
      </c>
      <c r="AI9" s="7">
        <f t="shared" si="12"/>
        <v>4.9817148231704363E-3</v>
      </c>
      <c r="AJ9" s="7">
        <f t="shared" si="13"/>
        <v>3.8855769138054636E-2</v>
      </c>
      <c r="AK9" s="7">
        <f t="shared" si="14"/>
        <v>0.12011674015691523</v>
      </c>
      <c r="AL9" s="7">
        <f t="shared" si="15"/>
        <v>3.0128960242583789E-3</v>
      </c>
      <c r="AM9" s="384"/>
      <c r="AN9" s="7"/>
      <c r="AO9" s="7">
        <f t="shared" si="16"/>
        <v>158.97250929496985</v>
      </c>
      <c r="AP9" s="7">
        <v>1</v>
      </c>
      <c r="AQ9" s="7">
        <f t="shared" si="0"/>
        <v>4.981714823170436</v>
      </c>
      <c r="AR9" s="7">
        <v>1</v>
      </c>
      <c r="AS9" s="7">
        <f t="shared" si="1"/>
        <v>38.855769138054633</v>
      </c>
      <c r="AT9" s="7">
        <v>1</v>
      </c>
      <c r="AU9" s="7">
        <f t="shared" si="2"/>
        <v>120.11674015691523</v>
      </c>
      <c r="AV9" s="7">
        <v>1</v>
      </c>
      <c r="AW9" s="7">
        <f t="shared" si="3"/>
        <v>3.0128960242583789</v>
      </c>
      <c r="AX9" s="7">
        <v>1</v>
      </c>
      <c r="AY9" s="7">
        <f t="shared" si="17"/>
        <v>7.7996775241594927</v>
      </c>
      <c r="AZ9" s="7">
        <f t="shared" si="18"/>
        <v>24.111524730046909</v>
      </c>
      <c r="BA9" s="492">
        <f>main!R10</f>
        <v>34.54</v>
      </c>
      <c r="BB9" s="492">
        <v>1</v>
      </c>
      <c r="BC9" s="492">
        <f>main!S10</f>
        <v>8.0500000000000007</v>
      </c>
      <c r="BD9" s="647">
        <v>1</v>
      </c>
    </row>
    <row r="10" spans="1:56">
      <c r="A10" s="623">
        <v>2017</v>
      </c>
      <c r="B10" s="623" t="s">
        <v>1708</v>
      </c>
      <c r="C10" s="623">
        <v>5</v>
      </c>
      <c r="D10" s="623" t="str">
        <f>main!$B$6</f>
        <v>McLane-PARFLUX-Mark78H-21 ; 14182-01, G250x21</v>
      </c>
      <c r="E10" s="623">
        <v>1000</v>
      </c>
      <c r="F10" s="634">
        <v>1</v>
      </c>
      <c r="G10" s="68">
        <f>main!E11</f>
        <v>807.67142857142858</v>
      </c>
      <c r="H10" s="7">
        <f>main!I11</f>
        <v>100.95892857142857</v>
      </c>
      <c r="I10" s="7">
        <f>main!J11</f>
        <v>36.875248660714291</v>
      </c>
      <c r="J10" s="7">
        <v>3</v>
      </c>
      <c r="K10" s="7">
        <f>main!AF11</f>
        <v>64.193545296942489</v>
      </c>
      <c r="L10" s="7">
        <f>main!AG11</f>
        <v>7.7029509258082651</v>
      </c>
      <c r="M10" s="370">
        <v>1</v>
      </c>
      <c r="N10" s="7">
        <f>main!M11</f>
        <v>17.728116989135742</v>
      </c>
      <c r="O10" s="370">
        <v>1</v>
      </c>
      <c r="P10" s="7">
        <f>main!O11</f>
        <v>1.6142473220825195</v>
      </c>
      <c r="Q10" s="7">
        <v>1</v>
      </c>
      <c r="R10" s="7">
        <f>main!AH11</f>
        <v>10.025166063327477</v>
      </c>
      <c r="S10" s="370">
        <v>1</v>
      </c>
      <c r="T10" s="7">
        <f>main!AB11</f>
        <v>2.3912014674131816</v>
      </c>
      <c r="U10" s="7">
        <v>1</v>
      </c>
      <c r="V10" s="7">
        <f>main!AC11</f>
        <v>5.1152472829070161</v>
      </c>
      <c r="W10" s="7">
        <f t="shared" si="4"/>
        <v>23.671529452375808</v>
      </c>
      <c r="X10" s="7">
        <f t="shared" si="5"/>
        <v>2.8404823081045913</v>
      </c>
      <c r="Y10" s="7">
        <f t="shared" si="6"/>
        <v>6.5372872226061407</v>
      </c>
      <c r="Z10" s="7">
        <f t="shared" si="7"/>
        <v>0.59525771401685057</v>
      </c>
      <c r="AA10" s="7">
        <f t="shared" si="8"/>
        <v>3.6968049145015494</v>
      </c>
      <c r="AB10" s="7">
        <f t="shared" si="9"/>
        <v>1.8862601551823936</v>
      </c>
      <c r="AC10" s="161">
        <f>main!T11</f>
        <v>42888</v>
      </c>
      <c r="AD10" s="161">
        <f>main!U11</f>
        <v>42904</v>
      </c>
      <c r="AE10" s="624">
        <f>main!V11</f>
        <v>42896</v>
      </c>
      <c r="AF10" s="623">
        <f>main!H11</f>
        <v>16</v>
      </c>
      <c r="AG10" s="7">
        <f t="shared" si="10"/>
        <v>0.88176148708725965</v>
      </c>
      <c r="AH10" s="7">
        <f t="shared" si="11"/>
        <v>0.54432033493806331</v>
      </c>
      <c r="AI10" s="7">
        <f t="shared" si="12"/>
        <v>4.2488059530110679E-2</v>
      </c>
      <c r="AJ10" s="7">
        <f t="shared" si="13"/>
        <v>0.3078105674022939</v>
      </c>
      <c r="AK10" s="7">
        <f t="shared" si="14"/>
        <v>0.23650976753576947</v>
      </c>
      <c r="AL10" s="7">
        <f t="shared" si="15"/>
        <v>3.139058337797293E-2</v>
      </c>
      <c r="AM10" s="384"/>
      <c r="AN10" s="7"/>
      <c r="AO10" s="7">
        <f t="shared" si="16"/>
        <v>544.3203349380633</v>
      </c>
      <c r="AP10" s="7">
        <v>3</v>
      </c>
      <c r="AQ10" s="7">
        <f t="shared" si="0"/>
        <v>42.488059530110682</v>
      </c>
      <c r="AR10" s="7">
        <v>3</v>
      </c>
      <c r="AS10" s="7">
        <f t="shared" si="1"/>
        <v>307.81056740229388</v>
      </c>
      <c r="AT10" s="7">
        <v>3</v>
      </c>
      <c r="AU10" s="7">
        <f t="shared" si="2"/>
        <v>236.50976753576947</v>
      </c>
      <c r="AV10" s="7">
        <v>3</v>
      </c>
      <c r="AW10" s="7">
        <f t="shared" si="3"/>
        <v>31.390583377972931</v>
      </c>
      <c r="AX10" s="7">
        <v>3</v>
      </c>
      <c r="AY10" s="7">
        <f t="shared" si="17"/>
        <v>7.2446369828716914</v>
      </c>
      <c r="AZ10" s="7">
        <f t="shared" si="18"/>
        <v>5.5664996272225231</v>
      </c>
      <c r="BA10" s="492">
        <f>main!R11</f>
        <v>37.020000000000003</v>
      </c>
      <c r="BB10" s="492">
        <v>1</v>
      </c>
      <c r="BC10" s="492">
        <f>main!S11</f>
        <v>7.9260000000000002</v>
      </c>
      <c r="BD10" s="647">
        <v>1</v>
      </c>
    </row>
    <row r="11" spans="1:56">
      <c r="A11" s="623">
        <v>2017</v>
      </c>
      <c r="B11" s="623" t="s">
        <v>1708</v>
      </c>
      <c r="C11" s="623">
        <v>6</v>
      </c>
      <c r="D11" s="623" t="str">
        <f>main!$B$6</f>
        <v>McLane-PARFLUX-Mark78H-21 ; 14182-01, G250x21</v>
      </c>
      <c r="E11" s="623">
        <v>1000</v>
      </c>
      <c r="F11" s="634">
        <v>1</v>
      </c>
      <c r="G11" s="68">
        <f>main!E12</f>
        <v>121.02857142857141</v>
      </c>
      <c r="H11" s="7">
        <f>main!I12</f>
        <v>15.128571428571426</v>
      </c>
      <c r="I11" s="7">
        <f>main!J12</f>
        <v>5.5257107142857134</v>
      </c>
      <c r="J11" s="7">
        <v>1</v>
      </c>
      <c r="K11" s="7">
        <f>main!AF12</f>
        <v>69.233938958028205</v>
      </c>
      <c r="L11" s="7">
        <f>main!AG12</f>
        <v>8.3077766109842415</v>
      </c>
      <c r="M11" s="370">
        <v>1</v>
      </c>
      <c r="N11" s="7">
        <f>main!M12</f>
        <v>20.443384170532227</v>
      </c>
      <c r="O11" s="370">
        <v>1</v>
      </c>
      <c r="P11" s="7">
        <f>main!O12</f>
        <v>1.6545096635818481</v>
      </c>
      <c r="Q11" s="7">
        <v>1</v>
      </c>
      <c r="R11" s="7">
        <f>main!AH12</f>
        <v>12.135607559547985</v>
      </c>
      <c r="S11" s="370">
        <v>1</v>
      </c>
      <c r="T11" s="7">
        <f>main!AB12</f>
        <v>0.81708911668973772</v>
      </c>
      <c r="U11" s="7">
        <v>1</v>
      </c>
      <c r="V11" s="7">
        <f>main!AC12</f>
        <v>1.747913315125893</v>
      </c>
      <c r="W11" s="7">
        <f t="shared" si="4"/>
        <v>3.8256671829257951</v>
      </c>
      <c r="X11" s="7">
        <f t="shared" si="5"/>
        <v>0.45906370231207871</v>
      </c>
      <c r="Y11" s="7">
        <f t="shared" si="6"/>
        <v>1.1296422694736887</v>
      </c>
      <c r="Z11" s="7">
        <f t="shared" si="7"/>
        <v>9.1423417749434688E-2</v>
      </c>
      <c r="AA11" s="7">
        <f t="shared" si="8"/>
        <v>0.67057856716161002</v>
      </c>
      <c r="AB11" s="7">
        <f t="shared" si="9"/>
        <v>9.6584633330338079E-2</v>
      </c>
      <c r="AC11" s="161">
        <f>main!T12</f>
        <v>42904</v>
      </c>
      <c r="AD11" s="161">
        <f>main!U12</f>
        <v>42920</v>
      </c>
      <c r="AE11" s="624">
        <f>main!V12</f>
        <v>42912</v>
      </c>
      <c r="AF11" s="623">
        <f>main!H12</f>
        <v>16</v>
      </c>
      <c r="AG11" s="7">
        <f t="shared" si="10"/>
        <v>4.5149980866187336E-2</v>
      </c>
      <c r="AH11" s="7">
        <f t="shared" si="11"/>
        <v>9.4058473728034039E-2</v>
      </c>
      <c r="AI11" s="7">
        <f t="shared" si="12"/>
        <v>6.5255829942494426E-3</v>
      </c>
      <c r="AJ11" s="7">
        <f t="shared" si="13"/>
        <v>5.5835018081732725E-2</v>
      </c>
      <c r="AK11" s="7">
        <f t="shared" si="14"/>
        <v>3.8223455646301308E-2</v>
      </c>
      <c r="AL11" s="7">
        <f t="shared" si="15"/>
        <v>1.6073328895047112E-3</v>
      </c>
      <c r="AM11" s="384"/>
      <c r="AN11" s="7"/>
      <c r="AO11" s="7">
        <f t="shared" si="16"/>
        <v>94.058473728034045</v>
      </c>
      <c r="AP11" s="7">
        <v>1</v>
      </c>
      <c r="AQ11" s="7">
        <f t="shared" si="0"/>
        <v>6.5255829942494428</v>
      </c>
      <c r="AR11" s="7">
        <v>1</v>
      </c>
      <c r="AS11" s="7">
        <f t="shared" si="1"/>
        <v>55.835018081732727</v>
      </c>
      <c r="AT11" s="7">
        <v>1</v>
      </c>
      <c r="AU11" s="7">
        <f t="shared" si="2"/>
        <v>38.223455646301311</v>
      </c>
      <c r="AV11" s="7">
        <v>1</v>
      </c>
      <c r="AW11" s="7">
        <f t="shared" si="3"/>
        <v>1.6073328895047112</v>
      </c>
      <c r="AX11" s="7">
        <v>1</v>
      </c>
      <c r="AY11" s="7">
        <f t="shared" si="17"/>
        <v>8.5563264050026451</v>
      </c>
      <c r="AZ11" s="7">
        <f t="shared" si="18"/>
        <v>5.8574775127348886</v>
      </c>
      <c r="BA11" s="492">
        <f>main!R12</f>
        <v>34.71</v>
      </c>
      <c r="BB11" s="492">
        <v>1</v>
      </c>
      <c r="BC11" s="492">
        <f>main!S12</f>
        <v>7.6440000000000001</v>
      </c>
      <c r="BD11" s="647">
        <v>1</v>
      </c>
    </row>
    <row r="12" spans="1:56">
      <c r="A12" s="623">
        <v>2017</v>
      </c>
      <c r="B12" s="623" t="s">
        <v>1708</v>
      </c>
      <c r="C12" s="623">
        <v>7</v>
      </c>
      <c r="D12" s="623" t="str">
        <f>main!$B$6</f>
        <v>McLane-PARFLUX-Mark78H-21 ; 14182-01, G250x21</v>
      </c>
      <c r="E12" s="623">
        <v>1000</v>
      </c>
      <c r="F12" s="634">
        <v>1</v>
      </c>
      <c r="G12" s="68">
        <f>main!E13</f>
        <v>54.342857142857142</v>
      </c>
      <c r="H12" s="7">
        <f>main!I13</f>
        <v>6.7928571428571427</v>
      </c>
      <c r="I12" s="7">
        <f>main!J13</f>
        <v>2.4810910714285717</v>
      </c>
      <c r="J12" s="7">
        <v>1</v>
      </c>
      <c r="K12" s="7">
        <f>main!AF13</f>
        <v>62.011577941900164</v>
      </c>
      <c r="L12" s="7">
        <f>main!AG13</f>
        <v>7.4411241739150773</v>
      </c>
      <c r="M12" s="370">
        <v>1</v>
      </c>
      <c r="N12" s="7">
        <f>main!M13</f>
        <v>20.057174682617188</v>
      </c>
      <c r="O12" s="370">
        <v>1</v>
      </c>
      <c r="P12" s="7">
        <f>main!O13</f>
        <v>1.737897515296936</v>
      </c>
      <c r="Q12" s="7">
        <v>1</v>
      </c>
      <c r="R12" s="7">
        <f>main!AH13</f>
        <v>12.616050508702109</v>
      </c>
      <c r="S12" s="370">
        <v>1</v>
      </c>
      <c r="T12" s="7">
        <f>main!AB13</f>
        <v>1.9298833372846529</v>
      </c>
      <c r="U12" s="7">
        <v>1</v>
      </c>
      <c r="V12" s="7">
        <f>main!AC13</f>
        <v>4.1283976410621142</v>
      </c>
      <c r="W12" s="7">
        <f t="shared" si="4"/>
        <v>1.5385637235684546</v>
      </c>
      <c r="X12" s="7">
        <f t="shared" si="5"/>
        <v>0.18462106749292004</v>
      </c>
      <c r="Y12" s="7">
        <f t="shared" si="6"/>
        <v>0.49763677023124697</v>
      </c>
      <c r="Z12" s="7">
        <f t="shared" si="7"/>
        <v>4.3118820082611274E-2</v>
      </c>
      <c r="AA12" s="7">
        <f t="shared" si="8"/>
        <v>0.31301570273832691</v>
      </c>
      <c r="AB12" s="7">
        <f t="shared" si="9"/>
        <v>0.10242930526545989</v>
      </c>
      <c r="AC12" s="161">
        <f>main!T13</f>
        <v>42920</v>
      </c>
      <c r="AD12" s="161">
        <f>main!U13</f>
        <v>42936</v>
      </c>
      <c r="AE12" s="624">
        <f>main!V13</f>
        <v>42928</v>
      </c>
      <c r="AF12" s="623">
        <f>main!H13</f>
        <v>16</v>
      </c>
      <c r="AG12" s="7">
        <f t="shared" si="10"/>
        <v>4.7882163170357268E-2</v>
      </c>
      <c r="AH12" s="7">
        <f t="shared" si="11"/>
        <v>4.1435201518005574E-2</v>
      </c>
      <c r="AI12" s="7">
        <f t="shared" si="12"/>
        <v>3.077717350650341E-3</v>
      </c>
      <c r="AJ12" s="7">
        <f t="shared" si="13"/>
        <v>2.6062922792533465E-2</v>
      </c>
      <c r="AK12" s="7">
        <f t="shared" si="14"/>
        <v>1.5372278725472111E-2</v>
      </c>
      <c r="AL12" s="7">
        <f t="shared" si="15"/>
        <v>1.7045981904719569E-3</v>
      </c>
      <c r="AM12" s="384"/>
      <c r="AN12" s="7"/>
      <c r="AO12" s="7">
        <f t="shared" si="16"/>
        <v>41.435201518005577</v>
      </c>
      <c r="AP12" s="7">
        <v>1</v>
      </c>
      <c r="AQ12" s="7">
        <f t="shared" si="0"/>
        <v>3.077717350650341</v>
      </c>
      <c r="AR12" s="7">
        <v>1</v>
      </c>
      <c r="AS12" s="7">
        <f t="shared" si="1"/>
        <v>26.062922792533463</v>
      </c>
      <c r="AT12" s="7">
        <v>1</v>
      </c>
      <c r="AU12" s="7">
        <f t="shared" si="2"/>
        <v>15.37227872547211</v>
      </c>
      <c r="AV12" s="7">
        <v>1</v>
      </c>
      <c r="AW12" s="7">
        <f t="shared" si="3"/>
        <v>1.7045981904719569</v>
      </c>
      <c r="AX12" s="7">
        <v>1</v>
      </c>
      <c r="AY12" s="7">
        <f t="shared" si="17"/>
        <v>8.4682639187208668</v>
      </c>
      <c r="AZ12" s="7">
        <f t="shared" si="18"/>
        <v>4.994701258783186</v>
      </c>
      <c r="BA12" s="492">
        <f>main!R13</f>
        <v>34.53</v>
      </c>
      <c r="BB12" s="492">
        <v>1</v>
      </c>
      <c r="BC12" s="492">
        <f>main!S13</f>
        <v>8.0755000000000017</v>
      </c>
      <c r="BD12" s="647">
        <v>1</v>
      </c>
    </row>
    <row r="13" spans="1:56">
      <c r="A13" s="623">
        <v>2017</v>
      </c>
      <c r="B13" s="623" t="s">
        <v>1708</v>
      </c>
      <c r="C13" s="623">
        <v>8</v>
      </c>
      <c r="D13" s="623" t="str">
        <f>main!$B$6</f>
        <v>McLane-PARFLUX-Mark78H-21 ; 14182-01, G250x21</v>
      </c>
      <c r="E13" s="623">
        <v>1000</v>
      </c>
      <c r="F13" s="634">
        <v>1</v>
      </c>
      <c r="G13" s="68">
        <f>main!E14</f>
        <v>63.328571428571436</v>
      </c>
      <c r="H13" s="7">
        <f>main!I14</f>
        <v>7.9160714285714295</v>
      </c>
      <c r="I13" s="7">
        <f>main!J14</f>
        <v>2.8913450892857147</v>
      </c>
      <c r="J13" s="7">
        <v>1</v>
      </c>
      <c r="K13" s="7">
        <f>main!AF14</f>
        <v>48.290357873480851</v>
      </c>
      <c r="L13" s="7">
        <f>main!AG14</f>
        <v>5.7946364415373539</v>
      </c>
      <c r="M13" s="370">
        <v>1</v>
      </c>
      <c r="N13" s="7">
        <f>main!M14</f>
        <v>23.31474494934082</v>
      </c>
      <c r="O13" s="370">
        <v>1</v>
      </c>
      <c r="P13" s="7">
        <f>main!O14</f>
        <v>2.5397510528564453</v>
      </c>
      <c r="Q13" s="7">
        <v>1</v>
      </c>
      <c r="R13" s="7">
        <f>main!AH14</f>
        <v>17.520108507803467</v>
      </c>
      <c r="S13" s="370">
        <v>1</v>
      </c>
      <c r="T13" s="7">
        <f>main!AB14</f>
        <v>3.6291239457582267</v>
      </c>
      <c r="U13" s="7">
        <v>1</v>
      </c>
      <c r="V13" s="7">
        <f>main!AC14</f>
        <v>7.7634054076401515</v>
      </c>
      <c r="W13" s="7">
        <f t="shared" si="4"/>
        <v>1.3962408909733859</v>
      </c>
      <c r="X13" s="7">
        <f t="shared" si="5"/>
        <v>0.16754293619435076</v>
      </c>
      <c r="Y13" s="7">
        <f t="shared" si="6"/>
        <v>0.67410973317225498</v>
      </c>
      <c r="Z13" s="7">
        <f t="shared" si="7"/>
        <v>7.3432967346847067E-2</v>
      </c>
      <c r="AA13" s="7">
        <f t="shared" si="8"/>
        <v>0.50656679697790419</v>
      </c>
      <c r="AB13" s="7">
        <f t="shared" si="9"/>
        <v>0.22446684101514514</v>
      </c>
      <c r="AC13" s="161">
        <f>main!T14</f>
        <v>42936</v>
      </c>
      <c r="AD13" s="161">
        <f>main!U14</f>
        <v>42952</v>
      </c>
      <c r="AE13" s="624">
        <f>main!V14</f>
        <v>42944</v>
      </c>
      <c r="AF13" s="623">
        <f>main!H14</f>
        <v>16</v>
      </c>
      <c r="AG13" s="7">
        <f t="shared" si="10"/>
        <v>0.10493049698977244</v>
      </c>
      <c r="AH13" s="7">
        <f t="shared" si="11"/>
        <v>5.6129036900271025E-2</v>
      </c>
      <c r="AI13" s="7">
        <f t="shared" si="12"/>
        <v>5.2414680475979351E-3</v>
      </c>
      <c r="AJ13" s="7">
        <f t="shared" si="13"/>
        <v>4.2178750789167711E-2</v>
      </c>
      <c r="AK13" s="7">
        <f t="shared" si="14"/>
        <v>1.3950286111103312E-2</v>
      </c>
      <c r="AL13" s="7">
        <f t="shared" si="15"/>
        <v>3.7355107507928958E-3</v>
      </c>
      <c r="AM13" s="384"/>
      <c r="AN13" s="7"/>
      <c r="AO13" s="7">
        <f t="shared" si="16"/>
        <v>56.129036900271025</v>
      </c>
      <c r="AP13" s="7">
        <v>1</v>
      </c>
      <c r="AQ13" s="7">
        <f t="shared" si="0"/>
        <v>5.2414680475979347</v>
      </c>
      <c r="AR13" s="7">
        <v>1</v>
      </c>
      <c r="AS13" s="7">
        <f t="shared" si="1"/>
        <v>42.178750789167708</v>
      </c>
      <c r="AT13" s="7">
        <v>1</v>
      </c>
      <c r="AU13" s="7">
        <f t="shared" si="2"/>
        <v>13.950286111103312</v>
      </c>
      <c r="AV13" s="7">
        <v>1</v>
      </c>
      <c r="AW13" s="7">
        <f t="shared" si="3"/>
        <v>3.735510750792896</v>
      </c>
      <c r="AX13" s="7">
        <v>1</v>
      </c>
      <c r="AY13" s="7">
        <f t="shared" si="17"/>
        <v>8.0471254248125064</v>
      </c>
      <c r="AZ13" s="7">
        <f t="shared" si="18"/>
        <v>2.6615226849463411</v>
      </c>
      <c r="BA13" s="492">
        <f>main!R14</f>
        <v>34.53</v>
      </c>
      <c r="BB13" s="492">
        <v>1</v>
      </c>
      <c r="BC13" s="492">
        <f>main!S14</f>
        <v>8.17</v>
      </c>
      <c r="BD13" s="647">
        <v>1</v>
      </c>
    </row>
    <row r="14" spans="1:56">
      <c r="A14" s="623">
        <v>2017</v>
      </c>
      <c r="B14" s="623" t="s">
        <v>1708</v>
      </c>
      <c r="C14" s="623">
        <v>9</v>
      </c>
      <c r="D14" s="623" t="str">
        <f>main!$B$6</f>
        <v>McLane-PARFLUX-Mark78H-21 ; 14182-01, G250x21</v>
      </c>
      <c r="E14" s="623">
        <v>1000</v>
      </c>
      <c r="F14" s="634">
        <v>1</v>
      </c>
      <c r="G14" s="68">
        <f>main!E15</f>
        <v>99.17142857142855</v>
      </c>
      <c r="H14" s="7">
        <f>main!I15</f>
        <v>12.396428571428569</v>
      </c>
      <c r="I14" s="7">
        <f>main!J15</f>
        <v>4.5277955357142847</v>
      </c>
      <c r="J14" s="7">
        <v>1</v>
      </c>
      <c r="K14" s="7">
        <f>main!AF15</f>
        <v>55.478942926669205</v>
      </c>
      <c r="L14" s="7">
        <f>main!AG15</f>
        <v>6.6572359074893637</v>
      </c>
      <c r="M14" s="370">
        <v>1</v>
      </c>
      <c r="N14" s="7">
        <f>main!M15</f>
        <v>19.85919189453125</v>
      </c>
      <c r="O14" s="370">
        <v>1</v>
      </c>
      <c r="P14" s="7">
        <f>main!O15</f>
        <v>1.8146072626113892</v>
      </c>
      <c r="Q14" s="7">
        <v>1</v>
      </c>
      <c r="R14" s="7">
        <f>main!AH15</f>
        <v>13.201955987041886</v>
      </c>
      <c r="S14" s="370">
        <v>1</v>
      </c>
      <c r="T14" s="7">
        <f>main!AB15</f>
        <v>3.0388913694067679</v>
      </c>
      <c r="U14" s="7">
        <v>1</v>
      </c>
      <c r="V14" s="7">
        <f>main!AC15</f>
        <v>6.5007825698701556</v>
      </c>
      <c r="W14" s="7">
        <f t="shared" si="4"/>
        <v>2.5119731010952044</v>
      </c>
      <c r="X14" s="7">
        <f t="shared" si="5"/>
        <v>0.30142603022127173</v>
      </c>
      <c r="Y14" s="7">
        <f t="shared" si="6"/>
        <v>0.89918360402951902</v>
      </c>
      <c r="Z14" s="7">
        <f t="shared" si="7"/>
        <v>8.2161706627265671E-2</v>
      </c>
      <c r="AA14" s="7">
        <f t="shared" si="8"/>
        <v>0.59775757380824723</v>
      </c>
      <c r="AB14" s="7">
        <f t="shared" si="9"/>
        <v>0.29434214298507327</v>
      </c>
      <c r="AC14" s="161">
        <f>main!T15</f>
        <v>42952</v>
      </c>
      <c r="AD14" s="161">
        <f>main!U15</f>
        <v>42968</v>
      </c>
      <c r="AE14" s="624">
        <f>main!V15</f>
        <v>42960</v>
      </c>
      <c r="AF14" s="623">
        <f>main!H15</f>
        <v>16</v>
      </c>
      <c r="AG14" s="7">
        <f t="shared" si="10"/>
        <v>0.13759478775920633</v>
      </c>
      <c r="AH14" s="7">
        <f t="shared" si="11"/>
        <v>7.4869575689385431E-2</v>
      </c>
      <c r="AI14" s="7">
        <f t="shared" si="12"/>
        <v>5.8645043988055437E-3</v>
      </c>
      <c r="AJ14" s="7">
        <f t="shared" si="13"/>
        <v>4.9771654771710847E-2</v>
      </c>
      <c r="AK14" s="7">
        <f t="shared" si="14"/>
        <v>2.5097920917674581E-2</v>
      </c>
      <c r="AL14" s="7">
        <f t="shared" si="15"/>
        <v>4.8983548508083419E-3</v>
      </c>
      <c r="AM14" s="384"/>
      <c r="AN14" s="7"/>
      <c r="AO14" s="7">
        <f t="shared" si="16"/>
        <v>74.869575689385428</v>
      </c>
      <c r="AP14" s="7">
        <v>1</v>
      </c>
      <c r="AQ14" s="7">
        <f t="shared" si="0"/>
        <v>5.8645043988055434</v>
      </c>
      <c r="AR14" s="7">
        <v>1</v>
      </c>
      <c r="AS14" s="7">
        <f t="shared" si="1"/>
        <v>49.77165477171085</v>
      </c>
      <c r="AT14" s="7">
        <v>1</v>
      </c>
      <c r="AU14" s="7">
        <f t="shared" si="2"/>
        <v>25.097920917674582</v>
      </c>
      <c r="AV14" s="7">
        <v>1</v>
      </c>
      <c r="AW14" s="7">
        <f t="shared" si="3"/>
        <v>4.8983548508083423</v>
      </c>
      <c r="AX14" s="7">
        <v>1</v>
      </c>
      <c r="AY14" s="7">
        <f t="shared" si="17"/>
        <v>8.4869328057539057</v>
      </c>
      <c r="AZ14" s="7">
        <f t="shared" si="18"/>
        <v>4.2796320389471303</v>
      </c>
      <c r="BA14" s="492">
        <f>main!R15</f>
        <v>34.53</v>
      </c>
      <c r="BB14" s="492">
        <v>1</v>
      </c>
      <c r="BC14" s="492">
        <f>main!S15</f>
        <v>8.1000000000000014</v>
      </c>
      <c r="BD14" s="647">
        <v>1</v>
      </c>
    </row>
    <row r="15" spans="1:56">
      <c r="A15" s="623">
        <v>2017</v>
      </c>
      <c r="B15" s="623" t="s">
        <v>1708</v>
      </c>
      <c r="C15" s="623">
        <v>10</v>
      </c>
      <c r="D15" s="623" t="str">
        <f>main!$B$6</f>
        <v>McLane-PARFLUX-Mark78H-21 ; 14182-01, G250x21</v>
      </c>
      <c r="E15" s="623">
        <v>1000</v>
      </c>
      <c r="F15" s="634">
        <v>1</v>
      </c>
      <c r="G15" s="68">
        <f>main!E16</f>
        <v>306.2</v>
      </c>
      <c r="H15" s="7">
        <f>main!I16</f>
        <v>38.274999999999999</v>
      </c>
      <c r="I15" s="7">
        <f>main!J16</f>
        <v>13.97994375</v>
      </c>
      <c r="J15" s="7">
        <v>1</v>
      </c>
      <c r="K15" s="7">
        <f>main!AF16</f>
        <v>54.354782321004315</v>
      </c>
      <c r="L15" s="7">
        <f>main!AG16</f>
        <v>6.5223414420394858</v>
      </c>
      <c r="M15" s="370">
        <v>1</v>
      </c>
      <c r="N15" s="7">
        <f>main!M16</f>
        <v>18.229263305664063</v>
      </c>
      <c r="O15" s="370">
        <v>1</v>
      </c>
      <c r="P15" s="7">
        <f>main!O16</f>
        <v>1.8657491207122803</v>
      </c>
      <c r="Q15" s="7">
        <v>1</v>
      </c>
      <c r="R15" s="7">
        <f>main!AH16</f>
        <v>11.706921863624576</v>
      </c>
      <c r="S15" s="370">
        <v>1</v>
      </c>
      <c r="T15" s="7">
        <f>main!AB16</f>
        <v>4.138064539779629</v>
      </c>
      <c r="U15" s="7">
        <v>1</v>
      </c>
      <c r="V15" s="7">
        <f>main!AC16</f>
        <v>8.852128807239513</v>
      </c>
      <c r="W15" s="7">
        <f t="shared" si="4"/>
        <v>7.5987679939113475</v>
      </c>
      <c r="X15" s="7">
        <f t="shared" si="5"/>
        <v>0.91181966478005905</v>
      </c>
      <c r="Y15" s="7">
        <f t="shared" si="6"/>
        <v>2.5484407561712263</v>
      </c>
      <c r="Z15" s="7">
        <f t="shared" si="7"/>
        <v>0.26083067759169637</v>
      </c>
      <c r="AA15" s="7">
        <f t="shared" si="8"/>
        <v>1.6366210913911674</v>
      </c>
      <c r="AB15" s="7">
        <f t="shared" si="9"/>
        <v>1.2375226279296299</v>
      </c>
      <c r="AC15" s="161">
        <f>main!T16</f>
        <v>42968</v>
      </c>
      <c r="AD15" s="161">
        <f>main!U16</f>
        <v>42984</v>
      </c>
      <c r="AE15" s="624">
        <f>main!V16</f>
        <v>42976</v>
      </c>
      <c r="AF15" s="623">
        <f>main!H16</f>
        <v>16</v>
      </c>
      <c r="AG15" s="7">
        <f t="shared" si="10"/>
        <v>0.5784990949998885</v>
      </c>
      <c r="AH15" s="7">
        <f t="shared" si="11"/>
        <v>0.21219323531817039</v>
      </c>
      <c r="AI15" s="7">
        <f t="shared" si="12"/>
        <v>1.8617464496195314E-2</v>
      </c>
      <c r="AJ15" s="7">
        <f t="shared" si="13"/>
        <v>0.13627153133981409</v>
      </c>
      <c r="AK15" s="7">
        <f t="shared" si="14"/>
        <v>7.5921703978356292E-2</v>
      </c>
      <c r="AL15" s="7">
        <f t="shared" si="15"/>
        <v>2.0594485404054414E-2</v>
      </c>
      <c r="AM15" s="384"/>
      <c r="AN15" s="7"/>
      <c r="AO15" s="7">
        <f t="shared" si="16"/>
        <v>212.19323531817039</v>
      </c>
      <c r="AP15" s="7">
        <v>1</v>
      </c>
      <c r="AQ15" s="7">
        <f t="shared" si="0"/>
        <v>18.617464496195314</v>
      </c>
      <c r="AR15" s="7">
        <v>1</v>
      </c>
      <c r="AS15" s="7">
        <f t="shared" si="1"/>
        <v>136.27153133981409</v>
      </c>
      <c r="AT15" s="7">
        <v>1</v>
      </c>
      <c r="AU15" s="7">
        <f t="shared" si="2"/>
        <v>75.921703978356291</v>
      </c>
      <c r="AV15" s="7">
        <v>1</v>
      </c>
      <c r="AW15" s="7">
        <f t="shared" si="3"/>
        <v>20.594485404054414</v>
      </c>
      <c r="AX15" s="7">
        <v>1</v>
      </c>
      <c r="AY15" s="7">
        <f t="shared" si="17"/>
        <v>7.3195537108537359</v>
      </c>
      <c r="AZ15" s="7">
        <f t="shared" si="18"/>
        <v>4.0779830139529327</v>
      </c>
      <c r="BA15" s="492">
        <f>main!R16</f>
        <v>36.664999999999999</v>
      </c>
      <c r="BB15" s="492">
        <v>1</v>
      </c>
      <c r="BC15" s="492">
        <f>main!S16</f>
        <v>8.2832499999999989</v>
      </c>
      <c r="BD15" s="647">
        <v>1</v>
      </c>
    </row>
    <row r="16" spans="1:56">
      <c r="A16" s="623">
        <v>2017</v>
      </c>
      <c r="B16" s="623" t="s">
        <v>1708</v>
      </c>
      <c r="C16" s="623">
        <v>11</v>
      </c>
      <c r="D16" s="623" t="str">
        <f>main!$B$6</f>
        <v>McLane-PARFLUX-Mark78H-21 ; 14182-01, G250x21</v>
      </c>
      <c r="E16" s="623">
        <v>1000</v>
      </c>
      <c r="F16" s="634">
        <v>1</v>
      </c>
      <c r="G16" s="68">
        <f>main!E17</f>
        <v>394.55714285714288</v>
      </c>
      <c r="H16" s="7">
        <f>main!I17</f>
        <v>49.31964285714286</v>
      </c>
      <c r="I16" s="7">
        <f>main!J17</f>
        <v>18.013999553571431</v>
      </c>
      <c r="J16" s="7">
        <v>1</v>
      </c>
      <c r="K16" s="7">
        <f>main!AF17</f>
        <v>59.303921881604623</v>
      </c>
      <c r="L16" s="7">
        <f>main!AG17</f>
        <v>7.1162170253856543</v>
      </c>
      <c r="M16" s="370">
        <v>1</v>
      </c>
      <c r="N16" s="7">
        <f>main!M17</f>
        <v>16.883222579956055</v>
      </c>
      <c r="O16" s="370">
        <v>1</v>
      </c>
      <c r="P16" s="7">
        <f>main!O17</f>
        <v>1.5396265983581543</v>
      </c>
      <c r="Q16" s="7">
        <v>1</v>
      </c>
      <c r="R16" s="7">
        <f>main!AH17</f>
        <v>9.7670055545703995</v>
      </c>
      <c r="S16" s="370">
        <v>1</v>
      </c>
      <c r="T16" s="7">
        <f>main!AB17</f>
        <v>4.293440630995522</v>
      </c>
      <c r="U16" s="7">
        <v>1</v>
      </c>
      <c r="V16" s="7">
        <f>main!AC17</f>
        <v>9.1845086335536106</v>
      </c>
      <c r="W16" s="7">
        <f t="shared" si="4"/>
        <v>10.683008223002608</v>
      </c>
      <c r="X16" s="7">
        <f t="shared" si="5"/>
        <v>1.2819153031841459</v>
      </c>
      <c r="Y16" s="7">
        <f t="shared" si="6"/>
        <v>3.0413436401817551</v>
      </c>
      <c r="Z16" s="7">
        <f t="shared" si="7"/>
        <v>0.27734832855490493</v>
      </c>
      <c r="AA16" s="7">
        <f t="shared" si="8"/>
        <v>1.7594283369976087</v>
      </c>
      <c r="AB16" s="7">
        <f t="shared" si="9"/>
        <v>1.6544973442460769</v>
      </c>
      <c r="AC16" s="161">
        <f>main!T17</f>
        <v>42984</v>
      </c>
      <c r="AD16" s="161">
        <f>main!U17</f>
        <v>43000</v>
      </c>
      <c r="AE16" s="624">
        <f>main!V17</f>
        <v>42992</v>
      </c>
      <c r="AF16" s="623">
        <f>main!H17</f>
        <v>16</v>
      </c>
      <c r="AG16" s="7">
        <f t="shared" si="10"/>
        <v>0.77342037610038783</v>
      </c>
      <c r="AH16" s="7">
        <f t="shared" si="11"/>
        <v>0.25323427478615779</v>
      </c>
      <c r="AI16" s="7">
        <f t="shared" si="12"/>
        <v>1.9796454572084579E-2</v>
      </c>
      <c r="AJ16" s="7">
        <f t="shared" si="13"/>
        <v>0.14649694729372262</v>
      </c>
      <c r="AK16" s="7">
        <f t="shared" si="14"/>
        <v>0.10673732749243513</v>
      </c>
      <c r="AL16" s="7">
        <f t="shared" si="15"/>
        <v>2.7533655254552789E-2</v>
      </c>
      <c r="AM16" s="384"/>
      <c r="AN16" s="7"/>
      <c r="AO16" s="7">
        <f t="shared" si="16"/>
        <v>253.23427478615778</v>
      </c>
      <c r="AP16" s="7">
        <v>1</v>
      </c>
      <c r="AQ16" s="7">
        <f t="shared" si="0"/>
        <v>19.796454572084578</v>
      </c>
      <c r="AR16" s="7">
        <v>1</v>
      </c>
      <c r="AS16" s="7">
        <f t="shared" si="1"/>
        <v>146.49694729372263</v>
      </c>
      <c r="AT16" s="7">
        <v>1</v>
      </c>
      <c r="AU16" s="7">
        <f t="shared" si="2"/>
        <v>106.73732749243513</v>
      </c>
      <c r="AV16" s="7">
        <v>1</v>
      </c>
      <c r="AW16" s="7">
        <f t="shared" si="3"/>
        <v>27.533655254552791</v>
      </c>
      <c r="AX16" s="7">
        <v>1</v>
      </c>
      <c r="AY16" s="7">
        <f t="shared" si="17"/>
        <v>7.4001608096179625</v>
      </c>
      <c r="AZ16" s="7">
        <f t="shared" si="18"/>
        <v>5.3917395715366032</v>
      </c>
      <c r="BA16" s="492">
        <f>main!R17</f>
        <v>36.33</v>
      </c>
      <c r="BB16" s="492">
        <v>1</v>
      </c>
      <c r="BC16" s="492">
        <f>main!S17</f>
        <v>8.2564999999999991</v>
      </c>
      <c r="BD16" s="647">
        <v>1</v>
      </c>
    </row>
    <row r="17" spans="1:56">
      <c r="A17" s="623">
        <v>2017</v>
      </c>
      <c r="B17" s="623" t="s">
        <v>1708</v>
      </c>
      <c r="C17" s="623">
        <v>12</v>
      </c>
      <c r="D17" s="623" t="str">
        <f>main!$B$6</f>
        <v>McLane-PARFLUX-Mark78H-21 ; 14182-01, G250x21</v>
      </c>
      <c r="E17" s="623">
        <v>1000</v>
      </c>
      <c r="F17" s="634">
        <v>1</v>
      </c>
      <c r="G17" s="68">
        <f>main!E18</f>
        <v>146.32499999999999</v>
      </c>
      <c r="H17" s="7">
        <f>main!I18</f>
        <v>18.290624999999999</v>
      </c>
      <c r="I17" s="7">
        <f>main!J18</f>
        <v>6.6806507812499998</v>
      </c>
      <c r="J17" s="7">
        <v>1</v>
      </c>
      <c r="K17" s="7">
        <f>main!AF18</f>
        <v>66.301771468052848</v>
      </c>
      <c r="L17" s="7">
        <f>main!AG18</f>
        <v>7.955929050967856</v>
      </c>
      <c r="M17" s="370">
        <v>1</v>
      </c>
      <c r="N17" s="7">
        <f>main!M18</f>
        <v>17.212553024291992</v>
      </c>
      <c r="O17" s="370">
        <v>3</v>
      </c>
      <c r="P17" s="7">
        <f>main!O18</f>
        <v>1.4914951324462891</v>
      </c>
      <c r="Q17" s="7">
        <v>3</v>
      </c>
      <c r="R17" s="7">
        <f>main!AH18</f>
        <v>9.2566239733241353</v>
      </c>
      <c r="S17" s="370">
        <v>3</v>
      </c>
      <c r="T17" s="7">
        <f>main!AB18</f>
        <v>2.3758487203459158</v>
      </c>
      <c r="U17" s="7">
        <v>1</v>
      </c>
      <c r="V17" s="7">
        <f>main!AC18</f>
        <v>5.0824047563398391</v>
      </c>
      <c r="W17" s="7">
        <f t="shared" si="4"/>
        <v>4.4293898135630618</v>
      </c>
      <c r="X17" s="7">
        <f t="shared" si="5"/>
        <v>0.53150783629917975</v>
      </c>
      <c r="Y17" s="7">
        <f t="shared" si="6"/>
        <v>1.1499105580904334</v>
      </c>
      <c r="Z17" s="7">
        <f t="shared" si="7"/>
        <v>9.9641581218078729E-2</v>
      </c>
      <c r="AA17" s="7">
        <f t="shared" si="8"/>
        <v>0.61840272179125355</v>
      </c>
      <c r="AB17" s="7">
        <f t="shared" si="9"/>
        <v>0.33953771306070463</v>
      </c>
      <c r="AC17" s="161">
        <f>main!T18</f>
        <v>43000</v>
      </c>
      <c r="AD17" s="161">
        <f>main!U18</f>
        <v>43016</v>
      </c>
      <c r="AE17" s="624">
        <f>main!V18</f>
        <v>43008</v>
      </c>
      <c r="AF17" s="623">
        <f>main!H18</f>
        <v>16</v>
      </c>
      <c r="AG17" s="7">
        <f t="shared" si="10"/>
        <v>0.15872215609710755</v>
      </c>
      <c r="AH17" s="7">
        <f t="shared" si="11"/>
        <v>9.5746091431343328E-2</v>
      </c>
      <c r="AI17" s="7">
        <f t="shared" si="12"/>
        <v>7.1121756758086175E-3</v>
      </c>
      <c r="AJ17" s="7">
        <f t="shared" si="13"/>
        <v>5.149065127321012E-2</v>
      </c>
      <c r="AK17" s="7">
        <f t="shared" si="14"/>
        <v>4.4255440158133201E-2</v>
      </c>
      <c r="AL17" s="7">
        <f t="shared" si="15"/>
        <v>5.6504861551124079E-3</v>
      </c>
      <c r="AM17" s="384"/>
      <c r="AN17" s="7"/>
      <c r="AO17" s="7">
        <f t="shared" si="16"/>
        <v>95.746091431343331</v>
      </c>
      <c r="AP17" s="7">
        <v>3</v>
      </c>
      <c r="AQ17" s="7">
        <f t="shared" si="0"/>
        <v>7.1121756758086176</v>
      </c>
      <c r="AR17" s="7">
        <v>3</v>
      </c>
      <c r="AS17" s="7">
        <f t="shared" si="1"/>
        <v>51.490651273210119</v>
      </c>
      <c r="AT17" s="7">
        <v>3</v>
      </c>
      <c r="AU17" s="7">
        <f t="shared" si="2"/>
        <v>44.255440158133204</v>
      </c>
      <c r="AV17" s="7">
        <v>1</v>
      </c>
      <c r="AW17" s="7">
        <f t="shared" si="3"/>
        <v>5.6504861551124081</v>
      </c>
      <c r="AX17" s="7">
        <v>1</v>
      </c>
      <c r="AY17" s="7">
        <f t="shared" si="17"/>
        <v>7.2397890069491142</v>
      </c>
      <c r="AZ17" s="7">
        <f t="shared" si="18"/>
        <v>6.2224897380788597</v>
      </c>
      <c r="BA17" s="492">
        <f>main!R18</f>
        <v>35.26</v>
      </c>
      <c r="BB17" s="492">
        <v>1</v>
      </c>
      <c r="BC17" s="492">
        <f>main!S18</f>
        <v>8.1829999999999998</v>
      </c>
      <c r="BD17" s="647">
        <v>1</v>
      </c>
    </row>
    <row r="18" spans="1:56">
      <c r="A18" s="623">
        <v>2017</v>
      </c>
      <c r="B18" s="623" t="s">
        <v>1708</v>
      </c>
      <c r="C18" s="623">
        <v>13</v>
      </c>
      <c r="D18" s="623" t="str">
        <f>main!$B$6</f>
        <v>McLane-PARFLUX-Mark78H-21 ; 14182-01, G250x21</v>
      </c>
      <c r="E18" s="623">
        <v>1000</v>
      </c>
      <c r="F18" s="634">
        <v>1</v>
      </c>
      <c r="G18" s="68">
        <f>main!E19</f>
        <v>69.414285714285725</v>
      </c>
      <c r="H18" s="7">
        <f>main!I19</f>
        <v>8.6767857142857157</v>
      </c>
      <c r="I18" s="7">
        <f>main!J19</f>
        <v>3.1691959821428579</v>
      </c>
      <c r="J18" s="7">
        <v>1</v>
      </c>
      <c r="K18" s="7">
        <f>main!AF19</f>
        <v>72.327769181092194</v>
      </c>
      <c r="L18" s="7">
        <f>main!AG19</f>
        <v>8.6790230076555197</v>
      </c>
      <c r="M18" s="370">
        <v>1</v>
      </c>
      <c r="N18" s="7">
        <f>main!M19</f>
        <v>17.991422653198242</v>
      </c>
      <c r="O18" s="370">
        <v>3</v>
      </c>
      <c r="P18" s="7">
        <f>main!O19</f>
        <v>1.2122423648834229</v>
      </c>
      <c r="Q18" s="7">
        <v>1</v>
      </c>
      <c r="R18" s="7">
        <f>main!AH19</f>
        <v>9.3123996455427225</v>
      </c>
      <c r="S18" s="370">
        <v>3</v>
      </c>
      <c r="T18" s="7">
        <f>main!AB19</f>
        <v>1.7896689845514175</v>
      </c>
      <c r="U18" s="7">
        <v>1</v>
      </c>
      <c r="V18" s="7">
        <f>main!AC19</f>
        <v>3.8284517366213846</v>
      </c>
      <c r="W18" s="7">
        <f t="shared" si="4"/>
        <v>2.2922087548607339</v>
      </c>
      <c r="X18" s="7">
        <f t="shared" si="5"/>
        <v>0.27505524844787299</v>
      </c>
      <c r="Y18" s="7">
        <f t="shared" si="6"/>
        <v>0.57018344385549868</v>
      </c>
      <c r="Z18" s="7">
        <f t="shared" si="7"/>
        <v>3.8418336321718996E-2</v>
      </c>
      <c r="AA18" s="7">
        <f t="shared" si="8"/>
        <v>0.29512819540762569</v>
      </c>
      <c r="AB18" s="7">
        <f t="shared" si="9"/>
        <v>0.1213311386152834</v>
      </c>
      <c r="AC18" s="161">
        <f>main!T19</f>
        <v>43016</v>
      </c>
      <c r="AD18" s="161">
        <f>main!U19</f>
        <v>43032</v>
      </c>
      <c r="AE18" s="624">
        <f>main!V19</f>
        <v>43024</v>
      </c>
      <c r="AF18" s="623">
        <f>main!H19</f>
        <v>16</v>
      </c>
      <c r="AG18" s="7">
        <f t="shared" si="10"/>
        <v>5.671811755206041E-2</v>
      </c>
      <c r="AH18" s="7">
        <f t="shared" si="11"/>
        <v>4.7475723884720954E-2</v>
      </c>
      <c r="AI18" s="7">
        <f t="shared" si="12"/>
        <v>2.7422081600084938E-3</v>
      </c>
      <c r="AJ18" s="7">
        <f t="shared" si="13"/>
        <v>2.4573538335356013E-2</v>
      </c>
      <c r="AK18" s="7">
        <f t="shared" si="14"/>
        <v>2.2902185549364944E-2</v>
      </c>
      <c r="AL18" s="7">
        <f t="shared" si="15"/>
        <v>2.0191569082257175E-3</v>
      </c>
      <c r="AM18" s="384"/>
      <c r="AN18" s="7"/>
      <c r="AO18" s="7">
        <f t="shared" si="16"/>
        <v>47.475723884720956</v>
      </c>
      <c r="AP18" s="7">
        <v>3</v>
      </c>
      <c r="AQ18" s="7">
        <f t="shared" si="0"/>
        <v>2.7422081600084938</v>
      </c>
      <c r="AR18" s="7">
        <v>1</v>
      </c>
      <c r="AS18" s="7">
        <f t="shared" si="1"/>
        <v>24.573538335356012</v>
      </c>
      <c r="AT18" s="7">
        <v>3</v>
      </c>
      <c r="AU18" s="7">
        <f t="shared" si="2"/>
        <v>22.902185549364944</v>
      </c>
      <c r="AV18" s="7">
        <v>1</v>
      </c>
      <c r="AW18" s="7">
        <f t="shared" si="3"/>
        <v>2.0191569082257175</v>
      </c>
      <c r="AX18" s="7">
        <v>1</v>
      </c>
      <c r="AY18" s="7">
        <f t="shared" si="17"/>
        <v>8.9612228180664069</v>
      </c>
      <c r="AZ18" s="7">
        <f t="shared" si="18"/>
        <v>8.3517312373886323</v>
      </c>
      <c r="BA18" s="492">
        <f>main!R19</f>
        <v>34.520000000000003</v>
      </c>
      <c r="BB18" s="492">
        <v>1</v>
      </c>
      <c r="BC18" s="492">
        <f>main!S19</f>
        <v>7.9909999999999997</v>
      </c>
      <c r="BD18" s="647">
        <v>1</v>
      </c>
    </row>
    <row r="19" spans="1:56">
      <c r="A19" s="623">
        <v>2017</v>
      </c>
      <c r="B19" s="623" t="s">
        <v>1708</v>
      </c>
      <c r="C19" s="623">
        <v>14</v>
      </c>
      <c r="D19" s="623" t="str">
        <f>main!$B$6</f>
        <v>McLane-PARFLUX-Mark78H-21 ; 14182-01, G250x21</v>
      </c>
      <c r="E19" s="623">
        <v>1000</v>
      </c>
      <c r="F19" s="634">
        <v>1</v>
      </c>
      <c r="G19" s="68">
        <f>main!E20</f>
        <v>810.38571428571436</v>
      </c>
      <c r="H19" s="7">
        <f>main!I20</f>
        <v>101.29821428571429</v>
      </c>
      <c r="I19" s="7">
        <f>main!J20</f>
        <v>36.999172767857146</v>
      </c>
      <c r="J19" s="7">
        <v>1</v>
      </c>
      <c r="K19" s="7">
        <f>main!AF20</f>
        <v>69.839214993955054</v>
      </c>
      <c r="L19" s="7">
        <f>main!AG20</f>
        <v>8.3804071469632895</v>
      </c>
      <c r="M19" s="370">
        <v>1</v>
      </c>
      <c r="N19" s="7">
        <f>main!M20</f>
        <v>16.28987979888916</v>
      </c>
      <c r="O19" s="370">
        <v>3</v>
      </c>
      <c r="P19" s="7">
        <f>main!O20</f>
        <v>1.0880199670791626</v>
      </c>
      <c r="Q19" s="7">
        <v>1</v>
      </c>
      <c r="R19" s="7">
        <f>main!AH20</f>
        <v>7.9094726519258707</v>
      </c>
      <c r="S19" s="370">
        <v>3</v>
      </c>
      <c r="T19" s="7">
        <f>main!AB20</f>
        <v>2.9930692385176418</v>
      </c>
      <c r="U19" s="7">
        <v>1</v>
      </c>
      <c r="V19" s="7">
        <f>main!AC20</f>
        <v>6.402760076273589</v>
      </c>
      <c r="W19" s="7">
        <f t="shared" si="4"/>
        <v>25.839931815328626</v>
      </c>
      <c r="X19" s="7">
        <f t="shared" si="5"/>
        <v>3.1006813189547953</v>
      </c>
      <c r="Y19" s="7">
        <f t="shared" si="6"/>
        <v>6.0271207704672607</v>
      </c>
      <c r="Z19" s="7">
        <f t="shared" si="7"/>
        <v>0.40255838736840183</v>
      </c>
      <c r="AA19" s="7">
        <f t="shared" si="8"/>
        <v>2.9264394515124654</v>
      </c>
      <c r="AB19" s="7">
        <f t="shared" si="9"/>
        <v>2.3689682625318471</v>
      </c>
      <c r="AC19" s="161">
        <f>main!T20</f>
        <v>43032</v>
      </c>
      <c r="AD19" s="161">
        <f>main!U20</f>
        <v>43048</v>
      </c>
      <c r="AE19" s="624">
        <f>main!V20</f>
        <v>43040</v>
      </c>
      <c r="AF19" s="623">
        <f>main!H20</f>
        <v>16</v>
      </c>
      <c r="AG19" s="7">
        <f t="shared" si="10"/>
        <v>1.1074108586207285</v>
      </c>
      <c r="AH19" s="7">
        <f t="shared" si="11"/>
        <v>0.50184186265339392</v>
      </c>
      <c r="AI19" s="7">
        <f t="shared" si="12"/>
        <v>2.8733646493105055E-2</v>
      </c>
      <c r="AJ19" s="7">
        <f t="shared" si="13"/>
        <v>0.24366689854391885</v>
      </c>
      <c r="AK19" s="7">
        <f t="shared" si="14"/>
        <v>0.25817496410947505</v>
      </c>
      <c r="AL19" s="7">
        <f t="shared" si="15"/>
        <v>3.9423668872222449E-2</v>
      </c>
      <c r="AM19" s="384"/>
      <c r="AN19" s="7"/>
      <c r="AO19" s="7">
        <f t="shared" si="16"/>
        <v>501.84186265339395</v>
      </c>
      <c r="AP19" s="7">
        <v>3</v>
      </c>
      <c r="AQ19" s="7">
        <f t="shared" si="0"/>
        <v>28.733646493105056</v>
      </c>
      <c r="AR19" s="7">
        <v>1</v>
      </c>
      <c r="AS19" s="7">
        <f t="shared" si="1"/>
        <v>243.66689854391885</v>
      </c>
      <c r="AT19" s="7">
        <v>3</v>
      </c>
      <c r="AU19" s="7">
        <f t="shared" si="2"/>
        <v>258.17496410947507</v>
      </c>
      <c r="AV19" s="7">
        <v>1</v>
      </c>
      <c r="AW19" s="7">
        <f t="shared" si="3"/>
        <v>39.42366887222245</v>
      </c>
      <c r="AX19" s="7">
        <v>1</v>
      </c>
      <c r="AY19" s="7">
        <f t="shared" si="17"/>
        <v>8.4801940680375996</v>
      </c>
      <c r="AZ19" s="7">
        <f t="shared" si="18"/>
        <v>8.9851096404150059</v>
      </c>
      <c r="BA19" s="492">
        <f>main!R20</f>
        <v>35.57</v>
      </c>
      <c r="BB19" s="492">
        <v>1</v>
      </c>
      <c r="BC19" s="492">
        <f>main!S20</f>
        <v>8.0790000000000006</v>
      </c>
      <c r="BD19" s="647">
        <v>1</v>
      </c>
    </row>
    <row r="20" spans="1:56" s="181" customFormat="1">
      <c r="A20" s="181">
        <v>2017</v>
      </c>
      <c r="B20" s="181" t="s">
        <v>1708</v>
      </c>
      <c r="C20" s="181">
        <v>15</v>
      </c>
      <c r="D20" s="181" t="str">
        <f>main!$B$6</f>
        <v>McLane-PARFLUX-Mark78H-21 ; 14182-01, G250x21</v>
      </c>
      <c r="E20" s="181">
        <v>1000</v>
      </c>
      <c r="F20" s="634">
        <v>1</v>
      </c>
      <c r="G20" s="467">
        <f>main!E21</f>
        <v>1575.3999999999996</v>
      </c>
      <c r="H20" s="468">
        <f>main!I21</f>
        <v>196.92499999999995</v>
      </c>
      <c r="I20" s="468">
        <f>main!J21</f>
        <v>71.926856249999986</v>
      </c>
      <c r="J20" s="468">
        <v>3</v>
      </c>
      <c r="K20" s="468">
        <f>main!AF21</f>
        <v>62.261150448006894</v>
      </c>
      <c r="L20" s="468">
        <f>main!AG21</f>
        <v>7.4710718074049929</v>
      </c>
      <c r="M20" s="370">
        <v>1</v>
      </c>
      <c r="N20" s="468">
        <f>main!M21</f>
        <v>14.937230110168457</v>
      </c>
      <c r="O20" s="370">
        <v>1</v>
      </c>
      <c r="P20" s="468">
        <f>main!O21</f>
        <v>1.0511832237243652</v>
      </c>
      <c r="Q20" s="468">
        <v>1</v>
      </c>
      <c r="R20" s="468">
        <f>main!AH21</f>
        <v>7.4661583027634641</v>
      </c>
      <c r="S20" s="370">
        <v>1</v>
      </c>
      <c r="T20" s="468">
        <f>main!AB21</f>
        <v>6.5274207101611639</v>
      </c>
      <c r="U20" s="468">
        <v>1</v>
      </c>
      <c r="V20" s="468">
        <f>main!AC21</f>
        <v>13.963428639145048</v>
      </c>
      <c r="W20" s="471">
        <f t="shared" si="4"/>
        <v>44.782488182334141</v>
      </c>
      <c r="X20" s="471">
        <f t="shared" si="5"/>
        <v>5.373707079246465</v>
      </c>
      <c r="Y20" s="471">
        <f t="shared" si="6"/>
        <v>10.74388002907258</v>
      </c>
      <c r="Z20" s="468">
        <f t="shared" si="7"/>
        <v>0.75608304625233991</v>
      </c>
      <c r="AA20" s="468">
        <f t="shared" si="8"/>
        <v>5.3701729498261157</v>
      </c>
      <c r="AB20" s="468">
        <f t="shared" si="9"/>
        <v>10.043455244849188</v>
      </c>
      <c r="AC20" s="469">
        <f>main!T21</f>
        <v>43048</v>
      </c>
      <c r="AD20" s="469">
        <f>main!U21</f>
        <v>43064</v>
      </c>
      <c r="AE20" s="470">
        <f>main!V21</f>
        <v>43056</v>
      </c>
      <c r="AF20" s="181">
        <f>main!H21</f>
        <v>16</v>
      </c>
      <c r="AG20" s="468">
        <f t="shared" si="10"/>
        <v>4.6949685110303481</v>
      </c>
      <c r="AH20" s="468">
        <f t="shared" si="11"/>
        <v>0.89457785421087266</v>
      </c>
      <c r="AI20" s="468">
        <f t="shared" si="12"/>
        <v>5.3967383743921481E-2</v>
      </c>
      <c r="AJ20" s="468">
        <f t="shared" si="13"/>
        <v>0.44714179432357332</v>
      </c>
      <c r="AK20" s="468">
        <f t="shared" si="14"/>
        <v>0.44743605988729934</v>
      </c>
      <c r="AL20" s="468">
        <f t="shared" si="15"/>
        <v>0.16714021043183866</v>
      </c>
      <c r="AM20" s="384"/>
      <c r="AN20" s="468"/>
      <c r="AO20" s="468">
        <f t="shared" si="16"/>
        <v>894.5778542108726</v>
      </c>
      <c r="AP20" s="468">
        <v>3</v>
      </c>
      <c r="AQ20" s="468">
        <f t="shared" si="0"/>
        <v>53.967383743921481</v>
      </c>
      <c r="AR20" s="468">
        <v>3</v>
      </c>
      <c r="AS20" s="468">
        <f t="shared" si="1"/>
        <v>447.14179432357332</v>
      </c>
      <c r="AT20" s="468">
        <v>3</v>
      </c>
      <c r="AU20" s="468">
        <f t="shared" si="2"/>
        <v>447.43605988729934</v>
      </c>
      <c r="AV20" s="468">
        <v>3</v>
      </c>
      <c r="AW20" s="468">
        <f t="shared" si="3"/>
        <v>167.14021043183865</v>
      </c>
      <c r="AX20" s="468">
        <v>3</v>
      </c>
      <c r="AY20" s="7">
        <f t="shared" si="17"/>
        <v>8.2854080243224004</v>
      </c>
      <c r="AZ20" s="7">
        <f t="shared" si="18"/>
        <v>8.2908606800435365</v>
      </c>
      <c r="BA20" s="492">
        <f>main!R21</f>
        <v>36.29</v>
      </c>
      <c r="BB20" s="492">
        <v>1</v>
      </c>
      <c r="BC20" s="492">
        <f>main!S21</f>
        <v>7.9675000000000002</v>
      </c>
      <c r="BD20" s="647">
        <v>1</v>
      </c>
    </row>
    <row r="21" spans="1:56">
      <c r="A21" s="623">
        <v>2017</v>
      </c>
      <c r="B21" s="623" t="s">
        <v>1708</v>
      </c>
      <c r="C21" s="623">
        <v>16</v>
      </c>
      <c r="D21" s="623" t="str">
        <f>main!$B$6</f>
        <v>McLane-PARFLUX-Mark78H-21 ; 14182-01, G250x21</v>
      </c>
      <c r="E21" s="623">
        <v>1000</v>
      </c>
      <c r="F21" s="634">
        <v>1</v>
      </c>
      <c r="G21" s="68">
        <f>main!E22</f>
        <v>952.48571428571427</v>
      </c>
      <c r="H21" s="7">
        <f>main!I22</f>
        <v>119.06071428571428</v>
      </c>
      <c r="I21" s="7">
        <f>main!J22</f>
        <v>43.486925892857144</v>
      </c>
      <c r="J21" s="7">
        <v>1</v>
      </c>
      <c r="K21" s="7">
        <f>main!AF22</f>
        <v>57.352811376047796</v>
      </c>
      <c r="L21" s="7">
        <f>main!AG22</f>
        <v>6.882092108221296</v>
      </c>
      <c r="M21" s="370">
        <v>1</v>
      </c>
      <c r="N21" s="7">
        <f>main!M22</f>
        <v>17.920364379882813</v>
      </c>
      <c r="O21" s="370">
        <v>1</v>
      </c>
      <c r="P21" s="7">
        <f>main!O22</f>
        <v>1.6451433897018433</v>
      </c>
      <c r="Q21" s="7">
        <v>1</v>
      </c>
      <c r="R21" s="7">
        <f>main!AH22</f>
        <v>11.038272271661516</v>
      </c>
      <c r="S21" s="370">
        <v>1</v>
      </c>
      <c r="T21" s="7">
        <f>main!AB22</f>
        <v>5.2270639849856826</v>
      </c>
      <c r="U21" s="7">
        <v>1</v>
      </c>
      <c r="V21" s="7">
        <f>main!AC22</f>
        <v>11.181711458091479</v>
      </c>
      <c r="W21" s="7">
        <f t="shared" si="4"/>
        <v>24.940974580572046</v>
      </c>
      <c r="X21" s="7">
        <f t="shared" si="5"/>
        <v>2.992810294980365</v>
      </c>
      <c r="Y21" s="7">
        <f t="shared" si="6"/>
        <v>7.7930155776096077</v>
      </c>
      <c r="Z21" s="7">
        <f t="shared" si="7"/>
        <v>0.7154222867108786</v>
      </c>
      <c r="AA21" s="7">
        <f t="shared" si="8"/>
        <v>4.8002052826292418</v>
      </c>
      <c r="AB21" s="7">
        <f t="shared" si="9"/>
        <v>4.8625825753333576</v>
      </c>
      <c r="AC21" s="161">
        <f>main!T22</f>
        <v>43064</v>
      </c>
      <c r="AD21" s="161">
        <f>main!U22</f>
        <v>43080</v>
      </c>
      <c r="AE21" s="624">
        <f>main!V22</f>
        <v>43072</v>
      </c>
      <c r="AF21" s="623">
        <f>main!H22</f>
        <v>16</v>
      </c>
      <c r="AG21" s="7">
        <f t="shared" si="10"/>
        <v>2.273089441522949</v>
      </c>
      <c r="AH21" s="7">
        <f t="shared" si="11"/>
        <v>0.64887723377265683</v>
      </c>
      <c r="AI21" s="7">
        <f t="shared" si="12"/>
        <v>5.1065116824473851E-2</v>
      </c>
      <c r="AJ21" s="7">
        <f t="shared" si="13"/>
        <v>0.3996840368550576</v>
      </c>
      <c r="AK21" s="7">
        <f t="shared" si="14"/>
        <v>0.24919319691759909</v>
      </c>
      <c r="AL21" s="7">
        <f t="shared" si="15"/>
        <v>8.0921660431575254E-2</v>
      </c>
      <c r="AM21" s="384"/>
      <c r="AN21" s="7"/>
      <c r="AO21" s="7">
        <f t="shared" si="16"/>
        <v>648.87723377265684</v>
      </c>
      <c r="AP21" s="7">
        <v>1</v>
      </c>
      <c r="AQ21" s="7">
        <f t="shared" si="0"/>
        <v>51.065116824473854</v>
      </c>
      <c r="AR21" s="7">
        <v>1</v>
      </c>
      <c r="AS21" s="7">
        <f t="shared" si="1"/>
        <v>399.68403685505763</v>
      </c>
      <c r="AT21" s="7">
        <v>1</v>
      </c>
      <c r="AU21" s="7">
        <f t="shared" si="2"/>
        <v>249.1931969175991</v>
      </c>
      <c r="AV21" s="7">
        <v>1</v>
      </c>
      <c r="AW21" s="7">
        <f t="shared" si="3"/>
        <v>80.921660431575248</v>
      </c>
      <c r="AX21" s="7">
        <v>1</v>
      </c>
      <c r="AY21" s="7">
        <f t="shared" si="17"/>
        <v>7.8269484475849085</v>
      </c>
      <c r="AZ21" s="7">
        <f t="shared" si="18"/>
        <v>4.8799104440346426</v>
      </c>
      <c r="BA21" s="492">
        <f>main!R22</f>
        <v>36.03</v>
      </c>
      <c r="BB21" s="492">
        <v>1</v>
      </c>
      <c r="BC21" s="492">
        <f>main!S22</f>
        <v>7.915</v>
      </c>
      <c r="BD21" s="647">
        <v>1</v>
      </c>
    </row>
    <row r="22" spans="1:56">
      <c r="A22" s="623">
        <v>2017</v>
      </c>
      <c r="B22" s="623" t="s">
        <v>1708</v>
      </c>
      <c r="C22" s="623">
        <v>17</v>
      </c>
      <c r="D22" s="623" t="str">
        <f>main!$B$6</f>
        <v>McLane-PARFLUX-Mark78H-21 ; 14182-01, G250x21</v>
      </c>
      <c r="E22" s="623">
        <v>1000</v>
      </c>
      <c r="F22" s="634">
        <v>1</v>
      </c>
      <c r="G22" s="68">
        <f>main!E23</f>
        <v>659.71428571428578</v>
      </c>
      <c r="H22" s="7">
        <f>main!I23</f>
        <v>82.464285714285722</v>
      </c>
      <c r="I22" s="7">
        <f>main!J23</f>
        <v>30.120080357142861</v>
      </c>
      <c r="J22" s="7">
        <v>1</v>
      </c>
      <c r="K22" s="7">
        <f>main!AF23</f>
        <v>44.746647791975761</v>
      </c>
      <c r="L22" s="7">
        <f>main!AG23</f>
        <v>5.3694063856671441</v>
      </c>
      <c r="M22" s="370">
        <v>1</v>
      </c>
      <c r="N22" s="7">
        <f>main!M23</f>
        <v>18.623369216918945</v>
      </c>
      <c r="O22" s="370">
        <v>1</v>
      </c>
      <c r="P22" s="7">
        <f>main!O23</f>
        <v>2.0448958873748779</v>
      </c>
      <c r="Q22" s="7">
        <v>1</v>
      </c>
      <c r="R22" s="7">
        <f>main!AH23</f>
        <v>13.253962831251801</v>
      </c>
      <c r="S22" s="370">
        <v>1</v>
      </c>
      <c r="T22" s="7">
        <f>main!AB23</f>
        <v>6.8060056071233568</v>
      </c>
      <c r="U22" s="7">
        <v>1</v>
      </c>
      <c r="V22" s="7">
        <f>main!AC23</f>
        <v>14.55937618127599</v>
      </c>
      <c r="W22" s="7">
        <f t="shared" si="4"/>
        <v>13.477726272070791</v>
      </c>
      <c r="X22" s="7">
        <f t="shared" si="5"/>
        <v>1.617269518064504</v>
      </c>
      <c r="Y22" s="7">
        <f t="shared" si="6"/>
        <v>5.6093737733433935</v>
      </c>
      <c r="Z22" s="7">
        <f t="shared" si="7"/>
        <v>0.61592428449722281</v>
      </c>
      <c r="AA22" s="7">
        <f t="shared" si="8"/>
        <v>3.9921042552788895</v>
      </c>
      <c r="AB22" s="7">
        <f t="shared" si="9"/>
        <v>4.3852958052990463</v>
      </c>
      <c r="AC22" s="161">
        <f>main!T23</f>
        <v>43080</v>
      </c>
      <c r="AD22" s="161">
        <f>main!U23</f>
        <v>43096</v>
      </c>
      <c r="AE22" s="624">
        <f>main!V23</f>
        <v>43088</v>
      </c>
      <c r="AF22" s="623">
        <f>main!H23</f>
        <v>16</v>
      </c>
      <c r="AG22" s="7">
        <f t="shared" si="10"/>
        <v>2.0499743579772041</v>
      </c>
      <c r="AH22" s="7">
        <f t="shared" si="11"/>
        <v>0.46705859894616097</v>
      </c>
      <c r="AI22" s="7">
        <f t="shared" si="12"/>
        <v>4.3963189471607628E-2</v>
      </c>
      <c r="AJ22" s="7">
        <f t="shared" si="13"/>
        <v>0.33239835597659362</v>
      </c>
      <c r="AK22" s="7">
        <f t="shared" si="14"/>
        <v>0.13466024296956736</v>
      </c>
      <c r="AL22" s="7">
        <f t="shared" si="15"/>
        <v>7.2978795228807555E-2</v>
      </c>
      <c r="AM22" s="384"/>
      <c r="AN22" s="7"/>
      <c r="AO22" s="7">
        <f t="shared" si="16"/>
        <v>467.058598946161</v>
      </c>
      <c r="AP22" s="7">
        <v>1</v>
      </c>
      <c r="AQ22" s="7">
        <f t="shared" si="0"/>
        <v>43.963189471607627</v>
      </c>
      <c r="AR22" s="7">
        <v>1</v>
      </c>
      <c r="AS22" s="7">
        <f t="shared" si="1"/>
        <v>332.39835597659362</v>
      </c>
      <c r="AT22" s="7">
        <v>1</v>
      </c>
      <c r="AU22" s="7">
        <f t="shared" si="2"/>
        <v>134.66024296956735</v>
      </c>
      <c r="AV22" s="7">
        <v>1</v>
      </c>
      <c r="AW22" s="7">
        <f t="shared" si="3"/>
        <v>72.978795228807556</v>
      </c>
      <c r="AX22" s="7">
        <v>1</v>
      </c>
      <c r="AY22" s="7">
        <f t="shared" si="17"/>
        <v>7.5608335057506153</v>
      </c>
      <c r="AZ22" s="7">
        <f t="shared" si="18"/>
        <v>3.0630226011362036</v>
      </c>
      <c r="BA22" s="492">
        <f>main!R23</f>
        <v>36.355000000000004</v>
      </c>
      <c r="BB22" s="492">
        <v>1</v>
      </c>
      <c r="BC22" s="492">
        <f>main!S23</f>
        <v>8.08</v>
      </c>
      <c r="BD22" s="647">
        <v>1</v>
      </c>
    </row>
    <row r="23" spans="1:56">
      <c r="A23" s="623">
        <v>2017</v>
      </c>
      <c r="B23" s="623" t="s">
        <v>1708</v>
      </c>
      <c r="C23" s="623">
        <v>18</v>
      </c>
      <c r="D23" s="623" t="str">
        <f>main!$B$6</f>
        <v>McLane-PARFLUX-Mark78H-21 ; 14182-01, G250x21</v>
      </c>
      <c r="E23" s="623">
        <v>1000</v>
      </c>
      <c r="F23" s="634">
        <v>1</v>
      </c>
      <c r="G23" s="68">
        <f>main!E24</f>
        <v>1057.0714285714287</v>
      </c>
      <c r="H23" s="7">
        <f>main!I24</f>
        <v>132.13392857142858</v>
      </c>
      <c r="I23" s="7">
        <f>main!J24</f>
        <v>48.26191741071429</v>
      </c>
      <c r="J23" s="7">
        <v>1</v>
      </c>
      <c r="K23" s="7">
        <f>main!AF24</f>
        <v>37.36604099534572</v>
      </c>
      <c r="L23" s="7">
        <f>main!AG24</f>
        <v>4.4837651316416238</v>
      </c>
      <c r="M23" s="370">
        <v>1</v>
      </c>
      <c r="N23" s="7">
        <f>main!M24</f>
        <v>17.746345520019531</v>
      </c>
      <c r="O23" s="370">
        <v>1</v>
      </c>
      <c r="P23" s="7">
        <f>main!O24</f>
        <v>1.8878686428070068</v>
      </c>
      <c r="Q23" s="7">
        <v>1</v>
      </c>
      <c r="R23" s="7">
        <f>main!AH24</f>
        <v>13.262580388377907</v>
      </c>
      <c r="S23" s="370">
        <v>1</v>
      </c>
      <c r="T23" s="7">
        <f>main!AB24</f>
        <v>11.258408389089038</v>
      </c>
      <c r="U23" s="7">
        <v>3</v>
      </c>
      <c r="V23" s="7">
        <f>main!AC24</f>
        <v>24.083935923829131</v>
      </c>
      <c r="W23" s="7">
        <f t="shared" si="4"/>
        <v>18.033567844827395</v>
      </c>
      <c r="X23" s="7">
        <f t="shared" si="5"/>
        <v>2.1639510247232856</v>
      </c>
      <c r="Y23" s="7">
        <f t="shared" si="6"/>
        <v>8.5647266182918216</v>
      </c>
      <c r="Z23" s="7">
        <f t="shared" si="7"/>
        <v>0.91112160521429031</v>
      </c>
      <c r="AA23" s="7">
        <f t="shared" si="8"/>
        <v>6.400775593568536</v>
      </c>
      <c r="AB23" s="7">
        <f t="shared" si="9"/>
        <v>11.623369264807765</v>
      </c>
      <c r="AC23" s="161">
        <f>main!T24</f>
        <v>43096</v>
      </c>
      <c r="AD23" s="161">
        <f>main!U24</f>
        <v>43112</v>
      </c>
      <c r="AE23" s="624">
        <f>main!V24</f>
        <v>43104</v>
      </c>
      <c r="AF23" s="623">
        <f>main!H24</f>
        <v>16</v>
      </c>
      <c r="AG23" s="7">
        <f t="shared" si="10"/>
        <v>5.4335237585030809</v>
      </c>
      <c r="AH23" s="7">
        <f t="shared" si="11"/>
        <v>0.71313294074036815</v>
      </c>
      <c r="AI23" s="7">
        <f t="shared" si="12"/>
        <v>6.5033662042419005E-2</v>
      </c>
      <c r="AJ23" s="7">
        <f t="shared" si="13"/>
        <v>0.53295383793243434</v>
      </c>
      <c r="AK23" s="7">
        <f t="shared" si="14"/>
        <v>0.18017910280793387</v>
      </c>
      <c r="AL23" s="7">
        <f t="shared" si="15"/>
        <v>0.19343267207202139</v>
      </c>
      <c r="AM23" s="384"/>
      <c r="AN23" s="7"/>
      <c r="AO23" s="7">
        <f t="shared" si="16"/>
        <v>713.1329407403681</v>
      </c>
      <c r="AP23" s="7">
        <v>1</v>
      </c>
      <c r="AQ23" s="7">
        <f t="shared" si="0"/>
        <v>65.03366204241901</v>
      </c>
      <c r="AR23" s="7">
        <v>1</v>
      </c>
      <c r="AS23" s="7">
        <f t="shared" si="1"/>
        <v>532.95383793243434</v>
      </c>
      <c r="AT23" s="7">
        <v>1</v>
      </c>
      <c r="AU23" s="7">
        <f t="shared" si="2"/>
        <v>180.17910280793387</v>
      </c>
      <c r="AV23" s="7">
        <v>1</v>
      </c>
      <c r="AW23" s="7">
        <f t="shared" si="3"/>
        <v>193.43267207202138</v>
      </c>
      <c r="AX23" s="7">
        <v>3</v>
      </c>
      <c r="AY23" s="7">
        <f t="shared" si="17"/>
        <v>8.1950457839020139</v>
      </c>
      <c r="AZ23" s="7">
        <f t="shared" si="18"/>
        <v>2.7705513906076797</v>
      </c>
      <c r="BA23" s="492">
        <f>main!R24</f>
        <v>35.619999999999997</v>
      </c>
      <c r="BB23" s="492">
        <v>1</v>
      </c>
      <c r="BC23" s="492">
        <f>main!S24</f>
        <v>7.9190000000000005</v>
      </c>
      <c r="BD23" s="647">
        <v>1</v>
      </c>
    </row>
    <row r="24" spans="1:56">
      <c r="A24" s="623">
        <v>2017</v>
      </c>
      <c r="B24" s="623" t="s">
        <v>1708</v>
      </c>
      <c r="C24" s="623">
        <v>19</v>
      </c>
      <c r="D24" s="623" t="str">
        <f>main!$B$6</f>
        <v>McLane-PARFLUX-Mark78H-21 ; 14182-01, G250x21</v>
      </c>
      <c r="E24" s="623">
        <v>1000</v>
      </c>
      <c r="F24" s="634">
        <v>1</v>
      </c>
      <c r="G24" s="68">
        <f>main!E25</f>
        <v>800.81428571428557</v>
      </c>
      <c r="H24" s="7">
        <f>main!I25</f>
        <v>100.1017857142857</v>
      </c>
      <c r="I24" s="7">
        <f>main!J25</f>
        <v>36.562177232142851</v>
      </c>
      <c r="J24" s="7">
        <v>1</v>
      </c>
      <c r="K24" s="7">
        <f>main!AF25</f>
        <v>52.403785054251998</v>
      </c>
      <c r="L24" s="7">
        <f>main!AG25</f>
        <v>6.2882301130474261</v>
      </c>
      <c r="M24" s="370">
        <v>1</v>
      </c>
      <c r="N24" s="7">
        <f>main!M25</f>
        <v>17.344869613647461</v>
      </c>
      <c r="O24" s="370">
        <v>1</v>
      </c>
      <c r="P24" s="7">
        <f>main!O25</f>
        <v>1.62330162525177</v>
      </c>
      <c r="Q24" s="7">
        <v>1</v>
      </c>
      <c r="R24" s="7">
        <f>main!AH25</f>
        <v>11.056639500600035</v>
      </c>
      <c r="S24" s="370">
        <v>1</v>
      </c>
      <c r="T24" s="7">
        <f>main!AB25</f>
        <v>7.5112445358482773</v>
      </c>
      <c r="U24" s="7">
        <v>1</v>
      </c>
      <c r="V24" s="7">
        <f>main!AC25</f>
        <v>16.068020083984443</v>
      </c>
      <c r="W24" s="7">
        <f t="shared" si="4"/>
        <v>19.159964767886802</v>
      </c>
      <c r="X24" s="7">
        <f t="shared" si="5"/>
        <v>2.2991138386973766</v>
      </c>
      <c r="Y24" s="7">
        <f t="shared" si="6"/>
        <v>6.3416619688258757</v>
      </c>
      <c r="Z24" s="7">
        <f t="shared" si="7"/>
        <v>0.59351441723680753</v>
      </c>
      <c r="AA24" s="7">
        <f t="shared" si="8"/>
        <v>4.0425481301284991</v>
      </c>
      <c r="AB24" s="7">
        <f t="shared" si="9"/>
        <v>5.8748179808027006</v>
      </c>
      <c r="AC24" s="161">
        <f>main!T25</f>
        <v>43112</v>
      </c>
      <c r="AD24" s="161">
        <f>main!U25</f>
        <v>43128</v>
      </c>
      <c r="AE24" s="624">
        <f>main!V25</f>
        <v>43120</v>
      </c>
      <c r="AF24" s="623">
        <f>main!H25</f>
        <v>16</v>
      </c>
      <c r="AG24" s="7">
        <f t="shared" si="10"/>
        <v>2.7462745395364929</v>
      </c>
      <c r="AH24" s="7">
        <f t="shared" si="11"/>
        <v>0.52803180423196305</v>
      </c>
      <c r="AI24" s="7">
        <f t="shared" si="12"/>
        <v>4.2363627211763566E-2</v>
      </c>
      <c r="AJ24" s="7">
        <f t="shared" si="13"/>
        <v>0.33659851208397162</v>
      </c>
      <c r="AK24" s="7">
        <f t="shared" si="14"/>
        <v>0.1914332921479914</v>
      </c>
      <c r="AL24" s="7">
        <f t="shared" si="15"/>
        <v>9.7766982539568989E-2</v>
      </c>
      <c r="AM24" s="384"/>
      <c r="AN24" s="7"/>
      <c r="AO24" s="7">
        <f t="shared" si="16"/>
        <v>528.03180423196306</v>
      </c>
      <c r="AP24" s="7">
        <v>1</v>
      </c>
      <c r="AQ24" s="7">
        <f t="shared" si="0"/>
        <v>42.363627211763564</v>
      </c>
      <c r="AR24" s="7">
        <v>1</v>
      </c>
      <c r="AS24" s="7">
        <f t="shared" si="1"/>
        <v>336.59851208397163</v>
      </c>
      <c r="AT24" s="7">
        <v>1</v>
      </c>
      <c r="AU24" s="7">
        <f t="shared" si="2"/>
        <v>191.43329214799141</v>
      </c>
      <c r="AV24" s="7">
        <v>1</v>
      </c>
      <c r="AW24" s="7">
        <f t="shared" si="3"/>
        <v>97.766982539568986</v>
      </c>
      <c r="AX24" s="7">
        <v>1</v>
      </c>
      <c r="AY24" s="7">
        <f t="shared" si="17"/>
        <v>7.9454601562187452</v>
      </c>
      <c r="AZ24" s="7">
        <f t="shared" si="18"/>
        <v>4.5188125934323695</v>
      </c>
      <c r="BA24" s="492">
        <f>main!R25</f>
        <v>35.409999999999997</v>
      </c>
      <c r="BB24" s="492">
        <v>1</v>
      </c>
      <c r="BC24" s="492">
        <f>main!S25</f>
        <v>8.0459999999999994</v>
      </c>
      <c r="BD24" s="647">
        <v>1</v>
      </c>
    </row>
    <row r="25" spans="1:56">
      <c r="A25" s="623">
        <v>2017</v>
      </c>
      <c r="B25" s="623" t="s">
        <v>1708</v>
      </c>
      <c r="C25" s="623">
        <v>20</v>
      </c>
      <c r="D25" s="623" t="str">
        <f>main!$B$6</f>
        <v>McLane-PARFLUX-Mark78H-21 ; 14182-01, G250x21</v>
      </c>
      <c r="E25" s="623">
        <v>1000</v>
      </c>
      <c r="F25" s="634">
        <v>1</v>
      </c>
      <c r="G25" s="68">
        <f>main!E26</f>
        <v>780.0428571428572</v>
      </c>
      <c r="H25" s="7">
        <f>main!I26</f>
        <v>97.50535714285715</v>
      </c>
      <c r="I25" s="7">
        <f>main!J26</f>
        <v>35.613831696428576</v>
      </c>
      <c r="J25" s="7">
        <v>1</v>
      </c>
      <c r="K25" s="7">
        <f>main!AF26</f>
        <v>66.853776517971767</v>
      </c>
      <c r="L25" s="7">
        <f>main!AG26</f>
        <v>8.0221672964278135</v>
      </c>
      <c r="M25" s="370">
        <v>1</v>
      </c>
      <c r="N25" s="7">
        <f>main!M26</f>
        <v>17.077608108520508</v>
      </c>
      <c r="O25" s="370">
        <v>1</v>
      </c>
      <c r="P25" s="7">
        <f>main!O26</f>
        <v>1.3471357822418213</v>
      </c>
      <c r="Q25" s="7">
        <v>1</v>
      </c>
      <c r="R25" s="7">
        <f>main!AH26</f>
        <v>9.0554408120926944</v>
      </c>
      <c r="S25" s="370">
        <v>1</v>
      </c>
      <c r="T25" s="7">
        <f>main!AB26</f>
        <v>4.1686073059360726</v>
      </c>
      <c r="U25" s="7">
        <v>1</v>
      </c>
      <c r="V25" s="7">
        <f>main!AC26</f>
        <v>8.9174657534246577</v>
      </c>
      <c r="W25" s="7">
        <f t="shared" si="4"/>
        <v>23.809191451816954</v>
      </c>
      <c r="X25" s="7">
        <f t="shared" si="5"/>
        <v>2.8570011593557361</v>
      </c>
      <c r="Y25" s="7">
        <f t="shared" si="6"/>
        <v>6.0819906095441336</v>
      </c>
      <c r="Z25" s="7">
        <f t="shared" si="7"/>
        <v>0.47976667020996883</v>
      </c>
      <c r="AA25" s="7">
        <f t="shared" si="8"/>
        <v>3.2249894501883971</v>
      </c>
      <c r="AB25" s="7">
        <f t="shared" si="9"/>
        <v>3.1758512450113141</v>
      </c>
      <c r="AC25" s="161">
        <f>main!T26</f>
        <v>43128</v>
      </c>
      <c r="AD25" s="161">
        <f>main!U26</f>
        <v>43144</v>
      </c>
      <c r="AE25" s="624">
        <f>main!V26</f>
        <v>43136</v>
      </c>
      <c r="AF25" s="623">
        <f>main!H26</f>
        <v>16</v>
      </c>
      <c r="AG25" s="7">
        <f t="shared" si="10"/>
        <v>1.4846007900210985</v>
      </c>
      <c r="AH25" s="7">
        <f t="shared" si="11"/>
        <v>0.50641054201033586</v>
      </c>
      <c r="AI25" s="7">
        <f t="shared" si="12"/>
        <v>3.4244587452531679E-2</v>
      </c>
      <c r="AJ25" s="7">
        <f t="shared" si="13"/>
        <v>0.2685253497242629</v>
      </c>
      <c r="AK25" s="7">
        <f t="shared" si="14"/>
        <v>0.23788519228607294</v>
      </c>
      <c r="AL25" s="7">
        <f t="shared" si="15"/>
        <v>5.2851576718444232E-2</v>
      </c>
      <c r="AM25" s="384"/>
      <c r="AN25" s="7"/>
      <c r="AO25" s="7">
        <f t="shared" si="16"/>
        <v>506.41054201033586</v>
      </c>
      <c r="AP25" s="7">
        <v>1</v>
      </c>
      <c r="AQ25" s="7">
        <f t="shared" si="0"/>
        <v>34.244587452531675</v>
      </c>
      <c r="AR25" s="7">
        <v>1</v>
      </c>
      <c r="AS25" s="7">
        <f t="shared" si="1"/>
        <v>268.52534972426292</v>
      </c>
      <c r="AT25" s="7">
        <v>1</v>
      </c>
      <c r="AU25" s="7">
        <f t="shared" si="2"/>
        <v>237.88519228607294</v>
      </c>
      <c r="AV25" s="7">
        <v>1</v>
      </c>
      <c r="AW25" s="7">
        <f t="shared" si="3"/>
        <v>52.851576718444235</v>
      </c>
      <c r="AX25" s="7">
        <v>1</v>
      </c>
      <c r="AY25" s="7">
        <f t="shared" si="17"/>
        <v>7.8413953766118754</v>
      </c>
      <c r="AZ25" s="7">
        <f t="shared" si="18"/>
        <v>6.9466508427300759</v>
      </c>
      <c r="BA25" s="492">
        <f>main!R26</f>
        <v>34.69</v>
      </c>
      <c r="BB25" s="492">
        <v>1</v>
      </c>
      <c r="BC25" s="492">
        <f>main!S26</f>
        <v>8.0725000000000016</v>
      </c>
      <c r="BD25" s="647">
        <v>1</v>
      </c>
    </row>
    <row r="26" spans="1:56" s="478" customFormat="1">
      <c r="A26" s="478">
        <v>2017</v>
      </c>
      <c r="B26" s="478" t="s">
        <v>1708</v>
      </c>
      <c r="C26" s="478">
        <v>21</v>
      </c>
      <c r="D26" s="478" t="str">
        <f>main!$B$6</f>
        <v>McLane-PARFLUX-Mark78H-21 ; 14182-01, G250x21</v>
      </c>
      <c r="E26" s="478">
        <v>1000</v>
      </c>
      <c r="F26" s="634">
        <v>1</v>
      </c>
      <c r="G26" s="479">
        <f>main!E27</f>
        <v>40.042857142857137</v>
      </c>
      <c r="H26" s="480">
        <f>main!I27</f>
        <v>5.0053571428571422</v>
      </c>
      <c r="I26" s="480">
        <f>main!J27</f>
        <v>1.8282066964285713</v>
      </c>
      <c r="J26" s="480">
        <v>1</v>
      </c>
      <c r="K26" s="480">
        <f>main!AF27</f>
        <v>92.736293135551946</v>
      </c>
      <c r="L26" s="480">
        <f>main!AG27</f>
        <v>11.127958609548092</v>
      </c>
      <c r="M26" s="370">
        <v>1</v>
      </c>
      <c r="N26" s="480">
        <f>main!M27</f>
        <v>12.334259033203125</v>
      </c>
      <c r="O26" s="370">
        <v>1</v>
      </c>
      <c r="P26" s="480">
        <f>main!O27</f>
        <v>0.15380407869815826</v>
      </c>
      <c r="Q26" s="480">
        <v>1</v>
      </c>
      <c r="R26" s="480">
        <f>main!AH27</f>
        <v>1.2063004236550334</v>
      </c>
      <c r="S26" s="370">
        <v>1</v>
      </c>
      <c r="T26" s="480">
        <f>main!AB27</f>
        <v>0.26140963619374863</v>
      </c>
      <c r="U26" s="480">
        <v>1</v>
      </c>
      <c r="V26" s="480">
        <f>main!AC27</f>
        <v>0.55920630255900172</v>
      </c>
      <c r="W26" s="480">
        <f t="shared" si="4"/>
        <v>1.6954111211237901</v>
      </c>
      <c r="X26" s="480">
        <f t="shared" si="5"/>
        <v>0.20344208447555792</v>
      </c>
      <c r="Y26" s="480">
        <f t="shared" si="6"/>
        <v>0.22549574959986549</v>
      </c>
      <c r="Z26" s="480">
        <f t="shared" si="7"/>
        <v>2.8118564661399992E-3</v>
      </c>
      <c r="AA26" s="480">
        <f t="shared" si="8"/>
        <v>2.2053665124307543E-2</v>
      </c>
      <c r="AB26" s="480">
        <f t="shared" si="9"/>
        <v>1.0223447070234287E-2</v>
      </c>
      <c r="AC26" s="481">
        <f>main!T27</f>
        <v>43144</v>
      </c>
      <c r="AD26" s="481">
        <f>main!U27</f>
        <v>43160</v>
      </c>
      <c r="AE26" s="482">
        <f>main!V27</f>
        <v>43152</v>
      </c>
      <c r="AF26" s="478">
        <f>main!H27</f>
        <v>16</v>
      </c>
      <c r="AG26" s="480">
        <f t="shared" si="10"/>
        <v>4.7791084740036781E-3</v>
      </c>
      <c r="AH26" s="480">
        <f t="shared" si="11"/>
        <v>1.8775666078256911E-2</v>
      </c>
      <c r="AI26" s="480">
        <f t="shared" si="12"/>
        <v>2.0070353077373298E-4</v>
      </c>
      <c r="AJ26" s="480">
        <f t="shared" si="13"/>
        <v>1.8362751976942167E-3</v>
      </c>
      <c r="AK26" s="480">
        <f t="shared" si="14"/>
        <v>1.6939390880562691E-2</v>
      </c>
      <c r="AL26" s="480">
        <f t="shared" si="15"/>
        <v>1.7013558113220643E-4</v>
      </c>
      <c r="AM26" s="480"/>
      <c r="AN26" s="480"/>
      <c r="AO26" s="480">
        <f t="shared" si="16"/>
        <v>18.775666078256911</v>
      </c>
      <c r="AP26" s="480">
        <v>1</v>
      </c>
      <c r="AQ26" s="480">
        <f t="shared" si="0"/>
        <v>0.20070353077373299</v>
      </c>
      <c r="AR26" s="480">
        <v>1</v>
      </c>
      <c r="AS26" s="480">
        <f t="shared" si="1"/>
        <v>1.8362751976942167</v>
      </c>
      <c r="AT26" s="480">
        <v>1</v>
      </c>
      <c r="AU26" s="480">
        <f t="shared" si="2"/>
        <v>16.939390880562691</v>
      </c>
      <c r="AV26" s="480">
        <v>1</v>
      </c>
      <c r="AW26" s="480">
        <f t="shared" si="3"/>
        <v>0.17013558113220642</v>
      </c>
      <c r="AX26" s="480">
        <v>1</v>
      </c>
      <c r="AY26" s="278">
        <f t="shared" si="17"/>
        <v>9.1491922967931103</v>
      </c>
      <c r="AZ26" s="278">
        <f t="shared" si="18"/>
        <v>84.400064190498185</v>
      </c>
      <c r="BA26" s="492">
        <f>main!R27</f>
        <v>34.64</v>
      </c>
      <c r="BB26" s="492">
        <v>1</v>
      </c>
      <c r="BC26" s="492">
        <f>main!S27</f>
        <v>7.8979999999999997</v>
      </c>
      <c r="BD26" s="647">
        <v>1</v>
      </c>
    </row>
    <row r="27" spans="1:56">
      <c r="A27" s="623">
        <v>2017</v>
      </c>
      <c r="B27" s="623" t="s">
        <v>1750</v>
      </c>
      <c r="C27" s="623">
        <v>1</v>
      </c>
      <c r="D27" s="623" t="str">
        <f>main!$B$30</f>
        <v>McLane-PARFLUX-Mark78H-21 ; 2241, B250x21</v>
      </c>
      <c r="E27" s="623">
        <v>2000</v>
      </c>
      <c r="F27" s="634">
        <v>1</v>
      </c>
      <c r="G27" s="68">
        <f>main!E31</f>
        <v>398.62857142857138</v>
      </c>
      <c r="H27" s="7">
        <f>main!I31</f>
        <v>49.828571428571422</v>
      </c>
      <c r="I27" s="7">
        <f>main!J31</f>
        <v>18.199885714285713</v>
      </c>
      <c r="J27" s="7">
        <v>1</v>
      </c>
      <c r="K27" s="7">
        <f>main!AF31</f>
        <v>72.015701439750543</v>
      </c>
      <c r="L27" s="7">
        <f>main!AG31</f>
        <v>8.6415762131847824</v>
      </c>
      <c r="M27" s="370">
        <v>1</v>
      </c>
      <c r="N27" s="7">
        <f>main!M31</f>
        <v>14.092928886413574</v>
      </c>
      <c r="O27" s="370">
        <v>1</v>
      </c>
      <c r="P27" s="7">
        <f>main!O31</f>
        <v>0.82797294855117798</v>
      </c>
      <c r="Q27" s="7">
        <v>1</v>
      </c>
      <c r="R27" s="7">
        <f>main!AH31</f>
        <v>5.4513526732287918</v>
      </c>
      <c r="S27" s="370">
        <v>1</v>
      </c>
      <c r="T27" s="7">
        <f>main!AB31</f>
        <v>4.221480724113488</v>
      </c>
      <c r="U27" s="7">
        <v>1</v>
      </c>
      <c r="V27" s="7">
        <f>main!AC31</f>
        <v>9.0305723286571578</v>
      </c>
      <c r="W27" s="7">
        <f t="shared" si="4"/>
        <v>13.10677535837581</v>
      </c>
      <c r="X27" s="7">
        <f t="shared" si="5"/>
        <v>1.5727569947125295</v>
      </c>
      <c r="Y27" s="7">
        <f t="shared" si="6"/>
        <v>2.564896951122829</v>
      </c>
      <c r="Z27" s="7">
        <f t="shared" si="7"/>
        <v>0.15069013038151605</v>
      </c>
      <c r="AA27" s="7">
        <f t="shared" si="8"/>
        <v>0.99213995641029917</v>
      </c>
      <c r="AB27" s="7">
        <f t="shared" si="9"/>
        <v>1.6435538431615127</v>
      </c>
      <c r="AC27" s="161">
        <f>main!T31</f>
        <v>42824</v>
      </c>
      <c r="AD27" s="161">
        <f>main!U31</f>
        <v>42840</v>
      </c>
      <c r="AE27" s="161">
        <f>main!V31</f>
        <v>42832</v>
      </c>
      <c r="AF27" s="623">
        <f>main!H31</f>
        <v>16</v>
      </c>
      <c r="AG27" s="7">
        <f t="shared" si="10"/>
        <v>0.76830466723925583</v>
      </c>
      <c r="AH27" s="7">
        <f t="shared" si="11"/>
        <v>0.21356344305768768</v>
      </c>
      <c r="AI27" s="7">
        <f t="shared" si="12"/>
        <v>1.0755897957281659E-2</v>
      </c>
      <c r="AJ27" s="7">
        <f t="shared" si="13"/>
        <v>8.2609488460474542E-2</v>
      </c>
      <c r="AK27" s="7">
        <f t="shared" si="14"/>
        <v>0.13095395459721312</v>
      </c>
      <c r="AL27" s="7">
        <f t="shared" si="15"/>
        <v>2.7351536747570519E-2</v>
      </c>
      <c r="AM27" s="384"/>
      <c r="AN27" s="7"/>
      <c r="AO27" s="7">
        <f t="shared" si="16"/>
        <v>213.56344305768769</v>
      </c>
      <c r="AP27" s="7">
        <v>1</v>
      </c>
      <c r="AQ27" s="7">
        <f t="shared" si="0"/>
        <v>10.755897957281659</v>
      </c>
      <c r="AR27" s="7">
        <v>1</v>
      </c>
      <c r="AS27" s="7">
        <f t="shared" si="1"/>
        <v>82.609488460474537</v>
      </c>
      <c r="AT27" s="7">
        <v>1</v>
      </c>
      <c r="AU27" s="7">
        <f t="shared" si="2"/>
        <v>130.95395459721311</v>
      </c>
      <c r="AV27" s="7">
        <v>1</v>
      </c>
      <c r="AW27" s="7">
        <f t="shared" si="3"/>
        <v>27.351536747570517</v>
      </c>
      <c r="AX27" s="7">
        <v>1</v>
      </c>
      <c r="AY27" s="7">
        <f t="shared" si="17"/>
        <v>7.680389753469961</v>
      </c>
      <c r="AZ27" s="493">
        <f t="shared" si="18"/>
        <v>12.175083393066062</v>
      </c>
      <c r="BA27" s="623">
        <f>main!R31</f>
        <v>37.89</v>
      </c>
      <c r="BB27" s="492">
        <v>1</v>
      </c>
      <c r="BC27" s="623">
        <f>main!S31</f>
        <v>8.6020000000000003</v>
      </c>
      <c r="BD27" s="647">
        <v>1</v>
      </c>
    </row>
    <row r="28" spans="1:56">
      <c r="A28" s="623">
        <v>2017</v>
      </c>
      <c r="B28" s="623" t="s">
        <v>1750</v>
      </c>
      <c r="C28" s="623">
        <v>2</v>
      </c>
      <c r="D28" s="623" t="str">
        <f>main!$B$30</f>
        <v>McLane-PARFLUX-Mark78H-21 ; 2241, B250x21</v>
      </c>
      <c r="E28" s="623">
        <v>2000</v>
      </c>
      <c r="F28" s="634">
        <v>1</v>
      </c>
      <c r="G28" s="68">
        <f>main!E32</f>
        <v>498.84285714285727</v>
      </c>
      <c r="H28" s="7">
        <f>main!I32</f>
        <v>62.355357142857159</v>
      </c>
      <c r="I28" s="7">
        <f>main!J32</f>
        <v>22.775294196428579</v>
      </c>
      <c r="J28" s="7">
        <v>1</v>
      </c>
      <c r="K28" s="7">
        <f>main!AF32</f>
        <v>76.068899376052883</v>
      </c>
      <c r="L28" s="7">
        <f>main!AG32</f>
        <v>9.1279426329159463</v>
      </c>
      <c r="M28" s="370">
        <v>1</v>
      </c>
      <c r="N28" s="7">
        <f>main!M32</f>
        <v>13.988517761230469</v>
      </c>
      <c r="O28" s="370">
        <v>1</v>
      </c>
      <c r="P28" s="7">
        <f>main!O32</f>
        <v>0.7367519736289978</v>
      </c>
      <c r="Q28" s="7">
        <v>1</v>
      </c>
      <c r="R28" s="7">
        <f>main!AH32</f>
        <v>4.8605751283145224</v>
      </c>
      <c r="S28" s="370">
        <v>1</v>
      </c>
      <c r="T28" s="7">
        <f>main!AB32</f>
        <v>2.8950758174064131</v>
      </c>
      <c r="U28" s="7">
        <v>1</v>
      </c>
      <c r="V28" s="7">
        <f>main!AC32</f>
        <v>6.1931329963670834</v>
      </c>
      <c r="W28" s="7">
        <f t="shared" si="4"/>
        <v>17.324915624881267</v>
      </c>
      <c r="X28" s="7">
        <f t="shared" si="5"/>
        <v>2.0789157887278353</v>
      </c>
      <c r="Y28" s="7">
        <f t="shared" si="6"/>
        <v>3.1859260738399038</v>
      </c>
      <c r="Z28" s="7">
        <f t="shared" si="7"/>
        <v>0.16779742949199816</v>
      </c>
      <c r="AA28" s="7">
        <f t="shared" si="8"/>
        <v>1.1070102851120684</v>
      </c>
      <c r="AB28" s="7">
        <f t="shared" si="9"/>
        <v>1.4105042598986957</v>
      </c>
      <c r="AC28" s="161">
        <f>main!T32</f>
        <v>42840</v>
      </c>
      <c r="AD28" s="161">
        <f>main!U32</f>
        <v>42856</v>
      </c>
      <c r="AE28" s="161">
        <f>main!V32</f>
        <v>42848</v>
      </c>
      <c r="AF28" s="623">
        <f>main!H32</f>
        <v>16</v>
      </c>
      <c r="AG28" s="7">
        <f t="shared" si="10"/>
        <v>0.65936203462397003</v>
      </c>
      <c r="AH28" s="7">
        <f t="shared" si="11"/>
        <v>0.26527277883762729</v>
      </c>
      <c r="AI28" s="7">
        <f t="shared" si="12"/>
        <v>1.1976975695360326E-2</v>
      </c>
      <c r="AJ28" s="7">
        <f t="shared" si="13"/>
        <v>9.2174045388182219E-2</v>
      </c>
      <c r="AK28" s="7">
        <f t="shared" si="14"/>
        <v>0.17309873344944507</v>
      </c>
      <c r="AL28" s="7">
        <f t="shared" si="15"/>
        <v>2.3473194539835172E-2</v>
      </c>
      <c r="AM28" s="384"/>
      <c r="AN28" s="7"/>
      <c r="AO28" s="7">
        <f t="shared" si="16"/>
        <v>265.2727788376273</v>
      </c>
      <c r="AP28" s="7">
        <v>1</v>
      </c>
      <c r="AQ28" s="7">
        <f t="shared" si="0"/>
        <v>11.976975695360325</v>
      </c>
      <c r="AR28" s="7">
        <v>1</v>
      </c>
      <c r="AS28" s="7">
        <f t="shared" si="1"/>
        <v>92.174045388182222</v>
      </c>
      <c r="AT28" s="7">
        <v>1</v>
      </c>
      <c r="AU28" s="7">
        <f t="shared" si="2"/>
        <v>173.09873344944506</v>
      </c>
      <c r="AV28" s="7">
        <v>1</v>
      </c>
      <c r="AW28" s="7">
        <f t="shared" si="3"/>
        <v>23.473194539835173</v>
      </c>
      <c r="AX28" s="7">
        <v>1</v>
      </c>
      <c r="AY28" s="7">
        <f t="shared" si="17"/>
        <v>7.6959365813766212</v>
      </c>
      <c r="AZ28" s="493">
        <f t="shared" si="18"/>
        <v>14.452624590070808</v>
      </c>
      <c r="BA28" s="623">
        <f>main!R32</f>
        <v>37.78</v>
      </c>
      <c r="BB28" s="492">
        <v>1</v>
      </c>
      <c r="BC28" s="623">
        <f>main!S32</f>
        <v>8.3230000000000004</v>
      </c>
      <c r="BD28" s="647">
        <v>1</v>
      </c>
    </row>
    <row r="29" spans="1:56">
      <c r="A29" s="623">
        <v>2017</v>
      </c>
      <c r="B29" s="623" t="s">
        <v>1750</v>
      </c>
      <c r="C29" s="623">
        <v>3</v>
      </c>
      <c r="D29" s="623" t="str">
        <f>main!$B$30</f>
        <v>McLane-PARFLUX-Mark78H-21 ; 2241, B250x21</v>
      </c>
      <c r="E29" s="623">
        <v>2000</v>
      </c>
      <c r="F29" s="634">
        <v>1</v>
      </c>
      <c r="G29" s="68">
        <f>main!E33</f>
        <v>586.1</v>
      </c>
      <c r="H29" s="7">
        <f>main!I33</f>
        <v>73.262500000000003</v>
      </c>
      <c r="I29" s="7">
        <f>main!J33</f>
        <v>26.759128125000004</v>
      </c>
      <c r="J29" s="7">
        <v>1</v>
      </c>
      <c r="K29" s="7">
        <f>main!AF33</f>
        <v>72.93190939780068</v>
      </c>
      <c r="L29" s="7">
        <f>main!AG33</f>
        <v>8.7515172501854508</v>
      </c>
      <c r="M29" s="370">
        <v>1</v>
      </c>
      <c r="N29" s="7">
        <f>main!M33</f>
        <v>14.733772277832031</v>
      </c>
      <c r="O29" s="370">
        <v>1</v>
      </c>
      <c r="P29" s="7">
        <f>main!O33</f>
        <v>0.90721893310546875</v>
      </c>
      <c r="Q29" s="7">
        <v>1</v>
      </c>
      <c r="R29" s="7">
        <f>main!AH33</f>
        <v>5.9822550276465805</v>
      </c>
      <c r="S29" s="370">
        <v>1</v>
      </c>
      <c r="T29" s="7">
        <f>main!AB33</f>
        <v>2.5072536638603062</v>
      </c>
      <c r="U29" s="7">
        <v>1</v>
      </c>
      <c r="V29" s="7">
        <f>main!AC33</f>
        <v>5.3635056127221716</v>
      </c>
      <c r="W29" s="7">
        <f t="shared" si="4"/>
        <v>19.515943079766402</v>
      </c>
      <c r="X29" s="7">
        <f t="shared" si="5"/>
        <v>2.3418297138586017</v>
      </c>
      <c r="Y29" s="7">
        <f t="shared" si="6"/>
        <v>3.9426290014708045</v>
      </c>
      <c r="Z29" s="7">
        <f t="shared" si="7"/>
        <v>0.24276387668395044</v>
      </c>
      <c r="AA29" s="7">
        <f t="shared" si="8"/>
        <v>1.6007992876122028</v>
      </c>
      <c r="AB29" s="7">
        <f t="shared" si="9"/>
        <v>1.4352273388998924</v>
      </c>
      <c r="AC29" s="161">
        <f>main!T33</f>
        <v>42856</v>
      </c>
      <c r="AD29" s="161">
        <f>main!U33</f>
        <v>42872</v>
      </c>
      <c r="AE29" s="161">
        <f>main!V33</f>
        <v>42864</v>
      </c>
      <c r="AF29" s="623">
        <f>main!H33</f>
        <v>16</v>
      </c>
      <c r="AG29" s="7">
        <f t="shared" si="10"/>
        <v>0.67091922033113627</v>
      </c>
      <c r="AH29" s="7">
        <f t="shared" si="11"/>
        <v>0.32827885108000038</v>
      </c>
      <c r="AI29" s="7">
        <f t="shared" si="12"/>
        <v>1.732789983468597E-2</v>
      </c>
      <c r="AJ29" s="7">
        <f t="shared" si="13"/>
        <v>0.13328886657886785</v>
      </c>
      <c r="AK29" s="7">
        <f t="shared" si="14"/>
        <v>0.19498998450113253</v>
      </c>
      <c r="AL29" s="7">
        <f t="shared" si="15"/>
        <v>2.3884628705273629E-2</v>
      </c>
      <c r="AM29" s="384"/>
      <c r="AN29" s="7"/>
      <c r="AO29" s="7">
        <f t="shared" si="16"/>
        <v>328.27885108000038</v>
      </c>
      <c r="AP29" s="7">
        <v>1</v>
      </c>
      <c r="AQ29" s="7">
        <f t="shared" si="0"/>
        <v>17.327899834685969</v>
      </c>
      <c r="AR29" s="7">
        <v>1</v>
      </c>
      <c r="AS29" s="7">
        <f t="shared" si="1"/>
        <v>133.28886657886784</v>
      </c>
      <c r="AT29" s="7">
        <v>1</v>
      </c>
      <c r="AU29" s="7">
        <f t="shared" si="2"/>
        <v>194.98998450113254</v>
      </c>
      <c r="AV29" s="7">
        <v>1</v>
      </c>
      <c r="AW29" s="7">
        <f t="shared" si="3"/>
        <v>23.884628705273631</v>
      </c>
      <c r="AX29" s="7">
        <v>1</v>
      </c>
      <c r="AY29" s="7">
        <f t="shared" si="17"/>
        <v>7.6921535702819588</v>
      </c>
      <c r="AZ29" s="493">
        <f t="shared" si="18"/>
        <v>11.252949656992653</v>
      </c>
      <c r="BA29" s="623">
        <f>main!R33</f>
        <v>36.81</v>
      </c>
      <c r="BB29" s="492">
        <v>1</v>
      </c>
      <c r="BC29" s="623">
        <f>main!S33</f>
        <v>8.4830000000000005</v>
      </c>
      <c r="BD29" s="647">
        <v>1</v>
      </c>
    </row>
    <row r="30" spans="1:56">
      <c r="A30" s="623">
        <v>2017</v>
      </c>
      <c r="B30" s="623" t="s">
        <v>1750</v>
      </c>
      <c r="C30" s="623">
        <v>4</v>
      </c>
      <c r="D30" s="623" t="str">
        <f>main!$B$30</f>
        <v>McLane-PARFLUX-Mark78H-21 ; 2241, B250x21</v>
      </c>
      <c r="E30" s="623">
        <v>2000</v>
      </c>
      <c r="F30" s="634">
        <v>1</v>
      </c>
      <c r="G30" s="68">
        <f>main!E34</f>
        <v>653.55714285714282</v>
      </c>
      <c r="H30" s="7">
        <f>main!I34</f>
        <v>81.694642857142853</v>
      </c>
      <c r="I30" s="7">
        <f>main!J34</f>
        <v>29.838968303571427</v>
      </c>
      <c r="J30" s="7">
        <v>1</v>
      </c>
      <c r="K30" s="7">
        <f>main!AF34</f>
        <v>75.870479109046272</v>
      </c>
      <c r="L30" s="7">
        <f>main!AG34</f>
        <v>9.1041330493765482</v>
      </c>
      <c r="M30" s="370">
        <v>1</v>
      </c>
      <c r="N30" s="7">
        <f>main!M34</f>
        <v>14.602574348449707</v>
      </c>
      <c r="O30" s="370">
        <v>1</v>
      </c>
      <c r="P30" s="7">
        <f>main!O34</f>
        <v>0.84985619783401489</v>
      </c>
      <c r="Q30" s="7">
        <v>1</v>
      </c>
      <c r="R30" s="7">
        <f>main!AH34</f>
        <v>5.4984412990731588</v>
      </c>
      <c r="S30" s="370">
        <v>1</v>
      </c>
      <c r="T30" s="7">
        <f>main!AB34</f>
        <v>2.348933102652826</v>
      </c>
      <c r="U30" s="7">
        <v>1</v>
      </c>
      <c r="V30" s="7">
        <f>main!AC34</f>
        <v>5.0248269896193767</v>
      </c>
      <c r="W30" s="7">
        <f t="shared" si="4"/>
        <v>22.638968213116097</v>
      </c>
      <c r="X30" s="7">
        <f t="shared" si="5"/>
        <v>2.7165793749184388</v>
      </c>
      <c r="Y30" s="7">
        <f t="shared" si="6"/>
        <v>4.3572575313393598</v>
      </c>
      <c r="Z30" s="7">
        <f t="shared" si="7"/>
        <v>0.25358832149762894</v>
      </c>
      <c r="AA30" s="7">
        <f t="shared" si="8"/>
        <v>1.640678156420921</v>
      </c>
      <c r="AB30" s="7">
        <f t="shared" si="9"/>
        <v>1.4993565327418281</v>
      </c>
      <c r="AC30" s="161">
        <f>main!T34</f>
        <v>42872</v>
      </c>
      <c r="AD30" s="161">
        <f>main!U34</f>
        <v>42888</v>
      </c>
      <c r="AE30" s="161">
        <f>main!V34</f>
        <v>42880</v>
      </c>
      <c r="AF30" s="623">
        <f>main!H34</f>
        <v>16</v>
      </c>
      <c r="AG30" s="7">
        <f t="shared" si="10"/>
        <v>0.70089740397267364</v>
      </c>
      <c r="AH30" s="7">
        <f t="shared" si="11"/>
        <v>0.36280245889586676</v>
      </c>
      <c r="AI30" s="7">
        <f t="shared" si="12"/>
        <v>1.8100522590837186E-2</v>
      </c>
      <c r="AJ30" s="7">
        <f t="shared" si="13"/>
        <v>0.13660933858625487</v>
      </c>
      <c r="AK30" s="7">
        <f t="shared" si="14"/>
        <v>0.22619312030961189</v>
      </c>
      <c r="AL30" s="7">
        <f t="shared" si="15"/>
        <v>2.4951847774036084E-2</v>
      </c>
      <c r="AM30" s="384"/>
      <c r="AN30" s="7"/>
      <c r="AO30" s="7">
        <f t="shared" si="16"/>
        <v>362.80245889586678</v>
      </c>
      <c r="AP30" s="7">
        <v>1</v>
      </c>
      <c r="AQ30" s="7">
        <f t="shared" si="0"/>
        <v>18.100522590837187</v>
      </c>
      <c r="AR30" s="7">
        <v>1</v>
      </c>
      <c r="AS30" s="7">
        <f t="shared" si="1"/>
        <v>136.60933858625486</v>
      </c>
      <c r="AT30" s="7">
        <v>1</v>
      </c>
      <c r="AU30" s="7">
        <f t="shared" si="2"/>
        <v>226.19312030961188</v>
      </c>
      <c r="AV30" s="7">
        <v>1</v>
      </c>
      <c r="AW30" s="7">
        <f t="shared" si="3"/>
        <v>24.951847774036086</v>
      </c>
      <c r="AX30" s="7">
        <v>1</v>
      </c>
      <c r="AY30" s="7">
        <f t="shared" si="17"/>
        <v>7.547259362302003</v>
      </c>
      <c r="AZ30" s="493">
        <f t="shared" si="18"/>
        <v>12.496496671544442</v>
      </c>
      <c r="BA30" s="623">
        <f>main!R34</f>
        <v>37.39</v>
      </c>
      <c r="BB30" s="492">
        <v>1</v>
      </c>
      <c r="BC30" s="623">
        <f>main!S34</f>
        <v>8.6020000000000003</v>
      </c>
      <c r="BD30" s="647">
        <v>1</v>
      </c>
    </row>
    <row r="31" spans="1:56">
      <c r="A31" s="623">
        <v>2017</v>
      </c>
      <c r="B31" s="623" t="s">
        <v>1750</v>
      </c>
      <c r="C31" s="623">
        <v>5</v>
      </c>
      <c r="D31" s="623" t="str">
        <f>main!$B$30</f>
        <v>McLane-PARFLUX-Mark78H-21 ; 2241, B250x21</v>
      </c>
      <c r="E31" s="623">
        <v>2000</v>
      </c>
      <c r="F31" s="634">
        <v>1</v>
      </c>
      <c r="G31" s="68">
        <f>main!E35</f>
        <v>520.19999999999993</v>
      </c>
      <c r="H31" s="7">
        <f>main!I35</f>
        <v>65.024999999999991</v>
      </c>
      <c r="I31" s="7">
        <f>main!J35</f>
        <v>23.750381249999997</v>
      </c>
      <c r="J31" s="7">
        <v>1</v>
      </c>
      <c r="K31" s="7">
        <f>main!AF35</f>
        <v>71.626344423384552</v>
      </c>
      <c r="L31" s="7">
        <f>main!AG35</f>
        <v>8.5948550362220075</v>
      </c>
      <c r="M31" s="370">
        <v>1</v>
      </c>
      <c r="N31" s="7">
        <f>main!M35</f>
        <v>15.182991981506348</v>
      </c>
      <c r="O31" s="370">
        <v>1</v>
      </c>
      <c r="P31" s="7">
        <f>main!O35</f>
        <v>0.99049454927444458</v>
      </c>
      <c r="Q31" s="7">
        <v>1</v>
      </c>
      <c r="R31" s="7">
        <f>main!AH35</f>
        <v>6.5881369452843401</v>
      </c>
      <c r="S31" s="370">
        <v>1</v>
      </c>
      <c r="T31" s="7">
        <f>main!AB35</f>
        <v>2.6647388293538889</v>
      </c>
      <c r="U31" s="7">
        <v>1</v>
      </c>
      <c r="V31" s="7">
        <f>main!AC35</f>
        <v>5.7003971611205122</v>
      </c>
      <c r="W31" s="7">
        <f t="shared" si="4"/>
        <v>17.011529875991943</v>
      </c>
      <c r="X31" s="7">
        <f t="shared" si="5"/>
        <v>2.0413108389875521</v>
      </c>
      <c r="Y31" s="7">
        <f t="shared" si="6"/>
        <v>3.6060184807646865</v>
      </c>
      <c r="Z31" s="7">
        <f t="shared" si="7"/>
        <v>0.23524623171314968</v>
      </c>
      <c r="AA31" s="7">
        <f t="shared" si="8"/>
        <v>1.5647076417771344</v>
      </c>
      <c r="AB31" s="7">
        <f t="shared" si="9"/>
        <v>1.3538660585302982</v>
      </c>
      <c r="AC31" s="161">
        <f>main!T35</f>
        <v>42888</v>
      </c>
      <c r="AD31" s="161">
        <f>main!U35</f>
        <v>42904</v>
      </c>
      <c r="AE31" s="161">
        <f>main!V35</f>
        <v>42896</v>
      </c>
      <c r="AF31" s="623">
        <f>main!H35</f>
        <v>16</v>
      </c>
      <c r="AG31" s="7">
        <f t="shared" si="10"/>
        <v>0.63288563128833542</v>
      </c>
      <c r="AH31" s="7">
        <f t="shared" si="11"/>
        <v>0.30025133062153925</v>
      </c>
      <c r="AI31" s="7">
        <f t="shared" si="12"/>
        <v>1.6791308473458222E-2</v>
      </c>
      <c r="AJ31" s="7">
        <f t="shared" si="13"/>
        <v>0.13028373370334176</v>
      </c>
      <c r="AK31" s="7">
        <f t="shared" si="14"/>
        <v>0.16996759691819752</v>
      </c>
      <c r="AL31" s="7">
        <f t="shared" si="15"/>
        <v>2.2530638351311336E-2</v>
      </c>
      <c r="AM31" s="384"/>
      <c r="AN31" s="7"/>
      <c r="AO31" s="7">
        <f t="shared" si="16"/>
        <v>300.25133062153924</v>
      </c>
      <c r="AP31" s="7">
        <v>1</v>
      </c>
      <c r="AQ31" s="7">
        <f t="shared" si="0"/>
        <v>16.791308473458223</v>
      </c>
      <c r="AR31" s="7">
        <v>1</v>
      </c>
      <c r="AS31" s="7">
        <f t="shared" si="1"/>
        <v>130.28373370334177</v>
      </c>
      <c r="AT31" s="7">
        <v>1</v>
      </c>
      <c r="AU31" s="7">
        <f t="shared" si="2"/>
        <v>169.96759691819753</v>
      </c>
      <c r="AV31" s="7">
        <v>1</v>
      </c>
      <c r="AW31" s="7">
        <f t="shared" si="3"/>
        <v>22.530638351311335</v>
      </c>
      <c r="AX31" s="7">
        <v>1</v>
      </c>
      <c r="AY31" s="7">
        <f t="shared" si="17"/>
        <v>7.7589982882679678</v>
      </c>
      <c r="AZ31" s="493">
        <f t="shared" si="18"/>
        <v>10.122355692938573</v>
      </c>
      <c r="BA31" s="623">
        <f>main!R35</f>
        <v>37.33</v>
      </c>
      <c r="BB31" s="492">
        <v>1</v>
      </c>
      <c r="BC31" s="623">
        <f>main!S35</f>
        <v>8.39</v>
      </c>
      <c r="BD31" s="647">
        <v>1</v>
      </c>
    </row>
    <row r="32" spans="1:56">
      <c r="A32" s="623">
        <v>2017</v>
      </c>
      <c r="B32" s="623" t="s">
        <v>1750</v>
      </c>
      <c r="C32" s="623">
        <v>6</v>
      </c>
      <c r="D32" s="623" t="str">
        <f>main!$B$30</f>
        <v>McLane-PARFLUX-Mark78H-21 ; 2241, B250x21</v>
      </c>
      <c r="E32" s="623">
        <v>2000</v>
      </c>
      <c r="F32" s="634">
        <v>1</v>
      </c>
      <c r="G32" s="68">
        <f>main!E36</f>
        <v>469.55714285714288</v>
      </c>
      <c r="H32" s="7">
        <f>main!I36</f>
        <v>58.69464285714286</v>
      </c>
      <c r="I32" s="7">
        <f>main!J36</f>
        <v>21.438218303571432</v>
      </c>
      <c r="J32" s="7">
        <v>1</v>
      </c>
      <c r="K32" s="7">
        <f>main!AF36</f>
        <v>63.941887586145086</v>
      </c>
      <c r="L32" s="7">
        <f>main!AG36</f>
        <v>7.6727530766723957</v>
      </c>
      <c r="M32" s="370">
        <v>1</v>
      </c>
      <c r="N32" s="7">
        <f>main!M36</f>
        <v>16.683547973632813</v>
      </c>
      <c r="O32" s="370">
        <v>1</v>
      </c>
      <c r="P32" s="7">
        <f>main!O36</f>
        <v>1.3102766275405884</v>
      </c>
      <c r="Q32" s="7">
        <v>1</v>
      </c>
      <c r="R32" s="7">
        <f>main!AH36</f>
        <v>9.0107948969604159</v>
      </c>
      <c r="S32" s="370">
        <v>1</v>
      </c>
      <c r="T32" s="7">
        <f>main!AB36</f>
        <v>2.8684726765884898</v>
      </c>
      <c r="U32" s="7">
        <v>1</v>
      </c>
      <c r="V32" s="7">
        <f>main!AC36</f>
        <v>6.1362236787540887</v>
      </c>
      <c r="W32" s="7">
        <f t="shared" si="4"/>
        <v>13.708001448142024</v>
      </c>
      <c r="X32" s="7">
        <f t="shared" si="5"/>
        <v>1.6449015544710215</v>
      </c>
      <c r="Y32" s="7">
        <f t="shared" si="6"/>
        <v>3.5766554353684703</v>
      </c>
      <c r="Z32" s="7">
        <f t="shared" si="7"/>
        <v>0.28089996379282489</v>
      </c>
      <c r="AA32" s="7">
        <f t="shared" si="8"/>
        <v>1.9317538808974484</v>
      </c>
      <c r="AB32" s="7">
        <f t="shared" si="9"/>
        <v>1.3154970278467433</v>
      </c>
      <c r="AC32" s="161">
        <f>main!T36</f>
        <v>42904</v>
      </c>
      <c r="AD32" s="161">
        <f>main!U36</f>
        <v>42920</v>
      </c>
      <c r="AE32" s="161">
        <f>main!V36</f>
        <v>42912</v>
      </c>
      <c r="AF32" s="623">
        <f>main!H36</f>
        <v>16</v>
      </c>
      <c r="AG32" s="7">
        <f t="shared" si="10"/>
        <v>0.614949434385339</v>
      </c>
      <c r="AH32" s="7">
        <f t="shared" si="11"/>
        <v>0.2978064475743939</v>
      </c>
      <c r="AI32" s="7">
        <f t="shared" si="12"/>
        <v>2.0049961726825473E-2</v>
      </c>
      <c r="AJ32" s="7">
        <f t="shared" si="13"/>
        <v>0.16084545219795574</v>
      </c>
      <c r="AK32" s="7">
        <f t="shared" si="14"/>
        <v>0.1369609953764381</v>
      </c>
      <c r="AL32" s="7">
        <f t="shared" si="15"/>
        <v>2.1892112295668887E-2</v>
      </c>
      <c r="AM32" s="384"/>
      <c r="AN32" s="7"/>
      <c r="AO32" s="7">
        <f t="shared" si="16"/>
        <v>297.80644757439387</v>
      </c>
      <c r="AP32" s="7">
        <v>1</v>
      </c>
      <c r="AQ32" s="7">
        <f t="shared" si="0"/>
        <v>20.049961726825472</v>
      </c>
      <c r="AR32" s="7">
        <v>1</v>
      </c>
      <c r="AS32" s="7">
        <f t="shared" si="1"/>
        <v>160.84545219795572</v>
      </c>
      <c r="AT32" s="7">
        <v>1</v>
      </c>
      <c r="AU32" s="7">
        <f t="shared" si="2"/>
        <v>136.96099537643809</v>
      </c>
      <c r="AV32" s="7">
        <v>1</v>
      </c>
      <c r="AW32" s="7">
        <f t="shared" si="3"/>
        <v>21.892112295668888</v>
      </c>
      <c r="AX32" s="7">
        <v>1</v>
      </c>
      <c r="AY32" s="7">
        <f t="shared" si="17"/>
        <v>8.0222323807608849</v>
      </c>
      <c r="AZ32" s="493">
        <f t="shared" si="18"/>
        <v>6.8309853775527998</v>
      </c>
      <c r="BA32" s="623">
        <f>main!R36</f>
        <v>37.31</v>
      </c>
      <c r="BB32" s="492">
        <v>1</v>
      </c>
      <c r="BC32" s="623">
        <f>main!S36</f>
        <v>8.4120000000000008</v>
      </c>
      <c r="BD32" s="647">
        <v>1</v>
      </c>
    </row>
    <row r="33" spans="1:56">
      <c r="A33" s="623">
        <v>2017</v>
      </c>
      <c r="B33" s="623" t="s">
        <v>1750</v>
      </c>
      <c r="C33" s="623">
        <v>7</v>
      </c>
      <c r="D33" s="623" t="str">
        <f>main!$B$30</f>
        <v>McLane-PARFLUX-Mark78H-21 ; 2241, B250x21</v>
      </c>
      <c r="E33" s="623">
        <v>2000</v>
      </c>
      <c r="F33" s="634">
        <v>1</v>
      </c>
      <c r="G33" s="68">
        <f>main!E37</f>
        <v>410.91428571428571</v>
      </c>
      <c r="H33" s="7">
        <f>main!I37</f>
        <v>51.364285714285714</v>
      </c>
      <c r="I33" s="7">
        <f>main!J37</f>
        <v>18.760805357142857</v>
      </c>
      <c r="J33" s="7">
        <v>1</v>
      </c>
      <c r="K33" s="7">
        <f>main!AF37</f>
        <v>63.550304027477345</v>
      </c>
      <c r="L33" s="7">
        <f>main!AG37</f>
        <v>7.6257647241547382</v>
      </c>
      <c r="M33" s="370">
        <v>1</v>
      </c>
      <c r="N33" s="7">
        <f>main!M37</f>
        <v>17.578481674194336</v>
      </c>
      <c r="O33" s="370">
        <v>1</v>
      </c>
      <c r="P33" s="7">
        <f>main!O37</f>
        <v>1.383432149887085</v>
      </c>
      <c r="Q33" s="7">
        <v>1</v>
      </c>
      <c r="R33" s="7">
        <f>main!AH37</f>
        <v>9.9527169500395978</v>
      </c>
      <c r="S33" s="370">
        <v>1</v>
      </c>
      <c r="T33" s="7">
        <f>main!AB37</f>
        <v>2.7818522145956095</v>
      </c>
      <c r="U33" s="7">
        <v>1</v>
      </c>
      <c r="V33" s="7">
        <f>main!AC37</f>
        <v>5.9509255811694617</v>
      </c>
      <c r="W33" s="7">
        <f t="shared" si="4"/>
        <v>11.922548842467542</v>
      </c>
      <c r="X33" s="7">
        <f t="shared" si="5"/>
        <v>1.4306548768923322</v>
      </c>
      <c r="Y33" s="7">
        <f t="shared" si="6"/>
        <v>3.2978647316366261</v>
      </c>
      <c r="Z33" s="7">
        <f t="shared" si="7"/>
        <v>0.25954301288845283</v>
      </c>
      <c r="AA33" s="7">
        <f t="shared" si="8"/>
        <v>1.8672098547442939</v>
      </c>
      <c r="AB33" s="7">
        <f t="shared" si="9"/>
        <v>1.1164415652316251</v>
      </c>
      <c r="AC33" s="161">
        <f>main!T37</f>
        <v>42920</v>
      </c>
      <c r="AD33" s="161">
        <f>main!U37</f>
        <v>42936</v>
      </c>
      <c r="AE33" s="161">
        <f>main!V37</f>
        <v>42928</v>
      </c>
      <c r="AF33" s="623">
        <f>main!H37</f>
        <v>16</v>
      </c>
      <c r="AG33" s="7">
        <f t="shared" si="10"/>
        <v>0.52189787930365039</v>
      </c>
      <c r="AH33" s="7">
        <f t="shared" si="11"/>
        <v>0.27459323327532276</v>
      </c>
      <c r="AI33" s="7">
        <f t="shared" si="12"/>
        <v>1.852555409624931E-2</v>
      </c>
      <c r="AJ33" s="7">
        <f t="shared" si="13"/>
        <v>0.15547126184382132</v>
      </c>
      <c r="AK33" s="7">
        <f t="shared" si="14"/>
        <v>0.11912197143150144</v>
      </c>
      <c r="AL33" s="7">
        <f t="shared" si="15"/>
        <v>1.8579490185249212E-2</v>
      </c>
      <c r="AM33" s="384"/>
      <c r="AN33" s="7"/>
      <c r="AO33" s="7">
        <f t="shared" si="16"/>
        <v>274.59323327532275</v>
      </c>
      <c r="AP33" s="7">
        <v>1</v>
      </c>
      <c r="AQ33" s="7">
        <f t="shared" si="0"/>
        <v>18.525554096249309</v>
      </c>
      <c r="AR33" s="7">
        <v>1</v>
      </c>
      <c r="AS33" s="7">
        <f t="shared" si="1"/>
        <v>155.47126184382131</v>
      </c>
      <c r="AT33" s="7">
        <v>1</v>
      </c>
      <c r="AU33" s="7">
        <f t="shared" si="2"/>
        <v>119.12197143150144</v>
      </c>
      <c r="AV33" s="7">
        <v>1</v>
      </c>
      <c r="AW33" s="7">
        <f t="shared" si="3"/>
        <v>18.579490185249213</v>
      </c>
      <c r="AX33" s="7">
        <v>1</v>
      </c>
      <c r="AY33" s="7">
        <f t="shared" si="17"/>
        <v>8.3922597421956784</v>
      </c>
      <c r="AZ33" s="493">
        <f t="shared" si="18"/>
        <v>6.4301435094790991</v>
      </c>
      <c r="BA33" s="623">
        <f>main!R37</f>
        <v>36.270000000000003</v>
      </c>
      <c r="BB33" s="492">
        <v>1</v>
      </c>
      <c r="BC33" s="623">
        <f>main!S37</f>
        <v>8.4570000000000007</v>
      </c>
      <c r="BD33" s="647">
        <v>1</v>
      </c>
    </row>
    <row r="34" spans="1:56">
      <c r="A34" s="623">
        <v>2017</v>
      </c>
      <c r="B34" s="623" t="s">
        <v>1750</v>
      </c>
      <c r="C34" s="623">
        <v>8</v>
      </c>
      <c r="D34" s="623" t="str">
        <f>main!$B$30</f>
        <v>McLane-PARFLUX-Mark78H-21 ; 2241, B250x21</v>
      </c>
      <c r="E34" s="623">
        <v>2000</v>
      </c>
      <c r="F34" s="634">
        <v>1</v>
      </c>
      <c r="G34" s="68">
        <f>main!E38</f>
        <v>387.74285714285719</v>
      </c>
      <c r="H34" s="7">
        <f>main!I38</f>
        <v>48.467857142857149</v>
      </c>
      <c r="I34" s="7">
        <f>main!J38</f>
        <v>17.702884821428576</v>
      </c>
      <c r="J34" s="7">
        <v>1</v>
      </c>
      <c r="K34" s="7">
        <f>main!AF38</f>
        <v>62.873168016740003</v>
      </c>
      <c r="L34" s="7">
        <f>main!AG38</f>
        <v>7.5445112984920852</v>
      </c>
      <c r="M34" s="370">
        <v>1</v>
      </c>
      <c r="N34" s="7">
        <f>main!M38</f>
        <v>16.464389801025391</v>
      </c>
      <c r="O34" s="370">
        <v>1</v>
      </c>
      <c r="P34" s="7">
        <f>main!O38</f>
        <v>1.4435456991195679</v>
      </c>
      <c r="Q34" s="7">
        <v>1</v>
      </c>
      <c r="R34" s="7">
        <f>main!AH38</f>
        <v>8.9198785025333045</v>
      </c>
      <c r="S34" s="370">
        <v>1</v>
      </c>
      <c r="T34" s="7">
        <f>main!AB38</f>
        <v>3.2392058782340789</v>
      </c>
      <c r="U34" s="7">
        <v>1</v>
      </c>
      <c r="V34" s="7">
        <f>main!AC38</f>
        <v>6.9292944543640376</v>
      </c>
      <c r="W34" s="7">
        <f t="shared" si="4"/>
        <v>11.130364517586752</v>
      </c>
      <c r="X34" s="7">
        <f t="shared" si="5"/>
        <v>1.3355961455117193</v>
      </c>
      <c r="Y34" s="7">
        <f t="shared" si="6"/>
        <v>2.9146719630265587</v>
      </c>
      <c r="Z34" s="7">
        <f t="shared" si="7"/>
        <v>0.25554923245982297</v>
      </c>
      <c r="AA34" s="7">
        <f t="shared" si="8"/>
        <v>1.5790758175148389</v>
      </c>
      <c r="AB34" s="7">
        <f t="shared" si="9"/>
        <v>1.2266850161937033</v>
      </c>
      <c r="AC34" s="161">
        <f>main!T38</f>
        <v>42936</v>
      </c>
      <c r="AD34" s="161">
        <f>main!U38</f>
        <v>42952</v>
      </c>
      <c r="AE34" s="161">
        <f>main!V38</f>
        <v>42944</v>
      </c>
      <c r="AF34" s="623">
        <f>main!H38</f>
        <v>16</v>
      </c>
      <c r="AG34" s="7">
        <f t="shared" si="10"/>
        <v>0.573432885752723</v>
      </c>
      <c r="AH34" s="7">
        <f t="shared" si="11"/>
        <v>0.24268709100970515</v>
      </c>
      <c r="AI34" s="7">
        <f t="shared" si="12"/>
        <v>1.8240487684498426E-2</v>
      </c>
      <c r="AJ34" s="7">
        <f t="shared" si="13"/>
        <v>0.13148008472230133</v>
      </c>
      <c r="AK34" s="7">
        <f t="shared" si="14"/>
        <v>0.11120700628740378</v>
      </c>
      <c r="AL34" s="7">
        <f t="shared" si="15"/>
        <v>2.0414129076280634E-2</v>
      </c>
      <c r="AM34" s="384"/>
      <c r="AN34" s="7"/>
      <c r="AO34" s="7">
        <f t="shared" si="16"/>
        <v>242.68709100970514</v>
      </c>
      <c r="AP34" s="7">
        <v>1</v>
      </c>
      <c r="AQ34" s="7">
        <f t="shared" si="0"/>
        <v>18.240487684498426</v>
      </c>
      <c r="AR34" s="7">
        <v>1</v>
      </c>
      <c r="AS34" s="7">
        <f t="shared" si="1"/>
        <v>131.48008472230131</v>
      </c>
      <c r="AT34" s="7">
        <v>1</v>
      </c>
      <c r="AU34" s="7">
        <f t="shared" si="2"/>
        <v>111.20700628740377</v>
      </c>
      <c r="AV34" s="7">
        <v>1</v>
      </c>
      <c r="AW34" s="7">
        <f t="shared" si="3"/>
        <v>20.414129076280634</v>
      </c>
      <c r="AX34" s="7">
        <v>1</v>
      </c>
      <c r="AY34" s="7">
        <f t="shared" si="17"/>
        <v>7.2081452533771291</v>
      </c>
      <c r="AZ34" s="493">
        <f t="shared" si="18"/>
        <v>6.0967123363654583</v>
      </c>
      <c r="BA34" s="623">
        <f>main!R38</f>
        <v>37.35</v>
      </c>
      <c r="BB34" s="492">
        <v>1</v>
      </c>
      <c r="BC34" s="623">
        <f>main!S38</f>
        <v>8.327</v>
      </c>
      <c r="BD34" s="647">
        <v>1</v>
      </c>
    </row>
    <row r="35" spans="1:56">
      <c r="A35" s="623">
        <v>2017</v>
      </c>
      <c r="B35" s="623" t="s">
        <v>1750</v>
      </c>
      <c r="C35" s="623">
        <v>9</v>
      </c>
      <c r="D35" s="623" t="str">
        <f>main!$B$30</f>
        <v>McLane-PARFLUX-Mark78H-21 ; 2241, B250x21</v>
      </c>
      <c r="E35" s="623">
        <v>2000</v>
      </c>
      <c r="F35" s="634">
        <v>1</v>
      </c>
      <c r="G35" s="68">
        <f>main!E39</f>
        <v>291.95714285714286</v>
      </c>
      <c r="H35" s="7">
        <f>main!I39</f>
        <v>36.494642857142857</v>
      </c>
      <c r="I35" s="7">
        <f>main!J39</f>
        <v>13.329668303571429</v>
      </c>
      <c r="J35" s="7">
        <v>1</v>
      </c>
      <c r="K35" s="7">
        <f>main!AF39</f>
        <v>59.701481098184196</v>
      </c>
      <c r="L35" s="7">
        <f>main!AG39</f>
        <v>7.163922431299123</v>
      </c>
      <c r="M35" s="370">
        <v>1</v>
      </c>
      <c r="N35" s="7">
        <f>main!M39</f>
        <v>17.553958892822266</v>
      </c>
      <c r="O35" s="370">
        <v>3</v>
      </c>
      <c r="P35" s="7">
        <f>main!O39</f>
        <v>1.471712589263916</v>
      </c>
      <c r="Q35" s="7">
        <v>1</v>
      </c>
      <c r="R35" s="7">
        <f>main!AH39</f>
        <v>10.390036461523142</v>
      </c>
      <c r="S35" s="370">
        <v>3</v>
      </c>
      <c r="T35" s="7">
        <f>main!AB39</f>
        <v>3.641785765010829</v>
      </c>
      <c r="U35" s="7">
        <v>1</v>
      </c>
      <c r="V35" s="7">
        <f>main!AC39</f>
        <v>7.7904915136881705</v>
      </c>
      <c r="W35" s="7">
        <f t="shared" si="4"/>
        <v>7.9580094027073462</v>
      </c>
      <c r="X35" s="7">
        <f t="shared" si="5"/>
        <v>0.95492709761732286</v>
      </c>
      <c r="Y35" s="7">
        <f t="shared" si="6"/>
        <v>2.339884494558488</v>
      </c>
      <c r="Z35" s="7">
        <f t="shared" si="7"/>
        <v>0.19617440653078258</v>
      </c>
      <c r="AA35" s="7">
        <f t="shared" si="8"/>
        <v>1.3849573969411646</v>
      </c>
      <c r="AB35" s="7">
        <f t="shared" si="9"/>
        <v>1.0384466779925141</v>
      </c>
      <c r="AC35" s="161">
        <f>main!T39</f>
        <v>42952</v>
      </c>
      <c r="AD35" s="161">
        <f>main!U39</f>
        <v>42968</v>
      </c>
      <c r="AE35" s="161">
        <f>main!V39</f>
        <v>42960</v>
      </c>
      <c r="AF35" s="623">
        <f>main!H39</f>
        <v>16</v>
      </c>
      <c r="AG35" s="7">
        <f t="shared" si="10"/>
        <v>0.4854379628026248</v>
      </c>
      <c r="AH35" s="7">
        <f t="shared" si="11"/>
        <v>0.19482801786498652</v>
      </c>
      <c r="AI35" s="7">
        <f t="shared" si="12"/>
        <v>1.4002455855159357E-2</v>
      </c>
      <c r="AJ35" s="7">
        <f t="shared" si="13"/>
        <v>0.11531701889601703</v>
      </c>
      <c r="AK35" s="7">
        <f t="shared" si="14"/>
        <v>7.9510998968969432E-2</v>
      </c>
      <c r="AL35" s="7">
        <f t="shared" si="15"/>
        <v>1.7281522349684043E-2</v>
      </c>
      <c r="AM35" s="384"/>
      <c r="AN35" s="7"/>
      <c r="AO35" s="7">
        <f t="shared" si="16"/>
        <v>194.82801786498652</v>
      </c>
      <c r="AP35" s="7">
        <v>3</v>
      </c>
      <c r="AQ35" s="7">
        <f t="shared" si="0"/>
        <v>14.002455855159358</v>
      </c>
      <c r="AR35" s="7">
        <v>1</v>
      </c>
      <c r="AS35" s="7">
        <f t="shared" si="1"/>
        <v>115.31701889601703</v>
      </c>
      <c r="AT35" s="7">
        <v>3</v>
      </c>
      <c r="AU35" s="7">
        <f t="shared" si="2"/>
        <v>79.510998968969432</v>
      </c>
      <c r="AV35" s="7">
        <v>1</v>
      </c>
      <c r="AW35" s="7">
        <f t="shared" si="3"/>
        <v>17.281522349684042</v>
      </c>
      <c r="AX35" s="7">
        <v>1</v>
      </c>
      <c r="AY35" s="7">
        <f t="shared" si="17"/>
        <v>8.2354852669310308</v>
      </c>
      <c r="AZ35" s="493">
        <f t="shared" si="18"/>
        <v>5.678360981204075</v>
      </c>
      <c r="BA35" s="623">
        <f>main!R39</f>
        <v>37.36</v>
      </c>
      <c r="BB35" s="492">
        <v>1</v>
      </c>
      <c r="BC35" s="623">
        <f>main!S39</f>
        <v>8.5969999999999995</v>
      </c>
      <c r="BD35" s="647">
        <v>1</v>
      </c>
    </row>
    <row r="36" spans="1:56">
      <c r="A36" s="623">
        <v>2017</v>
      </c>
      <c r="B36" s="623" t="s">
        <v>1750</v>
      </c>
      <c r="C36" s="623">
        <v>10</v>
      </c>
      <c r="D36" s="623" t="str">
        <f>main!$B$30</f>
        <v>McLane-PARFLUX-Mark78H-21 ; 2241, B250x21</v>
      </c>
      <c r="E36" s="623">
        <v>2000</v>
      </c>
      <c r="F36" s="634">
        <v>1</v>
      </c>
      <c r="G36" s="68">
        <f>main!E40</f>
        <v>284.5</v>
      </c>
      <c r="H36" s="7">
        <f>main!I40</f>
        <v>35.5625</v>
      </c>
      <c r="I36" s="7">
        <f>main!J40</f>
        <v>12.989203125000001</v>
      </c>
      <c r="J36" s="7">
        <v>1</v>
      </c>
      <c r="K36" s="7">
        <f>main!AF40</f>
        <v>63.014468576166216</v>
      </c>
      <c r="L36" s="7">
        <f>main!AG40</f>
        <v>7.5614667613819222</v>
      </c>
      <c r="M36" s="370">
        <v>1</v>
      </c>
      <c r="N36" s="7">
        <f>main!M40</f>
        <v>15.918201446533203</v>
      </c>
      <c r="O36" s="370">
        <v>2</v>
      </c>
      <c r="P36" s="7">
        <f>main!O40</f>
        <v>1.2233142852783203</v>
      </c>
      <c r="Q36" s="7">
        <v>1</v>
      </c>
      <c r="R36" s="7">
        <f>main!AH40</f>
        <v>8.3567346851512809</v>
      </c>
      <c r="S36" s="370">
        <v>2</v>
      </c>
      <c r="T36" s="7">
        <f>main!AB40</f>
        <v>4.1767193629231443</v>
      </c>
      <c r="U36" s="7">
        <v>1</v>
      </c>
      <c r="V36" s="7">
        <f>main!AC40</f>
        <v>8.9348190287665279</v>
      </c>
      <c r="W36" s="7">
        <f t="shared" si="4"/>
        <v>8.1850773214975252</v>
      </c>
      <c r="X36" s="7">
        <f t="shared" si="5"/>
        <v>0.98217427686525716</v>
      </c>
      <c r="Y36" s="7">
        <f t="shared" si="6"/>
        <v>2.0676475197368864</v>
      </c>
      <c r="Z36" s="7">
        <f t="shared" si="7"/>
        <v>0.158898777371943</v>
      </c>
      <c r="AA36" s="7">
        <f t="shared" si="8"/>
        <v>1.0854732428716292</v>
      </c>
      <c r="AB36" s="7">
        <f t="shared" si="9"/>
        <v>1.1605617924976366</v>
      </c>
      <c r="AC36" s="161">
        <f>main!T40</f>
        <v>42968</v>
      </c>
      <c r="AD36" s="161">
        <f>main!U40</f>
        <v>42984</v>
      </c>
      <c r="AE36" s="161">
        <f>main!V40</f>
        <v>42976</v>
      </c>
      <c r="AF36" s="623">
        <f>main!H40</f>
        <v>16</v>
      </c>
      <c r="AG36" s="7">
        <f t="shared" si="10"/>
        <v>0.54252256201129323</v>
      </c>
      <c r="AH36" s="7">
        <f t="shared" si="11"/>
        <v>0.17216049290065666</v>
      </c>
      <c r="AI36" s="7">
        <f t="shared" si="12"/>
        <v>1.1341811375584796E-2</v>
      </c>
      <c r="AJ36" s="7">
        <f t="shared" si="13"/>
        <v>9.0380786250760126E-2</v>
      </c>
      <c r="AK36" s="7">
        <f t="shared" si="14"/>
        <v>8.1779706649896519E-2</v>
      </c>
      <c r="AL36" s="7">
        <f t="shared" si="15"/>
        <v>1.931372595269823E-2</v>
      </c>
      <c r="AM36" s="384"/>
      <c r="AN36" s="7"/>
      <c r="AO36" s="7">
        <f t="shared" si="16"/>
        <v>172.16049290065666</v>
      </c>
      <c r="AP36" s="7">
        <v>2</v>
      </c>
      <c r="AQ36" s="7">
        <f t="shared" si="0"/>
        <v>11.341811375584797</v>
      </c>
      <c r="AR36" s="7">
        <v>1</v>
      </c>
      <c r="AS36" s="7">
        <f t="shared" si="1"/>
        <v>90.380786250760124</v>
      </c>
      <c r="AT36" s="7">
        <v>2</v>
      </c>
      <c r="AU36" s="7">
        <f t="shared" si="2"/>
        <v>81.779706649896525</v>
      </c>
      <c r="AV36" s="7">
        <v>1</v>
      </c>
      <c r="AW36" s="7">
        <f t="shared" si="3"/>
        <v>19.313725952698231</v>
      </c>
      <c r="AX36" s="7">
        <v>1</v>
      </c>
      <c r="AY36" s="7">
        <f t="shared" si="17"/>
        <v>7.9688140860215979</v>
      </c>
      <c r="AZ36" s="493">
        <f t="shared" si="18"/>
        <v>7.2104625920636831</v>
      </c>
      <c r="BA36" s="623">
        <f>main!R40</f>
        <v>37.840000000000003</v>
      </c>
      <c r="BB36" s="492">
        <v>1</v>
      </c>
      <c r="BC36" s="623">
        <f>main!S40</f>
        <v>8.6314999999999991</v>
      </c>
      <c r="BD36" s="647">
        <v>1</v>
      </c>
    </row>
    <row r="37" spans="1:56">
      <c r="A37" s="623">
        <v>2017</v>
      </c>
      <c r="B37" s="623" t="s">
        <v>1750</v>
      </c>
      <c r="C37" s="623">
        <v>11</v>
      </c>
      <c r="D37" s="623" t="str">
        <f>main!$B$30</f>
        <v>McLane-PARFLUX-Mark78H-21 ; 2241, B250x21</v>
      </c>
      <c r="E37" s="623">
        <v>2000</v>
      </c>
      <c r="F37" s="634">
        <v>1</v>
      </c>
      <c r="G37" s="68">
        <f>main!E41</f>
        <v>494.20000000000005</v>
      </c>
      <c r="H37" s="7">
        <f>main!I41</f>
        <v>61.775000000000006</v>
      </c>
      <c r="I37" s="7">
        <f>main!J41</f>
        <v>22.563318750000004</v>
      </c>
      <c r="J37" s="7">
        <v>1</v>
      </c>
      <c r="K37" s="7">
        <f>main!AF41</f>
        <v>64.460972601498142</v>
      </c>
      <c r="L37" s="7">
        <f>main!AG41</f>
        <v>7.7350410587598644</v>
      </c>
      <c r="M37" s="370">
        <v>1</v>
      </c>
      <c r="N37" s="7">
        <f>main!M41</f>
        <v>15.501677513122559</v>
      </c>
      <c r="O37" s="370">
        <v>1</v>
      </c>
      <c r="P37" s="7">
        <f>main!O41</f>
        <v>1.1527551412582397</v>
      </c>
      <c r="Q37" s="7">
        <v>1</v>
      </c>
      <c r="R37" s="7">
        <f>main!AH41</f>
        <v>7.7666364543626942</v>
      </c>
      <c r="S37" s="370">
        <v>1</v>
      </c>
      <c r="T37" s="7">
        <f>main!AB41</f>
        <v>4.494024256957359</v>
      </c>
      <c r="U37" s="7">
        <v>1</v>
      </c>
      <c r="V37" s="7">
        <f>main!AC41</f>
        <v>9.6135962121953629</v>
      </c>
      <c r="W37" s="7">
        <f t="shared" si="4"/>
        <v>14.544534717426197</v>
      </c>
      <c r="X37" s="7">
        <f t="shared" si="5"/>
        <v>1.7452819695313633</v>
      </c>
      <c r="Y37" s="7">
        <f t="shared" si="6"/>
        <v>3.4976929088829163</v>
      </c>
      <c r="Z37" s="7">
        <f t="shared" si="7"/>
        <v>0.26009981692910944</v>
      </c>
      <c r="AA37" s="7">
        <f t="shared" si="8"/>
        <v>1.7524109393515532</v>
      </c>
      <c r="AB37" s="7">
        <f t="shared" si="9"/>
        <v>2.1691463566955664</v>
      </c>
      <c r="AC37" s="161">
        <f>main!T41</f>
        <v>42984</v>
      </c>
      <c r="AD37" s="161">
        <f>main!U41</f>
        <v>43000</v>
      </c>
      <c r="AE37" s="161">
        <f>main!V41</f>
        <v>42992</v>
      </c>
      <c r="AF37" s="623">
        <f>main!H41</f>
        <v>16</v>
      </c>
      <c r="AG37" s="7">
        <f t="shared" si="10"/>
        <v>1.0140010177996082</v>
      </c>
      <c r="AH37" s="7">
        <f t="shared" si="11"/>
        <v>0.29123171597692893</v>
      </c>
      <c r="AI37" s="7">
        <f t="shared" si="12"/>
        <v>1.8565297425346856E-2</v>
      </c>
      <c r="AJ37" s="7">
        <f t="shared" si="13"/>
        <v>0.14591265107007104</v>
      </c>
      <c r="AK37" s="7">
        <f t="shared" si="14"/>
        <v>0.14531906490685789</v>
      </c>
      <c r="AL37" s="7">
        <f t="shared" si="15"/>
        <v>3.6098291840498689E-2</v>
      </c>
      <c r="AM37" s="384"/>
      <c r="AN37" s="7"/>
      <c r="AO37" s="7">
        <f t="shared" si="16"/>
        <v>291.23171597692891</v>
      </c>
      <c r="AP37" s="7">
        <v>1</v>
      </c>
      <c r="AQ37" s="7">
        <f t="shared" si="0"/>
        <v>18.565297425346856</v>
      </c>
      <c r="AR37" s="7">
        <v>1</v>
      </c>
      <c r="AS37" s="7">
        <f t="shared" si="1"/>
        <v>145.91265107007104</v>
      </c>
      <c r="AT37" s="7">
        <v>1</v>
      </c>
      <c r="AU37" s="7">
        <f t="shared" si="2"/>
        <v>145.3190649068579</v>
      </c>
      <c r="AV37" s="7">
        <v>1</v>
      </c>
      <c r="AW37" s="7">
        <f t="shared" si="3"/>
        <v>36.098291840498689</v>
      </c>
      <c r="AX37" s="7">
        <v>1</v>
      </c>
      <c r="AY37" s="7">
        <f t="shared" si="17"/>
        <v>7.8594297590330662</v>
      </c>
      <c r="AZ37" s="493">
        <f t="shared" si="18"/>
        <v>7.8274568716823509</v>
      </c>
      <c r="BA37" s="623">
        <f>main!R41</f>
        <v>37.090000000000003</v>
      </c>
      <c r="BB37" s="492">
        <v>1</v>
      </c>
      <c r="BC37" s="623">
        <f>main!S41</f>
        <v>8.5869999999999997</v>
      </c>
      <c r="BD37" s="647">
        <v>1</v>
      </c>
    </row>
    <row r="38" spans="1:56" s="377" customFormat="1">
      <c r="A38" s="377">
        <v>2017</v>
      </c>
      <c r="B38" s="377" t="s">
        <v>1750</v>
      </c>
      <c r="C38" s="377">
        <v>12</v>
      </c>
      <c r="D38" s="377" t="str">
        <f>main!$B$30</f>
        <v>McLane-PARFLUX-Mark78H-21 ; 2241, B250x21</v>
      </c>
      <c r="E38" s="377">
        <v>2000</v>
      </c>
      <c r="F38" s="377">
        <v>1</v>
      </c>
      <c r="G38" s="476">
        <f>main!E42</f>
        <v>468.7714285714286</v>
      </c>
      <c r="H38" s="384">
        <f>main!I42</f>
        <v>58.596428571428575</v>
      </c>
      <c r="I38" s="384">
        <f>main!J42</f>
        <v>21.402345535714289</v>
      </c>
      <c r="J38" s="384">
        <v>1</v>
      </c>
      <c r="K38" s="384">
        <f>main!AF42</f>
        <v>60.672217754950033</v>
      </c>
      <c r="L38" s="384">
        <f>main!AG42</f>
        <v>7.2804066789654787</v>
      </c>
      <c r="M38" s="384">
        <v>2</v>
      </c>
      <c r="N38" s="384">
        <f>main!M42</f>
        <v>16.384731292724609</v>
      </c>
      <c r="O38" s="384">
        <v>1</v>
      </c>
      <c r="P38" s="384">
        <f>main!O42</f>
        <v>1.3369530439376831</v>
      </c>
      <c r="Q38" s="384">
        <v>1</v>
      </c>
      <c r="R38" s="384">
        <f>main!AH42</f>
        <v>9.1043246137591307</v>
      </c>
      <c r="S38" s="384">
        <v>2</v>
      </c>
      <c r="T38" s="384">
        <f>main!AB42</f>
        <v>4.3997716546808778</v>
      </c>
      <c r="U38" s="384">
        <v>1</v>
      </c>
      <c r="V38" s="384">
        <f>main!AC42</f>
        <v>9.4119714748940524</v>
      </c>
      <c r="W38" s="384">
        <f t="shared" si="4"/>
        <v>12.985277688095401</v>
      </c>
      <c r="X38" s="384">
        <f t="shared" si="5"/>
        <v>1.5581777938374131</v>
      </c>
      <c r="Y38" s="384">
        <f t="shared" si="6"/>
        <v>3.5067168063672272</v>
      </c>
      <c r="Z38" s="384">
        <f t="shared" si="7"/>
        <v>0.28613931011379301</v>
      </c>
      <c r="AA38" s="384">
        <f t="shared" si="8"/>
        <v>1.9485390125298145</v>
      </c>
      <c r="AB38" s="384">
        <f t="shared" si="9"/>
        <v>2.0143826567796896</v>
      </c>
      <c r="AC38" s="462">
        <f>main!T42</f>
        <v>43000</v>
      </c>
      <c r="AD38" s="462">
        <f>main!U42</f>
        <v>43016</v>
      </c>
      <c r="AE38" s="462">
        <f>main!V42</f>
        <v>43008</v>
      </c>
      <c r="AF38" s="377">
        <f>main!H42</f>
        <v>16</v>
      </c>
      <c r="AG38" s="384">
        <f t="shared" si="10"/>
        <v>0.94165433231721551</v>
      </c>
      <c r="AH38" s="384">
        <f t="shared" si="11"/>
        <v>0.29198308129618877</v>
      </c>
      <c r="AI38" s="384">
        <f t="shared" si="12"/>
        <v>2.0423933626965953E-2</v>
      </c>
      <c r="AJ38" s="384">
        <f t="shared" si="13"/>
        <v>0.16224304850373145</v>
      </c>
      <c r="AK38" s="384">
        <f t="shared" si="14"/>
        <v>0.12974003279245738</v>
      </c>
      <c r="AL38" s="384">
        <f t="shared" si="15"/>
        <v>3.3522760139452316E-2</v>
      </c>
      <c r="AM38" s="384"/>
      <c r="AN38" s="384"/>
      <c r="AO38" s="384">
        <f t="shared" si="16"/>
        <v>291.9830812961888</v>
      </c>
      <c r="AP38" s="384">
        <v>1</v>
      </c>
      <c r="AQ38" s="384">
        <f t="shared" ref="AQ38:AQ68" si="19">AI38*1000</f>
        <v>20.423933626965955</v>
      </c>
      <c r="AR38" s="384">
        <v>1</v>
      </c>
      <c r="AS38" s="384">
        <f t="shared" ref="AS38:AS68" si="20">AJ38*1000</f>
        <v>162.24304850373144</v>
      </c>
      <c r="AT38" s="384">
        <v>2</v>
      </c>
      <c r="AU38" s="384">
        <f t="shared" ref="AU38:AU68" si="21">AK38*1000</f>
        <v>129.74003279245738</v>
      </c>
      <c r="AV38" s="384">
        <v>2</v>
      </c>
      <c r="AW38" s="384">
        <f t="shared" ref="AW38:AW68" si="22">AL38*1000</f>
        <v>33.522760139452316</v>
      </c>
      <c r="AX38" s="384">
        <v>1</v>
      </c>
      <c r="AY38" s="384">
        <f t="shared" si="17"/>
        <v>7.9437708458629182</v>
      </c>
      <c r="AZ38" s="643">
        <f t="shared" si="18"/>
        <v>6.3523528406477059</v>
      </c>
      <c r="BA38" s="377">
        <f>main!R42</f>
        <v>37.049999999999997</v>
      </c>
      <c r="BB38" s="492">
        <v>1</v>
      </c>
      <c r="BC38" s="377">
        <f>main!S42</f>
        <v>8.5250000000000004</v>
      </c>
      <c r="BD38" s="647">
        <v>1</v>
      </c>
    </row>
    <row r="39" spans="1:56">
      <c r="A39" s="623">
        <v>2017</v>
      </c>
      <c r="B39" s="623" t="s">
        <v>1750</v>
      </c>
      <c r="C39" s="623">
        <v>13</v>
      </c>
      <c r="D39" s="623" t="str">
        <f>main!$B$30</f>
        <v>McLane-PARFLUX-Mark78H-21 ; 2241, B250x21</v>
      </c>
      <c r="E39" s="623">
        <v>2000</v>
      </c>
      <c r="F39" s="634">
        <v>1</v>
      </c>
      <c r="G39" s="68">
        <f>main!E43</f>
        <v>316.74285714285713</v>
      </c>
      <c r="H39" s="7">
        <f>main!I43</f>
        <v>39.592857142857142</v>
      </c>
      <c r="I39" s="7">
        <f>main!J43</f>
        <v>14.461291071428573</v>
      </c>
      <c r="J39" s="7">
        <v>1</v>
      </c>
      <c r="K39" s="7">
        <f>main!AF43</f>
        <v>67.919164718905449</v>
      </c>
      <c r="L39" s="7">
        <f>main!AG43</f>
        <v>8.1500093246374341</v>
      </c>
      <c r="M39" s="370">
        <v>1</v>
      </c>
      <c r="N39" s="7">
        <f>main!M43</f>
        <v>15.005260467529297</v>
      </c>
      <c r="O39" s="370">
        <v>1</v>
      </c>
      <c r="P39" s="7">
        <f>main!O43</f>
        <v>0.97036200761795044</v>
      </c>
      <c r="Q39" s="7">
        <v>1</v>
      </c>
      <c r="R39" s="7">
        <f>main!AH43</f>
        <v>6.8552511428918628</v>
      </c>
      <c r="S39" s="370">
        <v>1</v>
      </c>
      <c r="T39" s="7">
        <f>main!AB43</f>
        <v>3.7155409090909086</v>
      </c>
      <c r="U39" s="7">
        <v>1</v>
      </c>
      <c r="V39" s="7">
        <f>main!AC43</f>
        <v>7.9482681818181815</v>
      </c>
      <c r="W39" s="7">
        <f t="shared" si="4"/>
        <v>9.8219881032839389</v>
      </c>
      <c r="X39" s="7">
        <f t="shared" si="5"/>
        <v>1.1785965707843895</v>
      </c>
      <c r="Y39" s="7">
        <f t="shared" si="6"/>
        <v>2.1699543922354154</v>
      </c>
      <c r="Z39" s="7">
        <f t="shared" si="7"/>
        <v>0.14032687436818972</v>
      </c>
      <c r="AA39" s="7">
        <f t="shared" si="8"/>
        <v>0.99135782145102624</v>
      </c>
      <c r="AB39" s="7">
        <f t="shared" si="9"/>
        <v>1.1494221969104708</v>
      </c>
      <c r="AC39" s="161">
        <f>main!T43</f>
        <v>43016</v>
      </c>
      <c r="AD39" s="161">
        <f>main!U43</f>
        <v>43032</v>
      </c>
      <c r="AE39" s="161">
        <f>main!V43</f>
        <v>43024</v>
      </c>
      <c r="AF39" s="623">
        <f>main!H43</f>
        <v>16</v>
      </c>
      <c r="AG39" s="7">
        <f t="shared" si="10"/>
        <v>0.53731518574163961</v>
      </c>
      <c r="AH39" s="7">
        <f t="shared" si="11"/>
        <v>0.18067896688055082</v>
      </c>
      <c r="AI39" s="7">
        <f t="shared" si="12"/>
        <v>1.00161937450528E-2</v>
      </c>
      <c r="AJ39" s="7">
        <f t="shared" si="13"/>
        <v>8.2544364816904761E-2</v>
      </c>
      <c r="AK39" s="7">
        <f t="shared" si="14"/>
        <v>9.813460206364609E-2</v>
      </c>
      <c r="AL39" s="7">
        <f t="shared" si="15"/>
        <v>1.9128344099025973E-2</v>
      </c>
      <c r="AM39" s="384"/>
      <c r="AN39" s="7"/>
      <c r="AO39" s="7">
        <f t="shared" si="16"/>
        <v>180.67896688055083</v>
      </c>
      <c r="AP39" s="7">
        <v>1</v>
      </c>
      <c r="AQ39" s="7">
        <f t="shared" si="19"/>
        <v>10.016193745052801</v>
      </c>
      <c r="AR39" s="7">
        <v>1</v>
      </c>
      <c r="AS39" s="7">
        <f t="shared" si="20"/>
        <v>82.544364816904761</v>
      </c>
      <c r="AT39" s="7">
        <v>1</v>
      </c>
      <c r="AU39" s="7">
        <f t="shared" si="21"/>
        <v>98.134602063646085</v>
      </c>
      <c r="AV39" s="7">
        <v>1</v>
      </c>
      <c r="AW39" s="7">
        <f t="shared" si="22"/>
        <v>19.128344099025973</v>
      </c>
      <c r="AX39" s="7">
        <v>1</v>
      </c>
      <c r="AY39" s="7">
        <f t="shared" si="17"/>
        <v>8.241091068917779</v>
      </c>
      <c r="AZ39" s="493">
        <f t="shared" si="18"/>
        <v>9.797594232052143</v>
      </c>
      <c r="BA39" s="623">
        <f>main!R43</f>
        <v>37.42</v>
      </c>
      <c r="BB39" s="492">
        <v>1</v>
      </c>
      <c r="BC39" s="623">
        <f>main!S43</f>
        <v>8.6050000000000004</v>
      </c>
      <c r="BD39" s="647">
        <v>1</v>
      </c>
    </row>
    <row r="40" spans="1:56">
      <c r="A40" s="623">
        <v>2017</v>
      </c>
      <c r="B40" s="623" t="s">
        <v>1750</v>
      </c>
      <c r="C40" s="623">
        <v>14</v>
      </c>
      <c r="D40" s="623" t="str">
        <f>main!$B$30</f>
        <v>McLane-PARFLUX-Mark78H-21 ; 2241, B250x21</v>
      </c>
      <c r="E40" s="623">
        <v>2000</v>
      </c>
      <c r="F40" s="634">
        <v>1</v>
      </c>
      <c r="G40" s="68">
        <f>main!E44</f>
        <v>787.87142857142851</v>
      </c>
      <c r="H40" s="7">
        <f>main!I44</f>
        <v>98.483928571428564</v>
      </c>
      <c r="I40" s="7">
        <f>main!J44</f>
        <v>35.971254910714286</v>
      </c>
      <c r="J40" s="7">
        <v>1</v>
      </c>
      <c r="K40" s="7">
        <f>main!AF44</f>
        <v>67.376509500914366</v>
      </c>
      <c r="L40" s="7">
        <f>main!AG44</f>
        <v>8.084893019026282</v>
      </c>
      <c r="M40" s="370">
        <v>1</v>
      </c>
      <c r="N40" s="7">
        <f>main!M44</f>
        <v>15.577505111694336</v>
      </c>
      <c r="O40" s="370">
        <v>1</v>
      </c>
      <c r="P40" s="7">
        <f>main!O44</f>
        <v>0.96969813108444214</v>
      </c>
      <c r="Q40" s="7">
        <v>1</v>
      </c>
      <c r="R40" s="7">
        <f>main!AH44</f>
        <v>7.4926120926680539</v>
      </c>
      <c r="S40" s="370">
        <v>1</v>
      </c>
      <c r="T40" s="7">
        <f>main!AB44</f>
        <v>3.3873235294117641</v>
      </c>
      <c r="U40" s="7">
        <v>1</v>
      </c>
      <c r="V40" s="7">
        <f>main!AC44</f>
        <v>7.2461470588235306</v>
      </c>
      <c r="W40" s="7">
        <f t="shared" si="4"/>
        <v>24.236175982515533</v>
      </c>
      <c r="X40" s="7">
        <f t="shared" si="5"/>
        <v>2.9082374771324879</v>
      </c>
      <c r="Y40" s="7">
        <f t="shared" si="6"/>
        <v>5.603424072457118</v>
      </c>
      <c r="Z40" s="7">
        <f t="shared" si="7"/>
        <v>0.34881258659681708</v>
      </c>
      <c r="AA40" s="7">
        <f t="shared" si="8"/>
        <v>2.6951865953246297</v>
      </c>
      <c r="AB40" s="7">
        <f t="shared" si="9"/>
        <v>2.6065300297346381</v>
      </c>
      <c r="AC40" s="161">
        <f>main!T44</f>
        <v>43032</v>
      </c>
      <c r="AD40" s="161">
        <f>main!U44</f>
        <v>43048</v>
      </c>
      <c r="AE40" s="161">
        <f>main!V44</f>
        <v>43040</v>
      </c>
      <c r="AF40" s="623">
        <f>main!H44</f>
        <v>16</v>
      </c>
      <c r="AG40" s="7">
        <f t="shared" si="10"/>
        <v>1.2184627814153097</v>
      </c>
      <c r="AH40" s="7">
        <f t="shared" si="11"/>
        <v>0.46656320336861934</v>
      </c>
      <c r="AI40" s="7">
        <f t="shared" si="12"/>
        <v>2.4897400899130413E-2</v>
      </c>
      <c r="AJ40" s="7">
        <f t="shared" si="13"/>
        <v>0.22441187304951121</v>
      </c>
      <c r="AK40" s="7">
        <f t="shared" si="14"/>
        <v>0.24215133031910807</v>
      </c>
      <c r="AL40" s="7">
        <f t="shared" si="15"/>
        <v>4.3377101509978984E-2</v>
      </c>
      <c r="AM40" s="384"/>
      <c r="AN40" s="7"/>
      <c r="AO40" s="7">
        <f t="shared" si="16"/>
        <v>466.56320336861933</v>
      </c>
      <c r="AP40" s="7">
        <v>1</v>
      </c>
      <c r="AQ40" s="7">
        <f t="shared" si="19"/>
        <v>24.897400899130414</v>
      </c>
      <c r="AR40" s="7">
        <v>1</v>
      </c>
      <c r="AS40" s="7">
        <f t="shared" si="20"/>
        <v>224.4118730495112</v>
      </c>
      <c r="AT40" s="7">
        <v>1</v>
      </c>
      <c r="AU40" s="7">
        <f t="shared" si="21"/>
        <v>242.15133031910807</v>
      </c>
      <c r="AV40" s="7">
        <v>1</v>
      </c>
      <c r="AW40" s="7">
        <f t="shared" si="22"/>
        <v>43.377101509978985</v>
      </c>
      <c r="AX40" s="7">
        <v>1</v>
      </c>
      <c r="AY40" s="7">
        <f t="shared" si="17"/>
        <v>9.0134658617056367</v>
      </c>
      <c r="AZ40" s="493">
        <f t="shared" si="18"/>
        <v>9.7259682366108198</v>
      </c>
      <c r="BA40" s="623">
        <f>main!R44</f>
        <v>37.53</v>
      </c>
      <c r="BB40" s="492">
        <v>1</v>
      </c>
      <c r="BC40" s="623">
        <f>main!S44</f>
        <v>8.5269999999999992</v>
      </c>
      <c r="BD40" s="647">
        <v>1</v>
      </c>
    </row>
    <row r="41" spans="1:56">
      <c r="A41" s="623">
        <v>2017</v>
      </c>
      <c r="B41" s="623" t="s">
        <v>1750</v>
      </c>
      <c r="C41" s="623">
        <v>15</v>
      </c>
      <c r="D41" s="623" t="str">
        <f>main!$B$30</f>
        <v>McLane-PARFLUX-Mark78H-21 ; 2241, B250x21</v>
      </c>
      <c r="E41" s="623">
        <v>2000</v>
      </c>
      <c r="F41" s="634">
        <v>1</v>
      </c>
      <c r="G41" s="68">
        <f>main!E45</f>
        <v>1495.7571428571428</v>
      </c>
      <c r="H41" s="7">
        <f>main!I45</f>
        <v>186.96964285714284</v>
      </c>
      <c r="I41" s="7">
        <f>main!J45</f>
        <v>68.290662053571424</v>
      </c>
      <c r="J41" s="7">
        <v>1</v>
      </c>
      <c r="K41" s="7">
        <f>main!AF45</f>
        <v>66.998406899227675</v>
      </c>
      <c r="L41" s="7">
        <f>main!AG45</f>
        <v>8.0395223236979501</v>
      </c>
      <c r="M41" s="370">
        <v>1</v>
      </c>
      <c r="N41" s="7">
        <f>main!M45</f>
        <v>14.214753150939941</v>
      </c>
      <c r="O41" s="370">
        <v>1</v>
      </c>
      <c r="P41" s="7">
        <f>main!O45</f>
        <v>0.81664425134658813</v>
      </c>
      <c r="Q41" s="7">
        <v>1</v>
      </c>
      <c r="R41" s="7">
        <f>main!AH45</f>
        <v>6.1752308272419913</v>
      </c>
      <c r="S41" s="370">
        <v>1</v>
      </c>
      <c r="T41" s="7">
        <f>main!AB45</f>
        <v>5.9608663733517453</v>
      </c>
      <c r="U41" s="7">
        <v>1</v>
      </c>
      <c r="V41" s="7">
        <f>main!AC45</f>
        <v>12.751458183506815</v>
      </c>
      <c r="W41" s="471">
        <f t="shared" si="4"/>
        <v>45.753655636828249</v>
      </c>
      <c r="X41" s="471">
        <f t="shared" si="5"/>
        <v>5.4902430207980002</v>
      </c>
      <c r="Y41" s="7">
        <f t="shared" si="6"/>
        <v>9.7073490360577903</v>
      </c>
      <c r="Z41" s="7">
        <f t="shared" si="7"/>
        <v>0.55769176586701696</v>
      </c>
      <c r="AA41" s="7">
        <f t="shared" si="8"/>
        <v>4.217106015259791</v>
      </c>
      <c r="AB41" s="7">
        <f t="shared" si="9"/>
        <v>8.7080552150011155</v>
      </c>
      <c r="AC41" s="161">
        <f>main!T45</f>
        <v>43048</v>
      </c>
      <c r="AD41" s="161">
        <f>main!U45</f>
        <v>43064</v>
      </c>
      <c r="AE41" s="161">
        <f>main!V45</f>
        <v>43056</v>
      </c>
      <c r="AF41" s="623">
        <f>main!H45</f>
        <v>16</v>
      </c>
      <c r="AG41" s="7">
        <f t="shared" si="10"/>
        <v>4.0707151104906192</v>
      </c>
      <c r="AH41" s="7">
        <f t="shared" si="11"/>
        <v>0.80827219284411245</v>
      </c>
      <c r="AI41" s="7">
        <f t="shared" si="12"/>
        <v>3.980669278137166E-2</v>
      </c>
      <c r="AJ41" s="7">
        <f t="shared" si="13"/>
        <v>0.35113289052954133</v>
      </c>
      <c r="AK41" s="7">
        <f t="shared" si="14"/>
        <v>0.45713930231457123</v>
      </c>
      <c r="AL41" s="7">
        <f t="shared" si="15"/>
        <v>0.14491687826595298</v>
      </c>
      <c r="AM41" s="384"/>
      <c r="AN41" s="7"/>
      <c r="AO41" s="7">
        <f t="shared" si="16"/>
        <v>808.2721928441124</v>
      </c>
      <c r="AP41" s="7">
        <v>1</v>
      </c>
      <c r="AQ41" s="7">
        <f t="shared" si="19"/>
        <v>39.806692781371659</v>
      </c>
      <c r="AR41" s="7">
        <v>1</v>
      </c>
      <c r="AS41" s="7">
        <f t="shared" si="20"/>
        <v>351.13289052954133</v>
      </c>
      <c r="AT41" s="7">
        <v>1</v>
      </c>
      <c r="AU41" s="7">
        <f t="shared" si="21"/>
        <v>457.13930231457124</v>
      </c>
      <c r="AV41" s="7">
        <v>1</v>
      </c>
      <c r="AW41" s="7">
        <f t="shared" si="22"/>
        <v>144.91687826595299</v>
      </c>
      <c r="AX41" s="7">
        <v>1</v>
      </c>
      <c r="AY41" s="7">
        <f t="shared" si="17"/>
        <v>8.8209511013148276</v>
      </c>
      <c r="AZ41" s="493">
        <f t="shared" si="18"/>
        <v>11.483980968358637</v>
      </c>
      <c r="BA41" s="623">
        <f>main!R45</f>
        <v>37.43</v>
      </c>
      <c r="BB41" s="492">
        <v>1</v>
      </c>
      <c r="BC41" s="623">
        <f>main!S45</f>
        <v>8.5020000000000007</v>
      </c>
      <c r="BD41" s="647">
        <v>1</v>
      </c>
    </row>
    <row r="42" spans="1:56" s="181" customFormat="1">
      <c r="A42" s="181">
        <v>2017</v>
      </c>
      <c r="B42" s="181" t="s">
        <v>1750</v>
      </c>
      <c r="C42" s="181">
        <v>16</v>
      </c>
      <c r="D42" s="181" t="str">
        <f>main!$B$30</f>
        <v>McLane-PARFLUX-Mark78H-21 ; 2241, B250x21</v>
      </c>
      <c r="E42" s="181">
        <v>2000</v>
      </c>
      <c r="F42" s="634">
        <v>1</v>
      </c>
      <c r="G42" s="467">
        <f>main!E46</f>
        <v>1953.4285714285713</v>
      </c>
      <c r="H42" s="468">
        <f>main!I46</f>
        <v>244.17857142857142</v>
      </c>
      <c r="I42" s="468">
        <f>main!J46</f>
        <v>89.186223214285718</v>
      </c>
      <c r="J42" s="468">
        <v>1</v>
      </c>
      <c r="K42" s="468">
        <f>main!AF46</f>
        <v>57.382422453129784</v>
      </c>
      <c r="L42" s="468">
        <f>main!AG46</f>
        <v>6.8856453108457618</v>
      </c>
      <c r="M42" s="370">
        <v>1</v>
      </c>
      <c r="N42" s="468">
        <f>main!M46</f>
        <v>14.793381690979004</v>
      </c>
      <c r="O42" s="370">
        <v>1</v>
      </c>
      <c r="P42" s="468">
        <f>main!O46</f>
        <v>1.0350735187530518</v>
      </c>
      <c r="Q42" s="468">
        <v>1</v>
      </c>
      <c r="R42" s="468">
        <f>main!AH46</f>
        <v>7.9077363801332421</v>
      </c>
      <c r="S42" s="370">
        <v>1</v>
      </c>
      <c r="T42" s="468">
        <f>main!AB46</f>
        <v>7.8207506124090509</v>
      </c>
      <c r="U42" s="468">
        <v>1</v>
      </c>
      <c r="V42" s="468">
        <f>main!AC46</f>
        <v>16.730114072611606</v>
      </c>
      <c r="W42" s="471">
        <f t="shared" si="4"/>
        <v>51.177215374812739</v>
      </c>
      <c r="X42" s="471">
        <f t="shared" si="5"/>
        <v>6.1410469966748984</v>
      </c>
      <c r="Y42" s="471">
        <f t="shared" si="6"/>
        <v>13.19365841585781</v>
      </c>
      <c r="Z42" s="471">
        <f t="shared" si="7"/>
        <v>0.92314297886705821</v>
      </c>
      <c r="AA42" s="471">
        <f t="shared" si="8"/>
        <v>7.0526114191829103</v>
      </c>
      <c r="AB42" s="471">
        <f t="shared" si="9"/>
        <v>14.920956880804015</v>
      </c>
      <c r="AC42" s="469">
        <f>main!T46</f>
        <v>43064</v>
      </c>
      <c r="AD42" s="469">
        <f>main!U46</f>
        <v>43080</v>
      </c>
      <c r="AE42" s="469">
        <f>main!V46</f>
        <v>43072</v>
      </c>
      <c r="AF42" s="181">
        <f>main!H46</f>
        <v>16</v>
      </c>
      <c r="AG42" s="468">
        <f t="shared" si="10"/>
        <v>6.9750320982157534</v>
      </c>
      <c r="AH42" s="468">
        <f t="shared" si="11"/>
        <v>1.098556071262099</v>
      </c>
      <c r="AI42" s="468">
        <f t="shared" si="12"/>
        <v>6.5891718691438839E-2</v>
      </c>
      <c r="AJ42" s="468">
        <f t="shared" si="13"/>
        <v>0.58722826138075856</v>
      </c>
      <c r="AK42" s="468">
        <f t="shared" si="14"/>
        <v>0.51132780988134041</v>
      </c>
      <c r="AL42" s="468">
        <f t="shared" si="15"/>
        <v>0.24831014945588301</v>
      </c>
      <c r="AM42" s="384"/>
      <c r="AN42" s="468"/>
      <c r="AO42" s="468">
        <f t="shared" si="16"/>
        <v>1098.5560712620991</v>
      </c>
      <c r="AP42" s="468">
        <v>1</v>
      </c>
      <c r="AQ42" s="468">
        <f t="shared" si="19"/>
        <v>65.89171869143884</v>
      </c>
      <c r="AR42" s="468">
        <v>1</v>
      </c>
      <c r="AS42" s="468">
        <f t="shared" si="20"/>
        <v>587.22826138075857</v>
      </c>
      <c r="AT42" s="468">
        <v>1</v>
      </c>
      <c r="AU42" s="468">
        <f t="shared" si="21"/>
        <v>511.32780988134039</v>
      </c>
      <c r="AV42" s="468">
        <v>1</v>
      </c>
      <c r="AW42" s="468">
        <f t="shared" si="22"/>
        <v>248.31014945588299</v>
      </c>
      <c r="AX42" s="468">
        <v>1</v>
      </c>
      <c r="AY42" s="7">
        <f t="shared" si="17"/>
        <v>8.9120191890981264</v>
      </c>
      <c r="AZ42" s="493">
        <f t="shared" si="18"/>
        <v>7.760122516697626</v>
      </c>
      <c r="BA42" s="623">
        <f>main!R46</f>
        <v>36.51</v>
      </c>
      <c r="BB42" s="492">
        <v>1</v>
      </c>
      <c r="BC42" s="623">
        <f>main!S46</f>
        <v>8.3000000000000007</v>
      </c>
      <c r="BD42" s="647">
        <v>1</v>
      </c>
    </row>
    <row r="43" spans="1:56">
      <c r="A43" s="623">
        <v>2017</v>
      </c>
      <c r="B43" s="623" t="s">
        <v>1750</v>
      </c>
      <c r="C43" s="623">
        <v>17</v>
      </c>
      <c r="D43" s="623" t="str">
        <f>main!$B$30</f>
        <v>McLane-PARFLUX-Mark78H-21 ; 2241, B250x21</v>
      </c>
      <c r="E43" s="623">
        <v>2000</v>
      </c>
      <c r="F43" s="634">
        <v>1</v>
      </c>
      <c r="G43" s="68">
        <f>main!E47</f>
        <v>1052.0000000000002</v>
      </c>
      <c r="H43" s="7">
        <f>main!I47</f>
        <v>131.50000000000003</v>
      </c>
      <c r="I43" s="7">
        <f>main!J47</f>
        <v>48.030375000000014</v>
      </c>
      <c r="J43" s="7">
        <v>1</v>
      </c>
      <c r="K43" s="7">
        <f>main!AF47</f>
        <v>53.537468736849512</v>
      </c>
      <c r="L43" s="7">
        <f>main!AG47</f>
        <v>6.424267307005838</v>
      </c>
      <c r="M43" s="370">
        <v>1</v>
      </c>
      <c r="N43" s="7">
        <f>main!M47</f>
        <v>15.333839416503906</v>
      </c>
      <c r="O43" s="370">
        <v>1</v>
      </c>
      <c r="P43" s="7">
        <f>main!O47</f>
        <v>1.1258214712142944</v>
      </c>
      <c r="Q43" s="7">
        <v>1</v>
      </c>
      <c r="R43" s="7">
        <f>main!AH47</f>
        <v>8.9095721094980682</v>
      </c>
      <c r="S43" s="370">
        <v>1</v>
      </c>
      <c r="T43" s="7">
        <f>main!AB47</f>
        <v>8.0342161016949145</v>
      </c>
      <c r="U43" s="7">
        <v>1</v>
      </c>
      <c r="V43" s="7">
        <f>main!AC47</f>
        <v>17.186758474576273</v>
      </c>
      <c r="W43" s="7">
        <f t="shared" si="4"/>
        <v>25.714246999816591</v>
      </c>
      <c r="X43" s="7">
        <f t="shared" si="5"/>
        <v>3.0855996785573061</v>
      </c>
      <c r="Y43" s="7">
        <f t="shared" si="6"/>
        <v>7.3649005736446398</v>
      </c>
      <c r="Z43" s="7">
        <f t="shared" si="7"/>
        <v>0.54073627445474282</v>
      </c>
      <c r="AA43" s="7">
        <f t="shared" si="8"/>
        <v>4.2793008950873341</v>
      </c>
      <c r="AB43" s="7">
        <f t="shared" si="9"/>
        <v>8.2548645456832652</v>
      </c>
      <c r="AC43" s="161">
        <f>main!T47</f>
        <v>43080</v>
      </c>
      <c r="AD43" s="161">
        <f>main!U47</f>
        <v>43096</v>
      </c>
      <c r="AE43" s="161">
        <f>main!V47</f>
        <v>43088</v>
      </c>
      <c r="AF43" s="623">
        <f>main!H47</f>
        <v>16</v>
      </c>
      <c r="AG43" s="7">
        <f t="shared" si="10"/>
        <v>3.8588641219544497</v>
      </c>
      <c r="AH43" s="7">
        <f t="shared" si="11"/>
        <v>0.61323068889630639</v>
      </c>
      <c r="AI43" s="7">
        <f t="shared" si="12"/>
        <v>3.859645071054553E-2</v>
      </c>
      <c r="AJ43" s="7">
        <f t="shared" si="13"/>
        <v>0.35631148168920351</v>
      </c>
      <c r="AK43" s="7">
        <f t="shared" si="14"/>
        <v>0.25691920720710293</v>
      </c>
      <c r="AL43" s="7">
        <f t="shared" si="15"/>
        <v>0.13737501324152546</v>
      </c>
      <c r="AM43" s="384"/>
      <c r="AN43" s="7"/>
      <c r="AO43" s="7">
        <f t="shared" si="16"/>
        <v>613.23068889630633</v>
      </c>
      <c r="AP43" s="7">
        <v>1</v>
      </c>
      <c r="AQ43" s="7">
        <f t="shared" si="19"/>
        <v>38.596450710545533</v>
      </c>
      <c r="AR43" s="7">
        <v>1</v>
      </c>
      <c r="AS43" s="7">
        <f t="shared" si="20"/>
        <v>356.3114816892035</v>
      </c>
      <c r="AT43" s="7">
        <v>1</v>
      </c>
      <c r="AU43" s="7">
        <f t="shared" si="21"/>
        <v>256.91920720710294</v>
      </c>
      <c r="AV43" s="7">
        <v>1</v>
      </c>
      <c r="AW43" s="7">
        <f t="shared" si="22"/>
        <v>137.37501324152547</v>
      </c>
      <c r="AX43" s="7">
        <v>1</v>
      </c>
      <c r="AY43" s="7">
        <f t="shared" si="17"/>
        <v>9.2317162622378159</v>
      </c>
      <c r="AZ43" s="493">
        <f t="shared" si="18"/>
        <v>6.6565500836818154</v>
      </c>
      <c r="BA43" s="623">
        <f>main!R47</f>
        <v>37.165000000000006</v>
      </c>
      <c r="BB43" s="492">
        <v>1</v>
      </c>
      <c r="BC43" s="623">
        <f>main!S47</f>
        <v>8.4809999999999999</v>
      </c>
      <c r="BD43" s="647">
        <v>1</v>
      </c>
    </row>
    <row r="44" spans="1:56">
      <c r="A44" s="623">
        <v>2017</v>
      </c>
      <c r="B44" s="623" t="s">
        <v>1750</v>
      </c>
      <c r="C44" s="623">
        <v>18</v>
      </c>
      <c r="D44" s="623" t="str">
        <f>main!$B$30</f>
        <v>McLane-PARFLUX-Mark78H-21 ; 2241, B250x21</v>
      </c>
      <c r="E44" s="623">
        <v>2000</v>
      </c>
      <c r="F44" s="634">
        <v>1</v>
      </c>
      <c r="G44" s="68">
        <f>main!E48</f>
        <v>1195.3</v>
      </c>
      <c r="H44" s="7">
        <f>main!I48</f>
        <v>149.41249999999999</v>
      </c>
      <c r="I44" s="7">
        <f>main!J48</f>
        <v>54.572915625</v>
      </c>
      <c r="J44" s="7">
        <v>1</v>
      </c>
      <c r="K44" s="7">
        <f>main!AF48</f>
        <v>45.878368821279238</v>
      </c>
      <c r="L44" s="7">
        <f>main!AG48</f>
        <v>5.5052080696231345</v>
      </c>
      <c r="M44" s="370">
        <v>1</v>
      </c>
      <c r="N44" s="7">
        <f>main!M48</f>
        <v>15.605513095855713</v>
      </c>
      <c r="O44" s="370">
        <v>2</v>
      </c>
      <c r="P44" s="7">
        <f>main!O48</f>
        <v>1.4201022386550903</v>
      </c>
      <c r="Q44" s="7">
        <v>3</v>
      </c>
      <c r="R44" s="7">
        <f>main!AH48</f>
        <v>10.100305026232579</v>
      </c>
      <c r="S44" s="370">
        <v>2</v>
      </c>
      <c r="T44" s="7">
        <f>main!AB48</f>
        <v>10.318784755568069</v>
      </c>
      <c r="U44" s="7">
        <v>1</v>
      </c>
      <c r="V44" s="7">
        <f>main!AC48</f>
        <v>22.073897328660923</v>
      </c>
      <c r="W44" s="7">
        <f t="shared" si="4"/>
        <v>25.037163506963026</v>
      </c>
      <c r="X44" s="7">
        <f t="shared" si="5"/>
        <v>3.0043525548161245</v>
      </c>
      <c r="Y44" s="7">
        <f t="shared" si="6"/>
        <v>8.5163834946496646</v>
      </c>
      <c r="Z44" s="7">
        <f t="shared" si="7"/>
        <v>0.77499119648997861</v>
      </c>
      <c r="AA44" s="7">
        <f t="shared" si="8"/>
        <v>5.5120309398335401</v>
      </c>
      <c r="AB44" s="7">
        <f t="shared" si="9"/>
        <v>12.046369364319256</v>
      </c>
      <c r="AC44" s="161">
        <f>main!T48</f>
        <v>43096</v>
      </c>
      <c r="AD44" s="161">
        <f>main!U48</f>
        <v>43112</v>
      </c>
      <c r="AE44" s="161">
        <f>main!V48</f>
        <v>43104</v>
      </c>
      <c r="AF44" s="623">
        <f>main!H48</f>
        <v>16</v>
      </c>
      <c r="AG44" s="7">
        <f t="shared" si="10"/>
        <v>5.6312616981815253</v>
      </c>
      <c r="AH44" s="7">
        <f t="shared" si="11"/>
        <v>0.7091077014695808</v>
      </c>
      <c r="AI44" s="7">
        <f t="shared" si="12"/>
        <v>5.5317001890790765E-2</v>
      </c>
      <c r="AJ44" s="7">
        <f t="shared" si="13"/>
        <v>0.45895345044409158</v>
      </c>
      <c r="AK44" s="7">
        <f t="shared" si="14"/>
        <v>0.25015425102548916</v>
      </c>
      <c r="AL44" s="7">
        <f t="shared" si="15"/>
        <v>0.20047211456680403</v>
      </c>
      <c r="AM44" s="384"/>
      <c r="AN44" s="7"/>
      <c r="AO44" s="7">
        <f t="shared" si="16"/>
        <v>709.10770146958077</v>
      </c>
      <c r="AP44" s="7">
        <v>2</v>
      </c>
      <c r="AQ44" s="7">
        <f t="shared" si="19"/>
        <v>55.317001890790763</v>
      </c>
      <c r="AR44" s="7">
        <v>3</v>
      </c>
      <c r="AS44" s="7">
        <f t="shared" si="20"/>
        <v>458.95345044409157</v>
      </c>
      <c r="AT44" s="7">
        <v>2</v>
      </c>
      <c r="AU44" s="7">
        <f t="shared" si="21"/>
        <v>250.15425102548917</v>
      </c>
      <c r="AV44" s="7">
        <v>1</v>
      </c>
      <c r="AW44" s="7">
        <f t="shared" si="22"/>
        <v>200.47211456680404</v>
      </c>
      <c r="AX44" s="7">
        <v>1</v>
      </c>
      <c r="AY44" s="7">
        <f t="shared" si="17"/>
        <v>8.2967882342968888</v>
      </c>
      <c r="AZ44" s="493">
        <f t="shared" si="18"/>
        <v>4.5221946684557235</v>
      </c>
      <c r="BA44" s="623">
        <f>main!R48</f>
        <v>37</v>
      </c>
      <c r="BB44" s="492">
        <v>1</v>
      </c>
      <c r="BC44" s="623">
        <f>main!S48</f>
        <v>8.3770000000000007</v>
      </c>
      <c r="BD44" s="647">
        <v>1</v>
      </c>
    </row>
    <row r="45" spans="1:56">
      <c r="A45" s="623">
        <v>2017</v>
      </c>
      <c r="B45" s="623" t="s">
        <v>1750</v>
      </c>
      <c r="C45" s="623">
        <v>19</v>
      </c>
      <c r="D45" s="623" t="str">
        <f>main!$B$30</f>
        <v>McLane-PARFLUX-Mark78H-21 ; 2241, B250x21</v>
      </c>
      <c r="E45" s="623">
        <v>2000</v>
      </c>
      <c r="F45" s="634">
        <v>1</v>
      </c>
      <c r="G45" s="68">
        <f>main!E49</f>
        <v>1184.8</v>
      </c>
      <c r="H45" s="7">
        <f>main!I49</f>
        <v>148.1</v>
      </c>
      <c r="I45" s="7">
        <f>main!J49</f>
        <v>54.093525</v>
      </c>
      <c r="J45" s="7">
        <v>1</v>
      </c>
      <c r="K45" s="7">
        <f>main!AF49</f>
        <v>53.506000158278269</v>
      </c>
      <c r="L45" s="7">
        <f>main!AG49</f>
        <v>6.4204912121458646</v>
      </c>
      <c r="M45" s="370">
        <v>1</v>
      </c>
      <c r="N45" s="7">
        <f>main!M49</f>
        <v>14.809057235717773</v>
      </c>
      <c r="O45" s="370">
        <v>1</v>
      </c>
      <c r="P45" s="7">
        <f>main!O49</f>
        <v>1.1675206422805786</v>
      </c>
      <c r="Q45" s="7">
        <v>1</v>
      </c>
      <c r="R45" s="7">
        <f>main!AH49</f>
        <v>8.3885660235719079</v>
      </c>
      <c r="S45" s="370">
        <v>1</v>
      </c>
      <c r="T45" s="7">
        <f>main!AB49</f>
        <v>9.1074559442643732</v>
      </c>
      <c r="U45" s="7">
        <v>1</v>
      </c>
      <c r="V45" s="7">
        <f>main!AC49</f>
        <v>19.482628255281103</v>
      </c>
      <c r="W45" s="7">
        <f t="shared" si="4"/>
        <v>28.943281572118295</v>
      </c>
      <c r="X45" s="7">
        <f t="shared" si="5"/>
        <v>3.4730700189649264</v>
      </c>
      <c r="Y45" s="7">
        <f t="shared" si="6"/>
        <v>8.0107410780673032</v>
      </c>
      <c r="Z45" s="7">
        <f t="shared" si="7"/>
        <v>0.63155307051220533</v>
      </c>
      <c r="AA45" s="7">
        <f t="shared" si="8"/>
        <v>4.5376710591023759</v>
      </c>
      <c r="AB45" s="7">
        <f t="shared" si="9"/>
        <v>10.538840385927548</v>
      </c>
      <c r="AC45" s="161">
        <f>main!T49</f>
        <v>43112</v>
      </c>
      <c r="AD45" s="161">
        <f>main!U49</f>
        <v>43128</v>
      </c>
      <c r="AE45" s="161">
        <f>main!V49</f>
        <v>43120</v>
      </c>
      <c r="AF45" s="623">
        <f>main!H49</f>
        <v>16</v>
      </c>
      <c r="AG45" s="7">
        <f t="shared" si="10"/>
        <v>4.9265439580746344</v>
      </c>
      <c r="AH45" s="7">
        <f t="shared" si="11"/>
        <v>0.66700591824040822</v>
      </c>
      <c r="AI45" s="7">
        <f t="shared" si="12"/>
        <v>4.5078734511934712E-2</v>
      </c>
      <c r="AJ45" s="7">
        <f t="shared" si="13"/>
        <v>0.37782440125748346</v>
      </c>
      <c r="AK45" s="7">
        <f t="shared" si="14"/>
        <v>0.28918151698292477</v>
      </c>
      <c r="AL45" s="7">
        <f t="shared" si="15"/>
        <v>0.1753842633704035</v>
      </c>
      <c r="AM45" s="384"/>
      <c r="AN45" s="7"/>
      <c r="AO45" s="7">
        <f t="shared" si="16"/>
        <v>667.00591824040828</v>
      </c>
      <c r="AP45" s="7">
        <v>1</v>
      </c>
      <c r="AQ45" s="7">
        <f t="shared" si="19"/>
        <v>45.078734511934712</v>
      </c>
      <c r="AR45" s="7">
        <v>1</v>
      </c>
      <c r="AS45" s="7">
        <f t="shared" si="20"/>
        <v>377.82440125748343</v>
      </c>
      <c r="AT45" s="7">
        <v>1</v>
      </c>
      <c r="AU45" s="7">
        <f t="shared" si="21"/>
        <v>289.18151698292479</v>
      </c>
      <c r="AV45" s="7">
        <v>1</v>
      </c>
      <c r="AW45" s="7">
        <f t="shared" si="22"/>
        <v>175.38426337040349</v>
      </c>
      <c r="AX45" s="7">
        <v>1</v>
      </c>
      <c r="AY45" s="7">
        <f t="shared" si="17"/>
        <v>8.3814331823679176</v>
      </c>
      <c r="AZ45" s="493">
        <f t="shared" si="18"/>
        <v>6.4150318351630577</v>
      </c>
      <c r="BA45" s="623">
        <f>main!R49</f>
        <v>36.85</v>
      </c>
      <c r="BB45" s="492">
        <v>1</v>
      </c>
      <c r="BC45" s="623">
        <f>main!S49</f>
        <v>8.4770000000000003</v>
      </c>
      <c r="BD45" s="647">
        <v>1</v>
      </c>
    </row>
    <row r="46" spans="1:56">
      <c r="A46" s="623">
        <v>2017</v>
      </c>
      <c r="B46" s="623" t="s">
        <v>1750</v>
      </c>
      <c r="C46" s="623">
        <v>20</v>
      </c>
      <c r="D46" s="623" t="str">
        <f>main!$B$30</f>
        <v>McLane-PARFLUX-Mark78H-21 ; 2241, B250x21</v>
      </c>
      <c r="E46" s="623">
        <v>2000</v>
      </c>
      <c r="F46" s="634">
        <v>1</v>
      </c>
      <c r="G46" s="68">
        <f>main!E50</f>
        <v>1109.3857142857144</v>
      </c>
      <c r="H46" s="7">
        <f>main!I50</f>
        <v>138.67321428571429</v>
      </c>
      <c r="I46" s="7">
        <f>main!J50</f>
        <v>50.650391517857152</v>
      </c>
      <c r="J46" s="7">
        <v>1</v>
      </c>
      <c r="K46" s="7">
        <f>main!AF50</f>
        <v>64.843304807162724</v>
      </c>
      <c r="L46" s="7">
        <f>main!AG50</f>
        <v>7.7809192884785556</v>
      </c>
      <c r="M46" s="370">
        <v>1</v>
      </c>
      <c r="N46" s="7">
        <f>main!M50</f>
        <v>14.79266357421875</v>
      </c>
      <c r="O46" s="370">
        <v>1</v>
      </c>
      <c r="P46" s="7">
        <f>main!O50</f>
        <v>0.97524410486221313</v>
      </c>
      <c r="Q46" s="7">
        <v>1</v>
      </c>
      <c r="R46" s="7">
        <f>main!AH50</f>
        <v>7.0117442857401944</v>
      </c>
      <c r="S46" s="370">
        <v>1</v>
      </c>
      <c r="T46" s="7">
        <f>main!AB50</f>
        <v>5.3202747951662994</v>
      </c>
      <c r="U46" s="7">
        <v>1</v>
      </c>
      <c r="V46" s="7">
        <f>main!AC50</f>
        <v>11.381107598488535</v>
      </c>
      <c r="W46" s="7">
        <f t="shared" si="4"/>
        <v>32.843387757945408</v>
      </c>
      <c r="X46" s="7">
        <f t="shared" si="5"/>
        <v>3.9410660833028532</v>
      </c>
      <c r="Y46" s="7">
        <f t="shared" si="6"/>
        <v>7.4925420162612388</v>
      </c>
      <c r="Z46" s="7">
        <f t="shared" si="7"/>
        <v>0.49396495736753232</v>
      </c>
      <c r="AA46" s="7">
        <f t="shared" si="8"/>
        <v>3.5514759329583847</v>
      </c>
      <c r="AB46" s="7">
        <f t="shared" si="9"/>
        <v>5.7645755577030329</v>
      </c>
      <c r="AC46" s="161">
        <f>main!T50</f>
        <v>43128</v>
      </c>
      <c r="AD46" s="161">
        <f>main!U50</f>
        <v>43144</v>
      </c>
      <c r="AE46" s="161">
        <f>main!V50</f>
        <v>43136</v>
      </c>
      <c r="AF46" s="623">
        <f>main!H50</f>
        <v>16</v>
      </c>
      <c r="AG46" s="7">
        <f t="shared" si="10"/>
        <v>2.6947400135776034</v>
      </c>
      <c r="AH46" s="7">
        <f t="shared" si="11"/>
        <v>0.62385861917245955</v>
      </c>
      <c r="AI46" s="7">
        <f t="shared" si="12"/>
        <v>3.5258026935584032E-2</v>
      </c>
      <c r="AJ46" s="7">
        <f t="shared" si="13"/>
        <v>0.29570990282750914</v>
      </c>
      <c r="AK46" s="7">
        <f t="shared" si="14"/>
        <v>0.3281487163449503</v>
      </c>
      <c r="AL46" s="7">
        <f t="shared" si="15"/>
        <v>9.5932360753919671E-2</v>
      </c>
      <c r="AM46" s="384"/>
      <c r="AN46" s="7"/>
      <c r="AO46" s="7">
        <f t="shared" si="16"/>
        <v>623.8586191724595</v>
      </c>
      <c r="AP46" s="7">
        <v>1</v>
      </c>
      <c r="AQ46" s="7">
        <f t="shared" si="19"/>
        <v>35.258026935584034</v>
      </c>
      <c r="AR46" s="7">
        <v>1</v>
      </c>
      <c r="AS46" s="7">
        <f t="shared" si="20"/>
        <v>295.70990282750915</v>
      </c>
      <c r="AT46" s="7">
        <v>1</v>
      </c>
      <c r="AU46" s="7">
        <f t="shared" si="21"/>
        <v>328.14871634495029</v>
      </c>
      <c r="AV46" s="7">
        <v>1</v>
      </c>
      <c r="AW46" s="7">
        <f t="shared" si="22"/>
        <v>95.932360753919667</v>
      </c>
      <c r="AX46" s="7">
        <v>1</v>
      </c>
      <c r="AY46" s="7">
        <f t="shared" si="17"/>
        <v>8.387023566797069</v>
      </c>
      <c r="AZ46" s="493">
        <f t="shared" si="18"/>
        <v>9.30706408910725</v>
      </c>
      <c r="BA46" s="623">
        <f>main!R50</f>
        <v>37.270000000000003</v>
      </c>
      <c r="BB46" s="492">
        <v>1</v>
      </c>
      <c r="BC46" s="623">
        <f>main!S50</f>
        <v>8.4629999999999992</v>
      </c>
      <c r="BD46" s="647">
        <v>1</v>
      </c>
    </row>
    <row r="47" spans="1:56" s="478" customFormat="1">
      <c r="A47" s="478">
        <v>2017</v>
      </c>
      <c r="B47" s="478" t="s">
        <v>1750</v>
      </c>
      <c r="C47" s="478">
        <v>21</v>
      </c>
      <c r="D47" s="478" t="str">
        <f>main!$B$30</f>
        <v>McLane-PARFLUX-Mark78H-21 ; 2241, B250x21</v>
      </c>
      <c r="E47" s="478">
        <v>2000</v>
      </c>
      <c r="F47" s="634">
        <v>1</v>
      </c>
      <c r="G47" s="479">
        <f>main!E51</f>
        <v>169.55714285714288</v>
      </c>
      <c r="H47" s="480">
        <f>main!I51</f>
        <v>21.19464285714286</v>
      </c>
      <c r="I47" s="480">
        <f>main!J51</f>
        <v>7.7413433035714299</v>
      </c>
      <c r="J47" s="480">
        <v>1</v>
      </c>
      <c r="K47" s="480">
        <f>main!AF51</f>
        <v>68.59309359225982</v>
      </c>
      <c r="L47" s="480">
        <f>main!AG51</f>
        <v>8.2308779075287628</v>
      </c>
      <c r="M47" s="370">
        <v>1</v>
      </c>
      <c r="N47" s="480">
        <f>main!M51</f>
        <v>15.475208282470703</v>
      </c>
      <c r="O47" s="370">
        <v>1</v>
      </c>
      <c r="P47" s="480">
        <f>main!O51</f>
        <v>1.1818984746932983</v>
      </c>
      <c r="Q47" s="480">
        <v>1</v>
      </c>
      <c r="R47" s="480">
        <f>main!AH51</f>
        <v>7.2443303749419403</v>
      </c>
      <c r="S47" s="370">
        <v>1</v>
      </c>
      <c r="T47" s="480">
        <f>main!AB51</f>
        <v>3.6869498918197303</v>
      </c>
      <c r="U47" s="480">
        <v>1</v>
      </c>
      <c r="V47" s="480">
        <f>main!AC51</f>
        <v>7.8871064079547022</v>
      </c>
      <c r="W47" s="480">
        <f t="shared" si="4"/>
        <v>5.3100268575168892</v>
      </c>
      <c r="X47" s="480">
        <f t="shared" si="5"/>
        <v>0.63718051571961809</v>
      </c>
      <c r="Y47" s="480">
        <f t="shared" si="6"/>
        <v>1.1979890000887772</v>
      </c>
      <c r="Z47" s="480">
        <f t="shared" si="7"/>
        <v>9.1494818425682523E-2</v>
      </c>
      <c r="AA47" s="480">
        <f t="shared" si="8"/>
        <v>0.56080848436915898</v>
      </c>
      <c r="AB47" s="480">
        <f t="shared" si="9"/>
        <v>0.61056798375775456</v>
      </c>
      <c r="AC47" s="481">
        <f>main!T51</f>
        <v>43144</v>
      </c>
      <c r="AD47" s="481">
        <f>main!U51</f>
        <v>43160</v>
      </c>
      <c r="AE47" s="481">
        <f>main!V51</f>
        <v>43152</v>
      </c>
      <c r="AF47" s="478">
        <f>main!H51</f>
        <v>16</v>
      </c>
      <c r="AG47" s="480">
        <f t="shared" si="10"/>
        <v>0.28541944855642076</v>
      </c>
      <c r="AH47" s="480">
        <f t="shared" si="11"/>
        <v>9.9749292263844894E-2</v>
      </c>
      <c r="AI47" s="480">
        <f t="shared" si="12"/>
        <v>6.5306794022614223E-3</v>
      </c>
      <c r="AJ47" s="480">
        <f t="shared" si="13"/>
        <v>4.6695127757631891E-2</v>
      </c>
      <c r="AK47" s="480">
        <f t="shared" si="14"/>
        <v>5.3054164506212996E-2</v>
      </c>
      <c r="AL47" s="480">
        <f t="shared" si="15"/>
        <v>1.0160891725041679E-2</v>
      </c>
      <c r="AM47" s="480"/>
      <c r="AN47" s="480"/>
      <c r="AO47" s="480">
        <f t="shared" si="16"/>
        <v>99.749292263844893</v>
      </c>
      <c r="AP47" s="480">
        <v>1</v>
      </c>
      <c r="AQ47" s="480">
        <f t="shared" si="19"/>
        <v>6.5306794022614225</v>
      </c>
      <c r="AR47" s="480">
        <v>1</v>
      </c>
      <c r="AS47" s="480">
        <f t="shared" si="20"/>
        <v>46.695127757631887</v>
      </c>
      <c r="AT47" s="480">
        <v>1</v>
      </c>
      <c r="AU47" s="480">
        <f t="shared" si="21"/>
        <v>53.054164506212999</v>
      </c>
      <c r="AV47" s="480">
        <v>1</v>
      </c>
      <c r="AW47" s="480">
        <f t="shared" si="22"/>
        <v>10.160891725041679</v>
      </c>
      <c r="AX47" s="480">
        <v>1</v>
      </c>
      <c r="AY47" s="7">
        <f t="shared" si="17"/>
        <v>7.1501179098552061</v>
      </c>
      <c r="AZ47" s="493">
        <f t="shared" si="18"/>
        <v>8.1238353987858556</v>
      </c>
      <c r="BA47" s="623">
        <f>main!R51</f>
        <v>37.72</v>
      </c>
      <c r="BB47" s="492">
        <v>1</v>
      </c>
      <c r="BC47" s="623">
        <f>main!S51</f>
        <v>8.532</v>
      </c>
      <c r="BD47" s="647">
        <v>1</v>
      </c>
    </row>
    <row r="48" spans="1:56">
      <c r="A48" s="623">
        <v>2017</v>
      </c>
      <c r="B48" s="623" t="s">
        <v>1776</v>
      </c>
      <c r="C48" s="623">
        <v>1</v>
      </c>
      <c r="D48" s="623" t="str">
        <f>main!$B$54</f>
        <v>McLane-PARFLUX-Mark78H-21 ; 10705, A250x21</v>
      </c>
      <c r="E48" s="623">
        <v>3800</v>
      </c>
      <c r="F48" s="634">
        <v>1</v>
      </c>
      <c r="G48" s="68">
        <f>main!E55</f>
        <v>378.02857142857141</v>
      </c>
      <c r="H48" s="7">
        <f>main!I55</f>
        <v>47.253571428571426</v>
      </c>
      <c r="I48" s="7">
        <f>main!J55</f>
        <v>17.259366964285714</v>
      </c>
      <c r="J48" s="7">
        <v>1</v>
      </c>
      <c r="K48" s="7">
        <f>main!AF55</f>
        <v>66.787964866764781</v>
      </c>
      <c r="L48" s="7">
        <f>main!AG55</f>
        <v>8.0142701797122804</v>
      </c>
      <c r="M48" s="370">
        <v>1</v>
      </c>
      <c r="N48" s="7">
        <f>main!M55</f>
        <v>14.449564456939697</v>
      </c>
      <c r="O48" s="370">
        <v>1</v>
      </c>
      <c r="P48" s="7">
        <f>main!O55</f>
        <v>0.87072771787643433</v>
      </c>
      <c r="Q48" s="7">
        <v>1</v>
      </c>
      <c r="R48" s="7">
        <f>main!AH55</f>
        <v>6.4352942772274169</v>
      </c>
      <c r="S48" s="370">
        <v>1</v>
      </c>
      <c r="T48" s="7">
        <f>main!AB55</f>
        <v>4.6444293848860845</v>
      </c>
      <c r="U48" s="7">
        <v>1</v>
      </c>
      <c r="V48" s="7">
        <f>main!AC55</f>
        <v>9.9353421764971479</v>
      </c>
      <c r="W48" s="7">
        <f t="shared" si="4"/>
        <v>11.527179944333151</v>
      </c>
      <c r="X48" s="7">
        <f t="shared" si="5"/>
        <v>1.3832122998258627</v>
      </c>
      <c r="Y48" s="7">
        <f t="shared" si="6"/>
        <v>2.4939033543642206</v>
      </c>
      <c r="Z48" s="7">
        <f t="shared" si="7"/>
        <v>0.15028209208804422</v>
      </c>
      <c r="AA48" s="7">
        <f t="shared" si="8"/>
        <v>1.1106910545383579</v>
      </c>
      <c r="AB48" s="7">
        <f t="shared" si="9"/>
        <v>1.714777165399094</v>
      </c>
      <c r="AC48" s="161">
        <f>main!T55</f>
        <v>42824</v>
      </c>
      <c r="AD48" s="161">
        <f>main!U55</f>
        <v>42840</v>
      </c>
      <c r="AE48" s="161">
        <f>main!V55</f>
        <v>42832</v>
      </c>
      <c r="AF48" s="623">
        <f>main!H55</f>
        <v>16</v>
      </c>
      <c r="AG48" s="7">
        <f t="shared" si="10"/>
        <v>0.80159911093460712</v>
      </c>
      <c r="AH48" s="7">
        <f t="shared" si="11"/>
        <v>0.20765223600035143</v>
      </c>
      <c r="AI48" s="7">
        <f t="shared" si="12"/>
        <v>1.0726773168311507E-2</v>
      </c>
      <c r="AJ48" s="7">
        <f t="shared" si="13"/>
        <v>9.2480520777548536E-2</v>
      </c>
      <c r="AK48" s="7">
        <f t="shared" si="14"/>
        <v>0.1151717152228029</v>
      </c>
      <c r="AL48" s="7">
        <f t="shared" si="15"/>
        <v>2.8536814202015204E-2</v>
      </c>
      <c r="AM48" s="384"/>
      <c r="AN48" s="7"/>
      <c r="AO48" s="7">
        <f t="shared" si="16"/>
        <v>207.65223600035142</v>
      </c>
      <c r="AP48" s="7">
        <v>1</v>
      </c>
      <c r="AQ48" s="7">
        <f t="shared" si="19"/>
        <v>10.726773168311507</v>
      </c>
      <c r="AR48" s="7">
        <v>1</v>
      </c>
      <c r="AS48" s="7">
        <f t="shared" si="20"/>
        <v>92.480520777548534</v>
      </c>
      <c r="AT48" s="7">
        <v>1</v>
      </c>
      <c r="AU48" s="7">
        <f t="shared" si="21"/>
        <v>115.1717152228029</v>
      </c>
      <c r="AV48" s="7">
        <v>1</v>
      </c>
      <c r="AW48" s="7">
        <f t="shared" si="22"/>
        <v>28.536814202015204</v>
      </c>
      <c r="AX48" s="7">
        <v>1</v>
      </c>
      <c r="AY48" s="7">
        <f t="shared" si="17"/>
        <v>8.6214669897886758</v>
      </c>
      <c r="AZ48" s="493">
        <f t="shared" si="18"/>
        <v>10.736846339124368</v>
      </c>
      <c r="BA48" s="623">
        <f>main!R55</f>
        <v>37.28</v>
      </c>
      <c r="BB48" s="492">
        <v>1</v>
      </c>
      <c r="BC48" s="623">
        <f>main!S55</f>
        <v>8.5489999999999995</v>
      </c>
      <c r="BD48" s="647">
        <v>1</v>
      </c>
    </row>
    <row r="49" spans="1:56" s="638" customFormat="1">
      <c r="A49" s="638">
        <v>2017</v>
      </c>
      <c r="B49" s="638" t="s">
        <v>1776</v>
      </c>
      <c r="C49" s="638">
        <v>2</v>
      </c>
      <c r="D49" s="638" t="str">
        <f>main!$B$54</f>
        <v>McLane-PARFLUX-Mark78H-21 ; 10705, A250x21</v>
      </c>
      <c r="E49" s="638">
        <v>3800</v>
      </c>
      <c r="F49" s="638">
        <v>1</v>
      </c>
      <c r="G49" s="639">
        <f>main!E56</f>
        <v>436.18571428571437</v>
      </c>
      <c r="H49" s="640">
        <f>main!I56</f>
        <v>54.523214285714296</v>
      </c>
      <c r="I49" s="640">
        <f>main!J56</f>
        <v>19.914604017857148</v>
      </c>
      <c r="J49" s="640">
        <v>3</v>
      </c>
      <c r="K49" s="640">
        <f>main!AF56</f>
        <v>77.195638160724116</v>
      </c>
      <c r="L49" s="640">
        <f>main!AG56</f>
        <v>9.2631464688215601</v>
      </c>
      <c r="M49" s="640">
        <v>1</v>
      </c>
      <c r="N49" s="640">
        <f>main!M56</f>
        <v>13.149917602539063</v>
      </c>
      <c r="O49" s="640">
        <v>1</v>
      </c>
      <c r="P49" s="640">
        <f>main!O56</f>
        <v>0.56721854209899902</v>
      </c>
      <c r="Q49" s="640">
        <v>1</v>
      </c>
      <c r="R49" s="640">
        <f>main!AH56</f>
        <v>3.8867711337175024</v>
      </c>
      <c r="S49" s="640">
        <v>1</v>
      </c>
      <c r="T49" s="640">
        <f>main!AB56</f>
        <v>3.0722960237775929</v>
      </c>
      <c r="U49" s="640">
        <v>1</v>
      </c>
      <c r="V49" s="640">
        <f>main!AC56</f>
        <v>6.5722416542825037</v>
      </c>
      <c r="W49" s="640">
        <f t="shared" si="4"/>
        <v>15.373205658766029</v>
      </c>
      <c r="X49" s="640">
        <f t="shared" si="5"/>
        <v>1.844718938859931</v>
      </c>
      <c r="Y49" s="640">
        <f t="shared" si="6"/>
        <v>2.6187540192201486</v>
      </c>
      <c r="Z49" s="640">
        <f t="shared" si="7"/>
        <v>0.11295932657487799</v>
      </c>
      <c r="AA49" s="640">
        <f t="shared" si="8"/>
        <v>0.77403508036021751</v>
      </c>
      <c r="AB49" s="640">
        <f t="shared" si="9"/>
        <v>1.3088359005470247</v>
      </c>
      <c r="AC49" s="641">
        <f>main!T56</f>
        <v>42840</v>
      </c>
      <c r="AD49" s="641">
        <f>main!U56</f>
        <v>42856</v>
      </c>
      <c r="AE49" s="641">
        <f>main!V56</f>
        <v>42848</v>
      </c>
      <c r="AF49" s="638">
        <f>main!H56</f>
        <v>16</v>
      </c>
      <c r="AG49" s="640">
        <f t="shared" si="10"/>
        <v>0.61183558739167787</v>
      </c>
      <c r="AH49" s="640">
        <f t="shared" si="11"/>
        <v>0.21804779510575759</v>
      </c>
      <c r="AI49" s="640">
        <f t="shared" si="12"/>
        <v>8.0627642094845114E-3</v>
      </c>
      <c r="AJ49" s="640">
        <f t="shared" si="13"/>
        <v>6.4449215683615113E-2</v>
      </c>
      <c r="AK49" s="640">
        <f t="shared" si="14"/>
        <v>0.15359857942214247</v>
      </c>
      <c r="AL49" s="640">
        <f t="shared" si="15"/>
        <v>2.1781259786104588E-2</v>
      </c>
      <c r="AM49" s="640"/>
      <c r="AN49" s="640"/>
      <c r="AO49" s="640">
        <f t="shared" si="16"/>
        <v>218.04779510575759</v>
      </c>
      <c r="AP49" s="640">
        <v>3</v>
      </c>
      <c r="AQ49" s="640">
        <f t="shared" si="19"/>
        <v>8.0627642094845111</v>
      </c>
      <c r="AR49" s="640">
        <v>3</v>
      </c>
      <c r="AS49" s="640">
        <f t="shared" si="20"/>
        <v>64.449215683615108</v>
      </c>
      <c r="AT49" s="640">
        <v>3</v>
      </c>
      <c r="AU49" s="640">
        <f t="shared" si="21"/>
        <v>153.59857942214248</v>
      </c>
      <c r="AV49" s="640">
        <v>3</v>
      </c>
      <c r="AW49" s="640">
        <f t="shared" si="22"/>
        <v>21.781259786104588</v>
      </c>
      <c r="AX49" s="640">
        <v>3</v>
      </c>
      <c r="AY49" s="640">
        <f t="shared" si="17"/>
        <v>7.9934392237095615</v>
      </c>
      <c r="AZ49" s="642">
        <f t="shared" si="18"/>
        <v>19.05036231140917</v>
      </c>
      <c r="BA49" s="638">
        <f>main!R56</f>
        <v>36.72</v>
      </c>
      <c r="BB49" s="492">
        <v>1</v>
      </c>
      <c r="BC49" s="638">
        <f>main!S56</f>
        <v>8.6180000000000003</v>
      </c>
      <c r="BD49" s="647">
        <v>1</v>
      </c>
    </row>
    <row r="50" spans="1:56">
      <c r="A50" s="623">
        <v>2017</v>
      </c>
      <c r="B50" s="623" t="s">
        <v>1776</v>
      </c>
      <c r="C50" s="623">
        <v>3</v>
      </c>
      <c r="D50" s="623" t="str">
        <f>main!$B$54</f>
        <v>McLane-PARFLUX-Mark78H-21 ; 10705, A250x21</v>
      </c>
      <c r="E50" s="623">
        <v>3800</v>
      </c>
      <c r="F50" s="634">
        <v>1</v>
      </c>
      <c r="G50" s="68">
        <f>main!E57</f>
        <v>503.48571428571427</v>
      </c>
      <c r="H50" s="7">
        <f>main!I57</f>
        <v>62.935714285714283</v>
      </c>
      <c r="I50" s="7">
        <f>main!J57</f>
        <v>22.987269642857143</v>
      </c>
      <c r="J50" s="7">
        <v>1</v>
      </c>
      <c r="K50" s="7">
        <f>main!AF57</f>
        <v>77.974805954600711</v>
      </c>
      <c r="L50" s="7">
        <f>main!AG57</f>
        <v>9.3566432721440513</v>
      </c>
      <c r="M50" s="370">
        <v>1</v>
      </c>
      <c r="N50" s="7">
        <f>main!M57</f>
        <v>13.338409423828125</v>
      </c>
      <c r="O50" s="370">
        <v>1</v>
      </c>
      <c r="P50" s="7">
        <f>main!O57</f>
        <v>0.57704097032546997</v>
      </c>
      <c r="Q50" s="7">
        <v>1</v>
      </c>
      <c r="R50" s="7">
        <f>main!AH57</f>
        <v>3.9817661516840737</v>
      </c>
      <c r="S50" s="370">
        <v>1</v>
      </c>
      <c r="T50" s="7">
        <f>main!AB57</f>
        <v>2.594775722021661</v>
      </c>
      <c r="U50" s="7">
        <v>1</v>
      </c>
      <c r="V50" s="7">
        <f>main!AC57</f>
        <v>5.5507324007220227</v>
      </c>
      <c r="W50" s="7">
        <f t="shared" si="4"/>
        <v>17.924278898278693</v>
      </c>
      <c r="X50" s="7">
        <f t="shared" si="5"/>
        <v>2.1508368184880049</v>
      </c>
      <c r="Y50" s="7">
        <f t="shared" si="6"/>
        <v>3.0661361403236387</v>
      </c>
      <c r="Z50" s="7">
        <f t="shared" si="7"/>
        <v>0.13264596379847507</v>
      </c>
      <c r="AA50" s="7">
        <f t="shared" si="8"/>
        <v>0.91529932183563412</v>
      </c>
      <c r="AB50" s="7">
        <f t="shared" si="9"/>
        <v>1.2759618241074091</v>
      </c>
      <c r="AC50" s="161">
        <f>main!T57</f>
        <v>42856</v>
      </c>
      <c r="AD50" s="161">
        <f>main!U57</f>
        <v>42872</v>
      </c>
      <c r="AE50" s="161">
        <f>main!V57</f>
        <v>42864</v>
      </c>
      <c r="AF50" s="623">
        <f>main!H57</f>
        <v>16</v>
      </c>
      <c r="AG50" s="7">
        <f t="shared" si="10"/>
        <v>0.59646809184851257</v>
      </c>
      <c r="AH50" s="7">
        <f t="shared" si="11"/>
        <v>0.25529859619680589</v>
      </c>
      <c r="AI50" s="7">
        <f t="shared" si="12"/>
        <v>9.4679488792630308E-3</v>
      </c>
      <c r="AJ50" s="7">
        <f t="shared" si="13"/>
        <v>7.6211433958004504E-2</v>
      </c>
      <c r="AK50" s="7">
        <f t="shared" si="14"/>
        <v>0.17908716223880142</v>
      </c>
      <c r="AL50" s="7">
        <f t="shared" si="15"/>
        <v>2.1234179133090517E-2</v>
      </c>
      <c r="AM50" s="384"/>
      <c r="AN50" s="7"/>
      <c r="AO50" s="7">
        <f t="shared" si="16"/>
        <v>255.2985961968059</v>
      </c>
      <c r="AP50" s="7">
        <v>1</v>
      </c>
      <c r="AQ50" s="7">
        <f t="shared" si="19"/>
        <v>9.4679488792630302</v>
      </c>
      <c r="AR50" s="7">
        <v>1</v>
      </c>
      <c r="AS50" s="7">
        <f t="shared" si="20"/>
        <v>76.211433958004505</v>
      </c>
      <c r="AT50" s="7">
        <v>1</v>
      </c>
      <c r="AU50" s="7">
        <f t="shared" si="21"/>
        <v>179.08716223880143</v>
      </c>
      <c r="AV50" s="7">
        <v>1</v>
      </c>
      <c r="AW50" s="7">
        <f t="shared" si="22"/>
        <v>21.234179133090517</v>
      </c>
      <c r="AX50" s="7">
        <v>1</v>
      </c>
      <c r="AY50" s="7">
        <f t="shared" si="17"/>
        <v>8.0494133343838552</v>
      </c>
      <c r="AZ50" s="493">
        <f t="shared" si="18"/>
        <v>18.91509602793095</v>
      </c>
      <c r="BA50" s="623">
        <f>main!R57</f>
        <v>36.85</v>
      </c>
      <c r="BB50" s="492">
        <v>1</v>
      </c>
      <c r="BC50" s="623">
        <f>main!S57</f>
        <v>8.6289999999999996</v>
      </c>
      <c r="BD50" s="647">
        <v>1</v>
      </c>
    </row>
    <row r="51" spans="1:56">
      <c r="A51" s="623">
        <v>2017</v>
      </c>
      <c r="B51" s="623" t="s">
        <v>1776</v>
      </c>
      <c r="C51" s="623">
        <v>4</v>
      </c>
      <c r="D51" s="623" t="str">
        <f>main!$B$54</f>
        <v>McLane-PARFLUX-Mark78H-21 ; 10705, A250x21</v>
      </c>
      <c r="E51" s="623">
        <v>3800</v>
      </c>
      <c r="F51" s="634">
        <v>1</v>
      </c>
      <c r="G51" s="68">
        <f>main!E58</f>
        <v>525.70000000000005</v>
      </c>
      <c r="H51" s="7">
        <f>main!I58</f>
        <v>65.712500000000006</v>
      </c>
      <c r="I51" s="7">
        <f>main!J58</f>
        <v>24.001490625000002</v>
      </c>
      <c r="J51" s="7">
        <v>1</v>
      </c>
      <c r="K51" s="7">
        <f>main!AF58</f>
        <v>78.201737405835971</v>
      </c>
      <c r="L51" s="7">
        <f>main!AG58</f>
        <v>9.3838740758689703</v>
      </c>
      <c r="M51" s="370">
        <v>1</v>
      </c>
      <c r="N51" s="7">
        <f>main!M58</f>
        <v>13.126797676086426</v>
      </c>
      <c r="O51" s="370">
        <v>1</v>
      </c>
      <c r="P51" s="7">
        <f>main!O58</f>
        <v>0.56734365224838257</v>
      </c>
      <c r="Q51" s="7">
        <v>1</v>
      </c>
      <c r="R51" s="7">
        <f>main!AH58</f>
        <v>3.7429236002174555</v>
      </c>
      <c r="S51" s="370">
        <v>1</v>
      </c>
      <c r="T51" s="7">
        <f>main!AB58</f>
        <v>2.5566374412391353</v>
      </c>
      <c r="U51" s="7">
        <v>1</v>
      </c>
      <c r="V51" s="7">
        <f>main!AC58</f>
        <v>5.4691471642598675</v>
      </c>
      <c r="W51" s="7">
        <f t="shared" si="4"/>
        <v>18.769582672048841</v>
      </c>
      <c r="X51" s="7">
        <f t="shared" si="5"/>
        <v>2.2522696565814964</v>
      </c>
      <c r="Y51" s="7">
        <f t="shared" si="6"/>
        <v>3.1506271135886021</v>
      </c>
      <c r="Z51" s="7">
        <f t="shared" si="7"/>
        <v>0.13617093350592815</v>
      </c>
      <c r="AA51" s="7">
        <f t="shared" si="8"/>
        <v>0.89835745700710523</v>
      </c>
      <c r="AB51" s="7">
        <f t="shared" si="9"/>
        <v>1.3126768438972856</v>
      </c>
      <c r="AC51" s="161">
        <f>main!T58</f>
        <v>42872</v>
      </c>
      <c r="AD51" s="161">
        <f>main!U58</f>
        <v>42888</v>
      </c>
      <c r="AE51" s="161">
        <f>main!V58</f>
        <v>42880</v>
      </c>
      <c r="AF51" s="623">
        <f>main!H58</f>
        <v>16</v>
      </c>
      <c r="AG51" s="7">
        <f t="shared" si="10"/>
        <v>0.61363109577425101</v>
      </c>
      <c r="AH51" s="7">
        <f t="shared" si="11"/>
        <v>0.26233364809230658</v>
      </c>
      <c r="AI51" s="7">
        <f t="shared" si="12"/>
        <v>9.719552712771461E-3</v>
      </c>
      <c r="AJ51" s="7">
        <f t="shared" si="13"/>
        <v>7.480078742773566E-2</v>
      </c>
      <c r="AK51" s="7">
        <f t="shared" si="14"/>
        <v>0.18753286066457089</v>
      </c>
      <c r="AL51" s="7">
        <f t="shared" si="15"/>
        <v>2.1845179628844819E-2</v>
      </c>
      <c r="AM51" s="384"/>
      <c r="AN51" s="7"/>
      <c r="AO51" s="7">
        <f t="shared" si="16"/>
        <v>262.33364809230659</v>
      </c>
      <c r="AP51" s="7">
        <v>1</v>
      </c>
      <c r="AQ51" s="7">
        <f t="shared" si="19"/>
        <v>9.7195527127714616</v>
      </c>
      <c r="AR51" s="7">
        <v>1</v>
      </c>
      <c r="AS51" s="7">
        <f t="shared" si="20"/>
        <v>74.800787427735656</v>
      </c>
      <c r="AT51" s="7">
        <v>1</v>
      </c>
      <c r="AU51" s="7">
        <f t="shared" si="21"/>
        <v>187.5328606645709</v>
      </c>
      <c r="AV51" s="7">
        <v>1</v>
      </c>
      <c r="AW51" s="7">
        <f t="shared" si="22"/>
        <v>21.845179628844818</v>
      </c>
      <c r="AX51" s="7">
        <v>1</v>
      </c>
      <c r="AY51" s="7">
        <f t="shared" si="17"/>
        <v>7.6959084063042997</v>
      </c>
      <c r="AZ51" s="493">
        <f t="shared" si="18"/>
        <v>19.294392057584432</v>
      </c>
      <c r="BA51" s="623">
        <f>main!R58</f>
        <v>37.159999999999997</v>
      </c>
      <c r="BB51" s="492">
        <v>1</v>
      </c>
      <c r="BC51" s="623">
        <f>main!S58</f>
        <v>8.625</v>
      </c>
      <c r="BD51" s="647">
        <v>1</v>
      </c>
    </row>
    <row r="52" spans="1:56">
      <c r="A52" s="623">
        <v>2017</v>
      </c>
      <c r="B52" s="623" t="s">
        <v>1776</v>
      </c>
      <c r="C52" s="623">
        <v>5</v>
      </c>
      <c r="D52" s="623" t="str">
        <f>main!$B$54</f>
        <v>McLane-PARFLUX-Mark78H-21 ; 10705, A250x21</v>
      </c>
      <c r="E52" s="623">
        <v>3800</v>
      </c>
      <c r="F52" s="634">
        <v>1</v>
      </c>
      <c r="G52" s="68">
        <f>main!E59</f>
        <v>538.7285714285714</v>
      </c>
      <c r="H52" s="7">
        <f>main!I59</f>
        <v>67.341071428571425</v>
      </c>
      <c r="I52" s="7">
        <f>main!J59</f>
        <v>24.596326339285714</v>
      </c>
      <c r="J52" s="7">
        <v>1</v>
      </c>
      <c r="K52" s="7">
        <f>main!AF59</f>
        <v>76.600431301857398</v>
      </c>
      <c r="L52" s="7">
        <f>main!AG59</f>
        <v>9.1917241910310672</v>
      </c>
      <c r="M52" s="370">
        <v>1</v>
      </c>
      <c r="N52" s="7">
        <f>main!M59</f>
        <v>13.504899024963379</v>
      </c>
      <c r="O52" s="370">
        <v>1</v>
      </c>
      <c r="P52" s="7">
        <f>main!O59</f>
        <v>0.61224067211151123</v>
      </c>
      <c r="Q52" s="7">
        <v>1</v>
      </c>
      <c r="R52" s="7">
        <f>main!AH59</f>
        <v>4.3131748339323117</v>
      </c>
      <c r="S52" s="370">
        <v>1</v>
      </c>
      <c r="T52" s="7">
        <f>main!AB59</f>
        <v>2.6383422983904601</v>
      </c>
      <c r="U52" s="7">
        <v>1</v>
      </c>
      <c r="V52" s="7">
        <f>main!AC59</f>
        <v>5.6439298223667764</v>
      </c>
      <c r="W52" s="7">
        <f t="shared" si="4"/>
        <v>18.840892060305208</v>
      </c>
      <c r="X52" s="7">
        <f t="shared" si="5"/>
        <v>2.2608264782330711</v>
      </c>
      <c r="Y52" s="7">
        <f t="shared" si="6"/>
        <v>3.3217090359710073</v>
      </c>
      <c r="Z52" s="7">
        <f t="shared" si="7"/>
        <v>0.15058871369438354</v>
      </c>
      <c r="AA52" s="7">
        <f t="shared" si="8"/>
        <v>1.0608825577379359</v>
      </c>
      <c r="AB52" s="7">
        <f t="shared" si="9"/>
        <v>1.3881993974696007</v>
      </c>
      <c r="AC52" s="161">
        <f>main!T59</f>
        <v>42888</v>
      </c>
      <c r="AD52" s="161">
        <f>main!U59</f>
        <v>42904</v>
      </c>
      <c r="AE52" s="161">
        <f>main!V59</f>
        <v>42896</v>
      </c>
      <c r="AF52" s="623">
        <f>main!H59</f>
        <v>16</v>
      </c>
      <c r="AG52" s="7">
        <f t="shared" si="10"/>
        <v>0.64893528165952885</v>
      </c>
      <c r="AH52" s="7">
        <f t="shared" si="11"/>
        <v>0.27657860416078328</v>
      </c>
      <c r="AI52" s="7">
        <f t="shared" si="12"/>
        <v>1.0748659078828233E-2</v>
      </c>
      <c r="AJ52" s="7">
        <f t="shared" si="13"/>
        <v>8.8333268754199501E-2</v>
      </c>
      <c r="AK52" s="7">
        <f t="shared" si="14"/>
        <v>0.18824533540658378</v>
      </c>
      <c r="AL52" s="7">
        <f t="shared" si="15"/>
        <v>2.310200361906475E-2</v>
      </c>
      <c r="AM52" s="384"/>
      <c r="AN52" s="7"/>
      <c r="AO52" s="7">
        <f t="shared" si="16"/>
        <v>276.5786041607833</v>
      </c>
      <c r="AP52" s="7">
        <v>1</v>
      </c>
      <c r="AQ52" s="7">
        <f t="shared" si="19"/>
        <v>10.748659078828233</v>
      </c>
      <c r="AR52" s="7">
        <v>1</v>
      </c>
      <c r="AS52" s="7">
        <f t="shared" si="20"/>
        <v>88.333268754199494</v>
      </c>
      <c r="AT52" s="7">
        <v>1</v>
      </c>
      <c r="AU52" s="7">
        <f t="shared" si="21"/>
        <v>188.24533540658379</v>
      </c>
      <c r="AV52" s="7">
        <v>1</v>
      </c>
      <c r="AW52" s="7">
        <f t="shared" si="22"/>
        <v>23.10200361906475</v>
      </c>
      <c r="AX52" s="7">
        <v>1</v>
      </c>
      <c r="AY52" s="7">
        <f t="shared" si="17"/>
        <v>8.2180733528138994</v>
      </c>
      <c r="AZ52" s="493">
        <f t="shared" si="18"/>
        <v>17.513378555039761</v>
      </c>
      <c r="BA52" s="623">
        <f>main!R59</f>
        <v>37.130000000000003</v>
      </c>
      <c r="BB52" s="492">
        <v>1</v>
      </c>
      <c r="BC52" s="623">
        <f>main!S59</f>
        <v>8.625</v>
      </c>
      <c r="BD52" s="647">
        <v>1</v>
      </c>
    </row>
    <row r="53" spans="1:56">
      <c r="A53" s="623">
        <v>2017</v>
      </c>
      <c r="B53" s="623" t="s">
        <v>1776</v>
      </c>
      <c r="C53" s="623">
        <v>6</v>
      </c>
      <c r="D53" s="623" t="str">
        <f>main!$B$54</f>
        <v>McLane-PARFLUX-Mark78H-21 ; 10705, A250x21</v>
      </c>
      <c r="E53" s="623">
        <v>3800</v>
      </c>
      <c r="F53" s="634">
        <v>1</v>
      </c>
      <c r="G53" s="68">
        <f>main!E60</f>
        <v>422.01428571428573</v>
      </c>
      <c r="H53" s="7">
        <f>main!I60</f>
        <v>52.751785714285717</v>
      </c>
      <c r="I53" s="7">
        <f>main!J60</f>
        <v>19.267589732142859</v>
      </c>
      <c r="J53" s="7">
        <v>1</v>
      </c>
      <c r="K53" s="7">
        <f>main!AF60</f>
        <v>70.438787792737728</v>
      </c>
      <c r="L53" s="7">
        <f>main!AG60</f>
        <v>8.4523533188736995</v>
      </c>
      <c r="M53" s="370">
        <v>1</v>
      </c>
      <c r="N53" s="7">
        <f>main!M60</f>
        <v>14.781429290771484</v>
      </c>
      <c r="O53" s="370">
        <v>1</v>
      </c>
      <c r="P53" s="7">
        <f>main!O60</f>
        <v>0.91153717041015625</v>
      </c>
      <c r="Q53" s="7">
        <v>1</v>
      </c>
      <c r="R53" s="7">
        <f>main!AH60</f>
        <v>6.3290759718977849</v>
      </c>
      <c r="S53" s="370">
        <v>1</v>
      </c>
      <c r="T53" s="7">
        <f>main!AB60</f>
        <v>2.9727659840941825</v>
      </c>
      <c r="U53" s="7">
        <v>1</v>
      </c>
      <c r="V53" s="7">
        <f>main!AC60</f>
        <v>6.3593274469284227</v>
      </c>
      <c r="W53" s="7">
        <f t="shared" si="4"/>
        <v>13.571856644199432</v>
      </c>
      <c r="X53" s="7">
        <f t="shared" si="5"/>
        <v>1.6285647601917452</v>
      </c>
      <c r="Y53" s="7">
        <f t="shared" si="6"/>
        <v>2.8480251522926432</v>
      </c>
      <c r="Z53" s="7">
        <f t="shared" si="7"/>
        <v>0.17563124225061283</v>
      </c>
      <c r="AA53" s="7">
        <f t="shared" si="8"/>
        <v>1.2194603921008986</v>
      </c>
      <c r="AB53" s="7">
        <f t="shared" si="9"/>
        <v>1.2252891221977233</v>
      </c>
      <c r="AC53" s="161">
        <f>main!T60</f>
        <v>42904</v>
      </c>
      <c r="AD53" s="161">
        <f>main!U60</f>
        <v>42920</v>
      </c>
      <c r="AE53" s="161">
        <f>main!V60</f>
        <v>42912</v>
      </c>
      <c r="AF53" s="623">
        <f>main!H60</f>
        <v>16</v>
      </c>
      <c r="AG53" s="7">
        <f t="shared" si="10"/>
        <v>0.57278035351196632</v>
      </c>
      <c r="AH53" s="7">
        <f t="shared" si="11"/>
        <v>0.23713781451229335</v>
      </c>
      <c r="AI53" s="7">
        <f t="shared" si="12"/>
        <v>1.2536134350507697E-2</v>
      </c>
      <c r="AJ53" s="7">
        <f t="shared" si="13"/>
        <v>0.10153708510415475</v>
      </c>
      <c r="AK53" s="7">
        <f t="shared" si="14"/>
        <v>0.13560072940813866</v>
      </c>
      <c r="AL53" s="7">
        <f t="shared" si="15"/>
        <v>2.0390899021429914E-2</v>
      </c>
      <c r="AM53" s="384"/>
      <c r="AN53" s="7"/>
      <c r="AO53" s="7">
        <f t="shared" si="16"/>
        <v>237.13781451229335</v>
      </c>
      <c r="AP53" s="7">
        <v>1</v>
      </c>
      <c r="AQ53" s="7">
        <f t="shared" si="19"/>
        <v>12.536134350507696</v>
      </c>
      <c r="AR53" s="7">
        <v>1</v>
      </c>
      <c r="AS53" s="7">
        <f t="shared" si="20"/>
        <v>101.53708510415476</v>
      </c>
      <c r="AT53" s="7">
        <v>1</v>
      </c>
      <c r="AU53" s="7">
        <f t="shared" si="21"/>
        <v>135.60072940813868</v>
      </c>
      <c r="AV53" s="7">
        <v>1</v>
      </c>
      <c r="AW53" s="7">
        <f t="shared" si="22"/>
        <v>20.390899021429913</v>
      </c>
      <c r="AX53" s="7">
        <v>1</v>
      </c>
      <c r="AY53" s="7">
        <f t="shared" si="17"/>
        <v>8.0995530412485284</v>
      </c>
      <c r="AZ53" s="493">
        <f t="shared" si="18"/>
        <v>10.816789738907595</v>
      </c>
      <c r="BA53" s="623">
        <f>main!R60</f>
        <v>37.18</v>
      </c>
      <c r="BB53" s="492">
        <v>1</v>
      </c>
      <c r="BC53" s="623">
        <f>main!S60</f>
        <v>8.5850000000000009</v>
      </c>
      <c r="BD53" s="647">
        <v>1</v>
      </c>
    </row>
    <row r="54" spans="1:56">
      <c r="A54" s="623">
        <v>2017</v>
      </c>
      <c r="B54" s="623" t="s">
        <v>1776</v>
      </c>
      <c r="C54" s="623">
        <v>7</v>
      </c>
      <c r="D54" s="623" t="str">
        <f>main!$B$54</f>
        <v>McLane-PARFLUX-Mark78H-21 ; 10705, A250x21</v>
      </c>
      <c r="E54" s="623">
        <v>3800</v>
      </c>
      <c r="F54" s="634">
        <v>1</v>
      </c>
      <c r="G54" s="68">
        <f>main!E61</f>
        <v>457.61428571428564</v>
      </c>
      <c r="H54" s="7">
        <f>main!I61</f>
        <v>57.201785714285705</v>
      </c>
      <c r="I54" s="7">
        <f>main!J61</f>
        <v>20.892952232142854</v>
      </c>
      <c r="J54" s="7">
        <v>1</v>
      </c>
      <c r="K54" s="7">
        <f>main!AF61</f>
        <v>67.582089077132139</v>
      </c>
      <c r="L54" s="7">
        <f>main!AG61</f>
        <v>8.1095616890557807</v>
      </c>
      <c r="M54" s="370">
        <v>1</v>
      </c>
      <c r="N54" s="7">
        <f>main!M61</f>
        <v>15.296235084533691</v>
      </c>
      <c r="O54" s="370">
        <v>1</v>
      </c>
      <c r="P54" s="7">
        <f>main!O61</f>
        <v>1.0207319259643555</v>
      </c>
      <c r="Q54" s="7">
        <v>1</v>
      </c>
      <c r="R54" s="7">
        <f>main!AH61</f>
        <v>7.1866733954779107</v>
      </c>
      <c r="S54" s="370">
        <v>1</v>
      </c>
      <c r="T54" s="7">
        <f>main!AB61</f>
        <v>3.16176786473841</v>
      </c>
      <c r="U54" s="7">
        <v>1</v>
      </c>
      <c r="V54" s="7">
        <f>main!AC61</f>
        <v>6.7636394087622316</v>
      </c>
      <c r="W54" s="7">
        <f t="shared" si="4"/>
        <v>14.11989358836945</v>
      </c>
      <c r="X54" s="7">
        <f t="shared" si="5"/>
        <v>1.6943268499305812</v>
      </c>
      <c r="Y54" s="7">
        <f t="shared" si="6"/>
        <v>3.1958350895279</v>
      </c>
      <c r="Z54" s="7">
        <f t="shared" si="7"/>
        <v>0.21326103370996455</v>
      </c>
      <c r="AA54" s="7">
        <f t="shared" si="8"/>
        <v>1.5015082395973187</v>
      </c>
      <c r="AB54" s="7">
        <f t="shared" si="9"/>
        <v>1.4131239508270823</v>
      </c>
      <c r="AC54" s="161">
        <f>main!T61</f>
        <v>42920</v>
      </c>
      <c r="AD54" s="161">
        <f>main!U61</f>
        <v>42936</v>
      </c>
      <c r="AE54" s="161">
        <f>main!V61</f>
        <v>42928</v>
      </c>
      <c r="AF54" s="623">
        <f>main!H61</f>
        <v>16</v>
      </c>
      <c r="AG54" s="7">
        <f t="shared" si="10"/>
        <v>0.66058664967103908</v>
      </c>
      <c r="AH54" s="7">
        <f t="shared" si="11"/>
        <v>0.26609784259183183</v>
      </c>
      <c r="AI54" s="7">
        <f t="shared" si="12"/>
        <v>1.5222058080654143E-2</v>
      </c>
      <c r="AJ54" s="7">
        <f t="shared" si="13"/>
        <v>0.12502150204806983</v>
      </c>
      <c r="AK54" s="7">
        <f t="shared" si="14"/>
        <v>0.14107634054376197</v>
      </c>
      <c r="AL54" s="7">
        <f t="shared" si="15"/>
        <v>2.3516790661126347E-2</v>
      </c>
      <c r="AM54" s="384"/>
      <c r="AN54" s="7"/>
      <c r="AO54" s="7">
        <f t="shared" si="16"/>
        <v>266.09784259183181</v>
      </c>
      <c r="AP54" s="7">
        <v>1</v>
      </c>
      <c r="AQ54" s="7">
        <f t="shared" si="19"/>
        <v>15.222058080654143</v>
      </c>
      <c r="AR54" s="7">
        <v>1</v>
      </c>
      <c r="AS54" s="7">
        <f t="shared" si="20"/>
        <v>125.02150204806983</v>
      </c>
      <c r="AT54" s="7">
        <v>1</v>
      </c>
      <c r="AU54" s="7">
        <f t="shared" si="21"/>
        <v>141.07634054376197</v>
      </c>
      <c r="AV54" s="7">
        <v>1</v>
      </c>
      <c r="AW54" s="7">
        <f t="shared" si="22"/>
        <v>23.516790661126347</v>
      </c>
      <c r="AX54" s="7">
        <v>1</v>
      </c>
      <c r="AY54" s="7">
        <f t="shared" si="17"/>
        <v>8.2131799383265278</v>
      </c>
      <c r="AZ54" s="493">
        <f t="shared" si="18"/>
        <v>9.267888730700431</v>
      </c>
      <c r="BA54" s="623">
        <f>main!R61</f>
        <v>37.130000000000003</v>
      </c>
      <c r="BB54" s="492">
        <v>1</v>
      </c>
      <c r="BC54" s="623">
        <f>main!S61</f>
        <v>8.6180000000000003</v>
      </c>
      <c r="BD54" s="647">
        <v>1</v>
      </c>
    </row>
    <row r="55" spans="1:56">
      <c r="A55" s="623">
        <v>2017</v>
      </c>
      <c r="B55" s="623" t="s">
        <v>1776</v>
      </c>
      <c r="C55" s="623">
        <v>8</v>
      </c>
      <c r="D55" s="623" t="str">
        <f>main!$B$54</f>
        <v>McLane-PARFLUX-Mark78H-21 ; 10705, A250x21</v>
      </c>
      <c r="E55" s="623">
        <v>3800</v>
      </c>
      <c r="F55" s="634">
        <v>1</v>
      </c>
      <c r="G55" s="68">
        <f>main!E62</f>
        <v>435.92857142857144</v>
      </c>
      <c r="H55" s="7">
        <f>main!I62</f>
        <v>54.491071428571431</v>
      </c>
      <c r="I55" s="7">
        <f>main!J62</f>
        <v>19.902863839285715</v>
      </c>
      <c r="J55" s="7">
        <v>1</v>
      </c>
      <c r="K55" s="7">
        <f>main!AF62</f>
        <v>68.038919172259554</v>
      </c>
      <c r="L55" s="7">
        <f>main!AG62</f>
        <v>8.1643793469358847</v>
      </c>
      <c r="M55" s="370">
        <v>1</v>
      </c>
      <c r="N55" s="7">
        <f>main!M62</f>
        <v>14.799246788024902</v>
      </c>
      <c r="O55" s="370">
        <v>1</v>
      </c>
      <c r="P55" s="7">
        <f>main!O62</f>
        <v>0.94557881355285645</v>
      </c>
      <c r="Q55" s="7">
        <v>1</v>
      </c>
      <c r="R55" s="7">
        <f>main!AH62</f>
        <v>6.6348674410890176</v>
      </c>
      <c r="S55" s="370">
        <v>1</v>
      </c>
      <c r="T55" s="7">
        <f>main!AB62</f>
        <v>3.4741219788519642</v>
      </c>
      <c r="U55" s="7">
        <v>1</v>
      </c>
      <c r="V55" s="7">
        <f>main!AC62</f>
        <v>7.4318259063444119</v>
      </c>
      <c r="W55" s="7">
        <f t="shared" si="4"/>
        <v>13.541693440576481</v>
      </c>
      <c r="X55" s="7">
        <f t="shared" si="5"/>
        <v>1.6249453047434135</v>
      </c>
      <c r="Y55" s="7">
        <f t="shared" si="6"/>
        <v>2.945473937460461</v>
      </c>
      <c r="Z55" s="7">
        <f t="shared" si="7"/>
        <v>0.18819726375455834</v>
      </c>
      <c r="AA55" s="7">
        <f t="shared" si="8"/>
        <v>1.3205286327170476</v>
      </c>
      <c r="AB55" s="7">
        <f t="shared" si="9"/>
        <v>1.4791461909124899</v>
      </c>
      <c r="AC55" s="161">
        <f>main!T62</f>
        <v>42936</v>
      </c>
      <c r="AD55" s="161">
        <f>main!U62</f>
        <v>42952</v>
      </c>
      <c r="AE55" s="161">
        <f>main!V62</f>
        <v>42944</v>
      </c>
      <c r="AF55" s="623">
        <f>main!H62</f>
        <v>16</v>
      </c>
      <c r="AG55" s="7">
        <f t="shared" si="10"/>
        <v>0.69144976706160488</v>
      </c>
      <c r="AH55" s="7">
        <f t="shared" si="11"/>
        <v>0.24525178496756544</v>
      </c>
      <c r="AI55" s="7">
        <f t="shared" si="12"/>
        <v>1.3433066649147634E-2</v>
      </c>
      <c r="AJ55" s="7">
        <f t="shared" si="13"/>
        <v>0.1099524257049998</v>
      </c>
      <c r="AK55" s="7">
        <f t="shared" si="14"/>
        <v>0.13529935926256564</v>
      </c>
      <c r="AL55" s="7">
        <f t="shared" si="15"/>
        <v>2.4615513245340153E-2</v>
      </c>
      <c r="AM55" s="384"/>
      <c r="AN55" s="7"/>
      <c r="AO55" s="7">
        <f t="shared" si="16"/>
        <v>245.25178496756544</v>
      </c>
      <c r="AP55" s="7">
        <v>1</v>
      </c>
      <c r="AQ55" s="7">
        <f t="shared" si="19"/>
        <v>13.433066649147634</v>
      </c>
      <c r="AR55" s="7">
        <v>1</v>
      </c>
      <c r="AS55" s="7">
        <f t="shared" si="20"/>
        <v>109.9524257049998</v>
      </c>
      <c r="AT55" s="7">
        <v>1</v>
      </c>
      <c r="AU55" s="7">
        <f t="shared" si="21"/>
        <v>135.29935926256564</v>
      </c>
      <c r="AV55" s="7">
        <v>1</v>
      </c>
      <c r="AW55" s="7">
        <f t="shared" si="22"/>
        <v>24.615513245340154</v>
      </c>
      <c r="AX55" s="7">
        <v>1</v>
      </c>
      <c r="AY55" s="7">
        <f t="shared" si="17"/>
        <v>8.185206593311781</v>
      </c>
      <c r="AZ55" s="493">
        <f t="shared" si="18"/>
        <v>10.072112556007513</v>
      </c>
      <c r="BA55" s="623">
        <f>main!R62</f>
        <v>36.68</v>
      </c>
      <c r="BB55" s="492">
        <v>1</v>
      </c>
      <c r="BC55" s="623">
        <f>main!S62</f>
        <v>8.5909999999999993</v>
      </c>
      <c r="BD55" s="647">
        <v>1</v>
      </c>
    </row>
    <row r="56" spans="1:56">
      <c r="A56" s="623">
        <v>2017</v>
      </c>
      <c r="B56" s="623" t="s">
        <v>1776</v>
      </c>
      <c r="C56" s="623">
        <v>9</v>
      </c>
      <c r="D56" s="623" t="str">
        <f>main!$B$54</f>
        <v>McLane-PARFLUX-Mark78H-21 ; 10705, A250x21</v>
      </c>
      <c r="E56" s="623">
        <v>3800</v>
      </c>
      <c r="F56" s="634">
        <v>1</v>
      </c>
      <c r="G56" s="68">
        <f>main!E63</f>
        <v>415.67142857142863</v>
      </c>
      <c r="H56" s="7">
        <f>main!I63</f>
        <v>51.958928571428579</v>
      </c>
      <c r="I56" s="7">
        <f>main!J63</f>
        <v>18.977998660714288</v>
      </c>
      <c r="J56" s="7">
        <v>1</v>
      </c>
      <c r="K56" s="7">
        <f>main!AF63</f>
        <v>66.097617870724363</v>
      </c>
      <c r="L56" s="7">
        <f>main!AG63</f>
        <v>7.9314314923071807</v>
      </c>
      <c r="M56" s="370">
        <v>1</v>
      </c>
      <c r="N56" s="7">
        <f>main!M63</f>
        <v>15.572234153747559</v>
      </c>
      <c r="O56" s="370">
        <v>1</v>
      </c>
      <c r="P56" s="7">
        <f>main!O63</f>
        <v>1.0858781337738037</v>
      </c>
      <c r="Q56" s="7">
        <v>1</v>
      </c>
      <c r="R56" s="7">
        <f>main!AH63</f>
        <v>7.6408026614403779</v>
      </c>
      <c r="S56" s="370">
        <v>1</v>
      </c>
      <c r="T56" s="7">
        <f>main!AB63</f>
        <v>3.3479798448652889</v>
      </c>
      <c r="U56" s="7">
        <v>1</v>
      </c>
      <c r="V56" s="7">
        <f>main!AC63</f>
        <v>7.1619832281222928</v>
      </c>
      <c r="W56" s="7">
        <f t="shared" si="4"/>
        <v>12.544005034270118</v>
      </c>
      <c r="X56" s="7">
        <f t="shared" si="5"/>
        <v>1.5052269623855281</v>
      </c>
      <c r="Y56" s="7">
        <f t="shared" si="6"/>
        <v>2.9552983891415043</v>
      </c>
      <c r="Z56" s="7">
        <f t="shared" si="7"/>
        <v>0.20607793768458177</v>
      </c>
      <c r="AA56" s="7">
        <f t="shared" si="8"/>
        <v>1.4500714267559767</v>
      </c>
      <c r="AB56" s="7">
        <f t="shared" si="9"/>
        <v>1.3592010811136306</v>
      </c>
      <c r="AC56" s="161">
        <f>main!T63</f>
        <v>42952</v>
      </c>
      <c r="AD56" s="161">
        <f>main!U63</f>
        <v>42968</v>
      </c>
      <c r="AE56" s="161">
        <f>main!V63</f>
        <v>42960</v>
      </c>
      <c r="AF56" s="623">
        <f>main!H63</f>
        <v>16</v>
      </c>
      <c r="AG56" s="7">
        <f t="shared" si="10"/>
        <v>0.63537957011951884</v>
      </c>
      <c r="AH56" s="7">
        <f t="shared" si="11"/>
        <v>0.24606980758880137</v>
      </c>
      <c r="AI56" s="7">
        <f t="shared" si="12"/>
        <v>1.4709346016030106E-2</v>
      </c>
      <c r="AJ56" s="7">
        <f t="shared" si="13"/>
        <v>0.12073867000466083</v>
      </c>
      <c r="AK56" s="7">
        <f t="shared" si="14"/>
        <v>0.12533113758414055</v>
      </c>
      <c r="AL56" s="7">
        <f t="shared" si="15"/>
        <v>2.2619422218565995E-2</v>
      </c>
      <c r="AM56" s="384"/>
      <c r="AN56" s="7"/>
      <c r="AO56" s="7">
        <f t="shared" si="16"/>
        <v>246.06980758880138</v>
      </c>
      <c r="AP56" s="7">
        <v>1</v>
      </c>
      <c r="AQ56" s="7">
        <f t="shared" si="19"/>
        <v>14.709346016030105</v>
      </c>
      <c r="AR56" s="7">
        <v>1</v>
      </c>
      <c r="AS56" s="7">
        <f t="shared" si="20"/>
        <v>120.73867000466083</v>
      </c>
      <c r="AT56" s="7">
        <v>1</v>
      </c>
      <c r="AU56" s="7">
        <f t="shared" si="21"/>
        <v>125.33113758414055</v>
      </c>
      <c r="AV56" s="7">
        <v>1</v>
      </c>
      <c r="AW56" s="7">
        <f t="shared" si="22"/>
        <v>22.619422218565994</v>
      </c>
      <c r="AX56" s="7">
        <v>1</v>
      </c>
      <c r="AY56" s="7">
        <f t="shared" si="17"/>
        <v>8.2082962677661513</v>
      </c>
      <c r="AZ56" s="493">
        <f t="shared" si="18"/>
        <v>8.5205105276302469</v>
      </c>
      <c r="BA56" s="623">
        <f>main!R63</f>
        <v>36.880000000000003</v>
      </c>
      <c r="BB56" s="492">
        <v>1</v>
      </c>
      <c r="BC56" s="623">
        <f>main!S63</f>
        <v>8.5909999999999993</v>
      </c>
      <c r="BD56" s="647">
        <v>1</v>
      </c>
    </row>
    <row r="57" spans="1:56">
      <c r="A57" s="623">
        <v>2017</v>
      </c>
      <c r="B57" s="623" t="s">
        <v>1776</v>
      </c>
      <c r="C57" s="623">
        <v>10</v>
      </c>
      <c r="D57" s="623" t="str">
        <f>main!$B$54</f>
        <v>McLane-PARFLUX-Mark78H-21 ; 10705, A250x21</v>
      </c>
      <c r="E57" s="623">
        <v>3800</v>
      </c>
      <c r="F57" s="634">
        <v>1</v>
      </c>
      <c r="G57" s="68">
        <f>main!E64</f>
        <v>403.55714285714282</v>
      </c>
      <c r="H57" s="7">
        <f>main!I64</f>
        <v>50.444642857142853</v>
      </c>
      <c r="I57" s="7">
        <f>main!J64</f>
        <v>18.424905803571427</v>
      </c>
      <c r="J57" s="7">
        <v>1</v>
      </c>
      <c r="K57" s="7">
        <f>main!AF64</f>
        <v>66.240396936302503</v>
      </c>
      <c r="L57" s="7">
        <f>main!AG64</f>
        <v>7.9485643696127362</v>
      </c>
      <c r="M57" s="370">
        <v>1</v>
      </c>
      <c r="N57" s="7">
        <f>main!M64</f>
        <v>15.232702255249023</v>
      </c>
      <c r="O57" s="370">
        <v>2</v>
      </c>
      <c r="P57" s="7">
        <f>main!O64</f>
        <v>1.0536642074584961</v>
      </c>
      <c r="Q57" s="7">
        <v>1</v>
      </c>
      <c r="R57" s="7">
        <f>main!AH64</f>
        <v>7.2841378856362873</v>
      </c>
      <c r="S57" s="370">
        <v>2</v>
      </c>
      <c r="T57" s="7">
        <f>main!AB64</f>
        <v>3.5840487511223573</v>
      </c>
      <c r="U57" s="7">
        <v>1</v>
      </c>
      <c r="V57" s="7">
        <f>main!AC64</f>
        <v>7.6669807566729258</v>
      </c>
      <c r="W57" s="7">
        <f t="shared" si="4"/>
        <v>12.20473073942555</v>
      </c>
      <c r="X57" s="7">
        <f t="shared" si="5"/>
        <v>1.4645154978373875</v>
      </c>
      <c r="Y57" s="7">
        <f t="shared" si="6"/>
        <v>2.8066110418681327</v>
      </c>
      <c r="Z57" s="7">
        <f t="shared" si="7"/>
        <v>0.19413663771017531</v>
      </c>
      <c r="AA57" s="7">
        <f t="shared" si="8"/>
        <v>1.3420955440307452</v>
      </c>
      <c r="AB57" s="7">
        <f t="shared" si="9"/>
        <v>1.4126339823949343</v>
      </c>
      <c r="AC57" s="161">
        <f>main!T64</f>
        <v>42968</v>
      </c>
      <c r="AD57" s="161">
        <f>main!U64</f>
        <v>42984</v>
      </c>
      <c r="AE57" s="161">
        <f>main!V64</f>
        <v>42976</v>
      </c>
      <c r="AF57" s="623">
        <f>main!H64</f>
        <v>16</v>
      </c>
      <c r="AG57" s="7">
        <f t="shared" si="10"/>
        <v>0.66035760634837248</v>
      </c>
      <c r="AH57" s="7">
        <f t="shared" si="11"/>
        <v>0.23368951222882037</v>
      </c>
      <c r="AI57" s="7">
        <f t="shared" si="12"/>
        <v>1.3857004832988958E-2</v>
      </c>
      <c r="AJ57" s="7">
        <f t="shared" si="13"/>
        <v>0.11174817185934598</v>
      </c>
      <c r="AK57" s="7">
        <f t="shared" si="14"/>
        <v>0.1219413403694744</v>
      </c>
      <c r="AL57" s="7">
        <f t="shared" si="15"/>
        <v>2.3508636751455054E-2</v>
      </c>
      <c r="AM57" s="384"/>
      <c r="AN57" s="7"/>
      <c r="AO57" s="7">
        <f t="shared" si="16"/>
        <v>233.68951222882038</v>
      </c>
      <c r="AP57" s="7">
        <v>2</v>
      </c>
      <c r="AQ57" s="7">
        <f t="shared" si="19"/>
        <v>13.857004832988958</v>
      </c>
      <c r="AR57" s="7">
        <v>1</v>
      </c>
      <c r="AS57" s="7">
        <f t="shared" si="20"/>
        <v>111.74817185934597</v>
      </c>
      <c r="AT57" s="7">
        <v>2</v>
      </c>
      <c r="AU57" s="7">
        <f t="shared" si="21"/>
        <v>121.9413403694744</v>
      </c>
      <c r="AV57" s="7">
        <v>1</v>
      </c>
      <c r="AW57" s="7">
        <f t="shared" si="22"/>
        <v>23.508636751455054</v>
      </c>
      <c r="AX57" s="7">
        <v>1</v>
      </c>
      <c r="AY57" s="7">
        <f t="shared" si="17"/>
        <v>8.0643813873334622</v>
      </c>
      <c r="AZ57" s="493">
        <f t="shared" si="18"/>
        <v>8.7999781943621969</v>
      </c>
      <c r="BA57" s="623">
        <f>main!R64</f>
        <v>37.135000000000005</v>
      </c>
      <c r="BB57" s="492">
        <v>1</v>
      </c>
      <c r="BC57" s="623">
        <f>main!S64</f>
        <v>8.5609999999999999</v>
      </c>
      <c r="BD57" s="647">
        <v>1</v>
      </c>
    </row>
    <row r="58" spans="1:56">
      <c r="A58" s="623">
        <v>2017</v>
      </c>
      <c r="B58" s="623" t="s">
        <v>1776</v>
      </c>
      <c r="C58" s="623">
        <v>11</v>
      </c>
      <c r="D58" s="623" t="str">
        <f>main!$B$54</f>
        <v>McLane-PARFLUX-Mark78H-21 ; 10705, A250x21</v>
      </c>
      <c r="E58" s="623">
        <v>3800</v>
      </c>
      <c r="F58" s="634">
        <v>1</v>
      </c>
      <c r="G58" s="68">
        <f>main!E65</f>
        <v>371.18571428571431</v>
      </c>
      <c r="H58" s="7">
        <f>main!I65</f>
        <v>46.398214285714289</v>
      </c>
      <c r="I58" s="7">
        <f>main!J65</f>
        <v>16.946947767857147</v>
      </c>
      <c r="J58" s="7">
        <v>1</v>
      </c>
      <c r="K58" s="7">
        <f>main!AF65</f>
        <v>67.740119549827853</v>
      </c>
      <c r="L58" s="7">
        <f>main!AG65</f>
        <v>8.1285246699960982</v>
      </c>
      <c r="M58" s="370">
        <v>1</v>
      </c>
      <c r="N58" s="7">
        <f>main!M65</f>
        <v>14.561279296875</v>
      </c>
      <c r="O58" s="370">
        <v>3</v>
      </c>
      <c r="P58" s="7">
        <f>main!O65</f>
        <v>0.92084378004074097</v>
      </c>
      <c r="Q58" s="7">
        <v>3</v>
      </c>
      <c r="R58" s="7">
        <f>main!AH65</f>
        <v>6.4327546268789018</v>
      </c>
      <c r="S58" s="370">
        <v>3</v>
      </c>
      <c r="T58" s="7">
        <f>main!AB65</f>
        <v>3.9359991414905364</v>
      </c>
      <c r="U58" s="7">
        <v>1</v>
      </c>
      <c r="V58" s="7">
        <f>main!AC65</f>
        <v>8.4198714279874096</v>
      </c>
      <c r="W58" s="7">
        <f t="shared" si="4"/>
        <v>11.479882677993313</v>
      </c>
      <c r="X58" s="7">
        <f t="shared" si="5"/>
        <v>1.3775368301216213</v>
      </c>
      <c r="Y58" s="7">
        <f t="shared" si="6"/>
        <v>2.4676923967732023</v>
      </c>
      <c r="Z58" s="7">
        <f t="shared" si="7"/>
        <v>0.15605491442706573</v>
      </c>
      <c r="AA58" s="7">
        <f t="shared" si="8"/>
        <v>1.0901555666515814</v>
      </c>
      <c r="AB58" s="7">
        <f t="shared" si="9"/>
        <v>1.4269112130217538</v>
      </c>
      <c r="AC58" s="161">
        <f>main!T65</f>
        <v>42984</v>
      </c>
      <c r="AD58" s="161">
        <f>main!U65</f>
        <v>43000</v>
      </c>
      <c r="AE58" s="161">
        <f>main!V65</f>
        <v>42992</v>
      </c>
      <c r="AF58" s="623">
        <f>main!H65</f>
        <v>16</v>
      </c>
      <c r="AG58" s="7">
        <f t="shared" si="10"/>
        <v>0.66703171865170696</v>
      </c>
      <c r="AH58" s="7">
        <f t="shared" si="11"/>
        <v>0.20546980822424665</v>
      </c>
      <c r="AI58" s="7">
        <f t="shared" si="12"/>
        <v>1.1138823299576427E-2</v>
      </c>
      <c r="AJ58" s="7">
        <f t="shared" si="13"/>
        <v>9.0770655008458073E-2</v>
      </c>
      <c r="AK58" s="7">
        <f t="shared" si="14"/>
        <v>0.11469915321578862</v>
      </c>
      <c r="AL58" s="7">
        <f t="shared" si="15"/>
        <v>2.3746234199063972E-2</v>
      </c>
      <c r="AM58" s="384"/>
      <c r="AN58" s="7"/>
      <c r="AO58" s="7">
        <f t="shared" si="16"/>
        <v>205.46980822424666</v>
      </c>
      <c r="AP58" s="7">
        <v>3</v>
      </c>
      <c r="AQ58" s="7">
        <f t="shared" si="19"/>
        <v>11.138823299576426</v>
      </c>
      <c r="AR58" s="7">
        <v>3</v>
      </c>
      <c r="AS58" s="7">
        <f t="shared" si="20"/>
        <v>90.770655008458078</v>
      </c>
      <c r="AT58" s="7">
        <v>3</v>
      </c>
      <c r="AU58" s="7">
        <f t="shared" si="21"/>
        <v>114.69915321578863</v>
      </c>
      <c r="AV58" s="7">
        <v>1</v>
      </c>
      <c r="AW58" s="7">
        <f t="shared" si="22"/>
        <v>23.74623419906397</v>
      </c>
      <c r="AX58" s="7">
        <v>1</v>
      </c>
      <c r="AY58" s="7">
        <f t="shared" si="17"/>
        <v>8.1490344686507239</v>
      </c>
      <c r="AZ58" s="493">
        <f t="shared" si="18"/>
        <v>10.297241470753043</v>
      </c>
      <c r="BA58" s="623">
        <f>main!R65</f>
        <v>37.17</v>
      </c>
      <c r="BB58" s="492">
        <v>1</v>
      </c>
      <c r="BC58" s="623">
        <f>main!S65</f>
        <v>8.6029999999999998</v>
      </c>
      <c r="BD58" s="647">
        <v>1</v>
      </c>
    </row>
    <row r="59" spans="1:56">
      <c r="A59" s="623">
        <v>2017</v>
      </c>
      <c r="B59" s="623" t="s">
        <v>1776</v>
      </c>
      <c r="C59" s="623">
        <v>12</v>
      </c>
      <c r="D59" s="623" t="str">
        <f>main!$B$54</f>
        <v>McLane-PARFLUX-Mark78H-21 ; 10705, A250x21</v>
      </c>
      <c r="E59" s="623">
        <v>3800</v>
      </c>
      <c r="F59" s="634">
        <v>1</v>
      </c>
      <c r="G59" s="68">
        <f>main!E66</f>
        <v>470.35714285714283</v>
      </c>
      <c r="H59" s="7">
        <f>main!I66</f>
        <v>58.794642857142854</v>
      </c>
      <c r="I59" s="7">
        <f>main!J66</f>
        <v>21.474743303571429</v>
      </c>
      <c r="J59" s="7">
        <v>1</v>
      </c>
      <c r="K59" s="7">
        <f>main!AF66</f>
        <v>67.204531807899073</v>
      </c>
      <c r="L59" s="7">
        <f>main!AG66</f>
        <v>8.0642564312898877</v>
      </c>
      <c r="M59" s="370">
        <v>2</v>
      </c>
      <c r="N59" s="7">
        <f>main!M66</f>
        <v>15.105032920837402</v>
      </c>
      <c r="O59" s="370">
        <v>2</v>
      </c>
      <c r="P59" s="7">
        <f>main!O66</f>
        <v>0.99744933843612671</v>
      </c>
      <c r="Q59" s="7">
        <v>3</v>
      </c>
      <c r="R59" s="7">
        <f>main!AH66</f>
        <v>7.0407764895475147</v>
      </c>
      <c r="S59" s="370">
        <v>2</v>
      </c>
      <c r="T59" s="7">
        <f>main!AB66</f>
        <v>3.8763983214354618</v>
      </c>
      <c r="U59" s="7">
        <v>1</v>
      </c>
      <c r="V59" s="7">
        <f>main!AC66</f>
        <v>8.292373625313525</v>
      </c>
      <c r="W59" s="7">
        <f t="shared" si="4"/>
        <v>14.432000694113338</v>
      </c>
      <c r="X59" s="7">
        <f t="shared" si="5"/>
        <v>1.7317783679612535</v>
      </c>
      <c r="Y59" s="7">
        <f t="shared" si="6"/>
        <v>3.2437670456697898</v>
      </c>
      <c r="Z59" s="7">
        <f t="shared" si="7"/>
        <v>0.21419968501232967</v>
      </c>
      <c r="AA59" s="7">
        <f t="shared" si="8"/>
        <v>1.5119886777085365</v>
      </c>
      <c r="AB59" s="7">
        <f t="shared" si="9"/>
        <v>1.7807659498091395</v>
      </c>
      <c r="AC59" s="161">
        <f>main!T66</f>
        <v>43000</v>
      </c>
      <c r="AD59" s="161">
        <f>main!U66</f>
        <v>43016</v>
      </c>
      <c r="AE59" s="161">
        <f>main!V66</f>
        <v>43008</v>
      </c>
      <c r="AF59" s="623">
        <f>main!H66</f>
        <v>16</v>
      </c>
      <c r="AG59" s="7">
        <f t="shared" si="10"/>
        <v>0.83244658895221713</v>
      </c>
      <c r="AH59" s="7">
        <f t="shared" si="11"/>
        <v>0.27008884643378767</v>
      </c>
      <c r="AI59" s="7">
        <f t="shared" si="12"/>
        <v>1.5289056746062075E-2</v>
      </c>
      <c r="AJ59" s="7">
        <f t="shared" si="13"/>
        <v>0.12589414468847099</v>
      </c>
      <c r="AK59" s="7">
        <f t="shared" si="14"/>
        <v>0.14419470174531671</v>
      </c>
      <c r="AL59" s="7">
        <f t="shared" si="15"/>
        <v>2.9634980026778824E-2</v>
      </c>
      <c r="AM59" s="384"/>
      <c r="AN59" s="7"/>
      <c r="AO59" s="7">
        <f t="shared" si="16"/>
        <v>270.08884643378769</v>
      </c>
      <c r="AP59" s="7">
        <v>2</v>
      </c>
      <c r="AQ59" s="7">
        <f t="shared" si="19"/>
        <v>15.289056746062075</v>
      </c>
      <c r="AR59" s="7">
        <v>3</v>
      </c>
      <c r="AS59" s="7">
        <f t="shared" si="20"/>
        <v>125.89414468847099</v>
      </c>
      <c r="AT59" s="7">
        <v>2</v>
      </c>
      <c r="AU59" s="7">
        <f t="shared" si="21"/>
        <v>144.19470174531671</v>
      </c>
      <c r="AV59" s="7">
        <v>2</v>
      </c>
      <c r="AW59" s="7">
        <f t="shared" si="22"/>
        <v>29.634980026778823</v>
      </c>
      <c r="AX59" s="7">
        <v>1</v>
      </c>
      <c r="AY59" s="7">
        <f t="shared" si="17"/>
        <v>8.2342649896238314</v>
      </c>
      <c r="AZ59" s="493">
        <f t="shared" si="18"/>
        <v>9.4312359578661518</v>
      </c>
      <c r="BA59" s="623">
        <f>main!R66</f>
        <v>37.08</v>
      </c>
      <c r="BB59" s="492">
        <v>1</v>
      </c>
      <c r="BC59" s="623">
        <f>main!S66</f>
        <v>8.5749999999999993</v>
      </c>
      <c r="BD59" s="647">
        <v>1</v>
      </c>
    </row>
    <row r="60" spans="1:56">
      <c r="A60" s="623">
        <v>2017</v>
      </c>
      <c r="B60" s="623" t="s">
        <v>1776</v>
      </c>
      <c r="C60" s="623">
        <v>13</v>
      </c>
      <c r="D60" s="623" t="str">
        <f>main!$B$54</f>
        <v>McLane-PARFLUX-Mark78H-21 ; 10705, A250x21</v>
      </c>
      <c r="E60" s="623">
        <v>3800</v>
      </c>
      <c r="F60" s="634">
        <v>1</v>
      </c>
      <c r="G60" s="68">
        <f>main!E67</f>
        <v>439.5428571428572</v>
      </c>
      <c r="H60" s="7">
        <f>main!I67</f>
        <v>54.94285714285715</v>
      </c>
      <c r="I60" s="7">
        <f>main!J67</f>
        <v>20.067878571428576</v>
      </c>
      <c r="J60" s="7">
        <v>1</v>
      </c>
      <c r="K60" s="7">
        <f>main!AF67</f>
        <v>70.42269473031817</v>
      </c>
      <c r="L60" s="7">
        <f>main!AG67</f>
        <v>8.4504222202018564</v>
      </c>
      <c r="M60" s="370">
        <v>1</v>
      </c>
      <c r="N60" s="7">
        <f>main!M67</f>
        <v>14.010642051696777</v>
      </c>
      <c r="O60" s="370">
        <v>3</v>
      </c>
      <c r="P60" s="7">
        <f>main!O67</f>
        <v>0.77720421552658081</v>
      </c>
      <c r="Q60" s="7">
        <v>3</v>
      </c>
      <c r="R60" s="7">
        <f>main!AH67</f>
        <v>5.5602198314949209</v>
      </c>
      <c r="S60" s="370">
        <v>3</v>
      </c>
      <c r="T60" s="7">
        <f>main!AB67</f>
        <v>3.7150514028699928</v>
      </c>
      <c r="U60" s="7">
        <v>1</v>
      </c>
      <c r="V60" s="7">
        <f>main!AC67</f>
        <v>7.9472210323409707</v>
      </c>
      <c r="W60" s="7">
        <f t="shared" si="4"/>
        <v>14.13234086520808</v>
      </c>
      <c r="X60" s="7">
        <f t="shared" si="5"/>
        <v>1.6958204699231272</v>
      </c>
      <c r="Y60" s="7">
        <f t="shared" si="6"/>
        <v>2.8116386340120187</v>
      </c>
      <c r="Z60" s="7">
        <f t="shared" si="7"/>
        <v>0.15596839822389827</v>
      </c>
      <c r="AA60" s="7">
        <f t="shared" si="8"/>
        <v>1.1158181640888913</v>
      </c>
      <c r="AB60" s="7">
        <f t="shared" si="9"/>
        <v>1.5948386665732184</v>
      </c>
      <c r="AC60" s="161">
        <f>main!T67</f>
        <v>43016</v>
      </c>
      <c r="AD60" s="161">
        <f>main!U67</f>
        <v>43032</v>
      </c>
      <c r="AE60" s="161">
        <f>main!V67</f>
        <v>43024</v>
      </c>
      <c r="AF60" s="623">
        <f>main!H67</f>
        <v>16</v>
      </c>
      <c r="AG60" s="7">
        <f t="shared" si="10"/>
        <v>0.74553200439410394</v>
      </c>
      <c r="AH60" s="7">
        <f t="shared" si="11"/>
        <v>0.23410812939317391</v>
      </c>
      <c r="AI60" s="7">
        <f t="shared" si="12"/>
        <v>1.1132647981720076E-2</v>
      </c>
      <c r="AJ60" s="7">
        <f t="shared" si="13"/>
        <v>9.2907424153945997E-2</v>
      </c>
      <c r="AK60" s="7">
        <f t="shared" si="14"/>
        <v>0.14120070523922792</v>
      </c>
      <c r="AL60" s="7">
        <f t="shared" si="15"/>
        <v>2.654083319309733E-2</v>
      </c>
      <c r="AM60" s="384"/>
      <c r="AN60" s="7"/>
      <c r="AO60" s="7">
        <f t="shared" si="16"/>
        <v>234.1081293931739</v>
      </c>
      <c r="AP60" s="7">
        <v>3</v>
      </c>
      <c r="AQ60" s="7">
        <f t="shared" si="19"/>
        <v>11.132647981720076</v>
      </c>
      <c r="AR60" s="7">
        <v>3</v>
      </c>
      <c r="AS60" s="7">
        <f t="shared" si="20"/>
        <v>92.907424153945996</v>
      </c>
      <c r="AT60" s="7">
        <v>3</v>
      </c>
      <c r="AU60" s="7">
        <f t="shared" si="21"/>
        <v>141.20070523922791</v>
      </c>
      <c r="AV60" s="7">
        <v>1</v>
      </c>
      <c r="AW60" s="7">
        <f t="shared" si="22"/>
        <v>26.540833193097331</v>
      </c>
      <c r="AX60" s="7">
        <v>1</v>
      </c>
      <c r="AY60" s="7">
        <f t="shared" si="17"/>
        <v>8.3454919536215417</v>
      </c>
      <c r="AZ60" s="493">
        <f t="shared" si="18"/>
        <v>12.683478851669516</v>
      </c>
      <c r="BA60" s="623">
        <f>main!R67</f>
        <v>37.39</v>
      </c>
      <c r="BB60" s="492">
        <v>1</v>
      </c>
      <c r="BC60" s="623">
        <f>main!S67</f>
        <v>8.6270000000000007</v>
      </c>
      <c r="BD60" s="647">
        <v>1</v>
      </c>
    </row>
    <row r="61" spans="1:56">
      <c r="A61" s="623">
        <v>2017</v>
      </c>
      <c r="B61" s="623" t="s">
        <v>1776</v>
      </c>
      <c r="C61" s="623">
        <v>14</v>
      </c>
      <c r="D61" s="623" t="str">
        <f>main!$B$54</f>
        <v>McLane-PARFLUX-Mark78H-21 ; 10705, A250x21</v>
      </c>
      <c r="E61" s="623">
        <v>3800</v>
      </c>
      <c r="F61" s="634">
        <v>1</v>
      </c>
      <c r="G61" s="68">
        <f>main!E68</f>
        <v>630.97142857142853</v>
      </c>
      <c r="H61" s="7">
        <f>main!I68</f>
        <v>78.871428571428567</v>
      </c>
      <c r="I61" s="7">
        <f>main!J68</f>
        <v>28.807789285714286</v>
      </c>
      <c r="J61" s="7">
        <v>1</v>
      </c>
      <c r="K61" s="7">
        <f>main!AF68</f>
        <v>72.133338576172264</v>
      </c>
      <c r="L61" s="7">
        <f>main!AG68</f>
        <v>8.6556921665055953</v>
      </c>
      <c r="M61" s="370">
        <v>1</v>
      </c>
      <c r="N61" s="7">
        <f>main!M68</f>
        <v>14.316464424133301</v>
      </c>
      <c r="O61" s="370">
        <v>1</v>
      </c>
      <c r="P61" s="7">
        <f>main!O68</f>
        <v>0.73557496070861816</v>
      </c>
      <c r="Q61" s="7">
        <v>1</v>
      </c>
      <c r="R61" s="7">
        <f>main!AH68</f>
        <v>5.6607722576277055</v>
      </c>
      <c r="S61" s="370">
        <v>1</v>
      </c>
      <c r="T61" s="7">
        <f>main!AB68</f>
        <v>3.2359814482345901</v>
      </c>
      <c r="U61" s="7">
        <v>1</v>
      </c>
      <c r="V61" s="7">
        <f>main!AC68</f>
        <v>6.9223967684021543</v>
      </c>
      <c r="W61" s="7">
        <f t="shared" si="4"/>
        <v>20.780020181774564</v>
      </c>
      <c r="X61" s="7">
        <f t="shared" si="5"/>
        <v>2.4935135605470093</v>
      </c>
      <c r="Y61" s="7">
        <f t="shared" si="6"/>
        <v>4.1242569044685711</v>
      </c>
      <c r="Z61" s="7">
        <f t="shared" si="7"/>
        <v>0.21190288471941437</v>
      </c>
      <c r="AA61" s="7">
        <f t="shared" si="8"/>
        <v>1.6307433439215608</v>
      </c>
      <c r="AB61" s="7">
        <f t="shared" si="9"/>
        <v>1.9941894745623878</v>
      </c>
      <c r="AC61" s="161">
        <f>main!T68</f>
        <v>43032</v>
      </c>
      <c r="AD61" s="161">
        <f>main!U68</f>
        <v>43048</v>
      </c>
      <c r="AE61" s="161">
        <f>main!V68</f>
        <v>43040</v>
      </c>
      <c r="AF61" s="623">
        <f>main!H68</f>
        <v>16</v>
      </c>
      <c r="AG61" s="7">
        <f t="shared" si="10"/>
        <v>0.93221471693222624</v>
      </c>
      <c r="AH61" s="7">
        <f t="shared" si="11"/>
        <v>0.34340190711645058</v>
      </c>
      <c r="AI61" s="7">
        <f t="shared" si="12"/>
        <v>1.5125116682327936E-2</v>
      </c>
      <c r="AJ61" s="7">
        <f t="shared" si="13"/>
        <v>0.13578212688772365</v>
      </c>
      <c r="AK61" s="7">
        <f t="shared" si="14"/>
        <v>0.20761978022872685</v>
      </c>
      <c r="AL61" s="7">
        <f t="shared" si="15"/>
        <v>3.3186711175942553E-2</v>
      </c>
      <c r="AM61" s="384"/>
      <c r="AN61" s="7"/>
      <c r="AO61" s="7">
        <f t="shared" si="16"/>
        <v>343.40190711645056</v>
      </c>
      <c r="AP61" s="7">
        <v>1</v>
      </c>
      <c r="AQ61" s="7">
        <f t="shared" si="19"/>
        <v>15.125116682327937</v>
      </c>
      <c r="AR61" s="7">
        <v>1</v>
      </c>
      <c r="AS61" s="7">
        <f t="shared" si="20"/>
        <v>135.78212688772365</v>
      </c>
      <c r="AT61" s="7">
        <v>1</v>
      </c>
      <c r="AU61" s="7">
        <f t="shared" si="21"/>
        <v>207.61978022872685</v>
      </c>
      <c r="AV61" s="7">
        <v>1</v>
      </c>
      <c r="AW61" s="7">
        <f t="shared" si="22"/>
        <v>33.186711175942555</v>
      </c>
      <c r="AX61" s="7">
        <v>1</v>
      </c>
      <c r="AY61" s="7">
        <f t="shared" si="17"/>
        <v>8.9772614479312001</v>
      </c>
      <c r="AZ61" s="493">
        <f t="shared" si="18"/>
        <v>13.726821722394256</v>
      </c>
      <c r="BA61" s="623">
        <f>main!R68</f>
        <v>37.4</v>
      </c>
      <c r="BB61" s="492">
        <v>1</v>
      </c>
      <c r="BC61" s="623">
        <f>main!S68</f>
        <v>8.5869999999999997</v>
      </c>
      <c r="BD61" s="647">
        <v>1</v>
      </c>
    </row>
    <row r="62" spans="1:56" s="377" customFormat="1">
      <c r="A62" s="377">
        <v>2017</v>
      </c>
      <c r="B62" s="377" t="s">
        <v>1776</v>
      </c>
      <c r="C62" s="377">
        <v>15</v>
      </c>
      <c r="D62" s="377" t="str">
        <f>main!$B$54</f>
        <v>McLane-PARFLUX-Mark78H-21 ; 10705, A250x21</v>
      </c>
      <c r="E62" s="377">
        <v>3800</v>
      </c>
      <c r="F62" s="377">
        <v>1</v>
      </c>
      <c r="G62" s="476">
        <f>main!E69</f>
        <v>1039.5428571428572</v>
      </c>
      <c r="H62" s="384">
        <f>main!I69</f>
        <v>129.94285714285715</v>
      </c>
      <c r="I62" s="384">
        <f>main!J69</f>
        <v>47.461628571428577</v>
      </c>
      <c r="J62" s="384">
        <v>3</v>
      </c>
      <c r="K62" s="384">
        <f>main!AF69</f>
        <v>70.905242771025968</v>
      </c>
      <c r="L62" s="384">
        <f>main!AG69</f>
        <v>8.5083259215743716</v>
      </c>
      <c r="M62" s="384">
        <v>1</v>
      </c>
      <c r="N62" s="384">
        <f>main!M69</f>
        <v>13.89695930480957</v>
      </c>
      <c r="O62" s="384">
        <v>3</v>
      </c>
      <c r="P62" s="384">
        <f>main!O69</f>
        <v>0.68717598915100098</v>
      </c>
      <c r="Q62" s="384">
        <v>1</v>
      </c>
      <c r="R62" s="384">
        <f>main!AH69</f>
        <v>5.3886333832351987</v>
      </c>
      <c r="S62" s="384">
        <v>3</v>
      </c>
      <c r="T62" s="384">
        <f>main!AB69</f>
        <v>4.4518393939393945</v>
      </c>
      <c r="U62" s="384">
        <v>1</v>
      </c>
      <c r="V62" s="384">
        <f>main!AC69</f>
        <v>9.5233545454545467</v>
      </c>
      <c r="W62" s="384">
        <f t="shared" si="4"/>
        <v>33.652782961654054</v>
      </c>
      <c r="X62" s="384">
        <f t="shared" si="5"/>
        <v>4.038190046544206</v>
      </c>
      <c r="Y62" s="384">
        <f t="shared" si="6"/>
        <v>6.5957232079713011</v>
      </c>
      <c r="Z62" s="384">
        <f t="shared" si="7"/>
        <v>0.32614491560288844</v>
      </c>
      <c r="AA62" s="384">
        <f t="shared" si="8"/>
        <v>2.5575331614270955</v>
      </c>
      <c r="AB62" s="384">
        <f t="shared" si="9"/>
        <v>4.5199391619038973</v>
      </c>
      <c r="AC62" s="462">
        <f>main!T69</f>
        <v>43048</v>
      </c>
      <c r="AD62" s="462">
        <f>main!U69</f>
        <v>43064</v>
      </c>
      <c r="AE62" s="462">
        <f>main!V69</f>
        <v>43056</v>
      </c>
      <c r="AF62" s="377">
        <f>main!H69</f>
        <v>16</v>
      </c>
      <c r="AG62" s="384">
        <f t="shared" si="10"/>
        <v>2.1129154777480528</v>
      </c>
      <c r="AH62" s="384">
        <f t="shared" si="11"/>
        <v>0.54918594570951718</v>
      </c>
      <c r="AI62" s="384">
        <f t="shared" si="12"/>
        <v>2.3279437230755779E-2</v>
      </c>
      <c r="AJ62" s="384">
        <f t="shared" si="13"/>
        <v>0.21295030486487057</v>
      </c>
      <c r="AK62" s="384">
        <f t="shared" si="14"/>
        <v>0.33623564084464663</v>
      </c>
      <c r="AL62" s="384">
        <f t="shared" si="15"/>
        <v>7.5219490129870156E-2</v>
      </c>
      <c r="AM62" s="384"/>
      <c r="AN62" s="384"/>
      <c r="AO62" s="384">
        <f t="shared" si="16"/>
        <v>549.18594570951723</v>
      </c>
      <c r="AP62" s="384">
        <v>3</v>
      </c>
      <c r="AQ62" s="384">
        <f t="shared" si="19"/>
        <v>23.279437230755779</v>
      </c>
      <c r="AR62" s="384">
        <v>3</v>
      </c>
      <c r="AS62" s="384">
        <f t="shared" si="20"/>
        <v>212.95030486487056</v>
      </c>
      <c r="AT62" s="384">
        <v>3</v>
      </c>
      <c r="AU62" s="384">
        <f t="shared" si="21"/>
        <v>336.23564084464664</v>
      </c>
      <c r="AV62" s="384">
        <v>3</v>
      </c>
      <c r="AW62" s="384">
        <f t="shared" si="22"/>
        <v>75.219490129870152</v>
      </c>
      <c r="AX62" s="384">
        <v>3</v>
      </c>
      <c r="AY62" s="384">
        <f t="shared" si="17"/>
        <v>9.147570998130913</v>
      </c>
      <c r="AZ62" s="643">
        <f t="shared" si="18"/>
        <v>14.443460875438465</v>
      </c>
      <c r="BA62" s="377">
        <f>main!R69</f>
        <v>37.340000000000003</v>
      </c>
      <c r="BB62" s="492">
        <v>1</v>
      </c>
      <c r="BC62" s="377">
        <f>main!S69</f>
        <v>8.4830000000000005</v>
      </c>
      <c r="BD62" s="647">
        <v>1</v>
      </c>
    </row>
    <row r="63" spans="1:56" s="181" customFormat="1">
      <c r="A63" s="181">
        <v>2017</v>
      </c>
      <c r="B63" s="181" t="s">
        <v>1776</v>
      </c>
      <c r="C63" s="181">
        <v>16</v>
      </c>
      <c r="D63" s="181" t="str">
        <f>main!$B$54</f>
        <v>McLane-PARFLUX-Mark78H-21 ; 10705, A250x21</v>
      </c>
      <c r="E63" s="181">
        <v>3800</v>
      </c>
      <c r="F63" s="634">
        <v>1</v>
      </c>
      <c r="G63" s="467">
        <f>main!E70</f>
        <v>1515.7285714285715</v>
      </c>
      <c r="H63" s="468">
        <f>main!I70</f>
        <v>189.46607142857144</v>
      </c>
      <c r="I63" s="468">
        <f>main!J70</f>
        <v>69.202482589285722</v>
      </c>
      <c r="J63" s="468">
        <v>3</v>
      </c>
      <c r="K63" s="468">
        <f>main!AF70</f>
        <v>62.701261210272605</v>
      </c>
      <c r="L63" s="468">
        <f>main!AG70</f>
        <v>7.523883216838307</v>
      </c>
      <c r="M63" s="370">
        <v>1</v>
      </c>
      <c r="N63" s="468">
        <f>main!M70</f>
        <v>13.75196361541748</v>
      </c>
      <c r="O63" s="370">
        <v>1</v>
      </c>
      <c r="P63" s="468">
        <f>main!O70</f>
        <v>0.80116128921508789</v>
      </c>
      <c r="Q63" s="468">
        <v>1</v>
      </c>
      <c r="R63" s="468">
        <f>main!AH70</f>
        <v>6.2280803985791735</v>
      </c>
      <c r="S63" s="370">
        <v>1</v>
      </c>
      <c r="T63" s="468">
        <f>main!AB70</f>
        <v>7.219189339306527</v>
      </c>
      <c r="U63" s="468">
        <v>1</v>
      </c>
      <c r="V63" s="468">
        <f>main!AC70</f>
        <v>15.443256938374125</v>
      </c>
      <c r="W63" s="471">
        <f t="shared" si="4"/>
        <v>43.390829372301461</v>
      </c>
      <c r="X63" s="471">
        <f t="shared" si="5"/>
        <v>5.2067139731707197</v>
      </c>
      <c r="Y63" s="468">
        <f t="shared" si="6"/>
        <v>9.5167002266441898</v>
      </c>
      <c r="Z63" s="468">
        <f t="shared" si="7"/>
        <v>0.55442350168116827</v>
      </c>
      <c r="AA63" s="468">
        <f t="shared" si="8"/>
        <v>4.3099862534734692</v>
      </c>
      <c r="AB63" s="468">
        <f t="shared" si="9"/>
        <v>10.687117193997013</v>
      </c>
      <c r="AC63" s="469">
        <f>main!T70</f>
        <v>43064</v>
      </c>
      <c r="AD63" s="469">
        <f>main!U70</f>
        <v>43080</v>
      </c>
      <c r="AE63" s="469">
        <f>main!V70</f>
        <v>43072</v>
      </c>
      <c r="AF63" s="181">
        <f>main!H70</f>
        <v>16</v>
      </c>
      <c r="AG63" s="468">
        <f t="shared" si="10"/>
        <v>4.9958582456211698</v>
      </c>
      <c r="AH63" s="468">
        <f t="shared" si="11"/>
        <v>0.79239802053656871</v>
      </c>
      <c r="AI63" s="468">
        <f t="shared" si="12"/>
        <v>3.9573411968677252E-2</v>
      </c>
      <c r="AJ63" s="468">
        <f t="shared" si="13"/>
        <v>0.3588664657346769</v>
      </c>
      <c r="AK63" s="468">
        <f t="shared" si="14"/>
        <v>0.43353155480189176</v>
      </c>
      <c r="AL63" s="468">
        <f t="shared" si="15"/>
        <v>0.1778518421367451</v>
      </c>
      <c r="AM63" s="384"/>
      <c r="AN63" s="468"/>
      <c r="AO63" s="468">
        <f t="shared" si="16"/>
        <v>792.39802053656877</v>
      </c>
      <c r="AP63" s="468">
        <v>3</v>
      </c>
      <c r="AQ63" s="468">
        <f t="shared" si="19"/>
        <v>39.573411968677249</v>
      </c>
      <c r="AR63" s="468">
        <v>3</v>
      </c>
      <c r="AS63" s="468">
        <f t="shared" si="20"/>
        <v>358.86646573467692</v>
      </c>
      <c r="AT63" s="468">
        <v>3</v>
      </c>
      <c r="AU63" s="468">
        <f t="shared" si="21"/>
        <v>433.53155480189179</v>
      </c>
      <c r="AV63" s="468">
        <v>3</v>
      </c>
      <c r="AW63" s="468">
        <f t="shared" si="22"/>
        <v>177.85184213674509</v>
      </c>
      <c r="AX63" s="468">
        <v>3</v>
      </c>
      <c r="AY63" s="7">
        <f t="shared" si="17"/>
        <v>9.0683731293809924</v>
      </c>
      <c r="AZ63" s="493">
        <f t="shared" si="18"/>
        <v>10.955121967876723</v>
      </c>
      <c r="BA63" s="623">
        <f>main!R70</f>
        <v>36.659999999999997</v>
      </c>
      <c r="BB63" s="492">
        <v>1</v>
      </c>
      <c r="BC63" s="623">
        <f>main!S70</f>
        <v>8.4580000000000002</v>
      </c>
      <c r="BD63" s="647">
        <v>1</v>
      </c>
    </row>
    <row r="64" spans="1:56">
      <c r="A64" s="623">
        <v>2017</v>
      </c>
      <c r="B64" s="623" t="s">
        <v>1776</v>
      </c>
      <c r="C64" s="623">
        <v>17</v>
      </c>
      <c r="D64" s="623" t="str">
        <f>main!$B$54</f>
        <v>McLane-PARFLUX-Mark78H-21 ; 10705, A250x21</v>
      </c>
      <c r="E64" s="623">
        <v>3800</v>
      </c>
      <c r="F64" s="634">
        <v>1</v>
      </c>
      <c r="G64" s="68">
        <f>main!E71</f>
        <v>1232.757142857143</v>
      </c>
      <c r="H64" s="7">
        <f>main!I71</f>
        <v>154.09464285714287</v>
      </c>
      <c r="I64" s="7">
        <f>main!J71</f>
        <v>56.28306830357144</v>
      </c>
      <c r="J64" s="7">
        <v>1</v>
      </c>
      <c r="K64" s="7">
        <f>main!AF71</f>
        <v>57.257432179076496</v>
      </c>
      <c r="L64" s="7">
        <f>main!AG71</f>
        <v>6.870647012453265</v>
      </c>
      <c r="M64" s="370">
        <v>1</v>
      </c>
      <c r="N64" s="7">
        <f>main!M71</f>
        <v>14.60549259185791</v>
      </c>
      <c r="O64" s="370">
        <v>1</v>
      </c>
      <c r="P64" s="7">
        <f>main!O71</f>
        <v>0.9976387619972229</v>
      </c>
      <c r="Q64" s="7">
        <v>1</v>
      </c>
      <c r="R64" s="7">
        <f>main!AH71</f>
        <v>7.7348455794046451</v>
      </c>
      <c r="S64" s="370">
        <v>1</v>
      </c>
      <c r="T64" s="7">
        <f>main!AB71</f>
        <v>7.6515185159077026</v>
      </c>
      <c r="U64" s="7">
        <v>1</v>
      </c>
      <c r="V64" s="7">
        <f>main!AC71</f>
        <v>16.36809354292965</v>
      </c>
      <c r="W64" s="7">
        <f t="shared" si="4"/>
        <v>32.226239662220713</v>
      </c>
      <c r="X64" s="7">
        <f t="shared" si="5"/>
        <v>3.8670109509163617</v>
      </c>
      <c r="Y64" s="7">
        <f t="shared" si="6"/>
        <v>8.2204193715484539</v>
      </c>
      <c r="Z64" s="7">
        <f t="shared" si="7"/>
        <v>0.56150170583780146</v>
      </c>
      <c r="AA64" s="7">
        <f t="shared" si="8"/>
        <v>4.3534084206320927</v>
      </c>
      <c r="AB64" s="7">
        <f t="shared" si="9"/>
        <v>9.2124652687595603</v>
      </c>
      <c r="AC64" s="161">
        <f>main!T71</f>
        <v>43080</v>
      </c>
      <c r="AD64" s="161">
        <f>main!U71</f>
        <v>43096</v>
      </c>
      <c r="AE64" s="161">
        <f>main!V71</f>
        <v>43088</v>
      </c>
      <c r="AF64" s="623">
        <f>main!H71</f>
        <v>16</v>
      </c>
      <c r="AG64" s="7">
        <f t="shared" si="10"/>
        <v>4.3065093925687483</v>
      </c>
      <c r="AH64" s="7">
        <f t="shared" si="11"/>
        <v>0.68446456049529181</v>
      </c>
      <c r="AI64" s="7">
        <f t="shared" si="12"/>
        <v>4.0078637104768125E-2</v>
      </c>
      <c r="AJ64" s="7">
        <f t="shared" si="13"/>
        <v>0.36248196674705185</v>
      </c>
      <c r="AK64" s="7">
        <f t="shared" si="14"/>
        <v>0.32198259374823995</v>
      </c>
      <c r="AL64" s="7">
        <f t="shared" si="15"/>
        <v>0.15331112113096293</v>
      </c>
      <c r="AM64" s="384"/>
      <c r="AN64" s="7"/>
      <c r="AO64" s="7">
        <f t="shared" si="16"/>
        <v>684.46456049529183</v>
      </c>
      <c r="AP64" s="7">
        <v>1</v>
      </c>
      <c r="AQ64" s="7">
        <f t="shared" si="19"/>
        <v>40.078637104768127</v>
      </c>
      <c r="AR64" s="7">
        <v>1</v>
      </c>
      <c r="AS64" s="7">
        <f t="shared" si="20"/>
        <v>362.48196674705184</v>
      </c>
      <c r="AT64" s="7">
        <v>1</v>
      </c>
      <c r="AU64" s="7">
        <f t="shared" si="21"/>
        <v>321.98259374823994</v>
      </c>
      <c r="AV64" s="7">
        <v>1</v>
      </c>
      <c r="AW64" s="7">
        <f t="shared" si="22"/>
        <v>153.31112113096293</v>
      </c>
      <c r="AX64" s="7">
        <v>1</v>
      </c>
      <c r="AY64" s="7">
        <f t="shared" si="17"/>
        <v>9.0442687908648374</v>
      </c>
      <c r="AZ64" s="493">
        <f t="shared" si="18"/>
        <v>8.0337710313491151</v>
      </c>
      <c r="BA64" s="623">
        <f>main!R71</f>
        <v>36.64</v>
      </c>
      <c r="BB64" s="492">
        <v>1</v>
      </c>
      <c r="BC64" s="623">
        <f>main!S71</f>
        <v>8.3999999999999986</v>
      </c>
      <c r="BD64" s="647">
        <v>1</v>
      </c>
    </row>
    <row r="65" spans="1:56">
      <c r="A65" s="623">
        <v>2017</v>
      </c>
      <c r="B65" s="623" t="s">
        <v>1776</v>
      </c>
      <c r="C65" s="623">
        <v>18</v>
      </c>
      <c r="D65" s="623" t="str">
        <f>main!$B$54</f>
        <v>McLane-PARFLUX-Mark78H-21 ; 10705, A250x21</v>
      </c>
      <c r="E65" s="623">
        <v>3800</v>
      </c>
      <c r="F65" s="634">
        <v>1</v>
      </c>
      <c r="G65" s="68">
        <f>main!E72</f>
        <v>956.41428571428582</v>
      </c>
      <c r="H65" s="7">
        <f>main!I72</f>
        <v>119.55178571428573</v>
      </c>
      <c r="I65" s="7">
        <f>main!J72</f>
        <v>43.666289732142864</v>
      </c>
      <c r="J65" s="7">
        <v>1</v>
      </c>
      <c r="K65" s="7">
        <f>main!AF72</f>
        <v>52.593011702261741</v>
      </c>
      <c r="L65" s="7">
        <f>main!AG72</f>
        <v>6.3109365016217263</v>
      </c>
      <c r="M65" s="370">
        <v>1</v>
      </c>
      <c r="N65" s="7">
        <f>main!M72</f>
        <v>14.900846481323242</v>
      </c>
      <c r="O65" s="370">
        <v>2</v>
      </c>
      <c r="P65" s="7">
        <f>main!O72</f>
        <v>1.1548150777816772</v>
      </c>
      <c r="Q65" s="7">
        <v>1</v>
      </c>
      <c r="R65" s="7">
        <f>main!AH72</f>
        <v>8.5899099797015168</v>
      </c>
      <c r="S65" s="370">
        <v>2</v>
      </c>
      <c r="T65" s="7">
        <f>main!AB72</f>
        <v>9.0236397842971563</v>
      </c>
      <c r="U65" s="7">
        <v>1</v>
      </c>
      <c r="V65" s="7">
        <f>main!AC72</f>
        <v>19.303329107811184</v>
      </c>
      <c r="W65" s="7">
        <f t="shared" si="4"/>
        <v>22.965416868769413</v>
      </c>
      <c r="X65" s="7">
        <f t="shared" si="5"/>
        <v>2.755751817609704</v>
      </c>
      <c r="Y65" s="7">
        <f t="shared" si="6"/>
        <v>6.5066467970764226</v>
      </c>
      <c r="Z65" s="7">
        <f t="shared" si="7"/>
        <v>0.50426489773461813</v>
      </c>
      <c r="AA65" s="7">
        <f t="shared" si="8"/>
        <v>3.7508949794667186</v>
      </c>
      <c r="AB65" s="7">
        <f t="shared" si="9"/>
        <v>8.4290476161658994</v>
      </c>
      <c r="AC65" s="161">
        <f>main!T72</f>
        <v>43096</v>
      </c>
      <c r="AD65" s="161">
        <f>main!U72</f>
        <v>43112</v>
      </c>
      <c r="AE65" s="161">
        <f>main!V72</f>
        <v>43104</v>
      </c>
      <c r="AF65" s="623">
        <f>main!H72</f>
        <v>16</v>
      </c>
      <c r="AG65" s="7">
        <f t="shared" si="10"/>
        <v>3.9402886925961078</v>
      </c>
      <c r="AH65" s="7">
        <f t="shared" si="11"/>
        <v>0.54176909217955227</v>
      </c>
      <c r="AI65" s="7">
        <f t="shared" si="12"/>
        <v>3.59932118297372E-2</v>
      </c>
      <c r="AJ65" s="7">
        <f t="shared" si="13"/>
        <v>0.31231431968915224</v>
      </c>
      <c r="AK65" s="7">
        <f t="shared" si="14"/>
        <v>0.2294547724904</v>
      </c>
      <c r="AL65" s="7">
        <f t="shared" si="15"/>
        <v>0.140273716361556</v>
      </c>
      <c r="AM65" s="384"/>
      <c r="AN65" s="7"/>
      <c r="AO65" s="7">
        <f t="shared" si="16"/>
        <v>541.76909217955222</v>
      </c>
      <c r="AP65" s="7">
        <v>2</v>
      </c>
      <c r="AQ65" s="7">
        <f t="shared" si="19"/>
        <v>35.993211829737199</v>
      </c>
      <c r="AR65" s="7">
        <v>1</v>
      </c>
      <c r="AS65" s="7">
        <f t="shared" si="20"/>
        <v>312.31431968915223</v>
      </c>
      <c r="AT65" s="7">
        <v>2</v>
      </c>
      <c r="AU65" s="7">
        <f t="shared" si="21"/>
        <v>229.45477249039999</v>
      </c>
      <c r="AV65" s="7">
        <v>1</v>
      </c>
      <c r="AW65" s="7">
        <f t="shared" si="22"/>
        <v>140.27371636155601</v>
      </c>
      <c r="AX65" s="7">
        <v>1</v>
      </c>
      <c r="AY65" s="7">
        <f t="shared" si="17"/>
        <v>8.6770339131314067</v>
      </c>
      <c r="AZ65" s="493">
        <f t="shared" si="18"/>
        <v>6.3749457418753321</v>
      </c>
      <c r="BA65" s="623">
        <f>main!R72</f>
        <v>36.840000000000003</v>
      </c>
      <c r="BB65" s="492">
        <v>1</v>
      </c>
      <c r="BC65" s="623">
        <f>main!S72</f>
        <v>8.5060000000000002</v>
      </c>
      <c r="BD65" s="647">
        <v>1</v>
      </c>
    </row>
    <row r="66" spans="1:56">
      <c r="A66" s="623">
        <v>2017</v>
      </c>
      <c r="B66" s="623" t="s">
        <v>1776</v>
      </c>
      <c r="C66" s="623">
        <v>19</v>
      </c>
      <c r="D66" s="623" t="str">
        <f>main!$B$54</f>
        <v>McLane-PARFLUX-Mark78H-21 ; 10705, A250x21</v>
      </c>
      <c r="E66" s="623">
        <v>3800</v>
      </c>
      <c r="F66" s="634">
        <v>1</v>
      </c>
      <c r="G66" s="68">
        <f>main!E73</f>
        <v>1134</v>
      </c>
      <c r="H66" s="7">
        <f>main!I73</f>
        <v>141.75</v>
      </c>
      <c r="I66" s="7">
        <f>main!J73</f>
        <v>51.774187500000004</v>
      </c>
      <c r="J66" s="7">
        <v>1</v>
      </c>
      <c r="K66" s="7">
        <f>main!AF73</f>
        <v>57.917395593542253</v>
      </c>
      <c r="L66" s="7">
        <f>main!AG73</f>
        <v>6.9498397999982267</v>
      </c>
      <c r="M66" s="370">
        <v>1</v>
      </c>
      <c r="N66" s="7">
        <f>main!M73</f>
        <v>14.323931694030762</v>
      </c>
      <c r="O66" s="370">
        <v>1</v>
      </c>
      <c r="P66" s="7">
        <f>main!O73</f>
        <v>1.015917181968689</v>
      </c>
      <c r="Q66" s="7">
        <v>1</v>
      </c>
      <c r="R66" s="7">
        <f>main!AH73</f>
        <v>7.3740918940325351</v>
      </c>
      <c r="S66" s="370">
        <v>1</v>
      </c>
      <c r="T66" s="7">
        <f>main!AB73</f>
        <v>8.5199900984893606</v>
      </c>
      <c r="U66" s="7">
        <v>1</v>
      </c>
      <c r="V66" s="7">
        <f>main!AC73</f>
        <v>18.225923994952854</v>
      </c>
      <c r="W66" s="7">
        <f t="shared" si="4"/>
        <v>29.986260989717305</v>
      </c>
      <c r="X66" s="7">
        <f t="shared" si="5"/>
        <v>3.5982230890007072</v>
      </c>
      <c r="Y66" s="7">
        <f t="shared" si="6"/>
        <v>7.4160992526394134</v>
      </c>
      <c r="Z66" s="7">
        <f t="shared" si="7"/>
        <v>0.52598286663718519</v>
      </c>
      <c r="AA66" s="7">
        <f t="shared" si="8"/>
        <v>3.8178761636387062</v>
      </c>
      <c r="AB66" s="7">
        <f t="shared" si="9"/>
        <v>9.4363240627543821</v>
      </c>
      <c r="AC66" s="161">
        <f>main!T73</f>
        <v>43112</v>
      </c>
      <c r="AD66" s="161">
        <f>main!U73</f>
        <v>43128</v>
      </c>
      <c r="AE66" s="161">
        <f>main!V73</f>
        <v>43120</v>
      </c>
      <c r="AF66" s="623">
        <f>main!H73</f>
        <v>16</v>
      </c>
      <c r="AG66" s="7">
        <f t="shared" si="10"/>
        <v>4.4111556485733168</v>
      </c>
      <c r="AH66" s="7">
        <f t="shared" si="11"/>
        <v>0.61749369297580459</v>
      </c>
      <c r="AI66" s="7">
        <f t="shared" si="12"/>
        <v>3.7543388054046049E-2</v>
      </c>
      <c r="AJ66" s="7">
        <f t="shared" si="13"/>
        <v>0.3178914374386933</v>
      </c>
      <c r="AK66" s="7">
        <f t="shared" si="14"/>
        <v>0.29960225553711134</v>
      </c>
      <c r="AL66" s="7">
        <f t="shared" si="15"/>
        <v>0.15703651294315832</v>
      </c>
      <c r="AM66" s="384"/>
      <c r="AN66" s="7"/>
      <c r="AO66" s="7">
        <f t="shared" si="16"/>
        <v>617.49369297580461</v>
      </c>
      <c r="AP66" s="7">
        <v>1</v>
      </c>
      <c r="AQ66" s="7">
        <f t="shared" si="19"/>
        <v>37.543388054046048</v>
      </c>
      <c r="AR66" s="7">
        <v>1</v>
      </c>
      <c r="AS66" s="7">
        <f t="shared" si="20"/>
        <v>317.89143743869329</v>
      </c>
      <c r="AT66" s="7">
        <v>1</v>
      </c>
      <c r="AU66" s="7">
        <f t="shared" si="21"/>
        <v>299.60225553711132</v>
      </c>
      <c r="AV66" s="7">
        <v>1</v>
      </c>
      <c r="AW66" s="7">
        <f t="shared" si="22"/>
        <v>157.03651294315833</v>
      </c>
      <c r="AX66" s="7">
        <v>1</v>
      </c>
      <c r="AY66" s="7">
        <f t="shared" si="17"/>
        <v>8.4673081976796745</v>
      </c>
      <c r="AZ66" s="493">
        <f t="shared" si="18"/>
        <v>7.9801603175988056</v>
      </c>
      <c r="BA66" s="623">
        <f>main!R73</f>
        <v>35.869999999999997</v>
      </c>
      <c r="BB66" s="492">
        <v>1</v>
      </c>
      <c r="BC66" s="623">
        <f>main!S73</f>
        <v>8.4870000000000001</v>
      </c>
      <c r="BD66" s="647">
        <v>1</v>
      </c>
    </row>
    <row r="67" spans="1:56" s="181" customFormat="1">
      <c r="A67" s="181">
        <v>2017</v>
      </c>
      <c r="B67" s="181" t="s">
        <v>1776</v>
      </c>
      <c r="C67" s="181">
        <v>20</v>
      </c>
      <c r="D67" s="181" t="str">
        <f>main!$B$54</f>
        <v>McLane-PARFLUX-Mark78H-21 ; 10705, A250x21</v>
      </c>
      <c r="E67" s="181">
        <v>3800</v>
      </c>
      <c r="F67" s="634">
        <v>1</v>
      </c>
      <c r="G67" s="467">
        <f>main!E74</f>
        <v>2021.5714285714284</v>
      </c>
      <c r="H67" s="468">
        <f>main!I74</f>
        <v>252.69642857142856</v>
      </c>
      <c r="I67" s="468">
        <f>main!J74</f>
        <v>92.297370535714279</v>
      </c>
      <c r="J67" s="468">
        <v>1</v>
      </c>
      <c r="K67" s="468">
        <f>main!AF74</f>
        <v>63.649707192043287</v>
      </c>
      <c r="L67" s="468">
        <f>main!AG74</f>
        <v>7.6376926788264985</v>
      </c>
      <c r="M67" s="370">
        <v>1</v>
      </c>
      <c r="N67" s="468">
        <f>main!M74</f>
        <v>14.189774990081787</v>
      </c>
      <c r="O67" s="370">
        <v>1</v>
      </c>
      <c r="P67" s="468">
        <f>main!O74</f>
        <v>0.92484325170516968</v>
      </c>
      <c r="Q67" s="468">
        <v>1</v>
      </c>
      <c r="R67" s="468">
        <f>main!AH74</f>
        <v>6.5520823112552886</v>
      </c>
      <c r="S67" s="370">
        <v>1</v>
      </c>
      <c r="T67" s="468">
        <f>main!AB74</f>
        <v>6.751974461787106</v>
      </c>
      <c r="U67" s="468">
        <v>1</v>
      </c>
      <c r="V67" s="468">
        <f>main!AC74</f>
        <v>14.443793001380818</v>
      </c>
      <c r="W67" s="471">
        <f t="shared" si="4"/>
        <v>58.747006091937379</v>
      </c>
      <c r="X67" s="471">
        <f t="shared" si="5"/>
        <v>7.0493895121556145</v>
      </c>
      <c r="Y67" s="471">
        <f t="shared" si="6"/>
        <v>13.096789200779902</v>
      </c>
      <c r="Z67" s="471">
        <f t="shared" si="7"/>
        <v>0.85360600290086919</v>
      </c>
      <c r="AA67" s="471">
        <f t="shared" si="8"/>
        <v>6.047399688624286</v>
      </c>
      <c r="AB67" s="471">
        <f t="shared" si="9"/>
        <v>13.331241145896021</v>
      </c>
      <c r="AC67" s="469">
        <f>main!T74</f>
        <v>43128</v>
      </c>
      <c r="AD67" s="469">
        <f>main!U74</f>
        <v>43144</v>
      </c>
      <c r="AE67" s="469">
        <f>main!V74</f>
        <v>43136</v>
      </c>
      <c r="AF67" s="181">
        <f>main!H74</f>
        <v>16</v>
      </c>
      <c r="AG67" s="468">
        <f t="shared" si="10"/>
        <v>6.2318948874724454</v>
      </c>
      <c r="AH67" s="468">
        <f t="shared" si="11"/>
        <v>1.0904903580999086</v>
      </c>
      <c r="AI67" s="468">
        <f t="shared" si="12"/>
        <v>6.0928337109269752E-2</v>
      </c>
      <c r="AJ67" s="468">
        <f t="shared" si="13"/>
        <v>0.50353036541417873</v>
      </c>
      <c r="AK67" s="468">
        <f t="shared" si="14"/>
        <v>0.58695999268572974</v>
      </c>
      <c r="AL67" s="468">
        <f t="shared" si="15"/>
        <v>0.22185457057573676</v>
      </c>
      <c r="AM67" s="384"/>
      <c r="AN67" s="468"/>
      <c r="AO67" s="468">
        <f t="shared" si="16"/>
        <v>1090.4903580999085</v>
      </c>
      <c r="AP67" s="468">
        <v>1</v>
      </c>
      <c r="AQ67" s="468">
        <f t="shared" si="19"/>
        <v>60.928337109269755</v>
      </c>
      <c r="AR67" s="468">
        <v>1</v>
      </c>
      <c r="AS67" s="468">
        <f t="shared" si="20"/>
        <v>503.53036541417873</v>
      </c>
      <c r="AT67" s="468">
        <v>1</v>
      </c>
      <c r="AU67" s="468">
        <f t="shared" si="21"/>
        <v>586.95999268572973</v>
      </c>
      <c r="AV67" s="468">
        <v>1</v>
      </c>
      <c r="AW67" s="468">
        <f t="shared" si="22"/>
        <v>221.85457057573677</v>
      </c>
      <c r="AX67" s="468">
        <v>1</v>
      </c>
      <c r="AY67" s="7">
        <f t="shared" si="17"/>
        <v>8.2643050722218163</v>
      </c>
      <c r="AZ67" s="493">
        <f t="shared" si="18"/>
        <v>9.6336125444071659</v>
      </c>
      <c r="BA67" s="623">
        <f>main!R74</f>
        <v>35.520000000000003</v>
      </c>
      <c r="BB67" s="492">
        <v>1</v>
      </c>
      <c r="BC67" s="623">
        <f>main!S74</f>
        <v>8.3670000000000009</v>
      </c>
      <c r="BD67" s="647">
        <v>1</v>
      </c>
    </row>
    <row r="68" spans="1:56" s="478" customFormat="1">
      <c r="A68" s="478">
        <v>2017</v>
      </c>
      <c r="B68" s="478" t="s">
        <v>1776</v>
      </c>
      <c r="C68" s="478">
        <v>21</v>
      </c>
      <c r="D68" s="478" t="str">
        <f>main!$B$54</f>
        <v>McLane-PARFLUX-Mark78H-21 ; 10705, A250x21</v>
      </c>
      <c r="E68" s="478">
        <v>3800</v>
      </c>
      <c r="F68" s="634">
        <v>1</v>
      </c>
      <c r="G68" s="479">
        <f>main!E75</f>
        <v>592.28571428571433</v>
      </c>
      <c r="H68" s="480">
        <f>main!I75</f>
        <v>74.035714285714292</v>
      </c>
      <c r="I68" s="480">
        <f>main!J75</f>
        <v>27.041544642857147</v>
      </c>
      <c r="J68" s="480">
        <v>1</v>
      </c>
      <c r="K68" s="480">
        <f>main!AF75</f>
        <v>69.230815392121485</v>
      </c>
      <c r="L68" s="480">
        <f>main!AG75</f>
        <v>8.3074017964326909</v>
      </c>
      <c r="M68" s="370">
        <v>1</v>
      </c>
      <c r="N68" s="480">
        <f>main!M75</f>
        <v>12.772136688232422</v>
      </c>
      <c r="O68" s="370">
        <v>1</v>
      </c>
      <c r="P68" s="480">
        <f>main!O75</f>
        <v>0.62740534543991089</v>
      </c>
      <c r="Q68" s="480">
        <v>1</v>
      </c>
      <c r="R68" s="480">
        <f>main!AH75</f>
        <v>4.4647348917997309</v>
      </c>
      <c r="S68" s="370">
        <v>1</v>
      </c>
      <c r="T68" s="480">
        <f>main!AB75</f>
        <v>5.9307156115078881</v>
      </c>
      <c r="U68" s="480">
        <v>1</v>
      </c>
      <c r="V68" s="480">
        <f>main!AC75</f>
        <v>12.686959811160875</v>
      </c>
      <c r="W68" s="480">
        <f t="shared" si="4"/>
        <v>18.721081850874548</v>
      </c>
      <c r="X68" s="480">
        <f t="shared" si="5"/>
        <v>2.2464497654438627</v>
      </c>
      <c r="Y68" s="480">
        <f t="shared" si="6"/>
        <v>3.4537830443951067</v>
      </c>
      <c r="Z68" s="480">
        <f t="shared" si="7"/>
        <v>0.1696600965788056</v>
      </c>
      <c r="AA68" s="480">
        <f t="shared" si="8"/>
        <v>1.2073332789512439</v>
      </c>
      <c r="AB68" s="480">
        <f t="shared" si="9"/>
        <v>3.4307499011564127</v>
      </c>
      <c r="AC68" s="481">
        <f>main!T75</f>
        <v>43144</v>
      </c>
      <c r="AD68" s="481">
        <f>main!U75</f>
        <v>43160</v>
      </c>
      <c r="AE68" s="481">
        <f>main!V75</f>
        <v>43152</v>
      </c>
      <c r="AF68" s="478">
        <f>main!H75</f>
        <v>16</v>
      </c>
      <c r="AG68" s="480">
        <f t="shared" si="10"/>
        <v>1.603757109726804</v>
      </c>
      <c r="AH68" s="480">
        <f t="shared" si="11"/>
        <v>0.28757560736012544</v>
      </c>
      <c r="AI68" s="480">
        <f t="shared" si="12"/>
        <v>1.2109928378215959E-2</v>
      </c>
      <c r="AJ68" s="480">
        <f t="shared" si="13"/>
        <v>0.10052733380110274</v>
      </c>
      <c r="AK68" s="480">
        <f t="shared" si="14"/>
        <v>0.1870482735590227</v>
      </c>
      <c r="AL68" s="480">
        <f t="shared" si="15"/>
        <v>5.7093524732175292E-2</v>
      </c>
      <c r="AM68" s="480"/>
      <c r="AN68" s="480"/>
      <c r="AO68" s="480">
        <f t="shared" si="16"/>
        <v>287.57560736012545</v>
      </c>
      <c r="AP68" s="480">
        <v>1</v>
      </c>
      <c r="AQ68" s="480">
        <f t="shared" si="19"/>
        <v>12.10992837821596</v>
      </c>
      <c r="AR68" s="480">
        <v>1</v>
      </c>
      <c r="AS68" s="480">
        <f t="shared" si="20"/>
        <v>100.52733380110274</v>
      </c>
      <c r="AT68" s="480">
        <v>1</v>
      </c>
      <c r="AU68" s="480">
        <f t="shared" si="21"/>
        <v>187.0482735590227</v>
      </c>
      <c r="AV68" s="480">
        <v>1</v>
      </c>
      <c r="AW68" s="480">
        <f t="shared" si="22"/>
        <v>57.09352473217529</v>
      </c>
      <c r="AX68" s="480">
        <v>1</v>
      </c>
      <c r="AY68" s="7">
        <f t="shared" si="17"/>
        <v>8.3012327291660224</v>
      </c>
      <c r="AZ68" s="493">
        <f t="shared" si="18"/>
        <v>15.445861256743349</v>
      </c>
      <c r="BA68" s="623">
        <f>main!R75</f>
        <v>36.97</v>
      </c>
      <c r="BB68" s="492">
        <v>1</v>
      </c>
      <c r="BC68" s="623">
        <f>main!S75</f>
        <v>8.5549999999999997</v>
      </c>
      <c r="BD68" s="647">
        <v>1</v>
      </c>
    </row>
    <row r="69" spans="1:56" s="558" customFormat="1">
      <c r="I69" s="559"/>
      <c r="J69" s="559"/>
      <c r="K69" s="561"/>
      <c r="L69" s="561"/>
      <c r="M69" s="636"/>
      <c r="O69" s="637"/>
      <c r="P69" s="560"/>
      <c r="Q69" s="560"/>
      <c r="S69" s="637"/>
      <c r="V69" s="575"/>
      <c r="W69" s="561"/>
      <c r="X69" s="561"/>
      <c r="Y69" s="562"/>
      <c r="Z69" s="559"/>
      <c r="AB69" s="561"/>
      <c r="AG69" s="561"/>
      <c r="AH69" s="563"/>
      <c r="AI69" s="559"/>
      <c r="AK69" s="562"/>
      <c r="AL69" s="562"/>
      <c r="AO69" s="561"/>
      <c r="AP69" s="561"/>
      <c r="AQ69" s="559"/>
      <c r="AR69" s="559"/>
      <c r="AU69" s="561"/>
      <c r="AV69" s="561"/>
      <c r="AW69" s="561"/>
      <c r="AX69" s="561"/>
    </row>
    <row r="70" spans="1:56">
      <c r="H70" s="7"/>
      <c r="I70" s="7"/>
      <c r="J70" s="7"/>
      <c r="K70" s="7"/>
      <c r="L70" s="7"/>
      <c r="M70" s="370"/>
      <c r="N70" s="7"/>
      <c r="O70" s="370"/>
      <c r="P70" s="7"/>
      <c r="Q70" s="7"/>
      <c r="R70" s="7"/>
      <c r="S70" s="370"/>
      <c r="T70" s="7"/>
      <c r="U70" s="7"/>
      <c r="W70" s="7"/>
      <c r="X70" s="7"/>
      <c r="Y70" s="7"/>
      <c r="Z70" s="7"/>
      <c r="AA70" s="7"/>
      <c r="AB70" s="7"/>
      <c r="AI70" s="7"/>
      <c r="AJ70" s="7"/>
      <c r="AK70" s="7"/>
      <c r="AL70" s="7"/>
    </row>
    <row r="71" spans="1:56">
      <c r="H71" s="7"/>
      <c r="I71" s="7"/>
      <c r="J71" s="7"/>
      <c r="K71" s="7"/>
      <c r="L71" s="7"/>
      <c r="M71" s="370"/>
      <c r="N71" s="7"/>
      <c r="O71" s="370"/>
      <c r="P71" s="7"/>
      <c r="Q71" s="7"/>
      <c r="R71" s="7"/>
      <c r="S71" s="370"/>
      <c r="T71" s="7"/>
      <c r="U71" s="7"/>
      <c r="W71" s="7"/>
      <c r="X71" s="7"/>
      <c r="Y71" s="7"/>
      <c r="Z71" s="7"/>
      <c r="AA71" s="7"/>
      <c r="AB71" s="7"/>
      <c r="AI71" s="7"/>
      <c r="AJ71" s="7"/>
      <c r="AK71" s="7"/>
      <c r="AL71" s="7"/>
    </row>
    <row r="72" spans="1:56">
      <c r="H72" s="7"/>
      <c r="I72" s="7"/>
      <c r="J72" s="7"/>
      <c r="K72" s="7"/>
      <c r="L72" s="7"/>
      <c r="M72" s="370"/>
      <c r="N72" s="7"/>
      <c r="O72" s="370"/>
      <c r="P72" s="7"/>
      <c r="Q72" s="7"/>
      <c r="R72" s="7"/>
      <c r="S72" s="370"/>
      <c r="T72" s="7"/>
      <c r="U72" s="7"/>
      <c r="W72" s="7"/>
      <c r="X72" s="7"/>
      <c r="Y72" s="7"/>
      <c r="Z72" s="7"/>
      <c r="AA72" s="7"/>
      <c r="AB72" s="7"/>
      <c r="AI72" s="7"/>
      <c r="AJ72" s="7"/>
      <c r="AK72" s="7"/>
      <c r="AL72" s="7"/>
    </row>
    <row r="73" spans="1:56">
      <c r="H73" s="7"/>
      <c r="I73" s="7"/>
      <c r="J73" s="7"/>
      <c r="K73" s="7"/>
      <c r="L73" s="7"/>
      <c r="M73" s="370"/>
      <c r="N73" s="7"/>
      <c r="O73" s="370"/>
      <c r="P73" s="7"/>
      <c r="Q73" s="7"/>
      <c r="R73" s="7"/>
      <c r="S73" s="370"/>
      <c r="T73" s="7"/>
      <c r="U73" s="7"/>
      <c r="W73" s="7"/>
      <c r="X73" s="7"/>
      <c r="Y73" s="7"/>
      <c r="Z73" s="7"/>
      <c r="AA73" s="7"/>
      <c r="AB73" s="7"/>
      <c r="AI73" s="7"/>
      <c r="AJ73" s="7"/>
      <c r="AK73" s="7"/>
      <c r="AL73" s="7"/>
    </row>
    <row r="74" spans="1:56">
      <c r="R74" s="71"/>
      <c r="S74" s="411"/>
    </row>
    <row r="75" spans="1:56">
      <c r="R75" s="7"/>
      <c r="S75" s="370"/>
      <c r="Y75" s="7"/>
      <c r="AA75" s="7"/>
      <c r="AJ75" s="7"/>
      <c r="AK75" s="7"/>
      <c r="AL75" s="7"/>
    </row>
    <row r="76" spans="1:56">
      <c r="L76" s="68"/>
      <c r="M76" s="378"/>
      <c r="N76" s="68"/>
      <c r="O76" s="378"/>
      <c r="P76" s="68"/>
      <c r="Q76" s="68"/>
      <c r="R76" s="68"/>
      <c r="S76" s="378"/>
      <c r="T76" s="68"/>
      <c r="U76" s="68"/>
    </row>
    <row r="77" spans="1:56">
      <c r="K77" s="622"/>
    </row>
    <row r="78" spans="1:56" s="105" customFormat="1">
      <c r="H78" s="489"/>
      <c r="I78" s="490"/>
      <c r="J78" s="626"/>
      <c r="K78" s="491"/>
      <c r="M78" s="133"/>
      <c r="O78" s="133"/>
      <c r="S78" s="133"/>
      <c r="AY78" s="489"/>
    </row>
    <row r="79" spans="1:56">
      <c r="H79" s="7"/>
      <c r="I79" s="483"/>
      <c r="J79" s="627"/>
      <c r="K79" s="484"/>
      <c r="AY79" s="7"/>
    </row>
    <row r="80" spans="1:56">
      <c r="H80" s="7"/>
      <c r="I80" s="483"/>
      <c r="J80" s="627"/>
      <c r="K80" s="484"/>
      <c r="AY80" s="7"/>
    </row>
    <row r="81" spans="9:11">
      <c r="I81" s="485"/>
      <c r="J81" s="628"/>
      <c r="K81" s="486"/>
    </row>
    <row r="82" spans="9:11">
      <c r="I82" s="487"/>
      <c r="J82" s="629"/>
      <c r="K82" s="488"/>
    </row>
  </sheetData>
  <pageMargins left="0.7" right="0.7" top="0.75" bottom="0.75" header="0.3" footer="0.3"/>
  <pageSetup paperSize="9" orientation="portrait" horizontalDpi="4294967292" verticalDpi="4294967292"/>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AJ88"/>
  <sheetViews>
    <sheetView tabSelected="1" zoomScale="80" zoomScaleNormal="80" workbookViewId="0">
      <selection activeCell="B13" sqref="B13"/>
    </sheetView>
  </sheetViews>
  <sheetFormatPr defaultColWidth="8.83203125" defaultRowHeight="15.5"/>
  <cols>
    <col min="1" max="1" width="18.83203125" bestFit="1" customWidth="1"/>
    <col min="2" max="2" width="3.83203125" bestFit="1" customWidth="1"/>
    <col min="3" max="3" width="13" bestFit="1" customWidth="1"/>
    <col min="4" max="4" width="11.5" style="377" bestFit="1" customWidth="1"/>
    <col min="5" max="5" width="51.6640625" bestFit="1" customWidth="1"/>
    <col min="6" max="6" width="30.5" customWidth="1"/>
    <col min="7" max="7" width="14.5" bestFit="1" customWidth="1"/>
    <col min="8" max="8" width="11.83203125" customWidth="1"/>
    <col min="9" max="9" width="11.5" customWidth="1"/>
    <col min="10" max="10" width="11.33203125" customWidth="1"/>
    <col min="11" max="11" width="14.5" customWidth="1"/>
    <col min="12" max="12" width="14.5" bestFit="1" customWidth="1"/>
    <col min="13" max="13" width="53" customWidth="1"/>
    <col min="14" max="14" width="24.83203125" style="647" customWidth="1"/>
    <col min="15" max="15" width="10.83203125" bestFit="1" customWidth="1"/>
    <col min="16" max="16" width="11.83203125" style="566" customWidth="1"/>
    <col min="17" max="17" width="16.6640625" style="566" customWidth="1"/>
    <col min="18" max="18" width="9.1640625" style="566" customWidth="1"/>
    <col min="19" max="20" width="10.83203125" style="566" customWidth="1"/>
    <col min="21" max="21" width="10" style="377" customWidth="1"/>
    <col min="22" max="22" width="26.5" bestFit="1" customWidth="1"/>
    <col min="23" max="23" width="22.6640625" style="647" bestFit="1" customWidth="1"/>
    <col min="24" max="24" width="14" bestFit="1" customWidth="1"/>
    <col min="25" max="25" width="31.33203125" customWidth="1"/>
    <col min="26" max="26" width="23.83203125" style="647" customWidth="1"/>
    <col min="27" max="27" width="14" bestFit="1" customWidth="1"/>
    <col min="28" max="28" width="37.33203125" customWidth="1"/>
    <col min="29" max="29" width="30.83203125" style="647" customWidth="1"/>
    <col min="30" max="30" width="15.33203125" bestFit="1" customWidth="1"/>
    <col min="31" max="31" width="43.83203125" customWidth="1"/>
    <col min="32" max="32" width="25.83203125" style="647" customWidth="1"/>
    <col min="33" max="33" width="14.5" bestFit="1" customWidth="1"/>
    <col min="34" max="34" width="71.83203125" bestFit="1" customWidth="1"/>
    <col min="35" max="35" width="31.5" style="647" customWidth="1"/>
    <col min="36" max="36" width="14.33203125" bestFit="1" customWidth="1"/>
  </cols>
  <sheetData>
    <row r="1" spans="1:36">
      <c r="A1" t="s">
        <v>2196</v>
      </c>
      <c r="B1" t="s">
        <v>2197</v>
      </c>
      <c r="C1" t="s">
        <v>2198</v>
      </c>
      <c r="D1" s="476" t="s">
        <v>2894</v>
      </c>
      <c r="E1" t="s">
        <v>67</v>
      </c>
      <c r="F1" s="319" t="s">
        <v>2199</v>
      </c>
      <c r="G1" s="648" t="s">
        <v>2200</v>
      </c>
      <c r="H1" s="299" t="s">
        <v>2201</v>
      </c>
      <c r="I1" s="320" t="s">
        <v>2202</v>
      </c>
      <c r="J1" s="319" t="s">
        <v>2203</v>
      </c>
      <c r="K1" s="319" t="s">
        <v>2204</v>
      </c>
      <c r="L1" s="78" t="s">
        <v>2205</v>
      </c>
      <c r="M1" s="321" t="s">
        <v>2206</v>
      </c>
      <c r="N1" s="646" t="s">
        <v>2855</v>
      </c>
      <c r="O1" s="322" t="s">
        <v>2207</v>
      </c>
      <c r="P1" s="656" t="s">
        <v>2856</v>
      </c>
      <c r="Q1" s="656" t="s">
        <v>2859</v>
      </c>
      <c r="R1" s="656" t="s">
        <v>2860</v>
      </c>
      <c r="S1" s="656" t="s">
        <v>2861</v>
      </c>
      <c r="T1" s="656" t="s">
        <v>2862</v>
      </c>
      <c r="U1" s="322" t="s">
        <v>2863</v>
      </c>
      <c r="V1" s="645" t="s">
        <v>2866</v>
      </c>
      <c r="W1" s="645" t="s">
        <v>2867</v>
      </c>
      <c r="X1" s="68" t="s">
        <v>2868</v>
      </c>
      <c r="Y1" s="645" t="s">
        <v>2870</v>
      </c>
      <c r="Z1" s="645" t="s">
        <v>2871</v>
      </c>
      <c r="AA1" s="645" t="s">
        <v>2872</v>
      </c>
      <c r="AB1" s="645" t="s">
        <v>2874</v>
      </c>
      <c r="AC1" s="645" t="s">
        <v>2875</v>
      </c>
      <c r="AD1" s="68" t="s">
        <v>2876</v>
      </c>
      <c r="AE1" s="645" t="s">
        <v>2878</v>
      </c>
      <c r="AF1" s="645" t="s">
        <v>2879</v>
      </c>
      <c r="AG1" s="647" t="s">
        <v>2880</v>
      </c>
      <c r="AH1" s="323" t="s">
        <v>2883</v>
      </c>
      <c r="AI1" s="323" t="s">
        <v>2884</v>
      </c>
      <c r="AJ1" s="647" t="s">
        <v>2885</v>
      </c>
    </row>
    <row r="2" spans="1:36">
      <c r="D2" s="476"/>
      <c r="F2" s="319" t="s">
        <v>2208</v>
      </c>
      <c r="G2" s="189"/>
      <c r="H2" s="299"/>
      <c r="I2" s="320"/>
      <c r="J2" s="319"/>
      <c r="K2" s="319"/>
      <c r="L2" s="78"/>
      <c r="M2" s="324"/>
      <c r="N2" s="324"/>
      <c r="O2" s="322"/>
      <c r="P2" s="656"/>
      <c r="Q2" s="656"/>
      <c r="R2" s="564"/>
      <c r="S2" s="564"/>
      <c r="T2" s="564"/>
      <c r="U2" s="539"/>
      <c r="V2" s="326"/>
      <c r="W2" s="326"/>
      <c r="X2" s="78"/>
      <c r="Y2" s="40"/>
      <c r="Z2" s="40"/>
      <c r="AA2" s="40"/>
      <c r="AB2" s="664"/>
      <c r="AC2" s="664"/>
      <c r="AD2" s="78"/>
      <c r="AE2" s="665"/>
      <c r="AF2" s="665"/>
      <c r="AG2" s="40"/>
      <c r="AH2" s="666"/>
      <c r="AI2" s="666"/>
      <c r="AJ2" s="40"/>
    </row>
    <row r="3" spans="1:36">
      <c r="A3" t="s">
        <v>71</v>
      </c>
      <c r="D3" s="630" t="s">
        <v>2893</v>
      </c>
      <c r="F3" s="77" t="s">
        <v>2209</v>
      </c>
      <c r="G3" s="189" t="s">
        <v>2851</v>
      </c>
      <c r="H3" s="299"/>
      <c r="I3" s="320"/>
      <c r="J3" s="319"/>
      <c r="K3" s="319"/>
      <c r="L3" s="78" t="s">
        <v>2852</v>
      </c>
      <c r="M3" s="324" t="s">
        <v>2853</v>
      </c>
      <c r="N3" s="324"/>
      <c r="O3" s="325"/>
      <c r="P3" s="656" t="s">
        <v>2857</v>
      </c>
      <c r="Q3" s="656"/>
      <c r="R3" s="565"/>
      <c r="S3" s="660" t="s">
        <v>2864</v>
      </c>
      <c r="U3" s="540"/>
      <c r="V3" s="326" t="s">
        <v>2869</v>
      </c>
      <c r="W3" s="326"/>
      <c r="X3" s="661"/>
      <c r="Y3" s="663" t="s">
        <v>2873</v>
      </c>
      <c r="Z3" s="663"/>
      <c r="AA3" s="326"/>
      <c r="AB3" s="326" t="s">
        <v>2877</v>
      </c>
      <c r="AC3" s="326"/>
      <c r="AD3" s="661"/>
      <c r="AE3" s="326" t="s">
        <v>2881</v>
      </c>
      <c r="AF3" s="326"/>
      <c r="AG3" s="326"/>
      <c r="AH3" s="326" t="s">
        <v>2886</v>
      </c>
      <c r="AI3" s="326"/>
      <c r="AJ3" s="326"/>
    </row>
    <row r="4" spans="1:36">
      <c r="A4" s="77" t="s">
        <v>2896</v>
      </c>
      <c r="C4" t="s">
        <v>2194</v>
      </c>
      <c r="D4" s="477" t="s">
        <v>2192</v>
      </c>
      <c r="F4" s="77" t="s">
        <v>2210</v>
      </c>
      <c r="G4" s="189" t="s">
        <v>2211</v>
      </c>
      <c r="H4" s="299"/>
      <c r="I4" s="320" t="s">
        <v>2212</v>
      </c>
      <c r="J4" s="319" t="s">
        <v>2212</v>
      </c>
      <c r="K4" s="319" t="s">
        <v>2212</v>
      </c>
      <c r="L4" s="78" t="s">
        <v>2213</v>
      </c>
      <c r="M4" s="324" t="s">
        <v>2854</v>
      </c>
      <c r="N4" s="324" t="s">
        <v>2854</v>
      </c>
      <c r="O4" s="325"/>
      <c r="P4" s="667" t="s">
        <v>2888</v>
      </c>
      <c r="Q4" s="667" t="s">
        <v>2888</v>
      </c>
      <c r="R4" s="565"/>
      <c r="S4" s="667" t="s">
        <v>2888</v>
      </c>
      <c r="T4" s="668" t="s">
        <v>2888</v>
      </c>
      <c r="U4" s="540"/>
      <c r="V4" s="324" t="s">
        <v>2854</v>
      </c>
      <c r="W4" s="324" t="s">
        <v>2854</v>
      </c>
      <c r="X4" s="661"/>
      <c r="Y4" s="324" t="s">
        <v>2854</v>
      </c>
      <c r="Z4" s="324" t="s">
        <v>2854</v>
      </c>
      <c r="AA4" s="326"/>
      <c r="AB4" s="324" t="s">
        <v>2854</v>
      </c>
      <c r="AC4" s="324" t="s">
        <v>2854</v>
      </c>
      <c r="AD4" s="661"/>
      <c r="AE4" s="324" t="s">
        <v>2854</v>
      </c>
      <c r="AF4" s="324" t="s">
        <v>2854</v>
      </c>
      <c r="AG4" s="326"/>
      <c r="AH4" s="324" t="s">
        <v>2854</v>
      </c>
      <c r="AI4" s="324" t="s">
        <v>2854</v>
      </c>
      <c r="AJ4" s="326"/>
    </row>
    <row r="5" spans="1:36" s="669" customFormat="1">
      <c r="A5" s="77"/>
      <c r="F5" s="653" t="s">
        <v>2850</v>
      </c>
      <c r="G5" s="189"/>
      <c r="H5" s="670"/>
      <c r="I5" s="320"/>
      <c r="J5" s="319"/>
      <c r="K5" s="319"/>
      <c r="L5" s="78"/>
      <c r="M5" s="655">
        <v>5.9999999999999995E-4</v>
      </c>
      <c r="N5" s="655"/>
      <c r="O5" s="327"/>
      <c r="P5" s="657">
        <v>2.1999999999999999E-2</v>
      </c>
      <c r="Q5" s="657"/>
      <c r="R5" s="541"/>
      <c r="S5" s="657">
        <v>2.9000000000000001E-2</v>
      </c>
      <c r="T5" s="541"/>
      <c r="U5" s="520"/>
      <c r="V5" s="662">
        <v>2.1000000000000001E-2</v>
      </c>
      <c r="W5" s="662"/>
      <c r="X5" s="662"/>
      <c r="Y5" s="662">
        <v>3.7999999999999999E-2</v>
      </c>
      <c r="Z5" s="662"/>
      <c r="AA5" s="662"/>
      <c r="AB5" s="662">
        <v>2.8000000000000001E-2</v>
      </c>
      <c r="AC5" s="662"/>
      <c r="AD5" s="326"/>
      <c r="AE5" s="662">
        <v>1.9E-2</v>
      </c>
      <c r="AF5" s="662"/>
      <c r="AG5" s="661"/>
      <c r="AH5" s="662">
        <v>4.9000000000000002E-2</v>
      </c>
      <c r="AI5" s="662"/>
      <c r="AJ5" s="660"/>
    </row>
    <row r="6" spans="1:36">
      <c r="D6" s="377">
        <v>3</v>
      </c>
      <c r="F6" t="s">
        <v>2892</v>
      </c>
      <c r="G6" s="299"/>
      <c r="H6" s="299"/>
      <c r="I6" s="319"/>
      <c r="J6" s="319"/>
      <c r="K6" s="319"/>
    </row>
    <row r="7" spans="1:36">
      <c r="C7" t="s">
        <v>2180</v>
      </c>
      <c r="D7" s="671" t="s">
        <v>2190</v>
      </c>
      <c r="F7" s="77" t="s">
        <v>2214</v>
      </c>
      <c r="G7" s="189" t="s">
        <v>2800</v>
      </c>
      <c r="H7" s="299"/>
      <c r="I7" s="320"/>
      <c r="J7" s="319"/>
      <c r="K7" s="319"/>
      <c r="L7" s="78"/>
      <c r="M7" s="324" t="s">
        <v>2118</v>
      </c>
      <c r="N7" s="324"/>
      <c r="O7" s="325"/>
      <c r="P7" s="326" t="s">
        <v>2701</v>
      </c>
      <c r="Q7" s="326"/>
      <c r="R7" s="565"/>
      <c r="S7" s="326" t="s">
        <v>2701</v>
      </c>
      <c r="T7" s="565"/>
      <c r="U7" s="540"/>
      <c r="V7" s="326" t="s">
        <v>2118</v>
      </c>
      <c r="W7" s="326"/>
      <c r="X7" s="661"/>
      <c r="Y7" s="326" t="s">
        <v>2118</v>
      </c>
      <c r="Z7" s="326"/>
      <c r="AA7" s="326"/>
      <c r="AB7" s="326" t="s">
        <v>2118</v>
      </c>
      <c r="AC7" s="326"/>
      <c r="AD7" s="661"/>
      <c r="AE7" s="326" t="s">
        <v>2118</v>
      </c>
      <c r="AF7" s="326"/>
      <c r="AG7" s="326"/>
      <c r="AH7" s="326" t="s">
        <v>2118</v>
      </c>
      <c r="AI7" s="326"/>
      <c r="AJ7" s="326"/>
    </row>
    <row r="8" spans="1:36">
      <c r="D8" s="671" t="s">
        <v>2895</v>
      </c>
      <c r="F8" s="77" t="s">
        <v>2215</v>
      </c>
      <c r="G8" s="299"/>
      <c r="H8" s="299"/>
      <c r="I8" s="320"/>
      <c r="J8" s="319"/>
      <c r="K8" s="319"/>
      <c r="L8" s="78"/>
      <c r="M8" s="324" t="s">
        <v>2216</v>
      </c>
      <c r="N8" s="324"/>
      <c r="O8" s="325"/>
      <c r="P8" s="658" t="s">
        <v>2858</v>
      </c>
      <c r="Q8" s="658"/>
      <c r="R8" s="565"/>
      <c r="S8" s="658" t="s">
        <v>2865</v>
      </c>
      <c r="T8" s="565"/>
      <c r="U8" s="540"/>
      <c r="V8" s="326" t="s">
        <v>2217</v>
      </c>
      <c r="W8" s="326"/>
      <c r="X8" s="661"/>
      <c r="Y8" s="326" t="s">
        <v>2218</v>
      </c>
      <c r="Z8" s="326"/>
      <c r="AA8" s="326"/>
      <c r="AB8" s="326" t="s">
        <v>2219</v>
      </c>
      <c r="AC8" s="326"/>
      <c r="AD8" s="661"/>
      <c r="AE8" s="326" t="s">
        <v>2882</v>
      </c>
      <c r="AF8" s="326"/>
      <c r="AG8" s="326"/>
      <c r="AH8" s="326" t="s">
        <v>2887</v>
      </c>
      <c r="AI8" s="326"/>
      <c r="AJ8" s="326"/>
    </row>
    <row r="9" spans="1:36">
      <c r="D9" s="476"/>
      <c r="F9" t="s">
        <v>2220</v>
      </c>
      <c r="G9" s="654" t="s">
        <v>2847</v>
      </c>
      <c r="H9" s="329"/>
      <c r="I9" s="320"/>
      <c r="J9" s="319"/>
      <c r="K9" s="319"/>
      <c r="L9" s="78"/>
      <c r="M9" s="324"/>
      <c r="N9" s="324"/>
      <c r="O9" s="325"/>
      <c r="P9" s="326"/>
      <c r="Q9" s="326"/>
      <c r="R9" s="565"/>
      <c r="S9" s="326"/>
      <c r="T9" s="565"/>
      <c r="U9" s="540"/>
      <c r="V9" s="326"/>
      <c r="W9" s="326"/>
      <c r="X9" s="661"/>
      <c r="Y9" s="326"/>
      <c r="Z9" s="326"/>
      <c r="AA9" s="326"/>
      <c r="AB9" s="326"/>
      <c r="AC9" s="326"/>
      <c r="AD9" s="661"/>
      <c r="AE9" s="326"/>
      <c r="AF9" s="326"/>
      <c r="AG9" s="326"/>
      <c r="AH9" s="326"/>
      <c r="AI9" s="326"/>
      <c r="AJ9" s="326"/>
    </row>
    <row r="10" spans="1:36" s="133" customFormat="1">
      <c r="D10" s="630">
        <v>-2</v>
      </c>
      <c r="F10" s="631" t="s">
        <v>2848</v>
      </c>
      <c r="G10" s="650"/>
      <c r="H10" s="650"/>
      <c r="I10" s="651"/>
      <c r="J10" s="652"/>
      <c r="K10" s="652"/>
      <c r="L10" s="630"/>
      <c r="M10" s="370">
        <v>-10</v>
      </c>
      <c r="N10" s="370"/>
      <c r="O10" s="633"/>
      <c r="P10" s="659">
        <v>20</v>
      </c>
      <c r="Q10" s="659"/>
      <c r="R10" s="632"/>
      <c r="S10" s="659">
        <v>2</v>
      </c>
      <c r="T10" s="632"/>
      <c r="U10" s="633"/>
      <c r="V10" s="411">
        <v>-1</v>
      </c>
      <c r="W10" s="326"/>
      <c r="X10" s="661"/>
      <c r="Y10" s="411">
        <v>-1</v>
      </c>
      <c r="Z10" s="326"/>
      <c r="AA10" s="326"/>
      <c r="AB10" s="411">
        <v>-1</v>
      </c>
      <c r="AC10" s="326"/>
      <c r="AD10" s="661"/>
      <c r="AE10" s="411">
        <v>-1</v>
      </c>
      <c r="AF10" s="326"/>
      <c r="AG10" s="326"/>
      <c r="AH10" s="411">
        <v>-1</v>
      </c>
      <c r="AI10" s="326"/>
      <c r="AJ10" s="326"/>
    </row>
    <row r="11" spans="1:36" s="133" customFormat="1">
      <c r="D11" s="630">
        <v>12000</v>
      </c>
      <c r="F11" s="631" t="s">
        <v>2849</v>
      </c>
      <c r="G11" s="650"/>
      <c r="H11" s="650"/>
      <c r="I11" s="651"/>
      <c r="J11" s="652"/>
      <c r="K11" s="652"/>
      <c r="L11" s="630"/>
      <c r="M11" s="370">
        <v>1000</v>
      </c>
      <c r="N11" s="370"/>
      <c r="O11" s="633"/>
      <c r="P11" s="659">
        <v>60</v>
      </c>
      <c r="Q11" s="659"/>
      <c r="R11" s="632"/>
      <c r="S11" s="659">
        <v>12</v>
      </c>
      <c r="T11" s="632"/>
      <c r="U11" s="633"/>
      <c r="V11" s="411">
        <v>100</v>
      </c>
      <c r="W11" s="326"/>
      <c r="X11" s="661"/>
      <c r="Y11" s="411">
        <v>100</v>
      </c>
      <c r="Z11" s="326"/>
      <c r="AA11" s="326"/>
      <c r="AB11" s="411">
        <v>100</v>
      </c>
      <c r="AC11" s="326"/>
      <c r="AD11" s="661"/>
      <c r="AE11" s="411">
        <v>100</v>
      </c>
      <c r="AF11" s="326"/>
      <c r="AG11" s="326"/>
      <c r="AH11" s="411">
        <v>100</v>
      </c>
      <c r="AI11" s="326"/>
      <c r="AJ11" s="326"/>
    </row>
    <row r="12" spans="1:36" s="377" customFormat="1">
      <c r="D12" s="476"/>
      <c r="G12" s="513"/>
      <c r="H12" s="513"/>
      <c r="I12" s="514"/>
      <c r="J12" s="514"/>
      <c r="K12" s="514"/>
      <c r="L12" s="476"/>
      <c r="M12" s="515"/>
      <c r="N12" s="515"/>
      <c r="O12" s="516"/>
      <c r="P12" s="520"/>
      <c r="Q12" s="520"/>
      <c r="R12" s="520"/>
      <c r="S12" s="520"/>
      <c r="T12" s="520"/>
      <c r="U12" s="516"/>
      <c r="V12" s="517"/>
      <c r="W12" s="517"/>
      <c r="X12" s="518"/>
      <c r="Y12" s="519"/>
      <c r="Z12" s="519"/>
      <c r="AA12" s="519"/>
      <c r="AB12" s="520"/>
      <c r="AC12" s="520"/>
      <c r="AD12" s="518"/>
      <c r="AE12" s="519"/>
      <c r="AF12" s="519"/>
      <c r="AG12" s="519"/>
      <c r="AH12" s="328"/>
      <c r="AI12" s="328"/>
      <c r="AJ12" s="328"/>
    </row>
    <row r="13" spans="1:36">
      <c r="A13">
        <f>report_47_flagged!A6</f>
        <v>2017</v>
      </c>
      <c r="B13" t="str">
        <f>LEFT(report_47_flagged!B6,2)</f>
        <v>46</v>
      </c>
      <c r="C13" t="str">
        <f>RIGHT(report_47_flagged!B6,4)</f>
        <v>1000</v>
      </c>
      <c r="D13" s="377">
        <v>834</v>
      </c>
      <c r="E13" t="str">
        <f>report!D6</f>
        <v>McLane-PARFLUX-Mark78H-21 ; 14182-01, G250x21</v>
      </c>
      <c r="G13">
        <f>report_47_flagged!C6</f>
        <v>1</v>
      </c>
      <c r="H13">
        <f>report_47_flagged!F6</f>
        <v>1</v>
      </c>
      <c r="I13" s="161">
        <f>report_47_flagged!AC6</f>
        <v>42824</v>
      </c>
      <c r="J13" s="161">
        <f>report_47_flagged!AD6</f>
        <v>42840</v>
      </c>
      <c r="K13" s="161">
        <f>report_47_flagged!AE6</f>
        <v>42832</v>
      </c>
      <c r="L13" s="68">
        <f>report_47_flagged!AF6</f>
        <v>16</v>
      </c>
      <c r="M13" s="7">
        <f>report_47_flagged!H6</f>
        <v>37.148214285714289</v>
      </c>
      <c r="N13" s="7">
        <f t="shared" ref="N13:N44" si="0">$M$5*M13</f>
        <v>2.2288928571428571E-2</v>
      </c>
      <c r="O13" s="68">
        <f>report_47_flagged!J6</f>
        <v>1</v>
      </c>
      <c r="P13" s="567">
        <f>report_47_flagged!BA6</f>
        <v>35.83</v>
      </c>
      <c r="Q13" s="567">
        <f t="shared" ref="Q13:Q44" si="1">$P$5*P13</f>
        <v>0.78825999999999996</v>
      </c>
      <c r="R13" s="568">
        <f>report_47_flagged!BB6</f>
        <v>1</v>
      </c>
      <c r="S13" s="567">
        <f>report_47_flagged!BC6</f>
        <v>8.2609999999999992</v>
      </c>
      <c r="T13" s="567">
        <f t="shared" ref="T13:T44" si="2">$S$5*S13</f>
        <v>0.23956899999999998</v>
      </c>
      <c r="U13" s="568">
        <f>report_47_flagged!BD6</f>
        <v>1</v>
      </c>
      <c r="V13" s="71">
        <f>(report_47_flagged!N6/100)*report_47_flagged!H6</f>
        <v>5.8278152978420268</v>
      </c>
      <c r="W13" s="71">
        <f t="shared" ref="W13:W44" si="3">V13*SQRT(($V$5)^2+($M$5)^2)</f>
        <v>0.12243406376696526</v>
      </c>
      <c r="X13" s="68">
        <f>report_47_flagged!AP6</f>
        <v>1</v>
      </c>
      <c r="Y13" s="71">
        <f>(report_47_flagged!P6/100)*report_47_flagged!H6</f>
        <v>0.44043256561032368</v>
      </c>
      <c r="Z13" s="71">
        <f t="shared" ref="Z13:Z44" si="4">Y13*SQRT(($Y$5)^2+($M$5)^2)</f>
        <v>1.6738523622699793E-2</v>
      </c>
      <c r="AA13" s="68">
        <f>report_47_flagged!AR6</f>
        <v>1</v>
      </c>
      <c r="AB13" s="71">
        <f>(report_47_flagged!R6/100)*report_47_flagged!H6</f>
        <v>2.5197535789592509</v>
      </c>
      <c r="AC13" s="71">
        <f t="shared" ref="AC13:AC44" si="5">AB13*SQRT(($AB$5)^2+($M$5)^2)</f>
        <v>7.0569296767638554E-2</v>
      </c>
      <c r="AD13" s="68">
        <f>report_47_flagged!AT6</f>
        <v>1</v>
      </c>
      <c r="AE13" s="71">
        <f>(report_47_flagged!L6/100)*report_47_flagged!H6</f>
        <v>3.3080617188827754</v>
      </c>
      <c r="AF13" s="71">
        <f t="shared" ref="AF13:AF44" si="6">AE13*SQRT(($AE$5)^2+($M$5)^2)</f>
        <v>6.2884504381559958E-2</v>
      </c>
      <c r="AG13" s="68">
        <f>report_47_flagged!AV6</f>
        <v>1</v>
      </c>
      <c r="AH13" s="71">
        <f>(report_47_flagged!T6/100)*report_47_flagged!H6</f>
        <v>0.84856070724254529</v>
      </c>
      <c r="AI13" s="71">
        <f t="shared" ref="AI13:AI44" si="7">AH13*SQRT(($AH$5)^2+($M$5)^2)</f>
        <v>4.1582591699830307E-2</v>
      </c>
      <c r="AJ13" s="68">
        <f>report_47_flagged!AX6</f>
        <v>1</v>
      </c>
    </row>
    <row r="14" spans="1:36">
      <c r="A14" s="625">
        <f>report_47_flagged!A7</f>
        <v>2017</v>
      </c>
      <c r="B14" s="625" t="str">
        <f>LEFT(report_47_flagged!B7,2)</f>
        <v>46</v>
      </c>
      <c r="C14" s="625" t="str">
        <f>RIGHT(report_47_flagged!B7,4)</f>
        <v>1000</v>
      </c>
      <c r="D14" s="377">
        <v>834</v>
      </c>
      <c r="E14" t="str">
        <f>report!D7</f>
        <v>McLane-PARFLUX-Mark78H-21 ; 14182-01, G250x21</v>
      </c>
      <c r="G14" s="625">
        <f>report_47_flagged!C7</f>
        <v>2</v>
      </c>
      <c r="H14" s="634">
        <f>report_47_flagged!F7</f>
        <v>1</v>
      </c>
      <c r="I14" s="161">
        <f>report_47_flagged!AC7</f>
        <v>42840</v>
      </c>
      <c r="J14" s="161">
        <f>report_47_flagged!AD7</f>
        <v>42856</v>
      </c>
      <c r="K14" s="161">
        <f>report_47_flagged!AE7</f>
        <v>42848</v>
      </c>
      <c r="L14" s="68">
        <f>report_47_flagged!AF7</f>
        <v>16</v>
      </c>
      <c r="M14" s="7">
        <f>report_47_flagged!H7</f>
        <v>28.989285714285707</v>
      </c>
      <c r="N14" s="7">
        <f t="shared" si="0"/>
        <v>1.7393571428571421E-2</v>
      </c>
      <c r="O14" s="68">
        <f>report_47_flagged!J7</f>
        <v>1</v>
      </c>
      <c r="P14" s="567">
        <f>report_47_flagged!BA7</f>
        <v>34.549999999999997</v>
      </c>
      <c r="Q14" s="567">
        <f t="shared" si="1"/>
        <v>0.76009999999999989</v>
      </c>
      <c r="R14" s="568">
        <f>report_47_flagged!BB7</f>
        <v>1</v>
      </c>
      <c r="S14" s="567">
        <f>report_47_flagged!BC7</f>
        <v>7.9279999999999999</v>
      </c>
      <c r="T14" s="567">
        <f t="shared" si="2"/>
        <v>0.22991200000000001</v>
      </c>
      <c r="U14" s="568">
        <f>report_47_flagged!BD7</f>
        <v>1</v>
      </c>
      <c r="V14" s="71">
        <f>(report_47_flagged!N7/100)*report_47_flagged!H7</f>
        <v>4.1984186656815652</v>
      </c>
      <c r="W14" s="71">
        <f t="shared" si="3"/>
        <v>8.820277108384221E-2</v>
      </c>
      <c r="X14" s="68">
        <f>report_47_flagged!AP7</f>
        <v>1</v>
      </c>
      <c r="Y14" s="71">
        <f>(report_47_flagged!P7/100)*report_47_flagged!H7</f>
        <v>0.18633854196114194</v>
      </c>
      <c r="Z14" s="71">
        <f t="shared" si="4"/>
        <v>7.0817471957684433E-3</v>
      </c>
      <c r="AA14" s="68">
        <f>report_47_flagged!AR7</f>
        <v>1</v>
      </c>
      <c r="AB14" s="71">
        <f>(report_47_flagged!R7/100)*report_47_flagged!H7</f>
        <v>1.2093727557730876</v>
      </c>
      <c r="AC14" s="71">
        <f t="shared" si="5"/>
        <v>3.3870210808510201E-2</v>
      </c>
      <c r="AD14" s="68">
        <f>report_47_flagged!AT7</f>
        <v>1</v>
      </c>
      <c r="AE14" s="71">
        <f>(report_47_flagged!L7/100)*report_47_flagged!H7</f>
        <v>2.9890459099084778</v>
      </c>
      <c r="AF14" s="71">
        <f t="shared" si="6"/>
        <v>5.6820182509111243E-2</v>
      </c>
      <c r="AG14" s="68">
        <f>report_47_flagged!AV7</f>
        <v>1</v>
      </c>
      <c r="AH14" s="71">
        <f>(report_47_flagged!T7/100)*report_47_flagged!H7</f>
        <v>0.22253436507123953</v>
      </c>
      <c r="AI14" s="71">
        <f t="shared" si="7"/>
        <v>1.0905001331028371E-2</v>
      </c>
      <c r="AJ14" s="68">
        <f>report_47_flagged!AX7</f>
        <v>1</v>
      </c>
    </row>
    <row r="15" spans="1:36">
      <c r="A15" s="625">
        <f>report_47_flagged!A8</f>
        <v>2017</v>
      </c>
      <c r="B15" s="625" t="str">
        <f>LEFT(report_47_flagged!B8,2)</f>
        <v>46</v>
      </c>
      <c r="C15" s="625" t="str">
        <f>RIGHT(report_47_flagged!B8,4)</f>
        <v>1000</v>
      </c>
      <c r="D15" s="377">
        <v>834</v>
      </c>
      <c r="E15" t="str">
        <f>report!D8</f>
        <v>McLane-PARFLUX-Mark78H-21 ; 14182-01, G250x21</v>
      </c>
      <c r="G15" s="625">
        <f>report_47_flagged!C8</f>
        <v>3</v>
      </c>
      <c r="H15" s="634">
        <f>report_47_flagged!F8</f>
        <v>1</v>
      </c>
      <c r="I15" s="161">
        <f>report_47_flagged!AC8</f>
        <v>42856</v>
      </c>
      <c r="J15" s="161">
        <f>report_47_flagged!AD8</f>
        <v>42872</v>
      </c>
      <c r="K15" s="161">
        <f>report_47_flagged!AE8</f>
        <v>42864</v>
      </c>
      <c r="L15" s="68">
        <f>report_47_flagged!AF8</f>
        <v>16</v>
      </c>
      <c r="M15" s="7">
        <f>report_47_flagged!H8</f>
        <v>11.669642857142858</v>
      </c>
      <c r="N15" s="7">
        <f t="shared" si="0"/>
        <v>7.0017857142857139E-3</v>
      </c>
      <c r="O15" s="68">
        <f>report_47_flagged!J8</f>
        <v>1</v>
      </c>
      <c r="P15" s="567">
        <f>report_47_flagged!BA8</f>
        <v>34.67</v>
      </c>
      <c r="Q15" s="567">
        <f t="shared" si="1"/>
        <v>0.76273999999999997</v>
      </c>
      <c r="R15" s="568">
        <f>report_47_flagged!BB8</f>
        <v>1</v>
      </c>
      <c r="S15" s="567">
        <f>report_47_flagged!BC8</f>
        <v>8.0730000000000004</v>
      </c>
      <c r="T15" s="567">
        <f t="shared" si="2"/>
        <v>0.23411700000000002</v>
      </c>
      <c r="U15" s="568">
        <f>report_47_flagged!BD8</f>
        <v>1</v>
      </c>
      <c r="V15" s="71">
        <f>(report_47_flagged!N8/100)*report_47_flagged!H8</f>
        <v>1.4497739697354182</v>
      </c>
      <c r="W15" s="71">
        <f t="shared" si="3"/>
        <v>3.0457677463456918E-2</v>
      </c>
      <c r="X15" s="68">
        <f>report_47_flagged!AP8</f>
        <v>1</v>
      </c>
      <c r="Y15" s="71">
        <f>(report_47_flagged!P8/100)*report_47_flagged!H8</f>
        <v>1.4048496784110156E-2</v>
      </c>
      <c r="Z15" s="71">
        <f t="shared" si="4"/>
        <v>5.3390941916021202E-4</v>
      </c>
      <c r="AA15" s="68">
        <f>report_47_flagged!AR8</f>
        <v>3</v>
      </c>
      <c r="AB15" s="71">
        <f>(report_47_flagged!R8/100)*report_47_flagged!H8</f>
        <v>0.11275037981776199</v>
      </c>
      <c r="AC15" s="71">
        <f t="shared" si="5"/>
        <v>3.1577353755798693E-3</v>
      </c>
      <c r="AD15" s="68">
        <f>report_47_flagged!AT8</f>
        <v>3</v>
      </c>
      <c r="AE15" s="71">
        <f>(report_47_flagged!L8/100)*report_47_flagged!H8</f>
        <v>1.3370235899176561</v>
      </c>
      <c r="AF15" s="71">
        <f t="shared" si="6"/>
        <v>2.5416111591418971E-2</v>
      </c>
      <c r="AG15" s="68">
        <f>report_47_flagged!AV8</f>
        <v>3</v>
      </c>
      <c r="AH15" s="71">
        <f>(report_47_flagged!T8/100)*report_47_flagged!H8</f>
        <v>4.5138160771786891E-3</v>
      </c>
      <c r="AI15" s="71">
        <f t="shared" si="7"/>
        <v>2.2119356852544163E-4</v>
      </c>
      <c r="AJ15" s="68">
        <f>report_47_flagged!AX8</f>
        <v>1</v>
      </c>
    </row>
    <row r="16" spans="1:36">
      <c r="A16" s="625">
        <f>report_47_flagged!A9</f>
        <v>2017</v>
      </c>
      <c r="B16" s="625" t="str">
        <f>LEFT(report_47_flagged!B9,2)</f>
        <v>46</v>
      </c>
      <c r="C16" s="625" t="str">
        <f>RIGHT(report_47_flagged!B9,4)</f>
        <v>1000</v>
      </c>
      <c r="D16" s="377">
        <v>834</v>
      </c>
      <c r="E16" t="str">
        <f>report!D9</f>
        <v>McLane-PARFLUX-Mark78H-21 ; 14182-01, G250x21</v>
      </c>
      <c r="G16" s="625">
        <f>report_47_flagged!C9</f>
        <v>4</v>
      </c>
      <c r="H16" s="634">
        <f>report_47_flagged!F9</f>
        <v>1</v>
      </c>
      <c r="I16" s="161">
        <f>report_47_flagged!AC9</f>
        <v>42872</v>
      </c>
      <c r="J16" s="161">
        <f>report_47_flagged!AD9</f>
        <v>42888</v>
      </c>
      <c r="K16" s="161">
        <f>report_47_flagged!AE9</f>
        <v>42880</v>
      </c>
      <c r="L16" s="68">
        <f>report_47_flagged!AF9</f>
        <v>16</v>
      </c>
      <c r="M16" s="7">
        <f>report_47_flagged!H9</f>
        <v>37.323214285714286</v>
      </c>
      <c r="N16" s="7">
        <f t="shared" si="0"/>
        <v>2.2393928571428568E-2</v>
      </c>
      <c r="O16" s="68">
        <f>report_47_flagged!J9</f>
        <v>1</v>
      </c>
      <c r="P16" s="567">
        <f>report_47_flagged!BA9</f>
        <v>34.54</v>
      </c>
      <c r="Q16" s="567">
        <f t="shared" si="1"/>
        <v>0.75987999999999989</v>
      </c>
      <c r="R16" s="568">
        <f>report_47_flagged!BB9</f>
        <v>1</v>
      </c>
      <c r="S16" s="567">
        <f>report_47_flagged!BC9</f>
        <v>8.0500000000000007</v>
      </c>
      <c r="T16" s="567">
        <f t="shared" si="2"/>
        <v>0.23345000000000002</v>
      </c>
      <c r="U16" s="568">
        <f>report_47_flagged!BD9</f>
        <v>1</v>
      </c>
      <c r="V16" s="71">
        <f>(report_47_flagged!N9/100)*report_47_flagged!H9</f>
        <v>5.2272685465642388</v>
      </c>
      <c r="W16" s="71">
        <f t="shared" si="3"/>
        <v>0.10981743549663987</v>
      </c>
      <c r="X16" s="68">
        <f>report_47_flagged!AP9</f>
        <v>1</v>
      </c>
      <c r="Y16" s="71">
        <f>(report_47_flagged!P9/100)*report_47_flagged!H9</f>
        <v>0.19108507781688655</v>
      </c>
      <c r="Z16" s="71">
        <f t="shared" si="4"/>
        <v>7.2621380404764768E-3</v>
      </c>
      <c r="AA16" s="68">
        <f>report_47_flagged!AR9</f>
        <v>1</v>
      </c>
      <c r="AB16" s="71">
        <f>(report_47_flagged!R9/100)*report_47_flagged!H9</f>
        <v>1.2776393904121455</v>
      </c>
      <c r="AC16" s="71">
        <f t="shared" si="5"/>
        <v>3.5782115384973362E-2</v>
      </c>
      <c r="AD16" s="68">
        <f>report_47_flagged!AT9</f>
        <v>1</v>
      </c>
      <c r="AE16" s="71">
        <f>(report_47_flagged!L9/100)*report_47_flagged!H9</f>
        <v>3.9496291561520929</v>
      </c>
      <c r="AF16" s="71">
        <f t="shared" si="6"/>
        <v>7.5080362182439839E-2</v>
      </c>
      <c r="AG16" s="68">
        <f>report_47_flagged!AV9</f>
        <v>1</v>
      </c>
      <c r="AH16" s="71">
        <f>(report_47_flagged!T9/100)*report_47_flagged!H9</f>
        <v>0.23171047042140411</v>
      </c>
      <c r="AI16" s="71">
        <f t="shared" si="7"/>
        <v>1.1354664200065104E-2</v>
      </c>
      <c r="AJ16" s="68">
        <f>report_47_flagged!AX9</f>
        <v>1</v>
      </c>
    </row>
    <row r="17" spans="1:36">
      <c r="A17" s="625">
        <f>report_47_flagged!A10</f>
        <v>2017</v>
      </c>
      <c r="B17" s="625" t="str">
        <f>LEFT(report_47_flagged!B10,2)</f>
        <v>46</v>
      </c>
      <c r="C17" s="625" t="str">
        <f>RIGHT(report_47_flagged!B10,4)</f>
        <v>1000</v>
      </c>
      <c r="D17" s="377">
        <v>834</v>
      </c>
      <c r="E17" t="str">
        <f>report!D10</f>
        <v>McLane-PARFLUX-Mark78H-21 ; 14182-01, G250x21</v>
      </c>
      <c r="G17" s="625">
        <f>report_47_flagged!C10</f>
        <v>5</v>
      </c>
      <c r="H17" s="634">
        <f>report_47_flagged!F10</f>
        <v>1</v>
      </c>
      <c r="I17" s="161">
        <f>report_47_flagged!AC10</f>
        <v>42888</v>
      </c>
      <c r="J17" s="161">
        <f>report_47_flagged!AD10</f>
        <v>42904</v>
      </c>
      <c r="K17" s="161">
        <f>report_47_flagged!AE10</f>
        <v>42896</v>
      </c>
      <c r="L17" s="68">
        <f>report_47_flagged!AF10</f>
        <v>16</v>
      </c>
      <c r="M17" s="7">
        <f>report_47_flagged!H10</f>
        <v>100.95892857142857</v>
      </c>
      <c r="N17" s="7">
        <f t="shared" si="0"/>
        <v>6.0575357142857139E-2</v>
      </c>
      <c r="O17" s="68">
        <f>report_47_flagged!J10</f>
        <v>3</v>
      </c>
      <c r="P17" s="567">
        <f>report_47_flagged!BA10</f>
        <v>37.020000000000003</v>
      </c>
      <c r="Q17" s="567">
        <f t="shared" si="1"/>
        <v>0.81444000000000005</v>
      </c>
      <c r="R17" s="568">
        <f>report_47_flagged!BB10</f>
        <v>1</v>
      </c>
      <c r="S17" s="567">
        <f>report_47_flagged!BC10</f>
        <v>7.9260000000000002</v>
      </c>
      <c r="T17" s="567">
        <f t="shared" si="2"/>
        <v>0.229854</v>
      </c>
      <c r="U17" s="568">
        <f>report_47_flagged!BD10</f>
        <v>1</v>
      </c>
      <c r="V17" s="71">
        <f>(report_47_flagged!N10/100)*report_47_flagged!H10</f>
        <v>17.898116968120849</v>
      </c>
      <c r="W17" s="71">
        <f t="shared" si="3"/>
        <v>0.37601383746580624</v>
      </c>
      <c r="X17" s="68">
        <f>report_47_flagged!AP10</f>
        <v>3</v>
      </c>
      <c r="Y17" s="71">
        <f>(report_47_flagged!P10/100)*report_47_flagged!H10</f>
        <v>1.6297268008674894</v>
      </c>
      <c r="Z17" s="71">
        <f t="shared" si="4"/>
        <v>6.1937337710406604E-2</v>
      </c>
      <c r="AA17" s="68">
        <f>report_47_flagged!AR10</f>
        <v>3</v>
      </c>
      <c r="AB17" s="71">
        <f>(report_47_flagged!R10/100)*report_47_flagged!H10</f>
        <v>10.121300245041885</v>
      </c>
      <c r="AC17" s="71">
        <f t="shared" si="5"/>
        <v>0.28346146489520846</v>
      </c>
      <c r="AD17" s="68">
        <f>report_47_flagged!AT10</f>
        <v>3</v>
      </c>
      <c r="AE17" s="71">
        <f>(report_47_flagged!L10/100)*report_47_flagged!H10</f>
        <v>7.7768167230789622</v>
      </c>
      <c r="AF17" s="71">
        <f t="shared" si="6"/>
        <v>0.14783317448569569</v>
      </c>
      <c r="AG17" s="68">
        <f>report_47_flagged!AV10</f>
        <v>3</v>
      </c>
      <c r="AH17" s="71">
        <f>(report_47_flagged!T10/100)*report_47_flagged!H10</f>
        <v>2.4141313814846259</v>
      </c>
      <c r="AI17" s="71">
        <f t="shared" si="7"/>
        <v>0.1183013055980791</v>
      </c>
      <c r="AJ17" s="68">
        <f>report_47_flagged!AX10</f>
        <v>3</v>
      </c>
    </row>
    <row r="18" spans="1:36">
      <c r="A18" s="625">
        <f>report_47_flagged!A11</f>
        <v>2017</v>
      </c>
      <c r="B18" s="625" t="str">
        <f>LEFT(report_47_flagged!B11,2)</f>
        <v>46</v>
      </c>
      <c r="C18" s="625" t="str">
        <f>RIGHT(report_47_flagged!B11,4)</f>
        <v>1000</v>
      </c>
      <c r="D18" s="377">
        <v>834</v>
      </c>
      <c r="E18" t="str">
        <f>report!D11</f>
        <v>McLane-PARFLUX-Mark78H-21 ; 14182-01, G250x21</v>
      </c>
      <c r="G18" s="625">
        <f>report_47_flagged!C11</f>
        <v>6</v>
      </c>
      <c r="H18" s="634">
        <f>report_47_flagged!F11</f>
        <v>1</v>
      </c>
      <c r="I18" s="161">
        <f>report_47_flagged!AC11</f>
        <v>42904</v>
      </c>
      <c r="J18" s="161">
        <f>report_47_flagged!AD11</f>
        <v>42920</v>
      </c>
      <c r="K18" s="161">
        <f>report_47_flagged!AE11</f>
        <v>42912</v>
      </c>
      <c r="L18" s="68">
        <f>report_47_flagged!AF11</f>
        <v>16</v>
      </c>
      <c r="M18" s="7">
        <f>report_47_flagged!H11</f>
        <v>15.128571428571426</v>
      </c>
      <c r="N18" s="7">
        <f t="shared" si="0"/>
        <v>9.0771428571428548E-3</v>
      </c>
      <c r="O18" s="68">
        <f>report_47_flagged!J11</f>
        <v>1</v>
      </c>
      <c r="P18" s="567">
        <f>report_47_flagged!BA11</f>
        <v>34.71</v>
      </c>
      <c r="Q18" s="567">
        <f t="shared" si="1"/>
        <v>0.76361999999999997</v>
      </c>
      <c r="R18" s="568">
        <f>report_47_flagged!BB11</f>
        <v>1</v>
      </c>
      <c r="S18" s="567">
        <f>report_47_flagged!BC11</f>
        <v>7.6440000000000001</v>
      </c>
      <c r="T18" s="567">
        <f t="shared" si="2"/>
        <v>0.22167600000000001</v>
      </c>
      <c r="U18" s="568">
        <f>report_47_flagged!BD11</f>
        <v>1</v>
      </c>
      <c r="V18" s="71">
        <f>(report_47_flagged!N11/100)*report_47_flagged!H11</f>
        <v>3.0927919766562324</v>
      </c>
      <c r="W18" s="71">
        <f t="shared" si="3"/>
        <v>6.4975135747370433E-2</v>
      </c>
      <c r="X18" s="68">
        <f>report_47_flagged!AP11</f>
        <v>1</v>
      </c>
      <c r="Y18" s="71">
        <f>(report_47_flagged!P11/100)*report_47_flagged!H11</f>
        <v>0.2503036762475967</v>
      </c>
      <c r="Z18" s="71">
        <f t="shared" si="4"/>
        <v>9.5127252725128453E-3</v>
      </c>
      <c r="AA18" s="68">
        <f>report_47_flagged!AR11</f>
        <v>1</v>
      </c>
      <c r="AB18" s="71">
        <f>(report_47_flagged!R11/100)*report_47_flagged!H11</f>
        <v>1.8359440579373307</v>
      </c>
      <c r="AC18" s="71">
        <f t="shared" si="5"/>
        <v>5.1418234765193013E-2</v>
      </c>
      <c r="AD18" s="68">
        <f>report_47_flagged!AT11</f>
        <v>1</v>
      </c>
      <c r="AE18" s="71">
        <f>(report_47_flagged!L11/100)*report_47_flagged!H11</f>
        <v>1.2568479187189014</v>
      </c>
      <c r="AF18" s="71">
        <f t="shared" si="6"/>
        <v>2.3892014468921703E-2</v>
      </c>
      <c r="AG18" s="68">
        <f>report_47_flagged!AV11</f>
        <v>1</v>
      </c>
      <c r="AH18" s="71">
        <f>(report_47_flagged!T11/100)*report_47_flagged!H11</f>
        <v>0.12361391065349031</v>
      </c>
      <c r="AI18" s="71">
        <f t="shared" si="7"/>
        <v>6.0575356969176332E-3</v>
      </c>
      <c r="AJ18" s="68">
        <f>report_47_flagged!AX11</f>
        <v>1</v>
      </c>
    </row>
    <row r="19" spans="1:36">
      <c r="A19" s="625">
        <f>report_47_flagged!A12</f>
        <v>2017</v>
      </c>
      <c r="B19" s="625" t="str">
        <f>LEFT(report_47_flagged!B12,2)</f>
        <v>46</v>
      </c>
      <c r="C19" s="625" t="str">
        <f>RIGHT(report_47_flagged!B12,4)</f>
        <v>1000</v>
      </c>
      <c r="D19" s="377">
        <v>834</v>
      </c>
      <c r="E19" t="str">
        <f>report!D12</f>
        <v>McLane-PARFLUX-Mark78H-21 ; 14182-01, G250x21</v>
      </c>
      <c r="G19" s="625">
        <f>report_47_flagged!C12</f>
        <v>7</v>
      </c>
      <c r="H19" s="634">
        <f>report_47_flagged!F12</f>
        <v>1</v>
      </c>
      <c r="I19" s="161">
        <f>report_47_flagged!AC12</f>
        <v>42920</v>
      </c>
      <c r="J19" s="161">
        <f>report_47_flagged!AD12</f>
        <v>42936</v>
      </c>
      <c r="K19" s="161">
        <f>report_47_flagged!AE12</f>
        <v>42928</v>
      </c>
      <c r="L19" s="68">
        <f>report_47_flagged!AF12</f>
        <v>16</v>
      </c>
      <c r="M19" s="7">
        <f>report_47_flagged!H12</f>
        <v>6.7928571428571427</v>
      </c>
      <c r="N19" s="7">
        <f t="shared" si="0"/>
        <v>4.0757142857142849E-3</v>
      </c>
      <c r="O19" s="68">
        <f>report_47_flagged!J12</f>
        <v>1</v>
      </c>
      <c r="P19" s="567">
        <f>report_47_flagged!BA12</f>
        <v>34.53</v>
      </c>
      <c r="Q19" s="567">
        <f t="shared" si="1"/>
        <v>0.75966</v>
      </c>
      <c r="R19" s="568">
        <f>report_47_flagged!BB12</f>
        <v>1</v>
      </c>
      <c r="S19" s="567">
        <f>report_47_flagged!BC12</f>
        <v>8.0755000000000017</v>
      </c>
      <c r="T19" s="567">
        <f t="shared" si="2"/>
        <v>0.23418950000000005</v>
      </c>
      <c r="U19" s="568">
        <f>report_47_flagged!BD12</f>
        <v>1</v>
      </c>
      <c r="V19" s="71">
        <f>(report_47_flagged!N12/100)*report_47_flagged!H12</f>
        <v>1.3624552230834961</v>
      </c>
      <c r="W19" s="71">
        <f t="shared" si="3"/>
        <v>2.862323549004853E-2</v>
      </c>
      <c r="X19" s="68">
        <f>report_47_flagged!AP12</f>
        <v>1</v>
      </c>
      <c r="Y19" s="71">
        <f>(report_47_flagged!P12/100)*report_47_flagged!H12</f>
        <v>0.11805289550338473</v>
      </c>
      <c r="Z19" s="71">
        <f t="shared" si="4"/>
        <v>4.4865691922059752E-3</v>
      </c>
      <c r="AA19" s="68">
        <f>report_47_flagged!AR12</f>
        <v>1</v>
      </c>
      <c r="AB19" s="71">
        <f>(report_47_flagged!R12/100)*report_47_flagged!H12</f>
        <v>0.85699028812683609</v>
      </c>
      <c r="AC19" s="71">
        <f t="shared" si="5"/>
        <v>2.4001236658541043E-2</v>
      </c>
      <c r="AD19" s="68">
        <f>report_47_flagged!AT12</f>
        <v>1</v>
      </c>
      <c r="AE19" s="71">
        <f>(report_47_flagged!L12/100)*report_47_flagged!H12</f>
        <v>0.50546493495665989</v>
      </c>
      <c r="AF19" s="71">
        <f t="shared" si="6"/>
        <v>9.6086211861071275E-3</v>
      </c>
      <c r="AG19" s="68">
        <f>report_47_flagged!AV12</f>
        <v>1</v>
      </c>
      <c r="AH19" s="71">
        <f>(report_47_flagged!T12/100)*report_47_flagged!H12</f>
        <v>0.13109421812555036</v>
      </c>
      <c r="AI19" s="71">
        <f t="shared" si="7"/>
        <v>6.4240982406991408E-3</v>
      </c>
      <c r="AJ19" s="68">
        <f>report_47_flagged!AX12</f>
        <v>1</v>
      </c>
    </row>
    <row r="20" spans="1:36">
      <c r="A20" s="625">
        <f>report_47_flagged!A13</f>
        <v>2017</v>
      </c>
      <c r="B20" s="625" t="str">
        <f>LEFT(report_47_flagged!B13,2)</f>
        <v>46</v>
      </c>
      <c r="C20" s="625" t="str">
        <f>RIGHT(report_47_flagged!B13,4)</f>
        <v>1000</v>
      </c>
      <c r="D20" s="377">
        <v>834</v>
      </c>
      <c r="E20" t="str">
        <f>report!D13</f>
        <v>McLane-PARFLUX-Mark78H-21 ; 14182-01, G250x21</v>
      </c>
      <c r="G20" s="625">
        <f>report_47_flagged!C13</f>
        <v>8</v>
      </c>
      <c r="H20" s="634">
        <f>report_47_flagged!F13</f>
        <v>1</v>
      </c>
      <c r="I20" s="161">
        <f>report_47_flagged!AC13</f>
        <v>42936</v>
      </c>
      <c r="J20" s="161">
        <f>report_47_flagged!AD13</f>
        <v>42952</v>
      </c>
      <c r="K20" s="161">
        <f>report_47_flagged!AE13</f>
        <v>42944</v>
      </c>
      <c r="L20" s="68">
        <f>report_47_flagged!AF13</f>
        <v>16</v>
      </c>
      <c r="M20" s="7">
        <f>report_47_flagged!H13</f>
        <v>7.9160714285714295</v>
      </c>
      <c r="N20" s="7">
        <f t="shared" si="0"/>
        <v>4.7496428571428577E-3</v>
      </c>
      <c r="O20" s="68">
        <f>report_47_flagged!J13</f>
        <v>1</v>
      </c>
      <c r="P20" s="567">
        <f>report_47_flagged!BA13</f>
        <v>34.53</v>
      </c>
      <c r="Q20" s="567">
        <f t="shared" si="1"/>
        <v>0.75966</v>
      </c>
      <c r="R20" s="568">
        <f>report_47_flagged!BB13</f>
        <v>1</v>
      </c>
      <c r="S20" s="567">
        <f>report_47_flagged!BC13</f>
        <v>8.17</v>
      </c>
      <c r="T20" s="567">
        <f t="shared" si="2"/>
        <v>0.23693</v>
      </c>
      <c r="U20" s="568">
        <f>report_47_flagged!BD13</f>
        <v>1</v>
      </c>
      <c r="V20" s="71">
        <f>(report_47_flagged!N13/100)*report_47_flagged!H13</f>
        <v>1.845611863579069</v>
      </c>
      <c r="W20" s="71">
        <f t="shared" si="3"/>
        <v>3.8773665438261204E-2</v>
      </c>
      <c r="X20" s="68">
        <f>report_47_flagged!AP13</f>
        <v>1</v>
      </c>
      <c r="Y20" s="71">
        <f>(report_47_flagged!P13/100)*report_47_flagged!H13</f>
        <v>0.20104850745201114</v>
      </c>
      <c r="Z20" s="71">
        <f t="shared" si="4"/>
        <v>7.640795558863058E-3</v>
      </c>
      <c r="AA20" s="68">
        <f>report_47_flagged!AR13</f>
        <v>1</v>
      </c>
      <c r="AB20" s="71">
        <f>(report_47_flagged!R13/100)*report_47_flagged!H13</f>
        <v>1.3869043038409425</v>
      </c>
      <c r="AC20" s="71">
        <f t="shared" si="5"/>
        <v>3.8842235297664167E-2</v>
      </c>
      <c r="AD20" s="68">
        <f>report_47_flagged!AT13</f>
        <v>1</v>
      </c>
      <c r="AE20" s="71">
        <f>(report_47_flagged!L13/100)*report_47_flagged!H13</f>
        <v>0.45870755973812666</v>
      </c>
      <c r="AF20" s="71">
        <f t="shared" si="6"/>
        <v>8.7197882027270236E-3</v>
      </c>
      <c r="AG20" s="68">
        <f>report_47_flagged!AV13</f>
        <v>1</v>
      </c>
      <c r="AH20" s="71">
        <f>(report_47_flagged!T13/100)*report_47_flagged!H13</f>
        <v>0.28728404377761108</v>
      </c>
      <c r="AI20" s="71">
        <f t="shared" si="7"/>
        <v>1.4077973434687956E-2</v>
      </c>
      <c r="AJ20" s="68">
        <f>report_47_flagged!AX13</f>
        <v>1</v>
      </c>
    </row>
    <row r="21" spans="1:36">
      <c r="A21" s="625">
        <f>report_47_flagged!A14</f>
        <v>2017</v>
      </c>
      <c r="B21" s="625" t="str">
        <f>LEFT(report_47_flagged!B14,2)</f>
        <v>46</v>
      </c>
      <c r="C21" s="625" t="str">
        <f>RIGHT(report_47_flagged!B14,4)</f>
        <v>1000</v>
      </c>
      <c r="D21" s="377">
        <v>834</v>
      </c>
      <c r="E21" t="str">
        <f>report!D14</f>
        <v>McLane-PARFLUX-Mark78H-21 ; 14182-01, G250x21</v>
      </c>
      <c r="G21" s="625">
        <f>report_47_flagged!C14</f>
        <v>9</v>
      </c>
      <c r="H21" s="634">
        <f>report_47_flagged!F14</f>
        <v>1</v>
      </c>
      <c r="I21" s="161">
        <f>report_47_flagged!AC14</f>
        <v>42952</v>
      </c>
      <c r="J21" s="161">
        <f>report_47_flagged!AD14</f>
        <v>42968</v>
      </c>
      <c r="K21" s="161">
        <f>report_47_flagged!AE14</f>
        <v>42960</v>
      </c>
      <c r="L21" s="68">
        <f>report_47_flagged!AF14</f>
        <v>16</v>
      </c>
      <c r="M21" s="7">
        <f>report_47_flagged!H14</f>
        <v>12.396428571428569</v>
      </c>
      <c r="N21" s="7">
        <f t="shared" si="0"/>
        <v>7.4378571428571402E-3</v>
      </c>
      <c r="O21" s="68">
        <f>report_47_flagged!J14</f>
        <v>1</v>
      </c>
      <c r="P21" s="567">
        <f>report_47_flagged!BA14</f>
        <v>34.53</v>
      </c>
      <c r="Q21" s="567">
        <f t="shared" si="1"/>
        <v>0.75966</v>
      </c>
      <c r="R21" s="568">
        <f>report_47_flagged!BB14</f>
        <v>1</v>
      </c>
      <c r="S21" s="567">
        <f>report_47_flagged!BC14</f>
        <v>8.1000000000000014</v>
      </c>
      <c r="T21" s="567">
        <f t="shared" si="2"/>
        <v>0.23490000000000005</v>
      </c>
      <c r="U21" s="568">
        <f>report_47_flagged!BD14</f>
        <v>1</v>
      </c>
      <c r="V21" s="71">
        <f>(report_47_flagged!N14/100)*report_47_flagged!H14</f>
        <v>2.4618305380684982</v>
      </c>
      <c r="W21" s="71">
        <f t="shared" si="3"/>
        <v>5.1719538399398191E-2</v>
      </c>
      <c r="X21" s="68">
        <f>report_47_flagged!AP14</f>
        <v>1</v>
      </c>
      <c r="Y21" s="71">
        <f>(report_47_flagged!P14/100)*report_47_flagged!H14</f>
        <v>0.22494649316157611</v>
      </c>
      <c r="Z21" s="71">
        <f t="shared" si="4"/>
        <v>8.5490322097568835E-3</v>
      </c>
      <c r="AA21" s="68">
        <f>report_47_flagged!AR14</f>
        <v>1</v>
      </c>
      <c r="AB21" s="71">
        <f>(report_47_flagged!R14/100)*report_47_flagged!H14</f>
        <v>1.6365710439650849</v>
      </c>
      <c r="AC21" s="71">
        <f t="shared" si="5"/>
        <v>4.5834508837407167E-2</v>
      </c>
      <c r="AD21" s="68">
        <f>report_47_flagged!AT14</f>
        <v>1</v>
      </c>
      <c r="AE21" s="71">
        <f>(report_47_flagged!L14/100)*report_47_flagged!H14</f>
        <v>0.82525949410341337</v>
      </c>
      <c r="AF21" s="71">
        <f t="shared" si="6"/>
        <v>1.5687746687627336E-2</v>
      </c>
      <c r="AG21" s="68">
        <f>report_47_flagged!AV14</f>
        <v>1</v>
      </c>
      <c r="AH21" s="71">
        <f>(report_47_flagged!T14/100)*report_47_flagged!H14</f>
        <v>0.37671399797181748</v>
      </c>
      <c r="AI21" s="71">
        <f t="shared" si="7"/>
        <v>1.8460369696089773E-2</v>
      </c>
      <c r="AJ21" s="68">
        <f>report_47_flagged!AX14</f>
        <v>1</v>
      </c>
    </row>
    <row r="22" spans="1:36">
      <c r="A22" s="625">
        <f>report_47_flagged!A15</f>
        <v>2017</v>
      </c>
      <c r="B22" s="625" t="str">
        <f>LEFT(report_47_flagged!B15,2)</f>
        <v>46</v>
      </c>
      <c r="C22" s="625" t="str">
        <f>RIGHT(report_47_flagged!B15,4)</f>
        <v>1000</v>
      </c>
      <c r="D22" s="377">
        <v>834</v>
      </c>
      <c r="E22" t="str">
        <f>report!D15</f>
        <v>McLane-PARFLUX-Mark78H-21 ; 14182-01, G250x21</v>
      </c>
      <c r="G22" s="625">
        <f>report_47_flagged!C15</f>
        <v>10</v>
      </c>
      <c r="H22" s="634">
        <f>report_47_flagged!F15</f>
        <v>1</v>
      </c>
      <c r="I22" s="161">
        <f>report_47_flagged!AC15</f>
        <v>42968</v>
      </c>
      <c r="J22" s="161">
        <f>report_47_flagged!AD15</f>
        <v>42984</v>
      </c>
      <c r="K22" s="161">
        <f>report_47_flagged!AE15</f>
        <v>42976</v>
      </c>
      <c r="L22" s="68">
        <f>report_47_flagged!AF15</f>
        <v>16</v>
      </c>
      <c r="M22" s="7">
        <f>report_47_flagged!H15</f>
        <v>38.274999999999999</v>
      </c>
      <c r="N22" s="7">
        <f t="shared" si="0"/>
        <v>2.2964999999999996E-2</v>
      </c>
      <c r="O22" s="68">
        <f>report_47_flagged!J15</f>
        <v>1</v>
      </c>
      <c r="P22" s="567">
        <f>report_47_flagged!BA15</f>
        <v>36.664999999999999</v>
      </c>
      <c r="Q22" s="567">
        <f t="shared" si="1"/>
        <v>0.80662999999999996</v>
      </c>
      <c r="R22" s="568">
        <f>report_47_flagged!BB15</f>
        <v>1</v>
      </c>
      <c r="S22" s="567">
        <f>report_47_flagged!BC15</f>
        <v>8.2832499999999989</v>
      </c>
      <c r="T22" s="567">
        <f t="shared" si="2"/>
        <v>0.24021424999999999</v>
      </c>
      <c r="U22" s="568">
        <f>report_47_flagged!BD15</f>
        <v>1</v>
      </c>
      <c r="V22" s="71">
        <f>(report_47_flagged!N15/100)*report_47_flagged!H15</f>
        <v>6.9772505302429195</v>
      </c>
      <c r="W22" s="71">
        <f t="shared" si="3"/>
        <v>0.14658205393952239</v>
      </c>
      <c r="X22" s="68">
        <f>report_47_flagged!AP15</f>
        <v>1</v>
      </c>
      <c r="Y22" s="71">
        <f>(report_47_flagged!P15/100)*report_47_flagged!H15</f>
        <v>0.71411547595262526</v>
      </c>
      <c r="Z22" s="71">
        <f t="shared" si="4"/>
        <v>2.713977052765042E-2</v>
      </c>
      <c r="AA22" s="68">
        <f>report_47_flagged!AR15</f>
        <v>1</v>
      </c>
      <c r="AB22" s="71">
        <f>(report_47_flagged!R15/100)*report_47_flagged!H15</f>
        <v>4.4808243433023058</v>
      </c>
      <c r="AC22" s="71">
        <f t="shared" si="5"/>
        <v>0.12549188360584257</v>
      </c>
      <c r="AD22" s="68">
        <f>report_47_flagged!AT15</f>
        <v>1</v>
      </c>
      <c r="AE22" s="71">
        <f>(report_47_flagged!L15/100)*report_47_flagged!H15</f>
        <v>2.4964261869406132</v>
      </c>
      <c r="AF22" s="71">
        <f t="shared" si="6"/>
        <v>4.7455742011949742E-2</v>
      </c>
      <c r="AG22" s="68">
        <f>report_47_flagged!AV15</f>
        <v>1</v>
      </c>
      <c r="AH22" s="71">
        <f>(report_47_flagged!T15/100)*report_47_flagged!H15</f>
        <v>1.583844202600653</v>
      </c>
      <c r="AI22" s="71">
        <f t="shared" si="7"/>
        <v>7.7614183912549831E-2</v>
      </c>
      <c r="AJ22" s="68">
        <f>report_47_flagged!AX15</f>
        <v>1</v>
      </c>
    </row>
    <row r="23" spans="1:36">
      <c r="A23" s="625">
        <f>report_47_flagged!A16</f>
        <v>2017</v>
      </c>
      <c r="B23" s="625" t="str">
        <f>LEFT(report_47_flagged!B16,2)</f>
        <v>46</v>
      </c>
      <c r="C23" s="625" t="str">
        <f>RIGHT(report_47_flagged!B16,4)</f>
        <v>1000</v>
      </c>
      <c r="D23" s="377">
        <v>834</v>
      </c>
      <c r="E23" t="str">
        <f>report!D16</f>
        <v>McLane-PARFLUX-Mark78H-21 ; 14182-01, G250x21</v>
      </c>
      <c r="G23" s="625">
        <f>report_47_flagged!C16</f>
        <v>11</v>
      </c>
      <c r="H23" s="634">
        <f>report_47_flagged!F16</f>
        <v>1</v>
      </c>
      <c r="I23" s="161">
        <f>report_47_flagged!AC16</f>
        <v>42984</v>
      </c>
      <c r="J23" s="161">
        <f>report_47_flagged!AD16</f>
        <v>43000</v>
      </c>
      <c r="K23" s="161">
        <f>report_47_flagged!AE16</f>
        <v>42992</v>
      </c>
      <c r="L23" s="68">
        <f>report_47_flagged!AF16</f>
        <v>16</v>
      </c>
      <c r="M23" s="7">
        <f>report_47_flagged!H16</f>
        <v>49.31964285714286</v>
      </c>
      <c r="N23" s="7">
        <f t="shared" si="0"/>
        <v>2.9591785714285713E-2</v>
      </c>
      <c r="O23" s="68">
        <f>report_47_flagged!J16</f>
        <v>1</v>
      </c>
      <c r="P23" s="567">
        <f>report_47_flagged!BA16</f>
        <v>36.33</v>
      </c>
      <c r="Q23" s="567">
        <f t="shared" si="1"/>
        <v>0.79925999999999997</v>
      </c>
      <c r="R23" s="568">
        <f>report_47_flagged!BB16</f>
        <v>1</v>
      </c>
      <c r="S23" s="567">
        <f>report_47_flagged!BC16</f>
        <v>8.2564999999999991</v>
      </c>
      <c r="T23" s="567">
        <f t="shared" si="2"/>
        <v>0.2394385</v>
      </c>
      <c r="U23" s="568">
        <f>report_47_flagged!BD16</f>
        <v>1</v>
      </c>
      <c r="V23" s="71">
        <f>(report_47_flagged!N16/100)*report_47_flagged!H16</f>
        <v>8.3267450792108271</v>
      </c>
      <c r="W23" s="71">
        <f t="shared" si="3"/>
        <v>0.17493300420431365</v>
      </c>
      <c r="X23" s="68">
        <f>report_47_flagged!AP16</f>
        <v>1</v>
      </c>
      <c r="Y23" s="71">
        <f>(report_47_flagged!P16/100)*report_47_flagged!H16</f>
        <v>0.75933833964381903</v>
      </c>
      <c r="Z23" s="71">
        <f t="shared" si="4"/>
        <v>2.885845354813104E-2</v>
      </c>
      <c r="AA23" s="68">
        <f>report_47_flagged!AR16</f>
        <v>1</v>
      </c>
      <c r="AB23" s="71">
        <f>(report_47_flagged!R16/100)*report_47_flagged!H16</f>
        <v>4.8170522573514267</v>
      </c>
      <c r="AC23" s="71">
        <f t="shared" si="5"/>
        <v>0.13490842641630926</v>
      </c>
      <c r="AD23" s="68">
        <f>report_47_flagged!AT16</f>
        <v>1</v>
      </c>
      <c r="AE23" s="71">
        <f>(report_47_flagged!L16/100)*report_47_flagged!H16</f>
        <v>3.5096928218593999</v>
      </c>
      <c r="AF23" s="71">
        <f t="shared" si="6"/>
        <v>6.671740505152525E-2</v>
      </c>
      <c r="AG23" s="68">
        <f>report_47_flagged!AV16</f>
        <v>1</v>
      </c>
      <c r="AH23" s="71">
        <f>(report_47_flagged!T16/100)*report_47_flagged!H16</f>
        <v>2.1175095854904522</v>
      </c>
      <c r="AI23" s="71">
        <f t="shared" si="7"/>
        <v>0.10376574800411834</v>
      </c>
      <c r="AJ23" s="68">
        <f>report_47_flagged!AX16</f>
        <v>1</v>
      </c>
    </row>
    <row r="24" spans="1:36">
      <c r="A24" s="625">
        <f>report_47_flagged!A17</f>
        <v>2017</v>
      </c>
      <c r="B24" s="625" t="str">
        <f>LEFT(report_47_flagged!B17,2)</f>
        <v>46</v>
      </c>
      <c r="C24" s="625" t="str">
        <f>RIGHT(report_47_flagged!B17,4)</f>
        <v>1000</v>
      </c>
      <c r="D24" s="377">
        <v>834</v>
      </c>
      <c r="E24" t="str">
        <f>report!D17</f>
        <v>McLane-PARFLUX-Mark78H-21 ; 14182-01, G250x21</v>
      </c>
      <c r="G24" s="625">
        <f>report_47_flagged!C17</f>
        <v>12</v>
      </c>
      <c r="H24" s="634">
        <f>report_47_flagged!F17</f>
        <v>1</v>
      </c>
      <c r="I24" s="161">
        <f>report_47_flagged!AC17</f>
        <v>43000</v>
      </c>
      <c r="J24" s="161">
        <f>report_47_flagged!AD17</f>
        <v>43016</v>
      </c>
      <c r="K24" s="161">
        <f>report_47_flagged!AE17</f>
        <v>43008</v>
      </c>
      <c r="L24" s="68">
        <f>report_47_flagged!AF17</f>
        <v>16</v>
      </c>
      <c r="M24" s="7">
        <f>report_47_flagged!H17</f>
        <v>18.290624999999999</v>
      </c>
      <c r="N24" s="7">
        <f t="shared" si="0"/>
        <v>1.0974374999999998E-2</v>
      </c>
      <c r="O24" s="68">
        <f>report_47_flagged!J17</f>
        <v>1</v>
      </c>
      <c r="P24" s="567">
        <f>report_47_flagged!BA17</f>
        <v>35.26</v>
      </c>
      <c r="Q24" s="567">
        <f t="shared" si="1"/>
        <v>0.77571999999999997</v>
      </c>
      <c r="R24" s="568">
        <f>report_47_flagged!BB17</f>
        <v>1</v>
      </c>
      <c r="S24" s="567">
        <f>report_47_flagged!BC17</f>
        <v>8.1829999999999998</v>
      </c>
      <c r="T24" s="567">
        <f t="shared" si="2"/>
        <v>0.23730700000000002</v>
      </c>
      <c r="U24" s="568">
        <f>report_47_flagged!BD17</f>
        <v>1</v>
      </c>
      <c r="V24" s="71">
        <f>(report_47_flagged!N17/100)*report_47_flagged!H17</f>
        <v>3.1482835265994074</v>
      </c>
      <c r="W24" s="71">
        <f t="shared" si="3"/>
        <v>6.6140933841003585E-2</v>
      </c>
      <c r="X24" s="68">
        <f>report_47_flagged!AP17</f>
        <v>3</v>
      </c>
      <c r="Y24" s="71">
        <f>(report_47_flagged!P17/100)*report_47_flagged!H17</f>
        <v>0.27280378156900403</v>
      </c>
      <c r="Z24" s="71">
        <f t="shared" si="4"/>
        <v>1.0367835847530649E-2</v>
      </c>
      <c r="AA24" s="68">
        <f>report_47_flagged!AR17</f>
        <v>3</v>
      </c>
      <c r="AB24" s="71">
        <f>(report_47_flagged!R17/100)*report_47_flagged!H17</f>
        <v>1.6930943786208175</v>
      </c>
      <c r="AC24" s="71">
        <f t="shared" si="5"/>
        <v>4.7417525530358731E-2</v>
      </c>
      <c r="AD24" s="68">
        <f>report_47_flagged!AT17</f>
        <v>3</v>
      </c>
      <c r="AE24" s="71">
        <f>(report_47_flagged!L17/100)*report_47_flagged!H17</f>
        <v>1.4551891479785892</v>
      </c>
      <c r="AF24" s="71">
        <f t="shared" si="6"/>
        <v>2.7662376378806856E-2</v>
      </c>
      <c r="AG24" s="68">
        <f>report_47_flagged!AV17</f>
        <v>1</v>
      </c>
      <c r="AH24" s="71">
        <f>(report_47_flagged!T17/100)*report_47_flagged!H17</f>
        <v>0.43455758000577011</v>
      </c>
      <c r="AI24" s="71">
        <f t="shared" si="7"/>
        <v>2.1294917694417E-2</v>
      </c>
      <c r="AJ24" s="68">
        <f>report_47_flagged!AX17</f>
        <v>1</v>
      </c>
    </row>
    <row r="25" spans="1:36">
      <c r="A25" s="625">
        <f>report_47_flagged!A18</f>
        <v>2017</v>
      </c>
      <c r="B25" s="625" t="str">
        <f>LEFT(report_47_flagged!B18,2)</f>
        <v>46</v>
      </c>
      <c r="C25" s="625" t="str">
        <f>RIGHT(report_47_flagged!B18,4)</f>
        <v>1000</v>
      </c>
      <c r="D25" s="377">
        <v>834</v>
      </c>
      <c r="E25" t="str">
        <f>report!D18</f>
        <v>McLane-PARFLUX-Mark78H-21 ; 14182-01, G250x21</v>
      </c>
      <c r="G25" s="625">
        <f>report_47_flagged!C18</f>
        <v>13</v>
      </c>
      <c r="H25" s="634">
        <f>report_47_flagged!F18</f>
        <v>1</v>
      </c>
      <c r="I25" s="161">
        <f>report_47_flagged!AC18</f>
        <v>43016</v>
      </c>
      <c r="J25" s="161">
        <f>report_47_flagged!AD18</f>
        <v>43032</v>
      </c>
      <c r="K25" s="161">
        <f>report_47_flagged!AE18</f>
        <v>43024</v>
      </c>
      <c r="L25" s="68">
        <f>report_47_flagged!AF18</f>
        <v>16</v>
      </c>
      <c r="M25" s="7">
        <f>report_47_flagged!H18</f>
        <v>8.6767857142857157</v>
      </c>
      <c r="N25" s="7">
        <f t="shared" si="0"/>
        <v>5.2060714285714288E-3</v>
      </c>
      <c r="O25" s="68">
        <f>report_47_flagged!J18</f>
        <v>1</v>
      </c>
      <c r="P25" s="567">
        <f>report_47_flagged!BA18</f>
        <v>34.520000000000003</v>
      </c>
      <c r="Q25" s="567">
        <f t="shared" si="1"/>
        <v>0.75944</v>
      </c>
      <c r="R25" s="568">
        <f>report_47_flagged!BB18</f>
        <v>1</v>
      </c>
      <c r="S25" s="567">
        <f>report_47_flagged!BC18</f>
        <v>7.9909999999999997</v>
      </c>
      <c r="T25" s="567">
        <f t="shared" si="2"/>
        <v>0.231739</v>
      </c>
      <c r="U25" s="568">
        <f>report_47_flagged!BD18</f>
        <v>1</v>
      </c>
      <c r="V25" s="71">
        <f>(report_47_flagged!N18/100)*report_47_flagged!H18</f>
        <v>1.5610771905694691</v>
      </c>
      <c r="W25" s="71">
        <f t="shared" si="3"/>
        <v>3.2795998933959056E-2</v>
      </c>
      <c r="X25" s="68">
        <f>report_47_flagged!AP18</f>
        <v>3</v>
      </c>
      <c r="Y25" s="71">
        <f>(report_47_flagged!P18/100)*report_47_flagged!H18</f>
        <v>0.10518367233872415</v>
      </c>
      <c r="Z25" s="71">
        <f t="shared" si="4"/>
        <v>3.9974777562696651E-3</v>
      </c>
      <c r="AA25" s="68">
        <f>report_47_flagged!AR18</f>
        <v>1</v>
      </c>
      <c r="AB25" s="71">
        <f>(report_47_flagged!R18/100)*report_47_flagged!H18</f>
        <v>0.80801696210164453</v>
      </c>
      <c r="AC25" s="71">
        <f t="shared" si="5"/>
        <v>2.2629668737443966E-2</v>
      </c>
      <c r="AD25" s="68">
        <f>report_47_flagged!AT18</f>
        <v>3</v>
      </c>
      <c r="AE25" s="71">
        <f>(report_47_flagged!L18/100)*report_47_flagged!H18</f>
        <v>0.75306022846782461</v>
      </c>
      <c r="AF25" s="71">
        <f t="shared" si="6"/>
        <v>1.4315276817947895E-2</v>
      </c>
      <c r="AG25" s="68">
        <f>report_47_flagged!AV18</f>
        <v>1</v>
      </c>
      <c r="AH25" s="71">
        <f>(report_47_flagged!T18/100)*report_47_flagged!H18</f>
        <v>0.15528574278455964</v>
      </c>
      <c r="AI25" s="71">
        <f t="shared" si="7"/>
        <v>7.6095718124850062E-3</v>
      </c>
      <c r="AJ25" s="68">
        <f>report_47_flagged!AX18</f>
        <v>1</v>
      </c>
    </row>
    <row r="26" spans="1:36">
      <c r="A26" s="625">
        <f>report_47_flagged!A19</f>
        <v>2017</v>
      </c>
      <c r="B26" s="625" t="str">
        <f>LEFT(report_47_flagged!B19,2)</f>
        <v>46</v>
      </c>
      <c r="C26" s="625" t="str">
        <f>RIGHT(report_47_flagged!B19,4)</f>
        <v>1000</v>
      </c>
      <c r="D26" s="377">
        <v>834</v>
      </c>
      <c r="E26" t="str">
        <f>report!D19</f>
        <v>McLane-PARFLUX-Mark78H-21 ; 14182-01, G250x21</v>
      </c>
      <c r="G26" s="625">
        <f>report_47_flagged!C19</f>
        <v>14</v>
      </c>
      <c r="H26" s="634">
        <f>report_47_flagged!F19</f>
        <v>1</v>
      </c>
      <c r="I26" s="161">
        <f>report_47_flagged!AC19</f>
        <v>43032</v>
      </c>
      <c r="J26" s="161">
        <f>report_47_flagged!AD19</f>
        <v>43048</v>
      </c>
      <c r="K26" s="161">
        <f>report_47_flagged!AE19</f>
        <v>43040</v>
      </c>
      <c r="L26" s="68">
        <f>report_47_flagged!AF19</f>
        <v>16</v>
      </c>
      <c r="M26" s="7">
        <f>report_47_flagged!H19</f>
        <v>101.29821428571429</v>
      </c>
      <c r="N26" s="7">
        <f t="shared" si="0"/>
        <v>6.0778928571428574E-2</v>
      </c>
      <c r="O26" s="68">
        <f>report_47_flagged!J19</f>
        <v>1</v>
      </c>
      <c r="P26" s="567">
        <f>report_47_flagged!BA19</f>
        <v>35.57</v>
      </c>
      <c r="Q26" s="567">
        <f t="shared" si="1"/>
        <v>0.78254000000000001</v>
      </c>
      <c r="R26" s="568">
        <f>report_47_flagged!BB19</f>
        <v>1</v>
      </c>
      <c r="S26" s="567">
        <f>report_47_flagged!BC19</f>
        <v>8.0790000000000006</v>
      </c>
      <c r="T26" s="567">
        <f t="shared" si="2"/>
        <v>0.23429100000000003</v>
      </c>
      <c r="U26" s="568">
        <f>report_47_flagged!BD19</f>
        <v>1</v>
      </c>
      <c r="V26" s="71">
        <f>(report_47_flagged!N19/100)*report_47_flagged!H19</f>
        <v>16.501357345564024</v>
      </c>
      <c r="W26" s="71">
        <f t="shared" si="3"/>
        <v>0.34666991560909127</v>
      </c>
      <c r="X26" s="68">
        <f>report_47_flagged!AP19</f>
        <v>3</v>
      </c>
      <c r="Y26" s="71">
        <f>(report_47_flagged!P19/100)*report_47_flagged!H19</f>
        <v>1.1021447977232082</v>
      </c>
      <c r="Z26" s="71">
        <f t="shared" si="4"/>
        <v>4.1886722674017406E-2</v>
      </c>
      <c r="AA26" s="68">
        <f>report_47_flagged!AR19</f>
        <v>1</v>
      </c>
      <c r="AB26" s="71">
        <f>(report_47_flagged!R19/100)*report_47_flagged!H19</f>
        <v>8.0121545558178386</v>
      </c>
      <c r="AC26" s="71">
        <f t="shared" si="5"/>
        <v>0.22439182835935564</v>
      </c>
      <c r="AD26" s="68">
        <f>report_47_flagged!AT19</f>
        <v>3</v>
      </c>
      <c r="AE26" s="71">
        <f>(report_47_flagged!L19/100)*report_47_flagged!H19</f>
        <v>8.489202789746189</v>
      </c>
      <c r="AF26" s="71">
        <f t="shared" si="6"/>
        <v>0.16137525699128663</v>
      </c>
      <c r="AG26" s="68">
        <f>report_47_flagged!AV19</f>
        <v>1</v>
      </c>
      <c r="AH26" s="71">
        <f>(report_47_flagged!T19/100)*report_47_flagged!H19</f>
        <v>3.0319256909533978</v>
      </c>
      <c r="AI26" s="71">
        <f t="shared" si="7"/>
        <v>0.14857549612547019</v>
      </c>
      <c r="AJ26" s="68">
        <f>report_47_flagged!AX19</f>
        <v>1</v>
      </c>
    </row>
    <row r="27" spans="1:36">
      <c r="A27" s="625">
        <f>report_47_flagged!A20</f>
        <v>2017</v>
      </c>
      <c r="B27" s="625" t="str">
        <f>LEFT(report_47_flagged!B20,2)</f>
        <v>46</v>
      </c>
      <c r="C27" s="625" t="str">
        <f>RIGHT(report_47_flagged!B20,4)</f>
        <v>1000</v>
      </c>
      <c r="D27" s="377">
        <v>834</v>
      </c>
      <c r="E27" t="str">
        <f>report!D20</f>
        <v>McLane-PARFLUX-Mark78H-21 ; 14182-01, G250x21</v>
      </c>
      <c r="G27" s="625">
        <f>report_47_flagged!C20</f>
        <v>15</v>
      </c>
      <c r="H27" s="634">
        <f>report_47_flagged!F20</f>
        <v>1</v>
      </c>
      <c r="I27" s="161">
        <f>report_47_flagged!AC20</f>
        <v>43048</v>
      </c>
      <c r="J27" s="161">
        <f>report_47_flagged!AD20</f>
        <v>43064</v>
      </c>
      <c r="K27" s="161">
        <f>report_47_flagged!AE20</f>
        <v>43056</v>
      </c>
      <c r="L27" s="68">
        <f>report_47_flagged!AF20</f>
        <v>16</v>
      </c>
      <c r="M27" s="7">
        <f>report_47_flagged!H20</f>
        <v>196.92499999999995</v>
      </c>
      <c r="N27" s="7">
        <f t="shared" si="0"/>
        <v>0.11815499999999997</v>
      </c>
      <c r="O27" s="68">
        <f>report_47_flagged!J20</f>
        <v>3</v>
      </c>
      <c r="P27" s="567">
        <f>report_47_flagged!BA20</f>
        <v>36.29</v>
      </c>
      <c r="Q27" s="567">
        <f t="shared" si="1"/>
        <v>0.79837999999999998</v>
      </c>
      <c r="R27" s="568">
        <f>report_47_flagged!BB20</f>
        <v>1</v>
      </c>
      <c r="S27" s="567">
        <f>report_47_flagged!BC20</f>
        <v>7.9675000000000002</v>
      </c>
      <c r="T27" s="567">
        <f t="shared" si="2"/>
        <v>0.23105750000000003</v>
      </c>
      <c r="U27" s="568">
        <f>report_47_flagged!BD20</f>
        <v>1</v>
      </c>
      <c r="V27" s="71">
        <f>(report_47_flagged!N20/100)*report_47_flagged!H20</f>
        <v>29.415140394449224</v>
      </c>
      <c r="W27" s="71">
        <f t="shared" si="3"/>
        <v>0.61797002662417855</v>
      </c>
      <c r="X27" s="68">
        <f>report_47_flagged!AP20</f>
        <v>3</v>
      </c>
      <c r="Y27" s="71">
        <f>(report_47_flagged!P20/100)*report_47_flagged!H20</f>
        <v>2.0700425633192059</v>
      </c>
      <c r="Z27" s="71">
        <f t="shared" si="4"/>
        <v>7.8671422259835672E-2</v>
      </c>
      <c r="AA27" s="68">
        <f>report_47_flagged!AR20</f>
        <v>3</v>
      </c>
      <c r="AB27" s="71">
        <f>(report_47_flagged!R20/100)*report_47_flagged!H20</f>
        <v>14.702732237716949</v>
      </c>
      <c r="AC27" s="71">
        <f t="shared" si="5"/>
        <v>0.41177100937271977</v>
      </c>
      <c r="AD27" s="68">
        <f>report_47_flagged!AT20</f>
        <v>3</v>
      </c>
      <c r="AE27" s="71">
        <f>(report_47_flagged!L20/100)*report_47_flagged!H20</f>
        <v>14.712408156732279</v>
      </c>
      <c r="AF27" s="71">
        <f t="shared" si="6"/>
        <v>0.27967510095542875</v>
      </c>
      <c r="AG27" s="68">
        <f>report_47_flagged!AV20</f>
        <v>3</v>
      </c>
      <c r="AH27" s="71">
        <f>(report_47_flagged!T20/100)*report_47_flagged!H20</f>
        <v>12.854123233484868</v>
      </c>
      <c r="AI27" s="71">
        <f t="shared" si="7"/>
        <v>0.62989925589911233</v>
      </c>
      <c r="AJ27" s="68">
        <f>report_47_flagged!AX20</f>
        <v>3</v>
      </c>
    </row>
    <row r="28" spans="1:36">
      <c r="A28" s="625">
        <f>report_47_flagged!A21</f>
        <v>2017</v>
      </c>
      <c r="B28" s="625" t="str">
        <f>LEFT(report_47_flagged!B21,2)</f>
        <v>46</v>
      </c>
      <c r="C28" s="625" t="str">
        <f>RIGHT(report_47_flagged!B21,4)</f>
        <v>1000</v>
      </c>
      <c r="D28" s="377">
        <v>834</v>
      </c>
      <c r="E28" t="str">
        <f>report!D21</f>
        <v>McLane-PARFLUX-Mark78H-21 ; 14182-01, G250x21</v>
      </c>
      <c r="G28" s="625">
        <f>report_47_flagged!C21</f>
        <v>16</v>
      </c>
      <c r="H28" s="634">
        <f>report_47_flagged!F21</f>
        <v>1</v>
      </c>
      <c r="I28" s="161">
        <f>report_47_flagged!AC21</f>
        <v>43064</v>
      </c>
      <c r="J28" s="161">
        <f>report_47_flagged!AD21</f>
        <v>43080</v>
      </c>
      <c r="K28" s="161">
        <f>report_47_flagged!AE21</f>
        <v>43072</v>
      </c>
      <c r="L28" s="68">
        <f>report_47_flagged!AF21</f>
        <v>16</v>
      </c>
      <c r="M28" s="7">
        <f>report_47_flagged!H21</f>
        <v>119.06071428571428</v>
      </c>
      <c r="N28" s="7">
        <f t="shared" si="0"/>
        <v>7.1436428571428567E-2</v>
      </c>
      <c r="O28" s="68">
        <f>report_47_flagged!J21</f>
        <v>1</v>
      </c>
      <c r="P28" s="567">
        <f>report_47_flagged!BA21</f>
        <v>36.03</v>
      </c>
      <c r="Q28" s="567">
        <f t="shared" si="1"/>
        <v>0.79266000000000003</v>
      </c>
      <c r="R28" s="568">
        <f>report_47_flagged!BB21</f>
        <v>1</v>
      </c>
      <c r="S28" s="567">
        <f>report_47_flagged!BC21</f>
        <v>7.915</v>
      </c>
      <c r="T28" s="567">
        <f t="shared" si="2"/>
        <v>0.22953500000000002</v>
      </c>
      <c r="U28" s="568">
        <f>report_47_flagged!BD21</f>
        <v>1</v>
      </c>
      <c r="V28" s="71">
        <f>(report_47_flagged!N21/100)*report_47_flagged!H21</f>
        <v>21.33611383329119</v>
      </c>
      <c r="W28" s="71">
        <f t="shared" si="3"/>
        <v>0.44824123416740674</v>
      </c>
      <c r="X28" s="68">
        <f>report_47_flagged!AP21</f>
        <v>1</v>
      </c>
      <c r="Y28" s="71">
        <f>(report_47_flagged!P21/100)*report_47_flagged!H21</f>
        <v>1.9587194708032267</v>
      </c>
      <c r="Z28" s="71">
        <f t="shared" si="4"/>
        <v>7.4440617457178657E-2</v>
      </c>
      <c r="AA28" s="68">
        <f>report_47_flagged!AR21</f>
        <v>1</v>
      </c>
      <c r="AB28" s="71">
        <f>(report_47_flagged!R21/100)*report_47_flagged!H21</f>
        <v>13.142245811442141</v>
      </c>
      <c r="AC28" s="71">
        <f t="shared" si="5"/>
        <v>0.36806735888990422</v>
      </c>
      <c r="AD28" s="68">
        <f>report_47_flagged!AT21</f>
        <v>1</v>
      </c>
      <c r="AE28" s="71">
        <f>(report_47_flagged!L21/100)*report_47_flagged!H21</f>
        <v>8.1938680218490489</v>
      </c>
      <c r="AF28" s="71">
        <f t="shared" si="6"/>
        <v>0.15576109919010539</v>
      </c>
      <c r="AG28" s="68">
        <f>report_47_flagged!AV21</f>
        <v>1</v>
      </c>
      <c r="AH28" s="71">
        <f>(report_47_flagged!T21/100)*report_47_flagged!H21</f>
        <v>6.2233797166952751</v>
      </c>
      <c r="AI28" s="71">
        <f t="shared" si="7"/>
        <v>0.30496846665606514</v>
      </c>
      <c r="AJ28" s="68">
        <f>report_47_flagged!AX21</f>
        <v>1</v>
      </c>
    </row>
    <row r="29" spans="1:36">
      <c r="A29" s="625">
        <f>report_47_flagged!A22</f>
        <v>2017</v>
      </c>
      <c r="B29" s="625" t="str">
        <f>LEFT(report_47_flagged!B22,2)</f>
        <v>46</v>
      </c>
      <c r="C29" s="625" t="str">
        <f>RIGHT(report_47_flagged!B22,4)</f>
        <v>1000</v>
      </c>
      <c r="D29" s="377">
        <v>834</v>
      </c>
      <c r="E29" t="str">
        <f>report!D22</f>
        <v>McLane-PARFLUX-Mark78H-21 ; 14182-01, G250x21</v>
      </c>
      <c r="G29" s="625">
        <f>report_47_flagged!C22</f>
        <v>17</v>
      </c>
      <c r="H29" s="634">
        <f>report_47_flagged!F22</f>
        <v>1</v>
      </c>
      <c r="I29" s="161">
        <f>report_47_flagged!AC22</f>
        <v>43080</v>
      </c>
      <c r="J29" s="161">
        <f>report_47_flagged!AD22</f>
        <v>43096</v>
      </c>
      <c r="K29" s="161">
        <f>report_47_flagged!AE22</f>
        <v>43088</v>
      </c>
      <c r="L29" s="68">
        <f>report_47_flagged!AF22</f>
        <v>16</v>
      </c>
      <c r="M29" s="7">
        <f>report_47_flagged!H22</f>
        <v>82.464285714285722</v>
      </c>
      <c r="N29" s="7">
        <f t="shared" si="0"/>
        <v>4.9478571428571427E-2</v>
      </c>
      <c r="O29" s="68">
        <f>report_47_flagged!J22</f>
        <v>1</v>
      </c>
      <c r="P29" s="567">
        <f>report_47_flagged!BA22</f>
        <v>36.355000000000004</v>
      </c>
      <c r="Q29" s="567">
        <f t="shared" si="1"/>
        <v>0.79981000000000002</v>
      </c>
      <c r="R29" s="568">
        <f>report_47_flagged!BB22</f>
        <v>1</v>
      </c>
      <c r="S29" s="567">
        <f>report_47_flagged!BC22</f>
        <v>8.08</v>
      </c>
      <c r="T29" s="567">
        <f t="shared" si="2"/>
        <v>0.23432</v>
      </c>
      <c r="U29" s="568">
        <f>report_47_flagged!BD22</f>
        <v>1</v>
      </c>
      <c r="V29" s="71">
        <f>(report_47_flagged!N22/100)*report_47_flagged!H22</f>
        <v>15.357628400666375</v>
      </c>
      <c r="W29" s="71">
        <f t="shared" si="3"/>
        <v>0.32264180637516021</v>
      </c>
      <c r="X29" s="68">
        <f>report_47_flagged!AP22</f>
        <v>1</v>
      </c>
      <c r="Y29" s="71">
        <f>(report_47_flagged!P22/100)*report_47_flagged!H22</f>
        <v>1.6863087871244975</v>
      </c>
      <c r="Z29" s="71">
        <f t="shared" si="4"/>
        <v>6.4087721191405045E-2</v>
      </c>
      <c r="AA29" s="68">
        <f>report_47_flagged!AR22</f>
        <v>1</v>
      </c>
      <c r="AB29" s="71">
        <f>(report_47_flagged!R22/100)*report_47_flagged!H22</f>
        <v>10.929785777628718</v>
      </c>
      <c r="AC29" s="71">
        <f t="shared" si="5"/>
        <v>0.30610425661813084</v>
      </c>
      <c r="AD29" s="68">
        <f>report_47_flagged!AT22</f>
        <v>1</v>
      </c>
      <c r="AE29" s="71">
        <f>(report_47_flagged!L22/100)*report_47_flagged!H22</f>
        <v>4.4278426230376562</v>
      </c>
      <c r="AF29" s="71">
        <f t="shared" si="6"/>
        <v>8.4170947367725443E-2</v>
      </c>
      <c r="AG29" s="68">
        <f>report_47_flagged!AV22</f>
        <v>1</v>
      </c>
      <c r="AH29" s="71">
        <f>(report_47_flagged!T22/100)*report_47_flagged!H22</f>
        <v>5.6125239095885116</v>
      </c>
      <c r="AI29" s="71">
        <f t="shared" si="7"/>
        <v>0.27503428823183312</v>
      </c>
      <c r="AJ29" s="68">
        <f>report_47_flagged!AX22</f>
        <v>1</v>
      </c>
    </row>
    <row r="30" spans="1:36">
      <c r="A30" s="625">
        <f>report_47_flagged!A23</f>
        <v>2017</v>
      </c>
      <c r="B30" s="625" t="str">
        <f>LEFT(report_47_flagged!B23,2)</f>
        <v>46</v>
      </c>
      <c r="C30" s="625" t="str">
        <f>RIGHT(report_47_flagged!B23,4)</f>
        <v>1000</v>
      </c>
      <c r="D30" s="377">
        <v>834</v>
      </c>
      <c r="E30" t="str">
        <f>report!D23</f>
        <v>McLane-PARFLUX-Mark78H-21 ; 14182-01, G250x21</v>
      </c>
      <c r="G30" s="625">
        <f>report_47_flagged!C23</f>
        <v>18</v>
      </c>
      <c r="H30" s="634">
        <f>report_47_flagged!F23</f>
        <v>1</v>
      </c>
      <c r="I30" s="161">
        <f>report_47_flagged!AC23</f>
        <v>43096</v>
      </c>
      <c r="J30" s="161">
        <f>report_47_flagged!AD23</f>
        <v>43112</v>
      </c>
      <c r="K30" s="161">
        <f>report_47_flagged!AE23</f>
        <v>43104</v>
      </c>
      <c r="L30" s="68">
        <f>report_47_flagged!AF23</f>
        <v>16</v>
      </c>
      <c r="M30" s="7">
        <f>report_47_flagged!H23</f>
        <v>132.13392857142858</v>
      </c>
      <c r="N30" s="7">
        <f t="shared" si="0"/>
        <v>7.9280357142857139E-2</v>
      </c>
      <c r="O30" s="68">
        <f>report_47_flagged!J23</f>
        <v>1</v>
      </c>
      <c r="P30" s="567">
        <f>report_47_flagged!BA23</f>
        <v>35.619999999999997</v>
      </c>
      <c r="Q30" s="567">
        <f t="shared" si="1"/>
        <v>0.78363999999999989</v>
      </c>
      <c r="R30" s="568">
        <f>report_47_flagged!BB23</f>
        <v>1</v>
      </c>
      <c r="S30" s="567">
        <f>report_47_flagged!BC23</f>
        <v>7.9190000000000005</v>
      </c>
      <c r="T30" s="567">
        <f t="shared" si="2"/>
        <v>0.22965100000000002</v>
      </c>
      <c r="U30" s="568">
        <f>report_47_flagged!BD23</f>
        <v>1</v>
      </c>
      <c r="V30" s="71">
        <f>(report_47_flagged!N23/100)*report_47_flagged!H23</f>
        <v>23.448943513461526</v>
      </c>
      <c r="W30" s="71">
        <f t="shared" si="3"/>
        <v>0.49262876372526676</v>
      </c>
      <c r="X30" s="68">
        <f>report_47_flagged!AP23</f>
        <v>1</v>
      </c>
      <c r="Y30" s="71">
        <f>(report_47_flagged!P23/100)*report_47_flagged!H23</f>
        <v>2.4945150040090085</v>
      </c>
      <c r="Z30" s="71">
        <f t="shared" si="4"/>
        <v>9.4803385539675294E-2</v>
      </c>
      <c r="AA30" s="68">
        <f>report_47_flagged!AR23</f>
        <v>1</v>
      </c>
      <c r="AB30" s="71">
        <f>(report_47_flagged!R23/100)*report_47_flagged!H23</f>
        <v>17.52436849710756</v>
      </c>
      <c r="AC30" s="71">
        <f t="shared" si="5"/>
        <v>0.49079496164408021</v>
      </c>
      <c r="AD30" s="68">
        <f>report_47_flagged!AT23</f>
        <v>1</v>
      </c>
      <c r="AE30" s="71">
        <f>(report_47_flagged!L23/100)*report_47_flagged!H23</f>
        <v>5.9245750163539643</v>
      </c>
      <c r="AF30" s="71">
        <f t="shared" si="6"/>
        <v>0.11262303887746591</v>
      </c>
      <c r="AG30" s="68">
        <f>report_47_flagged!AV23</f>
        <v>1</v>
      </c>
      <c r="AH30" s="71">
        <f>(report_47_flagged!T23/100)*report_47_flagged!H23</f>
        <v>14.876177299118632</v>
      </c>
      <c r="AI30" s="71">
        <f t="shared" si="7"/>
        <v>0.7289873327904659</v>
      </c>
      <c r="AJ30" s="68">
        <f>report_47_flagged!AX23</f>
        <v>3</v>
      </c>
    </row>
    <row r="31" spans="1:36">
      <c r="A31" s="625">
        <f>report_47_flagged!A24</f>
        <v>2017</v>
      </c>
      <c r="B31" s="625" t="str">
        <f>LEFT(report_47_flagged!B24,2)</f>
        <v>46</v>
      </c>
      <c r="C31" s="625" t="str">
        <f>RIGHT(report_47_flagged!B24,4)</f>
        <v>1000</v>
      </c>
      <c r="D31" s="377">
        <v>834</v>
      </c>
      <c r="E31" t="str">
        <f>report!D24</f>
        <v>McLane-PARFLUX-Mark78H-21 ; 14182-01, G250x21</v>
      </c>
      <c r="G31" s="625">
        <f>report_47_flagged!C24</f>
        <v>19</v>
      </c>
      <c r="H31" s="634">
        <f>report_47_flagged!F24</f>
        <v>1</v>
      </c>
      <c r="I31" s="161">
        <f>report_47_flagged!AC24</f>
        <v>43112</v>
      </c>
      <c r="J31" s="161">
        <f>report_47_flagged!AD24</f>
        <v>43128</v>
      </c>
      <c r="K31" s="161">
        <f>report_47_flagged!AE24</f>
        <v>43120</v>
      </c>
      <c r="L31" s="68">
        <f>report_47_flagged!AF24</f>
        <v>16</v>
      </c>
      <c r="M31" s="7">
        <f>report_47_flagged!H24</f>
        <v>100.1017857142857</v>
      </c>
      <c r="N31" s="7">
        <f t="shared" si="0"/>
        <v>6.0061071428571415E-2</v>
      </c>
      <c r="O31" s="68">
        <f>report_47_flagged!J24</f>
        <v>1</v>
      </c>
      <c r="P31" s="567">
        <f>report_47_flagged!BA24</f>
        <v>35.409999999999997</v>
      </c>
      <c r="Q31" s="567">
        <f t="shared" si="1"/>
        <v>0.77901999999999993</v>
      </c>
      <c r="R31" s="568">
        <f>report_47_flagged!BB24</f>
        <v>1</v>
      </c>
      <c r="S31" s="567">
        <f>report_47_flagged!BC24</f>
        <v>8.0459999999999994</v>
      </c>
      <c r="T31" s="567">
        <f t="shared" si="2"/>
        <v>0.23333399999999999</v>
      </c>
      <c r="U31" s="568">
        <f>report_47_flagged!BD24</f>
        <v>1</v>
      </c>
      <c r="V31" s="71">
        <f>(report_47_flagged!N24/100)*report_47_flagged!H24</f>
        <v>17.362524213075638</v>
      </c>
      <c r="W31" s="71">
        <f t="shared" si="3"/>
        <v>0.36476179975132828</v>
      </c>
      <c r="X31" s="68">
        <f>report_47_flagged!AP24</f>
        <v>1</v>
      </c>
      <c r="Y31" s="71">
        <f>(report_47_flagged!P24/100)*report_47_flagged!H24</f>
        <v>1.6249539144060439</v>
      </c>
      <c r="Z31" s="71">
        <f t="shared" si="4"/>
        <v>6.175594541787105E-2</v>
      </c>
      <c r="AA31" s="68">
        <f>report_47_flagged!AR24</f>
        <v>1</v>
      </c>
      <c r="AB31" s="71">
        <f>(report_47_flagged!R24/100)*report_47_flagged!H24</f>
        <v>11.067893580091715</v>
      </c>
      <c r="AC31" s="71">
        <f t="shared" si="5"/>
        <v>0.30997216282107115</v>
      </c>
      <c r="AD31" s="68">
        <f>report_47_flagged!AT24</f>
        <v>1</v>
      </c>
      <c r="AE31" s="71">
        <f>(report_47_flagged!L24/100)*report_47_flagged!H24</f>
        <v>6.2946306329839192</v>
      </c>
      <c r="AF31" s="71">
        <f t="shared" si="6"/>
        <v>0.11965760050990319</v>
      </c>
      <c r="AG31" s="68">
        <f>report_47_flagged!AV24</f>
        <v>1</v>
      </c>
      <c r="AH31" s="71">
        <f>(report_47_flagged!T24/100)*report_47_flagged!H24</f>
        <v>7.5188899097508353</v>
      </c>
      <c r="AI31" s="71">
        <f t="shared" si="7"/>
        <v>0.36845322495444788</v>
      </c>
      <c r="AJ31" s="68">
        <f>report_47_flagged!AX24</f>
        <v>1</v>
      </c>
    </row>
    <row r="32" spans="1:36">
      <c r="A32" s="625">
        <f>report_47_flagged!A25</f>
        <v>2017</v>
      </c>
      <c r="B32" s="625" t="str">
        <f>LEFT(report_47_flagged!B25,2)</f>
        <v>46</v>
      </c>
      <c r="C32" s="625" t="str">
        <f>RIGHT(report_47_flagged!B25,4)</f>
        <v>1000</v>
      </c>
      <c r="D32" s="377">
        <v>834</v>
      </c>
      <c r="E32" t="str">
        <f>report!D25</f>
        <v>McLane-PARFLUX-Mark78H-21 ; 14182-01, G250x21</v>
      </c>
      <c r="G32" s="625">
        <f>report_47_flagged!C25</f>
        <v>20</v>
      </c>
      <c r="H32" s="634">
        <f>report_47_flagged!F25</f>
        <v>1</v>
      </c>
      <c r="I32" s="161">
        <f>report_47_flagged!AC25</f>
        <v>43128</v>
      </c>
      <c r="J32" s="161">
        <f>report_47_flagged!AD25</f>
        <v>43144</v>
      </c>
      <c r="K32" s="161">
        <f>report_47_flagged!AE25</f>
        <v>43136</v>
      </c>
      <c r="L32" s="68">
        <f>report_47_flagged!AF25</f>
        <v>16</v>
      </c>
      <c r="M32" s="7">
        <f>report_47_flagged!H25</f>
        <v>97.50535714285715</v>
      </c>
      <c r="N32" s="7">
        <f t="shared" si="0"/>
        <v>5.8503214285714283E-2</v>
      </c>
      <c r="O32" s="68">
        <f>report_47_flagged!J25</f>
        <v>1</v>
      </c>
      <c r="P32" s="567">
        <f>report_47_flagged!BA25</f>
        <v>34.69</v>
      </c>
      <c r="Q32" s="567">
        <f t="shared" si="1"/>
        <v>0.76317999999999986</v>
      </c>
      <c r="R32" s="568">
        <f>report_47_flagged!BB25</f>
        <v>1</v>
      </c>
      <c r="S32" s="567">
        <f>report_47_flagged!BC25</f>
        <v>8.0725000000000016</v>
      </c>
      <c r="T32" s="567">
        <f t="shared" si="2"/>
        <v>0.23410250000000005</v>
      </c>
      <c r="U32" s="568">
        <f>report_47_flagged!BD25</f>
        <v>1</v>
      </c>
      <c r="V32" s="71">
        <f>(report_47_flagged!N25/100)*report_47_flagged!H25</f>
        <v>16.651582777670455</v>
      </c>
      <c r="W32" s="71">
        <f t="shared" si="3"/>
        <v>0.34982593706720944</v>
      </c>
      <c r="X32" s="68">
        <f>report_47_flagged!AP25</f>
        <v>1</v>
      </c>
      <c r="Y32" s="71">
        <f>(report_47_flagged!P25/100)*report_47_flagged!H25</f>
        <v>1.3135295556741102</v>
      </c>
      <c r="Z32" s="71">
        <f t="shared" si="4"/>
        <v>4.9920344709973676E-2</v>
      </c>
      <c r="AA32" s="68">
        <f>report_47_flagged!AR25</f>
        <v>1</v>
      </c>
      <c r="AB32" s="71">
        <f>(report_47_flagged!R25/100)*report_47_flagged!H25</f>
        <v>8.8295399046910248</v>
      </c>
      <c r="AC32" s="71">
        <f t="shared" si="5"/>
        <v>0.24728387214483427</v>
      </c>
      <c r="AD32" s="68">
        <f>report_47_flagged!AT25</f>
        <v>1</v>
      </c>
      <c r="AE32" s="71">
        <f>(report_47_flagged!L25/100)*report_47_flagged!H25</f>
        <v>7.822042872979428</v>
      </c>
      <c r="AF32" s="71">
        <f t="shared" si="6"/>
        <v>0.14869289968530214</v>
      </c>
      <c r="AG32" s="68">
        <f>report_47_flagged!AV25</f>
        <v>1</v>
      </c>
      <c r="AH32" s="71">
        <f>(report_47_flagged!T25/100)*report_47_flagged!H25</f>
        <v>4.0646154415362039</v>
      </c>
      <c r="AI32" s="71">
        <f t="shared" si="7"/>
        <v>0.19918108731602513</v>
      </c>
      <c r="AJ32" s="68">
        <f>report_47_flagged!AX25</f>
        <v>1</v>
      </c>
    </row>
    <row r="33" spans="1:36">
      <c r="A33" s="625">
        <f>report_47_flagged!A26</f>
        <v>2017</v>
      </c>
      <c r="B33" s="625" t="str">
        <f>LEFT(report_47_flagged!B26,2)</f>
        <v>46</v>
      </c>
      <c r="C33" s="625" t="str">
        <f>RIGHT(report_47_flagged!B26,4)</f>
        <v>1000</v>
      </c>
      <c r="D33" s="377">
        <v>834</v>
      </c>
      <c r="E33" t="str">
        <f>report!D26</f>
        <v>McLane-PARFLUX-Mark78H-21 ; 14182-01, G250x21</v>
      </c>
      <c r="G33" s="625">
        <f>report_47_flagged!C26</f>
        <v>21</v>
      </c>
      <c r="H33" s="634">
        <f>report_47_flagged!F26</f>
        <v>1</v>
      </c>
      <c r="I33" s="161">
        <f>report_47_flagged!AC26</f>
        <v>43144</v>
      </c>
      <c r="J33" s="161">
        <f>report_47_flagged!AD26</f>
        <v>43160</v>
      </c>
      <c r="K33" s="161">
        <f>report_47_flagged!AE26</f>
        <v>43152</v>
      </c>
      <c r="L33" s="68">
        <f>report_47_flagged!AF26</f>
        <v>16</v>
      </c>
      <c r="M33" s="7">
        <f>report_47_flagged!H26</f>
        <v>5.0053571428571422</v>
      </c>
      <c r="N33" s="7">
        <f t="shared" si="0"/>
        <v>3.0032142857142848E-3</v>
      </c>
      <c r="O33" s="68">
        <f>report_47_flagged!J26</f>
        <v>1</v>
      </c>
      <c r="P33" s="567">
        <f>report_47_flagged!BA26</f>
        <v>34.64</v>
      </c>
      <c r="Q33" s="567">
        <f t="shared" si="1"/>
        <v>0.76207999999999998</v>
      </c>
      <c r="R33" s="568">
        <f>report_47_flagged!BB26</f>
        <v>1</v>
      </c>
      <c r="S33" s="567">
        <f>report_47_flagged!BC26</f>
        <v>7.8979999999999997</v>
      </c>
      <c r="T33" s="567">
        <f t="shared" si="2"/>
        <v>0.229042</v>
      </c>
      <c r="U33" s="568">
        <f>report_47_flagged!BD26</f>
        <v>1</v>
      </c>
      <c r="V33" s="71">
        <f>(report_47_flagged!N26/100)*report_47_flagged!H26</f>
        <v>0.61737371553693488</v>
      </c>
      <c r="W33" s="71">
        <f t="shared" si="3"/>
        <v>1.2970138721466785E-2</v>
      </c>
      <c r="X33" s="68">
        <f>report_47_flagged!AP26</f>
        <v>1</v>
      </c>
      <c r="Y33" s="71">
        <f>(report_47_flagged!P26/100)*report_47_flagged!H26</f>
        <v>7.698443439123885E-3</v>
      </c>
      <c r="Z33" s="71">
        <f t="shared" si="4"/>
        <v>2.9257731472518729E-4</v>
      </c>
      <c r="AA33" s="68">
        <f>report_47_flagged!AR26</f>
        <v>1</v>
      </c>
      <c r="AB33" s="71">
        <f>(report_47_flagged!R26/100)*report_47_flagged!H26</f>
        <v>6.0379644419733182E-2</v>
      </c>
      <c r="AC33" s="71">
        <f t="shared" si="5"/>
        <v>1.6910181540611474E-3</v>
      </c>
      <c r="AD33" s="68">
        <f>report_47_flagged!AT26</f>
        <v>1</v>
      </c>
      <c r="AE33" s="71">
        <f>(report_47_flagged!L26/100)*report_47_flagged!H26</f>
        <v>0.55699407111720167</v>
      </c>
      <c r="AF33" s="71">
        <f t="shared" si="6"/>
        <v>1.0588162822277071E-2</v>
      </c>
      <c r="AG33" s="68">
        <f>report_47_flagged!AV26</f>
        <v>1</v>
      </c>
      <c r="AH33" s="71">
        <f>(report_47_flagged!T26/100)*report_47_flagged!H26</f>
        <v>1.3084485897340667E-2</v>
      </c>
      <c r="AI33" s="71">
        <f t="shared" si="7"/>
        <v>6.4118787262652224E-4</v>
      </c>
      <c r="AJ33" s="68">
        <f>report_47_flagged!AX26</f>
        <v>1</v>
      </c>
    </row>
    <row r="34" spans="1:36">
      <c r="A34" s="625">
        <f>report_47_flagged!A27</f>
        <v>2017</v>
      </c>
      <c r="B34" s="625" t="str">
        <f>LEFT(report_47_flagged!B27,2)</f>
        <v>46</v>
      </c>
      <c r="C34" s="625" t="str">
        <f>RIGHT(report_47_flagged!B27,4)</f>
        <v>2000</v>
      </c>
      <c r="D34" s="494">
        <v>1837.9</v>
      </c>
      <c r="E34" t="str">
        <f>report!D27</f>
        <v>McLane-PARFLUX-Mark78H-21 ; 2241, B250x21</v>
      </c>
      <c r="G34" s="625">
        <f>report_47_flagged!C27</f>
        <v>1</v>
      </c>
      <c r="H34" s="634">
        <f>report_47_flagged!F27</f>
        <v>1</v>
      </c>
      <c r="I34" s="161">
        <f>report_47_flagged!AC27</f>
        <v>42824</v>
      </c>
      <c r="J34" s="161">
        <f>report_47_flagged!AD27</f>
        <v>42840</v>
      </c>
      <c r="K34" s="161">
        <f>report_47_flagged!AE27</f>
        <v>42832</v>
      </c>
      <c r="L34" s="68">
        <f>report_47_flagged!AF27</f>
        <v>16</v>
      </c>
      <c r="M34" s="7">
        <f>report_47_flagged!H27</f>
        <v>49.828571428571422</v>
      </c>
      <c r="N34" s="7">
        <f t="shared" si="0"/>
        <v>2.9897142857142851E-2</v>
      </c>
      <c r="O34" s="68">
        <f>report_47_flagged!J27</f>
        <v>1</v>
      </c>
      <c r="P34" s="567">
        <f>report_47_flagged!BA27</f>
        <v>37.89</v>
      </c>
      <c r="Q34" s="567">
        <f t="shared" si="1"/>
        <v>0.83357999999999999</v>
      </c>
      <c r="R34" s="568">
        <f>report_47_flagged!BB27</f>
        <v>1</v>
      </c>
      <c r="S34" s="567">
        <f>report_47_flagged!BC27</f>
        <v>8.6020000000000003</v>
      </c>
      <c r="T34" s="567">
        <f t="shared" si="2"/>
        <v>0.24945800000000001</v>
      </c>
      <c r="U34" s="568">
        <f>report_47_flagged!BD27</f>
        <v>1</v>
      </c>
      <c r="V34" s="71">
        <f>(report_47_flagged!N27/100)*report_47_flagged!H27</f>
        <v>7.0223051365443636</v>
      </c>
      <c r="W34" s="71">
        <f t="shared" si="3"/>
        <v>0.14752858677541189</v>
      </c>
      <c r="X34" s="68">
        <f>report_47_flagged!AP27</f>
        <v>1</v>
      </c>
      <c r="Y34" s="71">
        <f>(report_47_flagged!P27/100)*report_47_flagged!H27</f>
        <v>0.41256709207807263</v>
      </c>
      <c r="Z34" s="71">
        <f t="shared" si="4"/>
        <v>1.5679503642351711E-2</v>
      </c>
      <c r="AA34" s="68">
        <f>report_47_flagged!AR27</f>
        <v>1</v>
      </c>
      <c r="AB34" s="71">
        <f>(report_47_flagged!R27/100)*report_47_flagged!H27</f>
        <v>2.7163311606031462</v>
      </c>
      <c r="AC34" s="71">
        <f t="shared" si="5"/>
        <v>7.6074732621656677E-2</v>
      </c>
      <c r="AD34" s="68">
        <f>report_47_flagged!AT27</f>
        <v>1</v>
      </c>
      <c r="AE34" s="71">
        <f>(report_47_flagged!L27/100)*report_47_flagged!H27</f>
        <v>4.3059739759412166</v>
      </c>
      <c r="AF34" s="71">
        <f t="shared" si="6"/>
        <v>8.1854288815508616E-2</v>
      </c>
      <c r="AG34" s="68">
        <f>report_47_flagged!AV27</f>
        <v>1</v>
      </c>
      <c r="AH34" s="71">
        <f>(report_47_flagged!T27/100)*report_47_flagged!H27</f>
        <v>2.1035035379582636</v>
      </c>
      <c r="AI34" s="71">
        <f t="shared" si="7"/>
        <v>0.1030794002261827</v>
      </c>
      <c r="AJ34" s="68">
        <f>report_47_flagged!AX27</f>
        <v>1</v>
      </c>
    </row>
    <row r="35" spans="1:36">
      <c r="A35" s="625">
        <f>report_47_flagged!A28</f>
        <v>2017</v>
      </c>
      <c r="B35" s="625" t="str">
        <f>LEFT(report_47_flagged!B28,2)</f>
        <v>46</v>
      </c>
      <c r="C35" s="625" t="str">
        <f>RIGHT(report_47_flagged!B28,4)</f>
        <v>2000</v>
      </c>
      <c r="D35" s="494">
        <v>1837.9</v>
      </c>
      <c r="E35" t="str">
        <f>report!D28</f>
        <v>McLane-PARFLUX-Mark78H-21 ; 2241, B250x21</v>
      </c>
      <c r="G35" s="625">
        <f>report_47_flagged!C28</f>
        <v>2</v>
      </c>
      <c r="H35" s="634">
        <f>report_47_flagged!F28</f>
        <v>1</v>
      </c>
      <c r="I35" s="161">
        <f>report_47_flagged!AC28</f>
        <v>42840</v>
      </c>
      <c r="J35" s="161">
        <f>report_47_flagged!AD28</f>
        <v>42856</v>
      </c>
      <c r="K35" s="161">
        <f>report_47_flagged!AE28</f>
        <v>42848</v>
      </c>
      <c r="L35" s="68">
        <f>report_47_flagged!AF28</f>
        <v>16</v>
      </c>
      <c r="M35" s="7">
        <f>report_47_flagged!H28</f>
        <v>62.355357142857159</v>
      </c>
      <c r="N35" s="7">
        <f t="shared" si="0"/>
        <v>3.7413214285714293E-2</v>
      </c>
      <c r="O35" s="68">
        <f>report_47_flagged!J28</f>
        <v>1</v>
      </c>
      <c r="P35" s="567">
        <f>report_47_flagged!BA28</f>
        <v>37.78</v>
      </c>
      <c r="Q35" s="567">
        <f t="shared" si="1"/>
        <v>0.83116000000000001</v>
      </c>
      <c r="R35" s="568">
        <f>report_47_flagged!BB28</f>
        <v>1</v>
      </c>
      <c r="S35" s="567">
        <f>report_47_flagged!BC28</f>
        <v>8.3230000000000004</v>
      </c>
      <c r="T35" s="567">
        <f t="shared" si="2"/>
        <v>0.24136700000000003</v>
      </c>
      <c r="U35" s="568">
        <f>report_47_flagged!BD28</f>
        <v>1</v>
      </c>
      <c r="V35" s="71">
        <f>(report_47_flagged!N28/100)*report_47_flagged!H28</f>
        <v>8.7225902090072651</v>
      </c>
      <c r="W35" s="71">
        <f t="shared" si="3"/>
        <v>0.18324914419613628</v>
      </c>
      <c r="X35" s="68">
        <f>report_47_flagged!AP28</f>
        <v>1</v>
      </c>
      <c r="Y35" s="71">
        <f>(report_47_flagged!P28/100)*report_47_flagged!H28</f>
        <v>0.45940432441341039</v>
      </c>
      <c r="Z35" s="71">
        <f t="shared" si="4"/>
        <v>1.7459540317842612E-2</v>
      </c>
      <c r="AA35" s="68">
        <f>report_47_flagged!AR28</f>
        <v>1</v>
      </c>
      <c r="AB35" s="71">
        <f>(report_47_flagged!R28/100)*report_47_flagged!H28</f>
        <v>3.0308289804574082</v>
      </c>
      <c r="AC35" s="71">
        <f t="shared" si="5"/>
        <v>8.4882693117237201E-2</v>
      </c>
      <c r="AD35" s="68">
        <f>report_47_flagged!AT28</f>
        <v>1</v>
      </c>
      <c r="AE35" s="71">
        <f>(report_47_flagged!L28/100)*report_47_flagged!H28</f>
        <v>5.6917612285498569</v>
      </c>
      <c r="AF35" s="71">
        <f t="shared" si="6"/>
        <v>0.108197371854482</v>
      </c>
      <c r="AG35" s="68">
        <f>report_47_flagged!AV28</f>
        <v>1</v>
      </c>
      <c r="AH35" s="71">
        <f>(report_47_flagged!T28/100)*report_47_flagged!H28</f>
        <v>1.8052348655002601</v>
      </c>
      <c r="AI35" s="71">
        <f t="shared" si="7"/>
        <v>8.8463139635970772E-2</v>
      </c>
      <c r="AJ35" s="68">
        <f>report_47_flagged!AX28</f>
        <v>1</v>
      </c>
    </row>
    <row r="36" spans="1:36">
      <c r="A36" s="625">
        <f>report_47_flagged!A29</f>
        <v>2017</v>
      </c>
      <c r="B36" s="625" t="str">
        <f>LEFT(report_47_flagged!B29,2)</f>
        <v>46</v>
      </c>
      <c r="C36" s="625" t="str">
        <f>RIGHT(report_47_flagged!B29,4)</f>
        <v>2000</v>
      </c>
      <c r="D36" s="494">
        <v>1837.9</v>
      </c>
      <c r="E36" t="str">
        <f>report!D29</f>
        <v>McLane-PARFLUX-Mark78H-21 ; 2241, B250x21</v>
      </c>
      <c r="G36" s="625">
        <f>report_47_flagged!C29</f>
        <v>3</v>
      </c>
      <c r="H36" s="634">
        <f>report_47_flagged!F29</f>
        <v>1</v>
      </c>
      <c r="I36" s="161">
        <f>report_47_flagged!AC29</f>
        <v>42856</v>
      </c>
      <c r="J36" s="161">
        <f>report_47_flagged!AD29</f>
        <v>42872</v>
      </c>
      <c r="K36" s="161">
        <f>report_47_flagged!AE29</f>
        <v>42864</v>
      </c>
      <c r="L36" s="68">
        <f>report_47_flagged!AF29</f>
        <v>16</v>
      </c>
      <c r="M36" s="7">
        <f>report_47_flagged!H29</f>
        <v>73.262500000000003</v>
      </c>
      <c r="N36" s="7">
        <f t="shared" si="0"/>
        <v>4.3957499999999997E-2</v>
      </c>
      <c r="O36" s="68">
        <f>report_47_flagged!J29</f>
        <v>1</v>
      </c>
      <c r="P36" s="567">
        <f>report_47_flagged!BA29</f>
        <v>36.81</v>
      </c>
      <c r="Q36" s="567">
        <f t="shared" si="1"/>
        <v>0.80981999999999998</v>
      </c>
      <c r="R36" s="568">
        <f>report_47_flagged!BB29</f>
        <v>1</v>
      </c>
      <c r="S36" s="567">
        <f>report_47_flagged!BC29</f>
        <v>8.4830000000000005</v>
      </c>
      <c r="T36" s="567">
        <f t="shared" si="2"/>
        <v>0.24600700000000003</v>
      </c>
      <c r="U36" s="568">
        <f>report_47_flagged!BD29</f>
        <v>1</v>
      </c>
      <c r="V36" s="71">
        <f>(report_47_flagged!N29/100)*report_47_flagged!H29</f>
        <v>10.794329915046692</v>
      </c>
      <c r="W36" s="71">
        <f t="shared" si="3"/>
        <v>0.22677343216931711</v>
      </c>
      <c r="X36" s="68">
        <f>report_47_flagged!AP29</f>
        <v>1</v>
      </c>
      <c r="Y36" s="71">
        <f>(report_47_flagged!P29/100)*report_47_flagged!H29</f>
        <v>0.66465127086639397</v>
      </c>
      <c r="Z36" s="71">
        <f t="shared" si="4"/>
        <v>2.5259896444845897E-2</v>
      </c>
      <c r="AA36" s="68">
        <f>report_47_flagged!AR29</f>
        <v>1</v>
      </c>
      <c r="AB36" s="71">
        <f>(report_47_flagged!R29/100)*report_47_flagged!H29</f>
        <v>4.3827495896295758</v>
      </c>
      <c r="AC36" s="71">
        <f t="shared" si="5"/>
        <v>0.12274516009480678</v>
      </c>
      <c r="AD36" s="68">
        <f>report_47_flagged!AT29</f>
        <v>1</v>
      </c>
      <c r="AE36" s="71">
        <f>(report_47_flagged!L29/100)*report_47_flagged!H29</f>
        <v>6.4115803254171162</v>
      </c>
      <c r="AF36" s="71">
        <f t="shared" si="6"/>
        <v>0.12188075233450736</v>
      </c>
      <c r="AG36" s="68">
        <f>report_47_flagged!AV29</f>
        <v>1</v>
      </c>
      <c r="AH36" s="71">
        <f>(report_47_flagged!T29/100)*report_47_flagged!H29</f>
        <v>1.8368767154856569</v>
      </c>
      <c r="AI36" s="71">
        <f t="shared" si="7"/>
        <v>9.0013706516265821E-2</v>
      </c>
      <c r="AJ36" s="68">
        <f>report_47_flagged!AX29</f>
        <v>1</v>
      </c>
    </row>
    <row r="37" spans="1:36">
      <c r="A37" s="625">
        <f>report_47_flagged!A30</f>
        <v>2017</v>
      </c>
      <c r="B37" s="625" t="str">
        <f>LEFT(report_47_flagged!B30,2)</f>
        <v>46</v>
      </c>
      <c r="C37" s="625" t="str">
        <f>RIGHT(report_47_flagged!B30,4)</f>
        <v>2000</v>
      </c>
      <c r="D37" s="494">
        <v>1837.9</v>
      </c>
      <c r="E37" t="str">
        <f>report!D30</f>
        <v>McLane-PARFLUX-Mark78H-21 ; 2241, B250x21</v>
      </c>
      <c r="G37" s="625">
        <f>report_47_flagged!C30</f>
        <v>4</v>
      </c>
      <c r="H37" s="634">
        <f>report_47_flagged!F30</f>
        <v>1</v>
      </c>
      <c r="I37" s="161">
        <f>report_47_flagged!AC30</f>
        <v>42872</v>
      </c>
      <c r="J37" s="161">
        <f>report_47_flagged!AD30</f>
        <v>42888</v>
      </c>
      <c r="K37" s="161">
        <f>report_47_flagged!AE30</f>
        <v>42880</v>
      </c>
      <c r="L37" s="68">
        <f>report_47_flagged!AF30</f>
        <v>16</v>
      </c>
      <c r="M37" s="7">
        <f>report_47_flagged!H30</f>
        <v>81.694642857142853</v>
      </c>
      <c r="N37" s="7">
        <f t="shared" si="0"/>
        <v>4.9016785714285707E-2</v>
      </c>
      <c r="O37" s="68">
        <f>report_47_flagged!J30</f>
        <v>1</v>
      </c>
      <c r="P37" s="567">
        <f>report_47_flagged!BA30</f>
        <v>37.39</v>
      </c>
      <c r="Q37" s="567">
        <f t="shared" si="1"/>
        <v>0.82257999999999998</v>
      </c>
      <c r="R37" s="568">
        <f>report_47_flagged!BB30</f>
        <v>1</v>
      </c>
      <c r="S37" s="567">
        <f>report_47_flagged!BC30</f>
        <v>8.6020000000000003</v>
      </c>
      <c r="T37" s="567">
        <f t="shared" si="2"/>
        <v>0.24945800000000001</v>
      </c>
      <c r="U37" s="568">
        <f>report_47_flagged!BD30</f>
        <v>1</v>
      </c>
      <c r="V37" s="71">
        <f>(report_47_flagged!N30/100)*report_47_flagged!H30</f>
        <v>11.929520961914744</v>
      </c>
      <c r="W37" s="71">
        <f t="shared" si="3"/>
        <v>0.25062217237757251</v>
      </c>
      <c r="X37" s="68">
        <f>report_47_flagged!AP30</f>
        <v>1</v>
      </c>
      <c r="Y37" s="71">
        <f>(report_47_flagged!P30/100)*report_47_flagged!H30</f>
        <v>0.69428698561979185</v>
      </c>
      <c r="Z37" s="71">
        <f t="shared" si="4"/>
        <v>2.6386193976428145E-2</v>
      </c>
      <c r="AA37" s="68">
        <f>report_47_flagged!AR30</f>
        <v>1</v>
      </c>
      <c r="AB37" s="71">
        <f>(report_47_flagged!R30/100)*report_47_flagged!H30</f>
        <v>4.491931981987463</v>
      </c>
      <c r="AC37" s="71">
        <f t="shared" si="5"/>
        <v>0.1258029688870804</v>
      </c>
      <c r="AD37" s="68">
        <f>report_47_flagged!AT30</f>
        <v>1</v>
      </c>
      <c r="AE37" s="71">
        <f>(report_47_flagged!L30/100)*report_47_flagged!H30</f>
        <v>7.4375889799272796</v>
      </c>
      <c r="AF37" s="71">
        <f t="shared" si="6"/>
        <v>0.14138463443010896</v>
      </c>
      <c r="AG37" s="68">
        <f>report_47_flagged!AV30</f>
        <v>1</v>
      </c>
      <c r="AH37" s="71">
        <f>(report_47_flagged!T30/100)*report_47_flagged!H30</f>
        <v>1.9189525091654309</v>
      </c>
      <c r="AI37" s="71">
        <f t="shared" si="7"/>
        <v>9.4035721898189498E-2</v>
      </c>
      <c r="AJ37" s="68">
        <f>report_47_flagged!AX30</f>
        <v>1</v>
      </c>
    </row>
    <row r="38" spans="1:36">
      <c r="A38" s="625">
        <f>report_47_flagged!A31</f>
        <v>2017</v>
      </c>
      <c r="B38" s="625" t="str">
        <f>LEFT(report_47_flagged!B31,2)</f>
        <v>46</v>
      </c>
      <c r="C38" s="625" t="str">
        <f>RIGHT(report_47_flagged!B31,4)</f>
        <v>2000</v>
      </c>
      <c r="D38" s="494">
        <v>1837.9</v>
      </c>
      <c r="E38" t="str">
        <f>report!D31</f>
        <v>McLane-PARFLUX-Mark78H-21 ; 2241, B250x21</v>
      </c>
      <c r="G38" s="625">
        <f>report_47_flagged!C31</f>
        <v>5</v>
      </c>
      <c r="H38" s="634">
        <f>report_47_flagged!F31</f>
        <v>1</v>
      </c>
      <c r="I38" s="161">
        <f>report_47_flagged!AC31</f>
        <v>42888</v>
      </c>
      <c r="J38" s="161">
        <f>report_47_flagged!AD31</f>
        <v>42904</v>
      </c>
      <c r="K38" s="161">
        <f>report_47_flagged!AE31</f>
        <v>42896</v>
      </c>
      <c r="L38" s="68">
        <f>report_47_flagged!AF31</f>
        <v>16</v>
      </c>
      <c r="M38" s="7">
        <f>report_47_flagged!H31</f>
        <v>65.024999999999991</v>
      </c>
      <c r="N38" s="7">
        <f t="shared" si="0"/>
        <v>3.9014999999999994E-2</v>
      </c>
      <c r="O38" s="68">
        <f>report_47_flagged!J31</f>
        <v>1</v>
      </c>
      <c r="P38" s="567">
        <f>report_47_flagged!BA31</f>
        <v>37.33</v>
      </c>
      <c r="Q38" s="567">
        <f t="shared" si="1"/>
        <v>0.82125999999999988</v>
      </c>
      <c r="R38" s="568">
        <f>report_47_flagged!BB31</f>
        <v>1</v>
      </c>
      <c r="S38" s="567">
        <f>report_47_flagged!BC31</f>
        <v>8.39</v>
      </c>
      <c r="T38" s="567">
        <f t="shared" si="2"/>
        <v>0.24331000000000003</v>
      </c>
      <c r="U38" s="568">
        <f>report_47_flagged!BD31</f>
        <v>1</v>
      </c>
      <c r="V38" s="71">
        <f>(report_47_flagged!N31/100)*report_47_flagged!H31</f>
        <v>9.8727405359745006</v>
      </c>
      <c r="W38" s="71">
        <f t="shared" si="3"/>
        <v>0.20741215748271821</v>
      </c>
      <c r="X38" s="68">
        <f>report_47_flagged!AP31</f>
        <v>1</v>
      </c>
      <c r="Y38" s="71">
        <f>(report_47_flagged!P31/100)*report_47_flagged!H31</f>
        <v>0.64406908066570756</v>
      </c>
      <c r="Z38" s="71">
        <f t="shared" si="4"/>
        <v>2.447767572871043E-2</v>
      </c>
      <c r="AA38" s="68">
        <f>report_47_flagged!AR31</f>
        <v>1</v>
      </c>
      <c r="AB38" s="71">
        <f>(report_47_flagged!R31/100)*report_47_flagged!H31</f>
        <v>4.2839360486711415</v>
      </c>
      <c r="AC38" s="71">
        <f t="shared" si="5"/>
        <v>0.11997774579096952</v>
      </c>
      <c r="AD38" s="68">
        <f>report_47_flagged!AT31</f>
        <v>1</v>
      </c>
      <c r="AE38" s="71">
        <f>(report_47_flagged!L31/100)*report_47_flagged!H31</f>
        <v>5.5888044873033591</v>
      </c>
      <c r="AF38" s="71">
        <f t="shared" si="6"/>
        <v>0.1062402186341929</v>
      </c>
      <c r="AG38" s="68">
        <f>report_47_flagged!AV31</f>
        <v>1</v>
      </c>
      <c r="AH38" s="71">
        <f>(report_47_flagged!T31/100)*report_47_flagged!H31</f>
        <v>1.732746423787366</v>
      </c>
      <c r="AI38" s="71">
        <f t="shared" si="7"/>
        <v>8.4910939717948108E-2</v>
      </c>
      <c r="AJ38" s="68">
        <f>report_47_flagged!AX31</f>
        <v>1</v>
      </c>
    </row>
    <row r="39" spans="1:36">
      <c r="A39" s="625">
        <f>report_47_flagged!A32</f>
        <v>2017</v>
      </c>
      <c r="B39" s="625" t="str">
        <f>LEFT(report_47_flagged!B32,2)</f>
        <v>46</v>
      </c>
      <c r="C39" s="625" t="str">
        <f>RIGHT(report_47_flagged!B32,4)</f>
        <v>2000</v>
      </c>
      <c r="D39" s="494">
        <v>1837.9</v>
      </c>
      <c r="E39" t="str">
        <f>report!D32</f>
        <v>McLane-PARFLUX-Mark78H-21 ; 2241, B250x21</v>
      </c>
      <c r="G39" s="625">
        <f>report_47_flagged!C32</f>
        <v>6</v>
      </c>
      <c r="H39" s="634">
        <f>report_47_flagged!F32</f>
        <v>1</v>
      </c>
      <c r="I39" s="161">
        <f>report_47_flagged!AC32</f>
        <v>42904</v>
      </c>
      <c r="J39" s="161">
        <f>report_47_flagged!AD32</f>
        <v>42920</v>
      </c>
      <c r="K39" s="161">
        <f>report_47_flagged!AE32</f>
        <v>42912</v>
      </c>
      <c r="L39" s="68">
        <f>report_47_flagged!AF32</f>
        <v>16</v>
      </c>
      <c r="M39" s="7">
        <f>report_47_flagged!H32</f>
        <v>58.69464285714286</v>
      </c>
      <c r="N39" s="7">
        <f t="shared" si="0"/>
        <v>3.5216785714285714E-2</v>
      </c>
      <c r="O39" s="68">
        <f>report_47_flagged!J32</f>
        <v>1</v>
      </c>
      <c r="P39" s="567">
        <f>report_47_flagged!BA32</f>
        <v>37.31</v>
      </c>
      <c r="Q39" s="567">
        <f t="shared" si="1"/>
        <v>0.82081999999999999</v>
      </c>
      <c r="R39" s="568">
        <f>report_47_flagged!BB32</f>
        <v>1</v>
      </c>
      <c r="S39" s="567">
        <f>report_47_flagged!BC32</f>
        <v>8.4120000000000008</v>
      </c>
      <c r="T39" s="567">
        <f t="shared" si="2"/>
        <v>0.24394800000000003</v>
      </c>
      <c r="U39" s="568">
        <f>report_47_flagged!BD32</f>
        <v>1</v>
      </c>
      <c r="V39" s="71">
        <f>(report_47_flagged!N32/100)*report_47_flagged!H32</f>
        <v>9.7923488990238727</v>
      </c>
      <c r="W39" s="71">
        <f t="shared" si="3"/>
        <v>0.20572324417615057</v>
      </c>
      <c r="X39" s="68">
        <f>report_47_flagged!AP32</f>
        <v>1</v>
      </c>
      <c r="Y39" s="71">
        <f>(report_47_flagged!P32/100)*report_47_flagged!H32</f>
        <v>0.76906218697556428</v>
      </c>
      <c r="Z39" s="71">
        <f t="shared" si="4"/>
        <v>2.9228005804196388E-2</v>
      </c>
      <c r="AA39" s="68">
        <f>report_47_flagged!AR32</f>
        <v>1</v>
      </c>
      <c r="AB39" s="71">
        <f>(report_47_flagged!R32/100)*report_47_flagged!H32</f>
        <v>5.2888538833605701</v>
      </c>
      <c r="AC39" s="71">
        <f t="shared" si="5"/>
        <v>0.1481219046069209</v>
      </c>
      <c r="AD39" s="68">
        <f>report_47_flagged!AT32</f>
        <v>1</v>
      </c>
      <c r="AE39" s="71">
        <f>(report_47_flagged!L32/100)*report_47_flagged!H32</f>
        <v>4.5034950156633027</v>
      </c>
      <c r="AF39" s="71">
        <f t="shared" si="6"/>
        <v>8.5609059355898881E-2</v>
      </c>
      <c r="AG39" s="68">
        <f>report_47_flagged!AV32</f>
        <v>1</v>
      </c>
      <c r="AH39" s="71">
        <f>(report_47_flagged!T32/100)*report_47_flagged!H32</f>
        <v>1.6836397929783407</v>
      </c>
      <c r="AI39" s="71">
        <f t="shared" si="7"/>
        <v>8.2504534423362211E-2</v>
      </c>
      <c r="AJ39" s="68">
        <f>report_47_flagged!AX32</f>
        <v>1</v>
      </c>
    </row>
    <row r="40" spans="1:36">
      <c r="A40" s="625">
        <f>report_47_flagged!A33</f>
        <v>2017</v>
      </c>
      <c r="B40" s="625" t="str">
        <f>LEFT(report_47_flagged!B33,2)</f>
        <v>46</v>
      </c>
      <c r="C40" s="625" t="str">
        <f>RIGHT(report_47_flagged!B33,4)</f>
        <v>2000</v>
      </c>
      <c r="D40" s="494">
        <v>1837.9</v>
      </c>
      <c r="E40" t="str">
        <f>report!D33</f>
        <v>McLane-PARFLUX-Mark78H-21 ; 2241, B250x21</v>
      </c>
      <c r="G40" s="625">
        <f>report_47_flagged!C33</f>
        <v>7</v>
      </c>
      <c r="H40" s="634">
        <f>report_47_flagged!F33</f>
        <v>1</v>
      </c>
      <c r="I40" s="161">
        <f>report_47_flagged!AC33</f>
        <v>42920</v>
      </c>
      <c r="J40" s="161">
        <f>report_47_flagged!AD33</f>
        <v>42936</v>
      </c>
      <c r="K40" s="161">
        <f>report_47_flagged!AE33</f>
        <v>42928</v>
      </c>
      <c r="L40" s="68">
        <f>report_47_flagged!AF33</f>
        <v>16</v>
      </c>
      <c r="M40" s="7">
        <f>report_47_flagged!H33</f>
        <v>51.364285714285714</v>
      </c>
      <c r="N40" s="7">
        <f t="shared" si="0"/>
        <v>3.0818571428571424E-2</v>
      </c>
      <c r="O40" s="68">
        <f>report_47_flagged!J33</f>
        <v>1</v>
      </c>
      <c r="P40" s="567">
        <f>report_47_flagged!BA33</f>
        <v>36.270000000000003</v>
      </c>
      <c r="Q40" s="567">
        <f t="shared" si="1"/>
        <v>0.79793999999999998</v>
      </c>
      <c r="R40" s="568">
        <f>report_47_flagged!BB33</f>
        <v>1</v>
      </c>
      <c r="S40" s="567">
        <f>report_47_flagged!BC33</f>
        <v>8.4570000000000007</v>
      </c>
      <c r="T40" s="567">
        <f t="shared" si="2"/>
        <v>0.24525300000000003</v>
      </c>
      <c r="U40" s="568">
        <f>report_47_flagged!BD33</f>
        <v>1</v>
      </c>
      <c r="V40" s="71">
        <f>(report_47_flagged!N33/100)*report_47_flagged!H33</f>
        <v>9.0290615513665333</v>
      </c>
      <c r="W40" s="71">
        <f t="shared" si="3"/>
        <v>0.18968766874701834</v>
      </c>
      <c r="X40" s="68">
        <f>report_47_flagged!AP33</f>
        <v>1</v>
      </c>
      <c r="Y40" s="71">
        <f>(report_47_flagged!P33/100)*report_47_flagged!H33</f>
        <v>0.71059004213128774</v>
      </c>
      <c r="Z40" s="71">
        <f t="shared" si="4"/>
        <v>2.7005787344056922E-2</v>
      </c>
      <c r="AA40" s="68">
        <f>report_47_flagged!AR33</f>
        <v>1</v>
      </c>
      <c r="AB40" s="71">
        <f>(report_47_flagged!R33/100)*report_47_flagged!H33</f>
        <v>5.1121419705524813</v>
      </c>
      <c r="AC40" s="71">
        <f t="shared" si="5"/>
        <v>0.14317283517351947</v>
      </c>
      <c r="AD40" s="68">
        <f>report_47_flagged!AT33</f>
        <v>1</v>
      </c>
      <c r="AE40" s="71">
        <f>(report_47_flagged!L33/100)*report_47_flagged!H33</f>
        <v>3.9169195808140511</v>
      </c>
      <c r="AF40" s="71">
        <f t="shared" si="6"/>
        <v>7.4458570448046574E-2</v>
      </c>
      <c r="AG40" s="68">
        <f>report_47_flagged!AV33</f>
        <v>1</v>
      </c>
      <c r="AH40" s="71">
        <f>(report_47_flagged!T33/100)*report_47_flagged!H33</f>
        <v>1.4288785196540734</v>
      </c>
      <c r="AI40" s="71">
        <f t="shared" si="7"/>
        <v>7.0020296207811791E-2</v>
      </c>
      <c r="AJ40" s="68">
        <f>report_47_flagged!AX33</f>
        <v>1</v>
      </c>
    </row>
    <row r="41" spans="1:36">
      <c r="A41" s="625">
        <f>report_47_flagged!A34</f>
        <v>2017</v>
      </c>
      <c r="B41" s="625" t="str">
        <f>LEFT(report_47_flagged!B34,2)</f>
        <v>46</v>
      </c>
      <c r="C41" s="625" t="str">
        <f>RIGHT(report_47_flagged!B34,4)</f>
        <v>2000</v>
      </c>
      <c r="D41" s="494">
        <v>1837.9</v>
      </c>
      <c r="E41" t="str">
        <f>report!D34</f>
        <v>McLane-PARFLUX-Mark78H-21 ; 2241, B250x21</v>
      </c>
      <c r="G41" s="625">
        <f>report_47_flagged!C34</f>
        <v>8</v>
      </c>
      <c r="H41" s="634">
        <f>report_47_flagged!F34</f>
        <v>1</v>
      </c>
      <c r="I41" s="161">
        <f>report_47_flagged!AC34</f>
        <v>42936</v>
      </c>
      <c r="J41" s="161">
        <f>report_47_flagged!AD34</f>
        <v>42952</v>
      </c>
      <c r="K41" s="161">
        <f>report_47_flagged!AE34</f>
        <v>42944</v>
      </c>
      <c r="L41" s="68">
        <f>report_47_flagged!AF34</f>
        <v>16</v>
      </c>
      <c r="M41" s="7">
        <f>report_47_flagged!H34</f>
        <v>48.467857142857149</v>
      </c>
      <c r="N41" s="7">
        <f t="shared" si="0"/>
        <v>2.9080714285714286E-2</v>
      </c>
      <c r="O41" s="68">
        <f>report_47_flagged!J34</f>
        <v>1</v>
      </c>
      <c r="P41" s="567">
        <f>report_47_flagged!BA34</f>
        <v>37.35</v>
      </c>
      <c r="Q41" s="567">
        <f t="shared" si="1"/>
        <v>0.82169999999999999</v>
      </c>
      <c r="R41" s="568">
        <f>report_47_flagged!BB34</f>
        <v>1</v>
      </c>
      <c r="S41" s="567">
        <f>report_47_flagged!BC34</f>
        <v>8.327</v>
      </c>
      <c r="T41" s="567">
        <f t="shared" si="2"/>
        <v>0.241483</v>
      </c>
      <c r="U41" s="568">
        <f>report_47_flagged!BD34</f>
        <v>1</v>
      </c>
      <c r="V41" s="71">
        <f>(report_47_flagged!N34/100)*report_47_flagged!H34</f>
        <v>7.979936928204129</v>
      </c>
      <c r="W41" s="71">
        <f t="shared" si="3"/>
        <v>0.16764706099829263</v>
      </c>
      <c r="X41" s="68">
        <f>report_47_flagged!AP34</f>
        <v>1</v>
      </c>
      <c r="Y41" s="71">
        <f>(report_47_flagged!P34/100)*report_47_flagged!H34</f>
        <v>0.6996556672411306</v>
      </c>
      <c r="Z41" s="71">
        <f t="shared" si="4"/>
        <v>2.659022930705136E-2</v>
      </c>
      <c r="AA41" s="68">
        <f>report_47_flagged!AR34</f>
        <v>1</v>
      </c>
      <c r="AB41" s="71">
        <f>(report_47_flagged!R34/100)*report_47_flagged!H34</f>
        <v>4.3232739699242675</v>
      </c>
      <c r="AC41" s="71">
        <f t="shared" si="5"/>
        <v>0.12107946044366999</v>
      </c>
      <c r="AD41" s="68">
        <f>report_47_flagged!AT34</f>
        <v>1</v>
      </c>
      <c r="AE41" s="71">
        <f>(report_47_flagged!L34/100)*report_47_flagged!H34</f>
        <v>3.6566629582798607</v>
      </c>
      <c r="AF41" s="71">
        <f t="shared" si="6"/>
        <v>6.9511229645224867E-2</v>
      </c>
      <c r="AG41" s="68">
        <f>report_47_flagged!AV34</f>
        <v>1</v>
      </c>
      <c r="AH41" s="71">
        <f>(report_47_flagged!T34/100)*report_47_flagged!H34</f>
        <v>1.5699736776255246</v>
      </c>
      <c r="AI41" s="71">
        <f t="shared" si="7"/>
        <v>7.6934477237729448E-2</v>
      </c>
      <c r="AJ41" s="68">
        <f>report_47_flagged!AX34</f>
        <v>1</v>
      </c>
    </row>
    <row r="42" spans="1:36">
      <c r="A42" s="625">
        <f>report_47_flagged!A35</f>
        <v>2017</v>
      </c>
      <c r="B42" s="625" t="str">
        <f>LEFT(report_47_flagged!B35,2)</f>
        <v>46</v>
      </c>
      <c r="C42" s="625" t="str">
        <f>RIGHT(report_47_flagged!B35,4)</f>
        <v>2000</v>
      </c>
      <c r="D42" s="494">
        <v>1837.9</v>
      </c>
      <c r="E42" t="str">
        <f>report!D35</f>
        <v>McLane-PARFLUX-Mark78H-21 ; 2241, B250x21</v>
      </c>
      <c r="G42" s="625">
        <f>report_47_flagged!C35</f>
        <v>9</v>
      </c>
      <c r="H42" s="634">
        <f>report_47_flagged!F35</f>
        <v>1</v>
      </c>
      <c r="I42" s="161">
        <f>report_47_flagged!AC35</f>
        <v>42952</v>
      </c>
      <c r="J42" s="161">
        <f>report_47_flagged!AD35</f>
        <v>42968</v>
      </c>
      <c r="K42" s="161">
        <f>report_47_flagged!AE35</f>
        <v>42960</v>
      </c>
      <c r="L42" s="68">
        <f>report_47_flagged!AF35</f>
        <v>16</v>
      </c>
      <c r="M42" s="7">
        <f>report_47_flagged!H35</f>
        <v>36.494642857142857</v>
      </c>
      <c r="N42" s="7">
        <f t="shared" si="0"/>
        <v>2.1896785714285712E-2</v>
      </c>
      <c r="O42" s="68">
        <f>report_47_flagged!J35</f>
        <v>1</v>
      </c>
      <c r="P42" s="567">
        <f>report_47_flagged!BA35</f>
        <v>37.36</v>
      </c>
      <c r="Q42" s="567">
        <f t="shared" si="1"/>
        <v>0.82191999999999998</v>
      </c>
      <c r="R42" s="568">
        <f>report_47_flagged!BB35</f>
        <v>1</v>
      </c>
      <c r="S42" s="567">
        <f>report_47_flagged!BC35</f>
        <v>8.5969999999999995</v>
      </c>
      <c r="T42" s="567">
        <f t="shared" si="2"/>
        <v>0.24931300000000001</v>
      </c>
      <c r="U42" s="568">
        <f>report_47_flagged!BD35</f>
        <v>1</v>
      </c>
      <c r="V42" s="71">
        <f>(report_47_flagged!N35/100)*report_47_flagged!H35</f>
        <v>6.4062546052251541</v>
      </c>
      <c r="W42" s="71">
        <f t="shared" si="3"/>
        <v>0.13458624626178267</v>
      </c>
      <c r="X42" s="68">
        <f>report_47_flagged!AP35</f>
        <v>3</v>
      </c>
      <c r="Y42" s="71">
        <f>(report_47_flagged!P35/100)*report_47_flagged!H35</f>
        <v>0.53709625333547595</v>
      </c>
      <c r="Z42" s="71">
        <f t="shared" si="4"/>
        <v>2.0412201608346933E-2</v>
      </c>
      <c r="AA42" s="68">
        <f>report_47_flagged!AR35</f>
        <v>1</v>
      </c>
      <c r="AB42" s="71">
        <f>(report_47_flagged!R35/100)*report_47_flagged!H35</f>
        <v>3.7918066993597939</v>
      </c>
      <c r="AC42" s="71">
        <f t="shared" si="5"/>
        <v>0.10619496068467284</v>
      </c>
      <c r="AD42" s="68">
        <f>report_47_flagged!AT35</f>
        <v>3</v>
      </c>
      <c r="AE42" s="71">
        <f>(report_47_flagged!L35/100)*report_47_flagged!H35</f>
        <v>2.6144479058653602</v>
      </c>
      <c r="AF42" s="71">
        <f t="shared" si="6"/>
        <v>4.9699272493403099E-2</v>
      </c>
      <c r="AG42" s="68">
        <f>report_47_flagged!AV35</f>
        <v>1</v>
      </c>
      <c r="AH42" s="71">
        <f>(report_47_flagged!T35/100)*report_47_flagged!H35</f>
        <v>1.3290567085629699</v>
      </c>
      <c r="AI42" s="71">
        <f t="shared" si="7"/>
        <v>6.5128660785724657E-2</v>
      </c>
      <c r="AJ42" s="68">
        <f>report_47_flagged!AX35</f>
        <v>1</v>
      </c>
    </row>
    <row r="43" spans="1:36">
      <c r="A43" s="625">
        <f>report_47_flagged!A36</f>
        <v>2017</v>
      </c>
      <c r="B43" s="625" t="str">
        <f>LEFT(report_47_flagged!B36,2)</f>
        <v>46</v>
      </c>
      <c r="C43" s="625" t="str">
        <f>RIGHT(report_47_flagged!B36,4)</f>
        <v>2000</v>
      </c>
      <c r="D43" s="494">
        <v>1837.9</v>
      </c>
      <c r="E43" t="str">
        <f>report!D36</f>
        <v>McLane-PARFLUX-Mark78H-21 ; 2241, B250x21</v>
      </c>
      <c r="G43" s="625">
        <f>report_47_flagged!C36</f>
        <v>10</v>
      </c>
      <c r="H43" s="634">
        <f>report_47_flagged!F36</f>
        <v>1</v>
      </c>
      <c r="I43" s="161">
        <f>report_47_flagged!AC36</f>
        <v>42968</v>
      </c>
      <c r="J43" s="161">
        <f>report_47_flagged!AD36</f>
        <v>42984</v>
      </c>
      <c r="K43" s="161">
        <f>report_47_flagged!AE36</f>
        <v>42976</v>
      </c>
      <c r="L43" s="68">
        <f>report_47_flagged!AF36</f>
        <v>16</v>
      </c>
      <c r="M43" s="7">
        <f>report_47_flagged!H36</f>
        <v>35.5625</v>
      </c>
      <c r="N43" s="7">
        <f t="shared" si="0"/>
        <v>2.1337499999999999E-2</v>
      </c>
      <c r="O43" s="68">
        <f>report_47_flagged!J36</f>
        <v>1</v>
      </c>
      <c r="P43" s="567">
        <f>report_47_flagged!BA36</f>
        <v>37.840000000000003</v>
      </c>
      <c r="Q43" s="567">
        <f t="shared" si="1"/>
        <v>0.83248</v>
      </c>
      <c r="R43" s="568">
        <f>report_47_flagged!BB36</f>
        <v>1</v>
      </c>
      <c r="S43" s="567">
        <f>report_47_flagged!BC36</f>
        <v>8.6314999999999991</v>
      </c>
      <c r="T43" s="567">
        <f t="shared" si="2"/>
        <v>0.25031349999999997</v>
      </c>
      <c r="U43" s="568">
        <f>report_47_flagged!BD36</f>
        <v>1</v>
      </c>
      <c r="V43" s="71">
        <f>(report_47_flagged!N36/100)*report_47_flagged!H36</f>
        <v>5.6609103894233703</v>
      </c>
      <c r="W43" s="71">
        <f t="shared" si="3"/>
        <v>0.11892763036851559</v>
      </c>
      <c r="X43" s="68">
        <f>report_47_flagged!AP36</f>
        <v>2</v>
      </c>
      <c r="Y43" s="71">
        <f>(report_47_flagged!P36/100)*report_47_flagged!H36</f>
        <v>0.43504114270210265</v>
      </c>
      <c r="Z43" s="71">
        <f t="shared" si="4"/>
        <v>1.6533624015459877E-2</v>
      </c>
      <c r="AA43" s="68">
        <f>report_47_flagged!AR36</f>
        <v>1</v>
      </c>
      <c r="AB43" s="71">
        <f>(report_47_flagged!R36/100)*report_47_flagged!H36</f>
        <v>2.9718637724069241</v>
      </c>
      <c r="AC43" s="71">
        <f t="shared" si="5"/>
        <v>8.3231288273276693E-2</v>
      </c>
      <c r="AD43" s="68">
        <f>report_47_flagged!AT36</f>
        <v>2</v>
      </c>
      <c r="AE43" s="71">
        <f>(report_47_flagged!L36/100)*report_47_flagged!H36</f>
        <v>2.6890466170164462</v>
      </c>
      <c r="AF43" s="71">
        <f t="shared" si="6"/>
        <v>5.1117354553801751E-2</v>
      </c>
      <c r="AG43" s="68">
        <f>report_47_flagged!AV36</f>
        <v>1</v>
      </c>
      <c r="AH43" s="71">
        <f>(report_47_flagged!T36/100)*report_47_flagged!H36</f>
        <v>1.4853458234395434</v>
      </c>
      <c r="AI43" s="71">
        <f t="shared" si="7"/>
        <v>7.2787401516436853E-2</v>
      </c>
      <c r="AJ43" s="68">
        <f>report_47_flagged!AX36</f>
        <v>1</v>
      </c>
    </row>
    <row r="44" spans="1:36">
      <c r="A44" s="625">
        <f>report_47_flagged!A37</f>
        <v>2017</v>
      </c>
      <c r="B44" s="625" t="str">
        <f>LEFT(report_47_flagged!B37,2)</f>
        <v>46</v>
      </c>
      <c r="C44" s="625" t="str">
        <f>RIGHT(report_47_flagged!B37,4)</f>
        <v>2000</v>
      </c>
      <c r="D44" s="494">
        <v>1837.9</v>
      </c>
      <c r="E44" t="str">
        <f>report!D37</f>
        <v>McLane-PARFLUX-Mark78H-21 ; 2241, B250x21</v>
      </c>
      <c r="G44" s="625">
        <f>report_47_flagged!C37</f>
        <v>11</v>
      </c>
      <c r="H44" s="634">
        <f>report_47_flagged!F37</f>
        <v>1</v>
      </c>
      <c r="I44" s="161">
        <f>report_47_flagged!AC37</f>
        <v>42984</v>
      </c>
      <c r="J44" s="161">
        <f>report_47_flagged!AD37</f>
        <v>43000</v>
      </c>
      <c r="K44" s="161">
        <f>report_47_flagged!AE37</f>
        <v>42992</v>
      </c>
      <c r="L44" s="68">
        <f>report_47_flagged!AF37</f>
        <v>16</v>
      </c>
      <c r="M44" s="7">
        <f>report_47_flagged!H37</f>
        <v>61.775000000000006</v>
      </c>
      <c r="N44" s="7">
        <f t="shared" si="0"/>
        <v>3.7065000000000001E-2</v>
      </c>
      <c r="O44" s="68">
        <f>report_47_flagged!J37</f>
        <v>1</v>
      </c>
      <c r="P44" s="567">
        <f>report_47_flagged!BA37</f>
        <v>37.090000000000003</v>
      </c>
      <c r="Q44" s="567">
        <f t="shared" si="1"/>
        <v>0.81598000000000004</v>
      </c>
      <c r="R44" s="568">
        <f>report_47_flagged!BB37</f>
        <v>1</v>
      </c>
      <c r="S44" s="567">
        <f>report_47_flagged!BC37</f>
        <v>8.5869999999999997</v>
      </c>
      <c r="T44" s="567">
        <f t="shared" si="2"/>
        <v>0.24902299999999999</v>
      </c>
      <c r="U44" s="568">
        <f>report_47_flagged!BD37</f>
        <v>1</v>
      </c>
      <c r="V44" s="71">
        <f>(report_47_flagged!N37/100)*report_47_flagged!H37</f>
        <v>9.5761612837314605</v>
      </c>
      <c r="W44" s="71">
        <f t="shared" si="3"/>
        <v>0.20118145159632389</v>
      </c>
      <c r="X44" s="68">
        <f>report_47_flagged!AP37</f>
        <v>1</v>
      </c>
      <c r="Y44" s="71">
        <f>(report_47_flagged!P37/100)*report_47_flagged!H37</f>
        <v>0.71211448851227765</v>
      </c>
      <c r="Z44" s="71">
        <f t="shared" si="4"/>
        <v>2.7063723527146335E-2</v>
      </c>
      <c r="AA44" s="68">
        <f>report_47_flagged!AR37</f>
        <v>1</v>
      </c>
      <c r="AB44" s="71">
        <f>(report_47_flagged!R37/100)*report_47_flagged!H37</f>
        <v>4.7978396696825545</v>
      </c>
      <c r="AC44" s="71">
        <f t="shared" si="5"/>
        <v>0.13437035046626383</v>
      </c>
      <c r="AD44" s="68">
        <f>report_47_flagged!AT37</f>
        <v>1</v>
      </c>
      <c r="AE44" s="71">
        <f>(report_47_flagged!L37/100)*report_47_flagged!H37</f>
        <v>4.7783216140489069</v>
      </c>
      <c r="AF44" s="71">
        <f t="shared" si="6"/>
        <v>9.0833367696852532E-2</v>
      </c>
      <c r="AG44" s="68">
        <f>report_47_flagged!AV37</f>
        <v>1</v>
      </c>
      <c r="AH44" s="71">
        <f>(report_47_flagged!T37/100)*report_47_flagged!H37</f>
        <v>2.7761834847354088</v>
      </c>
      <c r="AI44" s="71">
        <f t="shared" si="7"/>
        <v>0.1360431885948355</v>
      </c>
      <c r="AJ44" s="68">
        <f>report_47_flagged!AX37</f>
        <v>1</v>
      </c>
    </row>
    <row r="45" spans="1:36">
      <c r="A45" s="625">
        <f>report_47_flagged!A38</f>
        <v>2017</v>
      </c>
      <c r="B45" s="625" t="str">
        <f>LEFT(report_47_flagged!B38,2)</f>
        <v>46</v>
      </c>
      <c r="C45" s="625" t="str">
        <f>RIGHT(report_47_flagged!B38,4)</f>
        <v>2000</v>
      </c>
      <c r="D45" s="494">
        <v>1837.9</v>
      </c>
      <c r="E45" t="str">
        <f>report!D38</f>
        <v>McLane-PARFLUX-Mark78H-21 ; 2241, B250x21</v>
      </c>
      <c r="G45" s="625">
        <f>report_47_flagged!C38</f>
        <v>12</v>
      </c>
      <c r="H45" s="634">
        <f>report_47_flagged!F38</f>
        <v>1</v>
      </c>
      <c r="I45" s="161">
        <f>report_47_flagged!AC38</f>
        <v>43000</v>
      </c>
      <c r="J45" s="161">
        <f>report_47_flagged!AD38</f>
        <v>43016</v>
      </c>
      <c r="K45" s="161">
        <f>report_47_flagged!AE38</f>
        <v>43008</v>
      </c>
      <c r="L45" s="68">
        <f>report_47_flagged!AF38</f>
        <v>16</v>
      </c>
      <c r="M45" s="7">
        <f>report_47_flagged!H38</f>
        <v>58.596428571428575</v>
      </c>
      <c r="N45" s="7">
        <f t="shared" ref="N45:N75" si="8">$M$5*M45</f>
        <v>3.5157857142857143E-2</v>
      </c>
      <c r="O45" s="68">
        <f>report_47_flagged!J38</f>
        <v>1</v>
      </c>
      <c r="P45" s="567">
        <f>report_47_flagged!BA38</f>
        <v>37.049999999999997</v>
      </c>
      <c r="Q45" s="567">
        <f t="shared" ref="Q45:Q75" si="9">$P$5*P45</f>
        <v>0.81509999999999994</v>
      </c>
      <c r="R45" s="568">
        <f>report_47_flagged!BB38</f>
        <v>1</v>
      </c>
      <c r="S45" s="567">
        <f>report_47_flagged!BC38</f>
        <v>8.5250000000000004</v>
      </c>
      <c r="T45" s="567">
        <f t="shared" ref="T45:T75" si="10">$S$5*S45</f>
        <v>0.24722500000000003</v>
      </c>
      <c r="U45" s="568">
        <f>report_47_flagged!BD38</f>
        <v>1</v>
      </c>
      <c r="V45" s="71">
        <f>(report_47_flagged!N38/100)*report_47_flagged!H38</f>
        <v>9.6008673685618806</v>
      </c>
      <c r="W45" s="71">
        <f t="shared" ref="W45:W75" si="11">V45*SQRT(($V$5)^2+($M$5)^2)</f>
        <v>0.2017004911010041</v>
      </c>
      <c r="X45" s="68">
        <f>report_47_flagged!AP38</f>
        <v>1</v>
      </c>
      <c r="Y45" s="71">
        <f>(report_47_flagged!P38/100)*report_47_flagged!H38</f>
        <v>0.78340673542448458</v>
      </c>
      <c r="Z45" s="71">
        <f t="shared" ref="Z45:Z75" si="12">Y45*SQRT(($Y$5)^2+($M$5)^2)</f>
        <v>2.9773166588881982E-2</v>
      </c>
      <c r="AA45" s="68">
        <f>report_47_flagged!AR38</f>
        <v>1</v>
      </c>
      <c r="AB45" s="71">
        <f>(report_47_flagged!R38/100)*report_47_flagged!H38</f>
        <v>5.3348090692123593</v>
      </c>
      <c r="AC45" s="71">
        <f t="shared" ref="AC45:AC75" si="13">AB45*SQRT(($AB$5)^2+($M$5)^2)</f>
        <v>0.14940894520305981</v>
      </c>
      <c r="AD45" s="68">
        <f>report_47_flagged!AT38</f>
        <v>2</v>
      </c>
      <c r="AE45" s="71">
        <f>(report_47_flagged!L38/100)*report_47_flagged!H38</f>
        <v>4.2660582993495222</v>
      </c>
      <c r="AF45" s="71">
        <f t="shared" ref="AF45:AF75" si="14">AE45*SQRT(($AE$5)^2+($M$5)^2)</f>
        <v>8.1095512905979619E-2</v>
      </c>
      <c r="AG45" s="68">
        <f>report_47_flagged!AV38</f>
        <v>2</v>
      </c>
      <c r="AH45" s="71">
        <f>(report_47_flagged!T38/100)*report_47_flagged!H38</f>
        <v>2.5781090549410415</v>
      </c>
      <c r="AI45" s="71">
        <f t="shared" ref="AI45:AI75" si="15">AH45*SQRT(($AH$5)^2+($M$5)^2)</f>
        <v>0.12633681394182952</v>
      </c>
      <c r="AJ45" s="68">
        <f>report_47_flagged!AX38</f>
        <v>1</v>
      </c>
    </row>
    <row r="46" spans="1:36">
      <c r="A46" s="625">
        <f>report_47_flagged!A39</f>
        <v>2017</v>
      </c>
      <c r="B46" s="625" t="str">
        <f>LEFT(report_47_flagged!B39,2)</f>
        <v>46</v>
      </c>
      <c r="C46" s="625" t="str">
        <f>RIGHT(report_47_flagged!B39,4)</f>
        <v>2000</v>
      </c>
      <c r="D46" s="494">
        <v>1837.9</v>
      </c>
      <c r="E46" t="str">
        <f>report!D39</f>
        <v>McLane-PARFLUX-Mark78H-21 ; 2241, B250x21</v>
      </c>
      <c r="G46" s="625">
        <f>report_47_flagged!C39</f>
        <v>13</v>
      </c>
      <c r="H46" s="634">
        <f>report_47_flagged!F39</f>
        <v>1</v>
      </c>
      <c r="I46" s="161">
        <f>report_47_flagged!AC39</f>
        <v>43016</v>
      </c>
      <c r="J46" s="161">
        <f>report_47_flagged!AD39</f>
        <v>43032</v>
      </c>
      <c r="K46" s="161">
        <f>report_47_flagged!AE39</f>
        <v>43024</v>
      </c>
      <c r="L46" s="68">
        <f>report_47_flagged!AF39</f>
        <v>16</v>
      </c>
      <c r="M46" s="7">
        <f>report_47_flagged!H39</f>
        <v>39.592857142857142</v>
      </c>
      <c r="N46" s="7">
        <f t="shared" si="8"/>
        <v>2.3755714285714283E-2</v>
      </c>
      <c r="O46" s="68">
        <f>report_47_flagged!J39</f>
        <v>1</v>
      </c>
      <c r="P46" s="567">
        <f>report_47_flagged!BA39</f>
        <v>37.42</v>
      </c>
      <c r="Q46" s="567">
        <f t="shared" si="9"/>
        <v>0.82323999999999997</v>
      </c>
      <c r="R46" s="568">
        <f>report_47_flagged!BB39</f>
        <v>1</v>
      </c>
      <c r="S46" s="567">
        <f>report_47_flagged!BC39</f>
        <v>8.6050000000000004</v>
      </c>
      <c r="T46" s="567">
        <f t="shared" si="10"/>
        <v>0.24954500000000002</v>
      </c>
      <c r="U46" s="568">
        <f>report_47_flagged!BD39</f>
        <v>1</v>
      </c>
      <c r="V46" s="71">
        <f>(report_47_flagged!N39/100)*report_47_flagged!H39</f>
        <v>5.9410113408224925</v>
      </c>
      <c r="W46" s="71">
        <f t="shared" si="11"/>
        <v>0.12481215072342222</v>
      </c>
      <c r="X46" s="68">
        <f>report_47_flagged!AP39</f>
        <v>1</v>
      </c>
      <c r="Y46" s="71">
        <f>(report_47_flagged!P39/100)*report_47_flagged!H39</f>
        <v>0.38419404344473568</v>
      </c>
      <c r="Z46" s="71">
        <f t="shared" si="12"/>
        <v>1.4601193404009088E-2</v>
      </c>
      <c r="AA46" s="68">
        <f>report_47_flagged!AR39</f>
        <v>1</v>
      </c>
      <c r="AB46" s="71">
        <f>(report_47_flagged!R39/100)*report_47_flagged!H39</f>
        <v>2.714189791789257</v>
      </c>
      <c r="AC46" s="71">
        <f t="shared" si="13"/>
        <v>7.6014760530505307E-2</v>
      </c>
      <c r="AD46" s="68">
        <f>report_47_flagged!AT39</f>
        <v>1</v>
      </c>
      <c r="AE46" s="71">
        <f>(report_47_flagged!L39/100)*report_47_flagged!H39</f>
        <v>3.2268215490332355</v>
      </c>
      <c r="AF46" s="71">
        <f t="shared" si="14"/>
        <v>6.1340171702486658E-2</v>
      </c>
      <c r="AG46" s="68">
        <f>report_47_flagged!AV39</f>
        <v>1</v>
      </c>
      <c r="AH46" s="71">
        <f>(report_47_flagged!T39/100)*report_47_flagged!H39</f>
        <v>1.471088804220779</v>
      </c>
      <c r="AI46" s="71">
        <f t="shared" si="15"/>
        <v>7.2088755203956745E-2</v>
      </c>
      <c r="AJ46" s="68">
        <f>report_47_flagged!AX39</f>
        <v>1</v>
      </c>
    </row>
    <row r="47" spans="1:36">
      <c r="A47" s="625">
        <f>report_47_flagged!A40</f>
        <v>2017</v>
      </c>
      <c r="B47" s="625" t="str">
        <f>LEFT(report_47_flagged!B40,2)</f>
        <v>46</v>
      </c>
      <c r="C47" s="625" t="str">
        <f>RIGHT(report_47_flagged!B40,4)</f>
        <v>2000</v>
      </c>
      <c r="D47" s="494">
        <v>1837.9</v>
      </c>
      <c r="E47" t="str">
        <f>report!D40</f>
        <v>McLane-PARFLUX-Mark78H-21 ; 2241, B250x21</v>
      </c>
      <c r="G47" s="625">
        <f>report_47_flagged!C40</f>
        <v>14</v>
      </c>
      <c r="H47" s="634">
        <f>report_47_flagged!F40</f>
        <v>1</v>
      </c>
      <c r="I47" s="161">
        <f>report_47_flagged!AC40</f>
        <v>43032</v>
      </c>
      <c r="J47" s="161">
        <f>report_47_flagged!AD40</f>
        <v>43048</v>
      </c>
      <c r="K47" s="161">
        <f>report_47_flagged!AE40</f>
        <v>43040</v>
      </c>
      <c r="L47" s="68">
        <f>report_47_flagged!AF40</f>
        <v>16</v>
      </c>
      <c r="M47" s="7">
        <f>report_47_flagged!H40</f>
        <v>98.483928571428564</v>
      </c>
      <c r="N47" s="7">
        <f t="shared" si="8"/>
        <v>5.9090357142857132E-2</v>
      </c>
      <c r="O47" s="68">
        <f>report_47_flagged!J40</f>
        <v>1</v>
      </c>
      <c r="P47" s="567">
        <f>report_47_flagged!BA40</f>
        <v>37.53</v>
      </c>
      <c r="Q47" s="567">
        <f t="shared" si="9"/>
        <v>0.82565999999999995</v>
      </c>
      <c r="R47" s="568">
        <f>report_47_flagged!BB40</f>
        <v>1</v>
      </c>
      <c r="S47" s="567">
        <f>report_47_flagged!BC40</f>
        <v>8.5269999999999992</v>
      </c>
      <c r="T47" s="567">
        <f t="shared" si="10"/>
        <v>0.247283</v>
      </c>
      <c r="U47" s="568">
        <f>report_47_flagged!BD40</f>
        <v>1</v>
      </c>
      <c r="V47" s="71">
        <f>(report_47_flagged!N40/100)*report_47_flagged!H40</f>
        <v>15.341339007411683</v>
      </c>
      <c r="W47" s="71">
        <f t="shared" si="11"/>
        <v>0.32229958952192383</v>
      </c>
      <c r="X47" s="68">
        <f>report_47_flagged!AP40</f>
        <v>1</v>
      </c>
      <c r="Y47" s="71">
        <f>(report_47_flagged!P40/100)*report_47_flagged!H40</f>
        <v>0.95499681477567977</v>
      </c>
      <c r="Z47" s="71">
        <f t="shared" si="12"/>
        <v>3.629440234868745E-2</v>
      </c>
      <c r="AA47" s="68">
        <f>report_47_flagged!AR40</f>
        <v>1</v>
      </c>
      <c r="AB47" s="71">
        <f>(report_47_flagged!R40/100)*report_47_flagged!H40</f>
        <v>7.3790187414774246</v>
      </c>
      <c r="AC47" s="71">
        <f t="shared" si="13"/>
        <v>0.20665995586614794</v>
      </c>
      <c r="AD47" s="68">
        <f>report_47_flagged!AT40</f>
        <v>1</v>
      </c>
      <c r="AE47" s="71">
        <f>(report_47_flagged!L40/100)*report_47_flagged!H40</f>
        <v>7.9623202659342578</v>
      </c>
      <c r="AF47" s="71">
        <f t="shared" si="14"/>
        <v>0.15135949876401611</v>
      </c>
      <c r="AG47" s="68">
        <f>report_47_flagged!AV40</f>
        <v>1</v>
      </c>
      <c r="AH47" s="71">
        <f>(report_47_flagged!T40/100)*report_47_flagged!H40</f>
        <v>3.335969285189075</v>
      </c>
      <c r="AI47" s="71">
        <f t="shared" si="15"/>
        <v>0.16347474909599136</v>
      </c>
      <c r="AJ47" s="68">
        <f>report_47_flagged!AX40</f>
        <v>1</v>
      </c>
    </row>
    <row r="48" spans="1:36">
      <c r="A48" s="625">
        <f>report_47_flagged!A41</f>
        <v>2017</v>
      </c>
      <c r="B48" s="625" t="str">
        <f>LEFT(report_47_flagged!B41,2)</f>
        <v>46</v>
      </c>
      <c r="C48" s="625" t="str">
        <f>RIGHT(report_47_flagged!B41,4)</f>
        <v>2000</v>
      </c>
      <c r="D48" s="494">
        <v>1837.9</v>
      </c>
      <c r="E48" t="str">
        <f>report!D41</f>
        <v>McLane-PARFLUX-Mark78H-21 ; 2241, B250x21</v>
      </c>
      <c r="G48" s="625">
        <f>report_47_flagged!C41</f>
        <v>15</v>
      </c>
      <c r="H48" s="634">
        <f>report_47_flagged!F41</f>
        <v>1</v>
      </c>
      <c r="I48" s="161">
        <f>report_47_flagged!AC41</f>
        <v>43048</v>
      </c>
      <c r="J48" s="161">
        <f>report_47_flagged!AD41</f>
        <v>43064</v>
      </c>
      <c r="K48" s="161">
        <f>report_47_flagged!AE41</f>
        <v>43056</v>
      </c>
      <c r="L48" s="68">
        <f>report_47_flagged!AF41</f>
        <v>16</v>
      </c>
      <c r="M48" s="7">
        <f>report_47_flagged!H41</f>
        <v>186.96964285714284</v>
      </c>
      <c r="N48" s="7">
        <f t="shared" si="8"/>
        <v>0.11218178571428569</v>
      </c>
      <c r="O48" s="68">
        <f>report_47_flagged!J41</f>
        <v>1</v>
      </c>
      <c r="P48" s="567">
        <f>report_47_flagged!BA41</f>
        <v>37.43</v>
      </c>
      <c r="Q48" s="567">
        <f t="shared" si="9"/>
        <v>0.82345999999999997</v>
      </c>
      <c r="R48" s="568">
        <f>report_47_flagged!BB41</f>
        <v>1</v>
      </c>
      <c r="S48" s="567">
        <f>report_47_flagged!BC41</f>
        <v>8.5020000000000007</v>
      </c>
      <c r="T48" s="567">
        <f t="shared" si="10"/>
        <v>0.24655800000000003</v>
      </c>
      <c r="U48" s="568">
        <f>report_47_flagged!BD41</f>
        <v>1</v>
      </c>
      <c r="V48" s="71">
        <f>(report_47_flagged!N41/100)*report_47_flagged!H41</f>
        <v>26.577273199336865</v>
      </c>
      <c r="W48" s="71">
        <f t="shared" si="11"/>
        <v>0.55835049591303487</v>
      </c>
      <c r="X48" s="68">
        <f>report_47_flagged!AP41</f>
        <v>1</v>
      </c>
      <c r="Y48" s="71">
        <f>(report_47_flagged!P41/100)*report_47_flagged!H41</f>
        <v>1.5268768401561039</v>
      </c>
      <c r="Z48" s="71">
        <f t="shared" si="12"/>
        <v>5.80285520497104E-2</v>
      </c>
      <c r="AA48" s="68">
        <f>report_47_flagged!AR41</f>
        <v>1</v>
      </c>
      <c r="AB48" s="71">
        <f>(report_47_flagged!R41/100)*report_47_flagged!H41</f>
        <v>11.545807023298538</v>
      </c>
      <c r="AC48" s="71">
        <f t="shared" si="13"/>
        <v>0.32335681117896192</v>
      </c>
      <c r="AD48" s="68">
        <f>report_47_flagged!AT41</f>
        <v>1</v>
      </c>
      <c r="AE48" s="71">
        <f>(report_47_flagged!L41/100)*report_47_flagged!H41</f>
        <v>15.031466176038331</v>
      </c>
      <c r="AF48" s="71">
        <f t="shared" si="14"/>
        <v>0.28574022522396852</v>
      </c>
      <c r="AG48" s="68">
        <f>report_47_flagged!AV41</f>
        <v>1</v>
      </c>
      <c r="AH48" s="71">
        <f>(report_47_flagged!T41/100)*report_47_flagged!H41</f>
        <v>11.145010569447281</v>
      </c>
      <c r="AI48" s="71">
        <f t="shared" si="15"/>
        <v>0.54614645722354227</v>
      </c>
      <c r="AJ48" s="68">
        <f>report_47_flagged!AX41</f>
        <v>1</v>
      </c>
    </row>
    <row r="49" spans="1:36">
      <c r="A49" s="625">
        <f>report_47_flagged!A42</f>
        <v>2017</v>
      </c>
      <c r="B49" s="625" t="str">
        <f>LEFT(report_47_flagged!B42,2)</f>
        <v>46</v>
      </c>
      <c r="C49" s="625" t="str">
        <f>RIGHT(report_47_flagged!B42,4)</f>
        <v>2000</v>
      </c>
      <c r="D49" s="494">
        <v>1837.9</v>
      </c>
      <c r="E49" t="str">
        <f>report!D42</f>
        <v>McLane-PARFLUX-Mark78H-21 ; 2241, B250x21</v>
      </c>
      <c r="G49" s="625">
        <f>report_47_flagged!C42</f>
        <v>16</v>
      </c>
      <c r="H49" s="634">
        <f>report_47_flagged!F42</f>
        <v>1</v>
      </c>
      <c r="I49" s="161">
        <f>report_47_flagged!AC42</f>
        <v>43064</v>
      </c>
      <c r="J49" s="161">
        <f>report_47_flagged!AD42</f>
        <v>43080</v>
      </c>
      <c r="K49" s="161">
        <f>report_47_flagged!AE42</f>
        <v>43072</v>
      </c>
      <c r="L49" s="68">
        <f>report_47_flagged!AF42</f>
        <v>16</v>
      </c>
      <c r="M49" s="7">
        <f>report_47_flagged!H42</f>
        <v>244.17857142857142</v>
      </c>
      <c r="N49" s="7">
        <f t="shared" si="8"/>
        <v>0.14650714285714284</v>
      </c>
      <c r="O49" s="68">
        <f>report_47_flagged!J42</f>
        <v>1</v>
      </c>
      <c r="P49" s="567">
        <f>report_47_flagged!BA42</f>
        <v>36.51</v>
      </c>
      <c r="Q49" s="567">
        <f t="shared" si="9"/>
        <v>0.80321999999999993</v>
      </c>
      <c r="R49" s="568">
        <f>report_47_flagged!BB42</f>
        <v>1</v>
      </c>
      <c r="S49" s="567">
        <f>report_47_flagged!BC42</f>
        <v>8.3000000000000007</v>
      </c>
      <c r="T49" s="567">
        <f t="shared" si="10"/>
        <v>0.24070000000000003</v>
      </c>
      <c r="U49" s="568">
        <f>report_47_flagged!BD42</f>
        <v>1</v>
      </c>
      <c r="V49" s="71">
        <f>(report_47_flagged!N42/100)*report_47_flagged!H42</f>
        <v>36.122268079008371</v>
      </c>
      <c r="W49" s="71">
        <f t="shared" si="11"/>
        <v>0.7588771859379897</v>
      </c>
      <c r="X49" s="68">
        <f>report_47_flagged!AP42</f>
        <v>1</v>
      </c>
      <c r="Y49" s="71">
        <f>(report_47_flagged!P42/100)*report_47_flagged!H42</f>
        <v>2.527427731326648</v>
      </c>
      <c r="Z49" s="71">
        <f t="shared" si="12"/>
        <v>9.6054225070422466E-2</v>
      </c>
      <c r="AA49" s="68">
        <f>report_47_flagged!AR42</f>
        <v>1</v>
      </c>
      <c r="AB49" s="71">
        <f>(report_47_flagged!R42/100)*report_47_flagged!H42</f>
        <v>19.308997725346774</v>
      </c>
      <c r="AC49" s="71">
        <f t="shared" si="13"/>
        <v>0.54077605133453821</v>
      </c>
      <c r="AD49" s="68">
        <f>report_47_flagged!AT42</f>
        <v>1</v>
      </c>
      <c r="AE49" s="71">
        <f>(report_47_flagged!L42/100)*report_47_flagged!H42</f>
        <v>16.813270353661597</v>
      </c>
      <c r="AF49" s="71">
        <f t="shared" si="14"/>
        <v>0.31961138064263883</v>
      </c>
      <c r="AG49" s="68">
        <f>report_47_flagged!AV42</f>
        <v>1</v>
      </c>
      <c r="AH49" s="71">
        <f>(report_47_flagged!T42/100)*report_47_flagged!H42</f>
        <v>19.096597120371673</v>
      </c>
      <c r="AI49" s="71">
        <f t="shared" si="15"/>
        <v>0.93580340703378306</v>
      </c>
      <c r="AJ49" s="68">
        <f>report_47_flagged!AX42</f>
        <v>1</v>
      </c>
    </row>
    <row r="50" spans="1:36">
      <c r="A50" s="625">
        <f>report_47_flagged!A43</f>
        <v>2017</v>
      </c>
      <c r="B50" s="625" t="str">
        <f>LEFT(report_47_flagged!B43,2)</f>
        <v>46</v>
      </c>
      <c r="C50" s="625" t="str">
        <f>RIGHT(report_47_flagged!B43,4)</f>
        <v>2000</v>
      </c>
      <c r="D50" s="494">
        <v>1837.9</v>
      </c>
      <c r="E50" t="str">
        <f>report!D43</f>
        <v>McLane-PARFLUX-Mark78H-21 ; 2241, B250x21</v>
      </c>
      <c r="G50" s="625">
        <f>report_47_flagged!C43</f>
        <v>17</v>
      </c>
      <c r="H50" s="634">
        <f>report_47_flagged!F43</f>
        <v>1</v>
      </c>
      <c r="I50" s="161">
        <f>report_47_flagged!AC43</f>
        <v>43080</v>
      </c>
      <c r="J50" s="161">
        <f>report_47_flagged!AD43</f>
        <v>43096</v>
      </c>
      <c r="K50" s="161">
        <f>report_47_flagged!AE43</f>
        <v>43088</v>
      </c>
      <c r="L50" s="68">
        <f>report_47_flagged!AF43</f>
        <v>16</v>
      </c>
      <c r="M50" s="7">
        <f>report_47_flagged!H43</f>
        <v>131.50000000000003</v>
      </c>
      <c r="N50" s="7">
        <f t="shared" si="8"/>
        <v>7.8900000000000012E-2</v>
      </c>
      <c r="O50" s="68">
        <f>report_47_flagged!J43</f>
        <v>1</v>
      </c>
      <c r="P50" s="567">
        <f>report_47_flagged!BA43</f>
        <v>37.165000000000006</v>
      </c>
      <c r="Q50" s="567">
        <f t="shared" si="9"/>
        <v>0.81763000000000008</v>
      </c>
      <c r="R50" s="568">
        <f>report_47_flagged!BB43</f>
        <v>1</v>
      </c>
      <c r="S50" s="567">
        <f>report_47_flagged!BC43</f>
        <v>8.4809999999999999</v>
      </c>
      <c r="T50" s="567">
        <f t="shared" si="10"/>
        <v>0.245949</v>
      </c>
      <c r="U50" s="568">
        <f>report_47_flagged!BD43</f>
        <v>1</v>
      </c>
      <c r="V50" s="71">
        <f>(report_47_flagged!N43/100)*report_47_flagged!H43</f>
        <v>20.163998832702639</v>
      </c>
      <c r="W50" s="71">
        <f t="shared" si="11"/>
        <v>0.4236167745045526</v>
      </c>
      <c r="X50" s="68">
        <f>report_47_flagged!AP43</f>
        <v>1</v>
      </c>
      <c r="Y50" s="71">
        <f>(report_47_flagged!P43/100)*report_47_flagged!H43</f>
        <v>1.4804552346467974</v>
      </c>
      <c r="Z50" s="71">
        <f t="shared" si="12"/>
        <v>5.6264311162244646E-2</v>
      </c>
      <c r="AA50" s="68">
        <f>report_47_flagged!AR43</f>
        <v>1</v>
      </c>
      <c r="AB50" s="71">
        <f>(report_47_flagged!R43/100)*report_47_flagged!H43</f>
        <v>11.716087323989962</v>
      </c>
      <c r="AC50" s="71">
        <f t="shared" si="13"/>
        <v>0.32812575413176409</v>
      </c>
      <c r="AD50" s="68">
        <f>report_47_flagged!AT43</f>
        <v>1</v>
      </c>
      <c r="AE50" s="71">
        <f>(report_47_flagged!L43/100)*report_47_flagged!H43</f>
        <v>8.4479115087126786</v>
      </c>
      <c r="AF50" s="71">
        <f t="shared" si="14"/>
        <v>0.16059033156856842</v>
      </c>
      <c r="AG50" s="68">
        <f>report_47_flagged!AV43</f>
        <v>1</v>
      </c>
      <c r="AH50" s="71">
        <f>(report_47_flagged!T43/100)*report_47_flagged!H43</f>
        <v>10.564994173728815</v>
      </c>
      <c r="AI50" s="71">
        <f t="shared" si="15"/>
        <v>0.51772352324072435</v>
      </c>
      <c r="AJ50" s="68">
        <f>report_47_flagged!AX43</f>
        <v>1</v>
      </c>
    </row>
    <row r="51" spans="1:36">
      <c r="A51" s="625">
        <f>report_47_flagged!A44</f>
        <v>2017</v>
      </c>
      <c r="B51" s="625" t="str">
        <f>LEFT(report_47_flagged!B44,2)</f>
        <v>46</v>
      </c>
      <c r="C51" s="625" t="str">
        <f>RIGHT(report_47_flagged!B44,4)</f>
        <v>2000</v>
      </c>
      <c r="D51" s="494">
        <v>1837.9</v>
      </c>
      <c r="E51" t="str">
        <f>report!D44</f>
        <v>McLane-PARFLUX-Mark78H-21 ; 2241, B250x21</v>
      </c>
      <c r="G51" s="625">
        <f>report_47_flagged!C44</f>
        <v>18</v>
      </c>
      <c r="H51" s="634">
        <f>report_47_flagged!F44</f>
        <v>1</v>
      </c>
      <c r="I51" s="161">
        <f>report_47_flagged!AC44</f>
        <v>43096</v>
      </c>
      <c r="J51" s="161">
        <f>report_47_flagged!AD44</f>
        <v>43112</v>
      </c>
      <c r="K51" s="161">
        <f>report_47_flagged!AE44</f>
        <v>43104</v>
      </c>
      <c r="L51" s="68">
        <f>report_47_flagged!AF44</f>
        <v>16</v>
      </c>
      <c r="M51" s="7">
        <f>report_47_flagged!H44</f>
        <v>149.41249999999999</v>
      </c>
      <c r="N51" s="7">
        <f t="shared" si="8"/>
        <v>8.9647499999999991E-2</v>
      </c>
      <c r="O51" s="68">
        <f>report_47_flagged!J44</f>
        <v>1</v>
      </c>
      <c r="P51" s="567">
        <f>report_47_flagged!BA44</f>
        <v>37</v>
      </c>
      <c r="Q51" s="567">
        <f t="shared" si="9"/>
        <v>0.81399999999999995</v>
      </c>
      <c r="R51" s="568">
        <f>report_47_flagged!BB44</f>
        <v>1</v>
      </c>
      <c r="S51" s="567">
        <f>report_47_flagged!BC44</f>
        <v>8.3770000000000007</v>
      </c>
      <c r="T51" s="567">
        <f t="shared" si="10"/>
        <v>0.24293300000000004</v>
      </c>
      <c r="U51" s="568">
        <f>report_47_flagged!BD44</f>
        <v>1</v>
      </c>
      <c r="V51" s="71">
        <f>(report_47_flagged!N44/100)*report_47_flagged!H44</f>
        <v>23.316587254345418</v>
      </c>
      <c r="W51" s="71">
        <f t="shared" si="11"/>
        <v>0.48984814803304005</v>
      </c>
      <c r="X51" s="68">
        <f>report_47_flagged!AP44</f>
        <v>2</v>
      </c>
      <c r="Y51" s="71">
        <f>(report_47_flagged!P44/100)*report_47_flagged!H44</f>
        <v>2.1218102573305369</v>
      </c>
      <c r="Z51" s="71">
        <f t="shared" si="12"/>
        <v>8.0638839832377338E-2</v>
      </c>
      <c r="AA51" s="68">
        <f>report_47_flagged!AR44</f>
        <v>3</v>
      </c>
      <c r="AB51" s="71">
        <f>(report_47_flagged!R44/100)*report_47_flagged!H44</f>
        <v>15.091118247319752</v>
      </c>
      <c r="AC51" s="71">
        <f t="shared" si="13"/>
        <v>0.4226483141222499</v>
      </c>
      <c r="AD51" s="68">
        <f>report_47_flagged!AT44</f>
        <v>2</v>
      </c>
      <c r="AE51" s="71">
        <f>(report_47_flagged!L44/100)*report_47_flagged!H44</f>
        <v>8.2254690070256657</v>
      </c>
      <c r="AF51" s="71">
        <f t="shared" si="14"/>
        <v>0.15636181721161549</v>
      </c>
      <c r="AG51" s="68">
        <f>report_47_flagged!AV44</f>
        <v>1</v>
      </c>
      <c r="AH51" s="71">
        <f>(report_47_flagged!T44/100)*report_47_flagged!H44</f>
        <v>15.417554272913142</v>
      </c>
      <c r="AI51" s="71">
        <f t="shared" si="15"/>
        <v>0.75551679316359655</v>
      </c>
      <c r="AJ51" s="68">
        <f>report_47_flagged!AX44</f>
        <v>1</v>
      </c>
    </row>
    <row r="52" spans="1:36">
      <c r="A52" s="625">
        <f>report_47_flagged!A45</f>
        <v>2017</v>
      </c>
      <c r="B52" s="625" t="str">
        <f>LEFT(report_47_flagged!B45,2)</f>
        <v>46</v>
      </c>
      <c r="C52" s="625" t="str">
        <f>RIGHT(report_47_flagged!B45,4)</f>
        <v>2000</v>
      </c>
      <c r="D52" s="494">
        <v>1837.9</v>
      </c>
      <c r="E52" t="str">
        <f>report!D45</f>
        <v>McLane-PARFLUX-Mark78H-21 ; 2241, B250x21</v>
      </c>
      <c r="G52" s="625">
        <f>report_47_flagged!C45</f>
        <v>19</v>
      </c>
      <c r="H52" s="634">
        <f>report_47_flagged!F45</f>
        <v>1</v>
      </c>
      <c r="I52" s="161">
        <f>report_47_flagged!AC45</f>
        <v>43112</v>
      </c>
      <c r="J52" s="161">
        <f>report_47_flagged!AD45</f>
        <v>43128</v>
      </c>
      <c r="K52" s="161">
        <f>report_47_flagged!AE45</f>
        <v>43120</v>
      </c>
      <c r="L52" s="68">
        <f>report_47_flagged!AF45</f>
        <v>16</v>
      </c>
      <c r="M52" s="7">
        <f>report_47_flagged!H45</f>
        <v>148.1</v>
      </c>
      <c r="N52" s="7">
        <f t="shared" si="8"/>
        <v>8.8859999999999995E-2</v>
      </c>
      <c r="O52" s="68">
        <f>report_47_flagged!J45</f>
        <v>1</v>
      </c>
      <c r="P52" s="567">
        <f>report_47_flagged!BA45</f>
        <v>36.85</v>
      </c>
      <c r="Q52" s="567">
        <f t="shared" si="9"/>
        <v>0.81069999999999998</v>
      </c>
      <c r="R52" s="568">
        <f>report_47_flagged!BB45</f>
        <v>1</v>
      </c>
      <c r="S52" s="567">
        <f>report_47_flagged!BC45</f>
        <v>8.4770000000000003</v>
      </c>
      <c r="T52" s="567">
        <f t="shared" si="10"/>
        <v>0.24583300000000002</v>
      </c>
      <c r="U52" s="568">
        <f>report_47_flagged!BD45</f>
        <v>1</v>
      </c>
      <c r="V52" s="71">
        <f>(report_47_flagged!N45/100)*report_47_flagged!H45</f>
        <v>21.932213766098023</v>
      </c>
      <c r="W52" s="71">
        <f t="shared" si="11"/>
        <v>0.46076444114203075</v>
      </c>
      <c r="X52" s="68">
        <f>report_47_flagged!AP45</f>
        <v>1</v>
      </c>
      <c r="Y52" s="71">
        <f>(report_47_flagged!P45/100)*report_47_flagged!H45</f>
        <v>1.7290980712175368</v>
      </c>
      <c r="Z52" s="71">
        <f t="shared" si="12"/>
        <v>6.5713916660391877E-2</v>
      </c>
      <c r="AA52" s="68">
        <f>report_47_flagged!AR45</f>
        <v>1</v>
      </c>
      <c r="AB52" s="71">
        <f>(report_47_flagged!R45/100)*report_47_flagged!H45</f>
        <v>12.423466280909995</v>
      </c>
      <c r="AC52" s="71">
        <f t="shared" si="13"/>
        <v>0.34793691183976938</v>
      </c>
      <c r="AD52" s="68">
        <f>report_47_flagged!AT45</f>
        <v>1</v>
      </c>
      <c r="AE52" s="71">
        <f>(report_47_flagged!L45/100)*report_47_flagged!H45</f>
        <v>9.5087474851880263</v>
      </c>
      <c r="AF52" s="71">
        <f t="shared" si="14"/>
        <v>0.18075626264234243</v>
      </c>
      <c r="AG52" s="68">
        <f>report_47_flagged!AV45</f>
        <v>1</v>
      </c>
      <c r="AH52" s="71">
        <f>(report_47_flagged!T45/100)*report_47_flagged!H45</f>
        <v>13.488142253455536</v>
      </c>
      <c r="AI52" s="71">
        <f t="shared" si="15"/>
        <v>0.6609685168398397</v>
      </c>
      <c r="AJ52" s="68">
        <f>report_47_flagged!AX45</f>
        <v>1</v>
      </c>
    </row>
    <row r="53" spans="1:36">
      <c r="A53" s="625">
        <f>report_47_flagged!A46</f>
        <v>2017</v>
      </c>
      <c r="B53" s="625" t="str">
        <f>LEFT(report_47_flagged!B46,2)</f>
        <v>46</v>
      </c>
      <c r="C53" s="625" t="str">
        <f>RIGHT(report_47_flagged!B46,4)</f>
        <v>2000</v>
      </c>
      <c r="D53" s="494">
        <v>1837.9</v>
      </c>
      <c r="E53" t="str">
        <f>report!D46</f>
        <v>McLane-PARFLUX-Mark78H-21 ; 2241, B250x21</v>
      </c>
      <c r="G53" s="625">
        <f>report_47_flagged!C46</f>
        <v>20</v>
      </c>
      <c r="H53" s="634">
        <f>report_47_flagged!F46</f>
        <v>1</v>
      </c>
      <c r="I53" s="161">
        <f>report_47_flagged!AC46</f>
        <v>43128</v>
      </c>
      <c r="J53" s="161">
        <f>report_47_flagged!AD46</f>
        <v>43144</v>
      </c>
      <c r="K53" s="161">
        <f>report_47_flagged!AE46</f>
        <v>43136</v>
      </c>
      <c r="L53" s="68">
        <f>report_47_flagged!AF46</f>
        <v>16</v>
      </c>
      <c r="M53" s="7">
        <f>report_47_flagged!H46</f>
        <v>138.67321428571429</v>
      </c>
      <c r="N53" s="7">
        <f t="shared" si="8"/>
        <v>8.3203928571428568E-2</v>
      </c>
      <c r="O53" s="68">
        <f>report_47_flagged!J46</f>
        <v>1</v>
      </c>
      <c r="P53" s="567">
        <f>report_47_flagged!BA46</f>
        <v>37.270000000000003</v>
      </c>
      <c r="Q53" s="567">
        <f t="shared" si="9"/>
        <v>0.81994</v>
      </c>
      <c r="R53" s="568">
        <f>report_47_flagged!BB46</f>
        <v>1</v>
      </c>
      <c r="S53" s="567">
        <f>report_47_flagged!BC46</f>
        <v>8.4629999999999992</v>
      </c>
      <c r="T53" s="567">
        <f t="shared" si="10"/>
        <v>0.24542699999999998</v>
      </c>
      <c r="U53" s="568">
        <f>report_47_flagged!BD46</f>
        <v>1</v>
      </c>
      <c r="V53" s="71">
        <f>(report_47_flagged!N46/100)*report_47_flagged!H46</f>
        <v>20.513462056841171</v>
      </c>
      <c r="W53" s="71">
        <f t="shared" si="11"/>
        <v>0.43095849699946931</v>
      </c>
      <c r="X53" s="68">
        <f>report_47_flagged!AP46</f>
        <v>1</v>
      </c>
      <c r="Y53" s="71">
        <f>(report_47_flagged!P46/100)*report_47_flagged!H46</f>
        <v>1.3524023473443729</v>
      </c>
      <c r="Z53" s="71">
        <f t="shared" si="12"/>
        <v>5.1397694916244907E-2</v>
      </c>
      <c r="AA53" s="68">
        <f>report_47_flagged!AR46</f>
        <v>1</v>
      </c>
      <c r="AB53" s="71">
        <f>(report_47_flagged!R46/100)*report_47_flagged!H46</f>
        <v>9.7234111785308261</v>
      </c>
      <c r="AC53" s="71">
        <f t="shared" si="13"/>
        <v>0.27231801346817841</v>
      </c>
      <c r="AD53" s="68">
        <f>report_47_flagged!AT46</f>
        <v>1</v>
      </c>
      <c r="AE53" s="71">
        <f>(report_47_flagged!L46/100)*report_47_flagged!H46</f>
        <v>10.790050878310343</v>
      </c>
      <c r="AF53" s="71">
        <f t="shared" si="14"/>
        <v>0.20511316275063909</v>
      </c>
      <c r="AG53" s="68">
        <f>report_47_flagged!AV46</f>
        <v>1</v>
      </c>
      <c r="AH53" s="71">
        <f>(report_47_flagged!T46/100)*report_47_flagged!H46</f>
        <v>7.3777960672898093</v>
      </c>
      <c r="AI53" s="71">
        <f t="shared" si="15"/>
        <v>0.36153910838937336</v>
      </c>
      <c r="AJ53" s="68">
        <f>report_47_flagged!AX46</f>
        <v>1</v>
      </c>
    </row>
    <row r="54" spans="1:36">
      <c r="A54" s="625">
        <f>report_47_flagged!A47</f>
        <v>2017</v>
      </c>
      <c r="B54" s="625" t="str">
        <f>LEFT(report_47_flagged!B47,2)</f>
        <v>46</v>
      </c>
      <c r="C54" s="625" t="str">
        <f>RIGHT(report_47_flagged!B47,4)</f>
        <v>2000</v>
      </c>
      <c r="D54" s="494">
        <v>1837.9</v>
      </c>
      <c r="E54" t="str">
        <f>report!D47</f>
        <v>McLane-PARFLUX-Mark78H-21 ; 2241, B250x21</v>
      </c>
      <c r="G54" s="625">
        <f>report_47_flagged!C47</f>
        <v>21</v>
      </c>
      <c r="H54" s="634">
        <f>report_47_flagged!F47</f>
        <v>1</v>
      </c>
      <c r="I54" s="161">
        <f>report_47_flagged!AC47</f>
        <v>43144</v>
      </c>
      <c r="J54" s="161">
        <f>report_47_flagged!AD47</f>
        <v>43160</v>
      </c>
      <c r="K54" s="161">
        <f>report_47_flagged!AE47</f>
        <v>43152</v>
      </c>
      <c r="L54" s="68">
        <f>report_47_flagged!AF47</f>
        <v>16</v>
      </c>
      <c r="M54" s="7">
        <f>report_47_flagged!H47</f>
        <v>21.19464285714286</v>
      </c>
      <c r="N54" s="7">
        <f t="shared" si="8"/>
        <v>1.2716785714285715E-2</v>
      </c>
      <c r="O54" s="68">
        <f>report_47_flagged!J47</f>
        <v>1</v>
      </c>
      <c r="P54" s="567">
        <f>report_47_flagged!BA47</f>
        <v>37.72</v>
      </c>
      <c r="Q54" s="567">
        <f t="shared" si="9"/>
        <v>0.82983999999999991</v>
      </c>
      <c r="R54" s="568">
        <f>report_47_flagged!BB47</f>
        <v>1</v>
      </c>
      <c r="S54" s="567">
        <f>report_47_flagged!BC47</f>
        <v>8.532</v>
      </c>
      <c r="T54" s="567">
        <f t="shared" si="10"/>
        <v>0.24742800000000001</v>
      </c>
      <c r="U54" s="568">
        <f>report_47_flagged!BD47</f>
        <v>1</v>
      </c>
      <c r="V54" s="71">
        <f>(report_47_flagged!N47/100)*report_47_flagged!H47</f>
        <v>3.2799151268686573</v>
      </c>
      <c r="W54" s="71">
        <f t="shared" si="11"/>
        <v>6.8906325487351872E-2</v>
      </c>
      <c r="X54" s="68">
        <f>report_47_flagged!AP47</f>
        <v>1</v>
      </c>
      <c r="Y54" s="71">
        <f>(report_47_flagged!P47/100)*report_47_flagged!H47</f>
        <v>0.25049916064526356</v>
      </c>
      <c r="Z54" s="71">
        <f t="shared" si="12"/>
        <v>9.5201546055452054E-3</v>
      </c>
      <c r="AA54" s="68">
        <f>report_47_flagged!AR47</f>
        <v>1</v>
      </c>
      <c r="AB54" s="71">
        <f>(report_47_flagged!R47/100)*report_47_flagged!H47</f>
        <v>1.5354099503604626</v>
      </c>
      <c r="AC54" s="71">
        <f t="shared" si="13"/>
        <v>4.3001347969798806E-2</v>
      </c>
      <c r="AD54" s="68">
        <f>report_47_flagged!AT47</f>
        <v>1</v>
      </c>
      <c r="AE54" s="71">
        <f>(report_47_flagged!L47/100)*report_47_flagged!H47</f>
        <v>1.7445051765081945</v>
      </c>
      <c r="AF54" s="71">
        <f t="shared" si="14"/>
        <v>3.316212112657714E-2</v>
      </c>
      <c r="AG54" s="68">
        <f>report_47_flagged!AV47</f>
        <v>1</v>
      </c>
      <c r="AH54" s="71">
        <f>(report_47_flagged!T47/100)*report_47_flagged!H47</f>
        <v>0.78143586189300684</v>
      </c>
      <c r="AI54" s="71">
        <f t="shared" si="15"/>
        <v>3.8293227705880617E-2</v>
      </c>
      <c r="AJ54" s="68">
        <f>report_47_flagged!AX47</f>
        <v>1</v>
      </c>
    </row>
    <row r="55" spans="1:36">
      <c r="A55" s="625">
        <f>report_47_flagged!A48</f>
        <v>2017</v>
      </c>
      <c r="B55" s="625" t="str">
        <f>LEFT(report_47_flagged!B48,2)</f>
        <v>46</v>
      </c>
      <c r="C55" s="625" t="str">
        <f>RIGHT(report_47_flagged!B48,4)</f>
        <v>3800</v>
      </c>
      <c r="D55" s="494">
        <v>3712.5</v>
      </c>
      <c r="E55" t="str">
        <f>report!D48</f>
        <v>McLane-PARFLUX-Mark78H-21 ; 10705, A250x21</v>
      </c>
      <c r="G55" s="625">
        <f>report_47_flagged!C48</f>
        <v>1</v>
      </c>
      <c r="H55" s="634">
        <f>report_47_flagged!F48</f>
        <v>1</v>
      </c>
      <c r="I55" s="161">
        <f>report_47_flagged!AC48</f>
        <v>42824</v>
      </c>
      <c r="J55" s="161">
        <f>report_47_flagged!AD48</f>
        <v>42840</v>
      </c>
      <c r="K55" s="161">
        <f>report_47_flagged!AE48</f>
        <v>42832</v>
      </c>
      <c r="L55" s="68">
        <f>report_47_flagged!AF48</f>
        <v>16</v>
      </c>
      <c r="M55" s="7">
        <f>report_47_flagged!H48</f>
        <v>47.253571428571426</v>
      </c>
      <c r="N55" s="7">
        <f t="shared" si="8"/>
        <v>2.8352142857142854E-2</v>
      </c>
      <c r="O55" s="68">
        <f>report_47_flagged!J48</f>
        <v>1</v>
      </c>
      <c r="P55" s="567">
        <f>report_47_flagged!BA48</f>
        <v>37.28</v>
      </c>
      <c r="Q55" s="567">
        <f t="shared" si="9"/>
        <v>0.82016</v>
      </c>
      <c r="R55" s="568">
        <f>report_47_flagged!BB48</f>
        <v>1</v>
      </c>
      <c r="S55" s="567">
        <f>report_47_flagged!BC48</f>
        <v>8.5489999999999995</v>
      </c>
      <c r="T55" s="567">
        <f t="shared" si="10"/>
        <v>0.247921</v>
      </c>
      <c r="U55" s="568">
        <f>report_47_flagged!BD48</f>
        <v>1</v>
      </c>
      <c r="V55" s="71">
        <f>(report_47_flagged!N48/100)*report_47_flagged!H48</f>
        <v>6.8279352617774691</v>
      </c>
      <c r="W55" s="71">
        <f t="shared" si="11"/>
        <v>0.14344515371767602</v>
      </c>
      <c r="X55" s="68">
        <f>report_47_flagged!AP48</f>
        <v>1</v>
      </c>
      <c r="Y55" s="71">
        <f>(report_47_flagged!P48/100)*report_47_flagged!H48</f>
        <v>0.41144994411511077</v>
      </c>
      <c r="Z55" s="71">
        <f t="shared" si="12"/>
        <v>1.5637046728335428E-2</v>
      </c>
      <c r="AA55" s="68">
        <f>report_47_flagged!AR48</f>
        <v>1</v>
      </c>
      <c r="AB55" s="71">
        <f>(report_47_flagged!R48/100)*report_47_flagged!H48</f>
        <v>3.0409063779284269</v>
      </c>
      <c r="AC55" s="71">
        <f t="shared" si="13"/>
        <v>8.5164925022260043E-2</v>
      </c>
      <c r="AD55" s="68">
        <f>report_47_flagged!AT48</f>
        <v>1</v>
      </c>
      <c r="AE55" s="71">
        <f>(report_47_flagged!L48/100)*report_47_flagged!H48</f>
        <v>3.7870288838490422</v>
      </c>
      <c r="AF55" s="71">
        <f t="shared" si="14"/>
        <v>7.1989416968897296E-2</v>
      </c>
      <c r="AG55" s="68">
        <f>report_47_flagged!AV48</f>
        <v>1</v>
      </c>
      <c r="AH55" s="71">
        <f>(report_47_flagged!T48/100)*report_47_flagged!H48</f>
        <v>2.1946587568367066</v>
      </c>
      <c r="AI55" s="71">
        <f t="shared" si="15"/>
        <v>0.10754634079458157</v>
      </c>
      <c r="AJ55" s="68">
        <f>report_47_flagged!AX48</f>
        <v>1</v>
      </c>
    </row>
    <row r="56" spans="1:36">
      <c r="A56" s="625">
        <f>report_47_flagged!A49</f>
        <v>2017</v>
      </c>
      <c r="B56" s="625" t="str">
        <f>LEFT(report_47_flagged!B49,2)</f>
        <v>46</v>
      </c>
      <c r="C56" s="625" t="str">
        <f>RIGHT(report_47_flagged!B49,4)</f>
        <v>3800</v>
      </c>
      <c r="D56" s="494">
        <v>3712.5</v>
      </c>
      <c r="E56" t="str">
        <f>report!D49</f>
        <v>McLane-PARFLUX-Mark78H-21 ; 10705, A250x21</v>
      </c>
      <c r="G56" s="625">
        <f>report_47_flagged!C49</f>
        <v>2</v>
      </c>
      <c r="H56" s="634">
        <f>report_47_flagged!F49</f>
        <v>1</v>
      </c>
      <c r="I56" s="161">
        <f>report_47_flagged!AC49</f>
        <v>42840</v>
      </c>
      <c r="J56" s="161">
        <f>report_47_flagged!AD49</f>
        <v>42856</v>
      </c>
      <c r="K56" s="161">
        <f>report_47_flagged!AE49</f>
        <v>42848</v>
      </c>
      <c r="L56" s="68">
        <f>report_47_flagged!AF49</f>
        <v>16</v>
      </c>
      <c r="M56" s="7">
        <f>report_47_flagged!H49</f>
        <v>54.523214285714296</v>
      </c>
      <c r="N56" s="7">
        <f t="shared" si="8"/>
        <v>3.2713928571428574E-2</v>
      </c>
      <c r="O56" s="68">
        <f>report_47_flagged!J49</f>
        <v>3</v>
      </c>
      <c r="P56" s="567">
        <f>report_47_flagged!BA49</f>
        <v>36.72</v>
      </c>
      <c r="Q56" s="567">
        <f t="shared" si="9"/>
        <v>0.80783999999999989</v>
      </c>
      <c r="R56" s="568">
        <f>report_47_flagged!BB49</f>
        <v>1</v>
      </c>
      <c r="S56" s="567">
        <f>report_47_flagged!BC49</f>
        <v>8.6180000000000003</v>
      </c>
      <c r="T56" s="567">
        <f t="shared" si="10"/>
        <v>0.24992200000000003</v>
      </c>
      <c r="U56" s="568">
        <f>report_47_flagged!BD49</f>
        <v>1</v>
      </c>
      <c r="V56" s="71">
        <f>(report_47_flagged!N49/100)*report_47_flagged!H49</f>
        <v>7.1697577528272376</v>
      </c>
      <c r="W56" s="71">
        <f t="shared" si="11"/>
        <v>0.15062635533909099</v>
      </c>
      <c r="X56" s="68">
        <f>report_47_flagged!AP49</f>
        <v>3</v>
      </c>
      <c r="Y56" s="71">
        <f>(report_47_flagged!P49/100)*report_47_flagged!H49</f>
        <v>0.30926578117694176</v>
      </c>
      <c r="Z56" s="71">
        <f t="shared" si="12"/>
        <v>1.1753564536603839E-2</v>
      </c>
      <c r="AA56" s="68">
        <f>report_47_flagged!AR49</f>
        <v>3</v>
      </c>
      <c r="AB56" s="71">
        <f>(report_47_flagged!R49/100)*report_47_flagged!H49</f>
        <v>2.1191925540320806</v>
      </c>
      <c r="AC56" s="71">
        <f t="shared" si="13"/>
        <v>5.9351013330053215E-2</v>
      </c>
      <c r="AD56" s="68">
        <f>report_47_flagged!AT49</f>
        <v>3</v>
      </c>
      <c r="AE56" s="71">
        <f>(report_47_flagged!L49/100)*report_47_flagged!H49</f>
        <v>5.0505651987951561</v>
      </c>
      <c r="AF56" s="71">
        <f t="shared" si="14"/>
        <v>9.6008574314100578E-2</v>
      </c>
      <c r="AG56" s="68">
        <f>report_47_flagged!AV49</f>
        <v>3</v>
      </c>
      <c r="AH56" s="71">
        <f>(report_47_flagged!T49/100)*report_47_flagged!H49</f>
        <v>1.6751145445357367</v>
      </c>
      <c r="AI56" s="71">
        <f t="shared" si="15"/>
        <v>8.2086765933609265E-2</v>
      </c>
      <c r="AJ56" s="68">
        <f>report_47_flagged!AX49</f>
        <v>3</v>
      </c>
    </row>
    <row r="57" spans="1:36">
      <c r="A57" s="625">
        <f>report_47_flagged!A50</f>
        <v>2017</v>
      </c>
      <c r="B57" s="625" t="str">
        <f>LEFT(report_47_flagged!B50,2)</f>
        <v>46</v>
      </c>
      <c r="C57" s="625" t="str">
        <f>RIGHT(report_47_flagged!B50,4)</f>
        <v>3800</v>
      </c>
      <c r="D57" s="494">
        <v>3712.5</v>
      </c>
      <c r="E57" t="str">
        <f>report!D50</f>
        <v>McLane-PARFLUX-Mark78H-21 ; 10705, A250x21</v>
      </c>
      <c r="G57" s="625">
        <f>report_47_flagged!C50</f>
        <v>3</v>
      </c>
      <c r="H57" s="634">
        <f>report_47_flagged!F50</f>
        <v>1</v>
      </c>
      <c r="I57" s="161">
        <f>report_47_flagged!AC50</f>
        <v>42856</v>
      </c>
      <c r="J57" s="161">
        <f>report_47_flagged!AD50</f>
        <v>42872</v>
      </c>
      <c r="K57" s="161">
        <f>report_47_flagged!AE50</f>
        <v>42864</v>
      </c>
      <c r="L57" s="68">
        <f>report_47_flagged!AF50</f>
        <v>16</v>
      </c>
      <c r="M57" s="7">
        <f>report_47_flagged!H50</f>
        <v>62.935714285714283</v>
      </c>
      <c r="N57" s="7">
        <f t="shared" si="8"/>
        <v>3.7761428571428564E-2</v>
      </c>
      <c r="O57" s="68">
        <f>report_47_flagged!J50</f>
        <v>1</v>
      </c>
      <c r="P57" s="567">
        <f>report_47_flagged!BA50</f>
        <v>36.85</v>
      </c>
      <c r="Q57" s="567">
        <f t="shared" si="9"/>
        <v>0.81069999999999998</v>
      </c>
      <c r="R57" s="568">
        <f>report_47_flagged!BB50</f>
        <v>1</v>
      </c>
      <c r="S57" s="567">
        <f>report_47_flagged!BC50</f>
        <v>8.6289999999999996</v>
      </c>
      <c r="T57" s="567">
        <f t="shared" si="10"/>
        <v>0.25024099999999999</v>
      </c>
      <c r="U57" s="568">
        <f>report_47_flagged!BD50</f>
        <v>1</v>
      </c>
      <c r="V57" s="71">
        <f>(report_47_flagged!N50/100)*report_47_flagged!H50</f>
        <v>8.3946232452392575</v>
      </c>
      <c r="W57" s="71">
        <f t="shared" si="11"/>
        <v>0.17635902738507347</v>
      </c>
      <c r="X57" s="68">
        <f>report_47_flagged!AP50</f>
        <v>1</v>
      </c>
      <c r="Y57" s="71">
        <f>(report_47_flagged!P50/100)*report_47_flagged!H50</f>
        <v>0.36316485639555113</v>
      </c>
      <c r="Z57" s="71">
        <f t="shared" si="12"/>
        <v>1.3801984690409148E-2</v>
      </c>
      <c r="AA57" s="68">
        <f>report_47_flagged!AR50</f>
        <v>1</v>
      </c>
      <c r="AB57" s="71">
        <f>(report_47_flagged!R50/100)*report_47_flagged!H50</f>
        <v>2.5059529687491691</v>
      </c>
      <c r="AC57" s="71">
        <f t="shared" si="13"/>
        <v>7.0182790973729925E-2</v>
      </c>
      <c r="AD57" s="68">
        <f>report_47_flagged!AT50</f>
        <v>1</v>
      </c>
      <c r="AE57" s="71">
        <f>(report_47_flagged!L50/100)*report_47_flagged!H50</f>
        <v>5.888670276490088</v>
      </c>
      <c r="AF57" s="71">
        <f t="shared" si="14"/>
        <v>0.11194050875464485</v>
      </c>
      <c r="AG57" s="68">
        <f>report_47_flagged!AV50</f>
        <v>1</v>
      </c>
      <c r="AH57" s="71">
        <f>(report_47_flagged!T50/100)*report_47_flagged!H50</f>
        <v>1.6330406347666324</v>
      </c>
      <c r="AI57" s="71">
        <f t="shared" si="15"/>
        <v>8.0024989803496635E-2</v>
      </c>
      <c r="AJ57" s="68">
        <f>report_47_flagged!AX50</f>
        <v>1</v>
      </c>
    </row>
    <row r="58" spans="1:36">
      <c r="A58" s="625">
        <f>report_47_flagged!A51</f>
        <v>2017</v>
      </c>
      <c r="B58" s="625" t="str">
        <f>LEFT(report_47_flagged!B51,2)</f>
        <v>46</v>
      </c>
      <c r="C58" s="625" t="str">
        <f>RIGHT(report_47_flagged!B51,4)</f>
        <v>3800</v>
      </c>
      <c r="D58" s="494">
        <v>3712.5</v>
      </c>
      <c r="E58" t="str">
        <f>report!D51</f>
        <v>McLane-PARFLUX-Mark78H-21 ; 10705, A250x21</v>
      </c>
      <c r="G58" s="625">
        <f>report_47_flagged!C51</f>
        <v>4</v>
      </c>
      <c r="H58" s="634">
        <f>report_47_flagged!F51</f>
        <v>1</v>
      </c>
      <c r="I58" s="161">
        <f>report_47_flagged!AC51</f>
        <v>42872</v>
      </c>
      <c r="J58" s="161">
        <f>report_47_flagged!AD51</f>
        <v>42888</v>
      </c>
      <c r="K58" s="161">
        <f>report_47_flagged!AE51</f>
        <v>42880</v>
      </c>
      <c r="L58" s="68">
        <f>report_47_flagged!AF51</f>
        <v>16</v>
      </c>
      <c r="M58" s="7">
        <f>report_47_flagged!H51</f>
        <v>65.712500000000006</v>
      </c>
      <c r="N58" s="7">
        <f t="shared" si="8"/>
        <v>3.9427499999999997E-2</v>
      </c>
      <c r="O58" s="68">
        <f>report_47_flagged!J51</f>
        <v>1</v>
      </c>
      <c r="P58" s="567">
        <f>report_47_flagged!BA51</f>
        <v>37.159999999999997</v>
      </c>
      <c r="Q58" s="567">
        <f t="shared" si="9"/>
        <v>0.81751999999999991</v>
      </c>
      <c r="R58" s="568">
        <f>report_47_flagged!BB51</f>
        <v>1</v>
      </c>
      <c r="S58" s="567">
        <f>report_47_flagged!BC51</f>
        <v>8.625</v>
      </c>
      <c r="T58" s="567">
        <f t="shared" si="10"/>
        <v>0.25012499999999999</v>
      </c>
      <c r="U58" s="568">
        <f>report_47_flagged!BD51</f>
        <v>1</v>
      </c>
      <c r="V58" s="71">
        <f>(report_47_flagged!N51/100)*report_47_flagged!H51</f>
        <v>8.6259469228982937</v>
      </c>
      <c r="W58" s="71">
        <f t="shared" si="11"/>
        <v>0.18121880698581042</v>
      </c>
      <c r="X58" s="68">
        <f>report_47_flagged!AP51</f>
        <v>1</v>
      </c>
      <c r="Y58" s="71">
        <f>(report_47_flagged!P51/100)*report_47_flagged!H51</f>
        <v>0.37281569748371846</v>
      </c>
      <c r="Z58" s="71">
        <f t="shared" si="12"/>
        <v>1.4168762363421036E-2</v>
      </c>
      <c r="AA58" s="68">
        <f>report_47_flagged!AR51</f>
        <v>1</v>
      </c>
      <c r="AB58" s="71">
        <f>(report_47_flagged!R51/100)*report_47_flagged!H51</f>
        <v>2.4595686707928959</v>
      </c>
      <c r="AC58" s="71">
        <f t="shared" si="13"/>
        <v>6.8883732480404233E-2</v>
      </c>
      <c r="AD58" s="68">
        <f>report_47_flagged!AT51</f>
        <v>1</v>
      </c>
      <c r="AE58" s="71">
        <f>(report_47_flagged!L51/100)*report_47_flagged!H51</f>
        <v>6.1663782521053969</v>
      </c>
      <c r="AF58" s="71">
        <f t="shared" si="14"/>
        <v>0.11721959055341884</v>
      </c>
      <c r="AG58" s="68">
        <f>report_47_flagged!AV51</f>
        <v>1</v>
      </c>
      <c r="AH58" s="71">
        <f>(report_47_flagged!T51/100)*report_47_flagged!H51</f>
        <v>1.680030378574267</v>
      </c>
      <c r="AI58" s="71">
        <f t="shared" si="15"/>
        <v>8.2327659858986255E-2</v>
      </c>
      <c r="AJ58" s="68">
        <f>report_47_flagged!AX51</f>
        <v>1</v>
      </c>
    </row>
    <row r="59" spans="1:36">
      <c r="A59" s="625">
        <f>report_47_flagged!A52</f>
        <v>2017</v>
      </c>
      <c r="B59" s="625" t="str">
        <f>LEFT(report_47_flagged!B52,2)</f>
        <v>46</v>
      </c>
      <c r="C59" s="625" t="str">
        <f>RIGHT(report_47_flagged!B52,4)</f>
        <v>3800</v>
      </c>
      <c r="D59" s="494">
        <v>3712.5</v>
      </c>
      <c r="E59" t="str">
        <f>report!D52</f>
        <v>McLane-PARFLUX-Mark78H-21 ; 10705, A250x21</v>
      </c>
      <c r="G59" s="625">
        <f>report_47_flagged!C52</f>
        <v>5</v>
      </c>
      <c r="H59" s="634">
        <f>report_47_flagged!F52</f>
        <v>1</v>
      </c>
      <c r="I59" s="161">
        <f>report_47_flagged!AC52</f>
        <v>42888</v>
      </c>
      <c r="J59" s="161">
        <f>report_47_flagged!AD52</f>
        <v>42904</v>
      </c>
      <c r="K59" s="161">
        <f>report_47_flagged!AE52</f>
        <v>42896</v>
      </c>
      <c r="L59" s="68">
        <f>report_47_flagged!AF52</f>
        <v>16</v>
      </c>
      <c r="M59" s="7">
        <f>report_47_flagged!H52</f>
        <v>67.341071428571425</v>
      </c>
      <c r="N59" s="7">
        <f t="shared" si="8"/>
        <v>4.0404642857142854E-2</v>
      </c>
      <c r="O59" s="68">
        <f>report_47_flagged!J52</f>
        <v>1</v>
      </c>
      <c r="P59" s="567">
        <f>report_47_flagged!BA52</f>
        <v>37.130000000000003</v>
      </c>
      <c r="Q59" s="567">
        <f t="shared" si="9"/>
        <v>0.81686000000000003</v>
      </c>
      <c r="R59" s="568">
        <f>report_47_flagged!BB52</f>
        <v>1</v>
      </c>
      <c r="S59" s="567">
        <f>report_47_flagged!BC52</f>
        <v>8.625</v>
      </c>
      <c r="T59" s="567">
        <f t="shared" si="10"/>
        <v>0.25012499999999999</v>
      </c>
      <c r="U59" s="568">
        <f>report_47_flagged!BD52</f>
        <v>1</v>
      </c>
      <c r="V59" s="71">
        <f>(report_47_flagged!N52/100)*report_47_flagged!H52</f>
        <v>9.0943436987570347</v>
      </c>
      <c r="W59" s="71">
        <f t="shared" si="11"/>
        <v>0.19105915328933265</v>
      </c>
      <c r="X59" s="68">
        <f>report_47_flagged!AP52</f>
        <v>1</v>
      </c>
      <c r="Y59" s="71">
        <f>(report_47_flagged!P52/100)*report_47_flagged!H52</f>
        <v>0.41228942832137855</v>
      </c>
      <c r="Z59" s="71">
        <f t="shared" si="12"/>
        <v>1.5668951104429927E-2</v>
      </c>
      <c r="AA59" s="68">
        <f>report_47_flagged!AR52</f>
        <v>1</v>
      </c>
      <c r="AB59" s="71">
        <f>(report_47_flagged!R52/100)*report_47_flagged!H52</f>
        <v>2.9045381457575248</v>
      </c>
      <c r="AC59" s="71">
        <f t="shared" si="13"/>
        <v>8.1345737969166762E-2</v>
      </c>
      <c r="AD59" s="68">
        <f>report_47_flagged!AT52</f>
        <v>1</v>
      </c>
      <c r="AE59" s="71">
        <f>(report_47_flagged!L52/100)*report_47_flagged!H52</f>
        <v>6.18980555299951</v>
      </c>
      <c r="AF59" s="71">
        <f t="shared" si="14"/>
        <v>0.11766493115795312</v>
      </c>
      <c r="AG59" s="68">
        <f>report_47_flagged!AV52</f>
        <v>1</v>
      </c>
      <c r="AH59" s="71">
        <f>(report_47_flagged!T52/100)*report_47_flagged!H52</f>
        <v>1.7766879716893327</v>
      </c>
      <c r="AI59" s="71">
        <f t="shared" si="15"/>
        <v>8.7064236977025339E-2</v>
      </c>
      <c r="AJ59" s="68">
        <f>report_47_flagged!AX52</f>
        <v>1</v>
      </c>
    </row>
    <row r="60" spans="1:36">
      <c r="A60" s="625">
        <f>report_47_flagged!A53</f>
        <v>2017</v>
      </c>
      <c r="B60" s="625" t="str">
        <f>LEFT(report_47_flagged!B53,2)</f>
        <v>46</v>
      </c>
      <c r="C60" s="625" t="str">
        <f>RIGHT(report_47_flagged!B53,4)</f>
        <v>3800</v>
      </c>
      <c r="D60" s="494">
        <v>3712.5</v>
      </c>
      <c r="E60" t="str">
        <f>report!D53</f>
        <v>McLane-PARFLUX-Mark78H-21 ; 10705, A250x21</v>
      </c>
      <c r="G60" s="625">
        <f>report_47_flagged!C53</f>
        <v>6</v>
      </c>
      <c r="H60" s="634">
        <f>report_47_flagged!F53</f>
        <v>1</v>
      </c>
      <c r="I60" s="161">
        <f>report_47_flagged!AC53</f>
        <v>42904</v>
      </c>
      <c r="J60" s="161">
        <f>report_47_flagged!AD53</f>
        <v>42920</v>
      </c>
      <c r="K60" s="161">
        <f>report_47_flagged!AE53</f>
        <v>42912</v>
      </c>
      <c r="L60" s="68">
        <f>report_47_flagged!AF53</f>
        <v>16</v>
      </c>
      <c r="M60" s="7">
        <f>report_47_flagged!H53</f>
        <v>52.751785714285717</v>
      </c>
      <c r="N60" s="7">
        <f t="shared" si="8"/>
        <v>3.1651071428571424E-2</v>
      </c>
      <c r="O60" s="68">
        <f>report_47_flagged!J53</f>
        <v>1</v>
      </c>
      <c r="P60" s="567">
        <f>report_47_flagged!BA53</f>
        <v>37.18</v>
      </c>
      <c r="Q60" s="567">
        <f t="shared" si="9"/>
        <v>0.81795999999999991</v>
      </c>
      <c r="R60" s="568">
        <f>report_47_flagged!BB53</f>
        <v>1</v>
      </c>
      <c r="S60" s="567">
        <f>report_47_flagged!BC53</f>
        <v>8.5850000000000009</v>
      </c>
      <c r="T60" s="567">
        <f t="shared" si="10"/>
        <v>0.24896500000000005</v>
      </c>
      <c r="U60" s="568">
        <f>report_47_flagged!BD53</f>
        <v>1</v>
      </c>
      <c r="V60" s="71">
        <f>(report_47_flagged!N53/100)*report_47_flagged!H53</f>
        <v>7.7974679049764362</v>
      </c>
      <c r="W60" s="71">
        <f t="shared" si="11"/>
        <v>0.16381364780936958</v>
      </c>
      <c r="X60" s="68">
        <f>report_47_flagged!AP53</f>
        <v>1</v>
      </c>
      <c r="Y60" s="71">
        <f>(report_47_flagged!P53/100)*report_47_flagged!H53</f>
        <v>0.48085213484082906</v>
      </c>
      <c r="Z60" s="71">
        <f t="shared" si="12"/>
        <v>1.8274658702644719E-2</v>
      </c>
      <c r="AA60" s="68">
        <f>report_47_flagged!AR53</f>
        <v>1</v>
      </c>
      <c r="AB60" s="71">
        <f>(report_47_flagged!R53/100)*report_47_flagged!H53</f>
        <v>3.3387005943898656</v>
      </c>
      <c r="AC60" s="71">
        <f t="shared" si="13"/>
        <v>9.3505077254857988E-2</v>
      </c>
      <c r="AD60" s="68">
        <f>report_47_flagged!AT53</f>
        <v>1</v>
      </c>
      <c r="AE60" s="71">
        <f>(report_47_flagged!L53/100)*report_47_flagged!H53</f>
        <v>4.4587673105865706</v>
      </c>
      <c r="AF60" s="71">
        <f t="shared" si="14"/>
        <v>8.4758809328875556E-2</v>
      </c>
      <c r="AG60" s="68">
        <f>report_47_flagged!AV53</f>
        <v>1</v>
      </c>
      <c r="AH60" s="71">
        <f>(report_47_flagged!T53/100)*report_47_flagged!H53</f>
        <v>1.5681871417165401</v>
      </c>
      <c r="AI60" s="71">
        <f t="shared" si="15"/>
        <v>7.6846930415650216E-2</v>
      </c>
      <c r="AJ60" s="68">
        <f>report_47_flagged!AX53</f>
        <v>1</v>
      </c>
    </row>
    <row r="61" spans="1:36">
      <c r="A61" s="625">
        <f>report_47_flagged!A54</f>
        <v>2017</v>
      </c>
      <c r="B61" s="625" t="str">
        <f>LEFT(report_47_flagged!B54,2)</f>
        <v>46</v>
      </c>
      <c r="C61" s="625" t="str">
        <f>RIGHT(report_47_flagged!B54,4)</f>
        <v>3800</v>
      </c>
      <c r="D61" s="494">
        <v>3712.5</v>
      </c>
      <c r="E61" t="str">
        <f>report!D54</f>
        <v>McLane-PARFLUX-Mark78H-21 ; 10705, A250x21</v>
      </c>
      <c r="G61" s="625">
        <f>report_47_flagged!C54</f>
        <v>7</v>
      </c>
      <c r="H61" s="634">
        <f>report_47_flagged!F54</f>
        <v>1</v>
      </c>
      <c r="I61" s="161">
        <f>report_47_flagged!AC54</f>
        <v>42920</v>
      </c>
      <c r="J61" s="161">
        <f>report_47_flagged!AD54</f>
        <v>42936</v>
      </c>
      <c r="K61" s="161">
        <f>report_47_flagged!AE54</f>
        <v>42928</v>
      </c>
      <c r="L61" s="68">
        <f>report_47_flagged!AF54</f>
        <v>16</v>
      </c>
      <c r="M61" s="7">
        <f>report_47_flagged!H54</f>
        <v>57.201785714285705</v>
      </c>
      <c r="N61" s="7">
        <f t="shared" si="8"/>
        <v>3.4321071428571423E-2</v>
      </c>
      <c r="O61" s="68">
        <f>report_47_flagged!J54</f>
        <v>1</v>
      </c>
      <c r="P61" s="567">
        <f>report_47_flagged!BA54</f>
        <v>37.130000000000003</v>
      </c>
      <c r="Q61" s="567">
        <f t="shared" si="9"/>
        <v>0.81686000000000003</v>
      </c>
      <c r="R61" s="568">
        <f>report_47_flagged!BB54</f>
        <v>1</v>
      </c>
      <c r="S61" s="567">
        <f>report_47_flagged!BC54</f>
        <v>8.6180000000000003</v>
      </c>
      <c r="T61" s="567">
        <f t="shared" si="10"/>
        <v>0.24992200000000003</v>
      </c>
      <c r="U61" s="568">
        <f>report_47_flagged!BD54</f>
        <v>1</v>
      </c>
      <c r="V61" s="71">
        <f>(report_47_flagged!N54/100)*report_47_flagged!H54</f>
        <v>8.7497196154083507</v>
      </c>
      <c r="W61" s="71">
        <f t="shared" si="11"/>
        <v>0.18381909422089088</v>
      </c>
      <c r="X61" s="68">
        <f>report_47_flagged!AP54</f>
        <v>1</v>
      </c>
      <c r="Y61" s="71">
        <f>(report_47_flagged!P54/100)*report_47_flagged!H54</f>
        <v>0.58387688900743195</v>
      </c>
      <c r="Z61" s="71">
        <f t="shared" si="12"/>
        <v>2.2190087342556581E-2</v>
      </c>
      <c r="AA61" s="68">
        <f>report_47_flagged!AR54</f>
        <v>1</v>
      </c>
      <c r="AB61" s="71">
        <f>(report_47_flagged!R54/100)*report_47_flagged!H54</f>
        <v>4.1109055156668548</v>
      </c>
      <c r="AC61" s="71">
        <f t="shared" si="13"/>
        <v>0.11513177865537144</v>
      </c>
      <c r="AD61" s="68">
        <f>report_47_flagged!AT54</f>
        <v>1</v>
      </c>
      <c r="AE61" s="71">
        <f>(report_47_flagged!L54/100)*report_47_flagged!H54</f>
        <v>4.6388140997414959</v>
      </c>
      <c r="AF61" s="71">
        <f t="shared" si="14"/>
        <v>8.8181403604209244E-2</v>
      </c>
      <c r="AG61" s="68">
        <f>report_47_flagged!AV54</f>
        <v>1</v>
      </c>
      <c r="AH61" s="71">
        <f>(report_47_flagged!T54/100)*report_47_flagged!H54</f>
        <v>1.8085876787708119</v>
      </c>
      <c r="AI61" s="71">
        <f t="shared" si="15"/>
        <v>8.8627439802223082E-2</v>
      </c>
      <c r="AJ61" s="68">
        <f>report_47_flagged!AX54</f>
        <v>1</v>
      </c>
    </row>
    <row r="62" spans="1:36">
      <c r="A62" s="625">
        <f>report_47_flagged!A55</f>
        <v>2017</v>
      </c>
      <c r="B62" s="625" t="str">
        <f>LEFT(report_47_flagged!B55,2)</f>
        <v>46</v>
      </c>
      <c r="C62" s="625" t="str">
        <f>RIGHT(report_47_flagged!B55,4)</f>
        <v>3800</v>
      </c>
      <c r="D62" s="494">
        <v>3712.5</v>
      </c>
      <c r="E62" t="str">
        <f>report!D55</f>
        <v>McLane-PARFLUX-Mark78H-21 ; 10705, A250x21</v>
      </c>
      <c r="G62" s="625">
        <f>report_47_flagged!C55</f>
        <v>8</v>
      </c>
      <c r="H62" s="634">
        <f>report_47_flagged!F55</f>
        <v>1</v>
      </c>
      <c r="I62" s="161">
        <f>report_47_flagged!AC55</f>
        <v>42936</v>
      </c>
      <c r="J62" s="161">
        <f>report_47_flagged!AD55</f>
        <v>42952</v>
      </c>
      <c r="K62" s="161">
        <f>report_47_flagged!AE55</f>
        <v>42944</v>
      </c>
      <c r="L62" s="68">
        <f>report_47_flagged!AF55</f>
        <v>16</v>
      </c>
      <c r="M62" s="7">
        <f>report_47_flagged!H55</f>
        <v>54.491071428571431</v>
      </c>
      <c r="N62" s="7">
        <f t="shared" si="8"/>
        <v>3.2694642857142853E-2</v>
      </c>
      <c r="O62" s="68">
        <f>report_47_flagged!J55</f>
        <v>1</v>
      </c>
      <c r="P62" s="567">
        <f>report_47_flagged!BA55</f>
        <v>36.68</v>
      </c>
      <c r="Q62" s="567">
        <f t="shared" si="9"/>
        <v>0.8069599999999999</v>
      </c>
      <c r="R62" s="568">
        <f>report_47_flagged!BB55</f>
        <v>1</v>
      </c>
      <c r="S62" s="567">
        <f>report_47_flagged!BC55</f>
        <v>8.5909999999999993</v>
      </c>
      <c r="T62" s="567">
        <f t="shared" si="10"/>
        <v>0.249139</v>
      </c>
      <c r="U62" s="568">
        <f>report_47_flagged!BD55</f>
        <v>1</v>
      </c>
      <c r="V62" s="71">
        <f>(report_47_flagged!N55/100)*report_47_flagged!H55</f>
        <v>8.0642681381532135</v>
      </c>
      <c r="W62" s="71">
        <f t="shared" si="11"/>
        <v>0.16941873909870786</v>
      </c>
      <c r="X62" s="68">
        <f>report_47_flagged!AP55</f>
        <v>1</v>
      </c>
      <c r="Y62" s="71">
        <f>(report_47_flagged!P55/100)*report_47_flagged!H55</f>
        <v>0.51525602670652526</v>
      </c>
      <c r="Z62" s="71">
        <f t="shared" si="12"/>
        <v>1.9582169549188864E-2</v>
      </c>
      <c r="AA62" s="68">
        <f>report_47_flagged!AR55</f>
        <v>1</v>
      </c>
      <c r="AB62" s="71">
        <f>(report_47_flagged!R55/100)*report_47_flagged!H55</f>
        <v>3.6154103565148463</v>
      </c>
      <c r="AC62" s="71">
        <f t="shared" si="13"/>
        <v>0.10125472923867057</v>
      </c>
      <c r="AD62" s="68">
        <f>report_47_flagged!AT55</f>
        <v>1</v>
      </c>
      <c r="AE62" s="71">
        <f>(report_47_flagged!L55/100)*report_47_flagged!H55</f>
        <v>4.4488577816383668</v>
      </c>
      <c r="AF62" s="71">
        <f t="shared" si="14"/>
        <v>8.4570434422505017E-2</v>
      </c>
      <c r="AG62" s="68">
        <f>report_47_flagged!AV55</f>
        <v>1</v>
      </c>
      <c r="AH62" s="71">
        <f>(report_47_flagged!T55/100)*report_47_flagged!H55</f>
        <v>1.8930862890119231</v>
      </c>
      <c r="AI62" s="71">
        <f t="shared" si="15"/>
        <v>9.2768182095461157E-2</v>
      </c>
      <c r="AJ62" s="68">
        <f>report_47_flagged!AX55</f>
        <v>1</v>
      </c>
    </row>
    <row r="63" spans="1:36">
      <c r="A63" s="625">
        <f>report_47_flagged!A56</f>
        <v>2017</v>
      </c>
      <c r="B63" s="625" t="str">
        <f>LEFT(report_47_flagged!B56,2)</f>
        <v>46</v>
      </c>
      <c r="C63" s="625" t="str">
        <f>RIGHT(report_47_flagged!B56,4)</f>
        <v>3800</v>
      </c>
      <c r="D63" s="494">
        <v>3712.5</v>
      </c>
      <c r="E63" t="str">
        <f>report!D56</f>
        <v>McLane-PARFLUX-Mark78H-21 ; 10705, A250x21</v>
      </c>
      <c r="G63" s="625">
        <f>report_47_flagged!C56</f>
        <v>9</v>
      </c>
      <c r="H63" s="634">
        <f>report_47_flagged!F56</f>
        <v>1</v>
      </c>
      <c r="I63" s="161">
        <f>report_47_flagged!AC56</f>
        <v>42952</v>
      </c>
      <c r="J63" s="161">
        <f>report_47_flagged!AD56</f>
        <v>42968</v>
      </c>
      <c r="K63" s="161">
        <f>report_47_flagged!AE56</f>
        <v>42960</v>
      </c>
      <c r="L63" s="68">
        <f>report_47_flagged!AF56</f>
        <v>16</v>
      </c>
      <c r="M63" s="7">
        <f>report_47_flagged!H56</f>
        <v>51.958928571428579</v>
      </c>
      <c r="N63" s="7">
        <f t="shared" si="8"/>
        <v>3.1175357142857144E-2</v>
      </c>
      <c r="O63" s="68">
        <f>report_47_flagged!J56</f>
        <v>1</v>
      </c>
      <c r="P63" s="567">
        <f>report_47_flagged!BA56</f>
        <v>36.880000000000003</v>
      </c>
      <c r="Q63" s="567">
        <f t="shared" si="9"/>
        <v>0.81135999999999997</v>
      </c>
      <c r="R63" s="568">
        <f>report_47_flagged!BB56</f>
        <v>1</v>
      </c>
      <c r="S63" s="567">
        <f>report_47_flagged!BC56</f>
        <v>8.5909999999999993</v>
      </c>
      <c r="T63" s="567">
        <f t="shared" si="10"/>
        <v>0.249139</v>
      </c>
      <c r="U63" s="568">
        <f>report_47_flagged!BD56</f>
        <v>1</v>
      </c>
      <c r="V63" s="71">
        <f>(report_47_flagged!N56/100)*report_47_flagged!H56</f>
        <v>8.0911660209212997</v>
      </c>
      <c r="W63" s="71">
        <f t="shared" si="11"/>
        <v>0.16998382514308605</v>
      </c>
      <c r="X63" s="68">
        <f>report_47_flagged!AP56</f>
        <v>1</v>
      </c>
      <c r="Y63" s="71">
        <f>(report_47_flagged!P56/100)*report_47_flagged!H56</f>
        <v>0.5642106439002923</v>
      </c>
      <c r="Z63" s="71">
        <f t="shared" si="12"/>
        <v>2.144267687839279E-2</v>
      </c>
      <c r="AA63" s="68">
        <f>report_47_flagged!AR56</f>
        <v>1</v>
      </c>
      <c r="AB63" s="71">
        <f>(report_47_flagged!R56/100)*report_47_flagged!H56</f>
        <v>3.9700791971416201</v>
      </c>
      <c r="AC63" s="71">
        <f t="shared" si="13"/>
        <v>0.11118773652851947</v>
      </c>
      <c r="AD63" s="68">
        <f>report_47_flagged!AT56</f>
        <v>1</v>
      </c>
      <c r="AE63" s="71">
        <f>(report_47_flagged!L56/100)*report_47_flagged!H56</f>
        <v>4.1210868237796801</v>
      </c>
      <c r="AF63" s="71">
        <f t="shared" si="14"/>
        <v>7.8339681798405295E-2</v>
      </c>
      <c r="AG63" s="68">
        <f>report_47_flagged!AV56</f>
        <v>1</v>
      </c>
      <c r="AH63" s="71">
        <f>(report_47_flagged!T56/100)*report_47_flagged!H56</f>
        <v>1.7395744561793809</v>
      </c>
      <c r="AI63" s="71">
        <f t="shared" si="15"/>
        <v>8.5245538386784669E-2</v>
      </c>
      <c r="AJ63" s="68">
        <f>report_47_flagged!AX56</f>
        <v>1</v>
      </c>
    </row>
    <row r="64" spans="1:36">
      <c r="A64" s="625">
        <f>report_47_flagged!A57</f>
        <v>2017</v>
      </c>
      <c r="B64" s="625" t="str">
        <f>LEFT(report_47_flagged!B57,2)</f>
        <v>46</v>
      </c>
      <c r="C64" s="625" t="str">
        <f>RIGHT(report_47_flagged!B57,4)</f>
        <v>3800</v>
      </c>
      <c r="D64" s="494">
        <v>3712.5</v>
      </c>
      <c r="E64" t="str">
        <f>report!D57</f>
        <v>McLane-PARFLUX-Mark78H-21 ; 10705, A250x21</v>
      </c>
      <c r="G64" s="625">
        <f>report_47_flagged!C57</f>
        <v>10</v>
      </c>
      <c r="H64" s="634">
        <f>report_47_flagged!F57</f>
        <v>1</v>
      </c>
      <c r="I64" s="161">
        <f>report_47_flagged!AC57</f>
        <v>42968</v>
      </c>
      <c r="J64" s="161">
        <f>report_47_flagged!AD57</f>
        <v>42984</v>
      </c>
      <c r="K64" s="161">
        <f>report_47_flagged!AE57</f>
        <v>42976</v>
      </c>
      <c r="L64" s="68">
        <f>report_47_flagged!AF57</f>
        <v>16</v>
      </c>
      <c r="M64" s="7">
        <f>report_47_flagged!H57</f>
        <v>50.444642857142853</v>
      </c>
      <c r="N64" s="7">
        <f t="shared" si="8"/>
        <v>3.0266785714285708E-2</v>
      </c>
      <c r="O64" s="68">
        <f>report_47_flagged!J57</f>
        <v>1</v>
      </c>
      <c r="P64" s="567">
        <f>report_47_flagged!BA57</f>
        <v>37.135000000000005</v>
      </c>
      <c r="Q64" s="567">
        <f t="shared" si="9"/>
        <v>0.81697000000000009</v>
      </c>
      <c r="R64" s="568">
        <f>report_47_flagged!BB57</f>
        <v>1</v>
      </c>
      <c r="S64" s="567">
        <f>report_47_flagged!BC57</f>
        <v>8.5609999999999999</v>
      </c>
      <c r="T64" s="567">
        <f t="shared" si="10"/>
        <v>0.24826900000000002</v>
      </c>
      <c r="U64" s="568">
        <f>report_47_flagged!BD57</f>
        <v>1</v>
      </c>
      <c r="V64" s="71">
        <f>(report_47_flagged!N57/100)*report_47_flagged!H57</f>
        <v>7.6840822501523141</v>
      </c>
      <c r="W64" s="71">
        <f t="shared" si="11"/>
        <v>0.16143157737928299</v>
      </c>
      <c r="X64" s="68">
        <f>report_47_flagged!AP57</f>
        <v>2</v>
      </c>
      <c r="Y64" s="71">
        <f>(report_47_flagged!P57/100)*report_47_flagged!H57</f>
        <v>0.53151714636598302</v>
      </c>
      <c r="Z64" s="71">
        <f t="shared" si="12"/>
        <v>2.0200169117804329E-2</v>
      </c>
      <c r="AA64" s="68">
        <f>report_47_flagged!AR57</f>
        <v>1</v>
      </c>
      <c r="AB64" s="71">
        <f>(report_47_flagged!R57/100)*report_47_flagged!H57</f>
        <v>3.6744573416310615</v>
      </c>
      <c r="AC64" s="71">
        <f t="shared" si="13"/>
        <v>0.10290842436612094</v>
      </c>
      <c r="AD64" s="68">
        <f>report_47_flagged!AT57</f>
        <v>2</v>
      </c>
      <c r="AE64" s="71">
        <f>(report_47_flagged!L57/100)*report_47_flagged!H57</f>
        <v>4.0096249085212525</v>
      </c>
      <c r="AF64" s="71">
        <f t="shared" si="14"/>
        <v>7.6220849716634814E-2</v>
      </c>
      <c r="AG64" s="68">
        <f>report_47_flagged!AV57</f>
        <v>1</v>
      </c>
      <c r="AH64" s="71">
        <f>(report_47_flagged!T57/100)*report_47_flagged!H57</f>
        <v>1.8079605923295619</v>
      </c>
      <c r="AI64" s="71">
        <f t="shared" si="15"/>
        <v>8.8596710263105324E-2</v>
      </c>
      <c r="AJ64" s="68">
        <f>report_47_flagged!AX57</f>
        <v>1</v>
      </c>
    </row>
    <row r="65" spans="1:36">
      <c r="A65" s="625">
        <f>report_47_flagged!A58</f>
        <v>2017</v>
      </c>
      <c r="B65" s="625" t="str">
        <f>LEFT(report_47_flagged!B58,2)</f>
        <v>46</v>
      </c>
      <c r="C65" s="625" t="str">
        <f>RIGHT(report_47_flagged!B58,4)</f>
        <v>3800</v>
      </c>
      <c r="D65" s="494">
        <v>3712.5</v>
      </c>
      <c r="E65" t="str">
        <f>report!D58</f>
        <v>McLane-PARFLUX-Mark78H-21 ; 10705, A250x21</v>
      </c>
      <c r="G65" s="625">
        <f>report_47_flagged!C58</f>
        <v>11</v>
      </c>
      <c r="H65" s="634">
        <f>report_47_flagged!F58</f>
        <v>1</v>
      </c>
      <c r="I65" s="161">
        <f>report_47_flagged!AC58</f>
        <v>42984</v>
      </c>
      <c r="J65" s="161">
        <f>report_47_flagged!AD58</f>
        <v>43000</v>
      </c>
      <c r="K65" s="161">
        <f>report_47_flagged!AE58</f>
        <v>42992</v>
      </c>
      <c r="L65" s="68">
        <f>report_47_flagged!AF58</f>
        <v>16</v>
      </c>
      <c r="M65" s="7">
        <f>report_47_flagged!H58</f>
        <v>46.398214285714289</v>
      </c>
      <c r="N65" s="7">
        <f t="shared" si="8"/>
        <v>2.783892857142857E-2</v>
      </c>
      <c r="O65" s="68">
        <f>report_47_flagged!J58</f>
        <v>1</v>
      </c>
      <c r="P65" s="567">
        <f>report_47_flagged!BA58</f>
        <v>37.17</v>
      </c>
      <c r="Q65" s="567">
        <f t="shared" si="9"/>
        <v>0.81774000000000002</v>
      </c>
      <c r="R65" s="568">
        <f>report_47_flagged!BB58</f>
        <v>1</v>
      </c>
      <c r="S65" s="567">
        <f>report_47_flagged!BC58</f>
        <v>8.6029999999999998</v>
      </c>
      <c r="T65" s="567">
        <f t="shared" si="10"/>
        <v>0.24948700000000001</v>
      </c>
      <c r="U65" s="568">
        <f>report_47_flagged!BD58</f>
        <v>1</v>
      </c>
      <c r="V65" s="71">
        <f>(report_47_flagged!N58/100)*report_47_flagged!H58</f>
        <v>6.7561735709054132</v>
      </c>
      <c r="W65" s="71">
        <f t="shared" si="11"/>
        <v>0.14193754323463481</v>
      </c>
      <c r="X65" s="68">
        <f>report_47_flagged!AP58</f>
        <v>3</v>
      </c>
      <c r="Y65" s="71">
        <f>(report_47_flagged!P58/100)*report_47_flagged!H58</f>
        <v>0.42725507029997456</v>
      </c>
      <c r="Z65" s="71">
        <f t="shared" si="12"/>
        <v>1.6237716385081837E-2</v>
      </c>
      <c r="AA65" s="68">
        <f>report_47_flagged!AR58</f>
        <v>3</v>
      </c>
      <c r="AB65" s="71">
        <f>(report_47_flagged!R58/100)*report_47_flagged!H58</f>
        <v>2.9846832762534734</v>
      </c>
      <c r="AC65" s="71">
        <f t="shared" si="13"/>
        <v>8.3590316782617941E-2</v>
      </c>
      <c r="AD65" s="68">
        <f>report_47_flagged!AT58</f>
        <v>3</v>
      </c>
      <c r="AE65" s="71">
        <f>(report_47_flagged!L58/100)*report_47_flagged!H58</f>
        <v>3.7714902946519402</v>
      </c>
      <c r="AF65" s="71">
        <f t="shared" si="14"/>
        <v>7.169403660314691E-2</v>
      </c>
      <c r="AG65" s="68">
        <f>report_47_flagged!AV58</f>
        <v>1</v>
      </c>
      <c r="AH65" s="71">
        <f>(report_47_flagged!T58/100)*report_47_flagged!H58</f>
        <v>1.8262333159526538</v>
      </c>
      <c r="AI65" s="71">
        <f t="shared" si="15"/>
        <v>8.9492140842411763E-2</v>
      </c>
      <c r="AJ65" s="68">
        <f>report_47_flagged!AX58</f>
        <v>1</v>
      </c>
    </row>
    <row r="66" spans="1:36">
      <c r="A66" s="625">
        <f>report_47_flagged!A59</f>
        <v>2017</v>
      </c>
      <c r="B66" s="625" t="str">
        <f>LEFT(report_47_flagged!B59,2)</f>
        <v>46</v>
      </c>
      <c r="C66" s="625" t="str">
        <f>RIGHT(report_47_flagged!B59,4)</f>
        <v>3800</v>
      </c>
      <c r="D66" s="494">
        <v>3712.5</v>
      </c>
      <c r="E66" t="str">
        <f>report!D59</f>
        <v>McLane-PARFLUX-Mark78H-21 ; 10705, A250x21</v>
      </c>
      <c r="G66" s="625">
        <f>report_47_flagged!C59</f>
        <v>12</v>
      </c>
      <c r="H66" s="634">
        <f>report_47_flagged!F59</f>
        <v>1</v>
      </c>
      <c r="I66" s="161">
        <f>report_47_flagged!AC59</f>
        <v>43000</v>
      </c>
      <c r="J66" s="161">
        <f>report_47_flagged!AD59</f>
        <v>43016</v>
      </c>
      <c r="K66" s="161">
        <f>report_47_flagged!AE59</f>
        <v>43008</v>
      </c>
      <c r="L66" s="68">
        <f>report_47_flagged!AF59</f>
        <v>16</v>
      </c>
      <c r="M66" s="7">
        <f>report_47_flagged!H59</f>
        <v>58.794642857142854</v>
      </c>
      <c r="N66" s="7">
        <f t="shared" si="8"/>
        <v>3.5276785714285712E-2</v>
      </c>
      <c r="O66" s="68">
        <f>report_47_flagged!J59</f>
        <v>1</v>
      </c>
      <c r="P66" s="567">
        <f>report_47_flagged!BA59</f>
        <v>37.08</v>
      </c>
      <c r="Q66" s="567">
        <f t="shared" si="9"/>
        <v>0.81575999999999993</v>
      </c>
      <c r="R66" s="568">
        <f>report_47_flagged!BB59</f>
        <v>1</v>
      </c>
      <c r="S66" s="567">
        <f>report_47_flagged!BC59</f>
        <v>8.5749999999999993</v>
      </c>
      <c r="T66" s="567">
        <f t="shared" si="10"/>
        <v>0.24867499999999998</v>
      </c>
      <c r="U66" s="568">
        <f>report_47_flagged!BD59</f>
        <v>1</v>
      </c>
      <c r="V66" s="71">
        <f>(report_47_flagged!N59/100)*report_47_flagged!H59</f>
        <v>8.8809501592602036</v>
      </c>
      <c r="W66" s="71">
        <f t="shared" si="11"/>
        <v>0.18657606024554865</v>
      </c>
      <c r="X66" s="68">
        <f>report_47_flagged!AP59</f>
        <v>2</v>
      </c>
      <c r="Y66" s="71">
        <f>(report_47_flagged!P59/100)*report_47_flagged!H59</f>
        <v>0.58644677621445485</v>
      </c>
      <c r="Z66" s="71">
        <f t="shared" si="12"/>
        <v>2.2287755228814758E-2</v>
      </c>
      <c r="AA66" s="68">
        <f>report_47_flagged!AR59</f>
        <v>3</v>
      </c>
      <c r="AB66" s="71">
        <f>(report_47_flagged!R59/100)*report_47_flagged!H59</f>
        <v>4.1395993913991411</v>
      </c>
      <c r="AC66" s="71">
        <f t="shared" si="13"/>
        <v>0.1159353916153347</v>
      </c>
      <c r="AD66" s="68">
        <f>report_47_flagged!AT59</f>
        <v>2</v>
      </c>
      <c r="AE66" s="71">
        <f>(report_47_flagged!L59/100)*report_47_flagged!H59</f>
        <v>4.7413507678610634</v>
      </c>
      <c r="AF66" s="71">
        <f t="shared" si="14"/>
        <v>9.0130571456438185E-2</v>
      </c>
      <c r="AG66" s="68">
        <f>report_47_flagged!AV59</f>
        <v>2</v>
      </c>
      <c r="AH66" s="71">
        <f>(report_47_flagged!T59/100)*report_47_flagged!H59</f>
        <v>2.2791145488082605</v>
      </c>
      <c r="AI66" s="71">
        <f t="shared" si="15"/>
        <v>0.11168498483532563</v>
      </c>
      <c r="AJ66" s="68">
        <f>report_47_flagged!AX59</f>
        <v>1</v>
      </c>
    </row>
    <row r="67" spans="1:36">
      <c r="A67" s="625">
        <f>report_47_flagged!A60</f>
        <v>2017</v>
      </c>
      <c r="B67" s="625" t="str">
        <f>LEFT(report_47_flagged!B60,2)</f>
        <v>46</v>
      </c>
      <c r="C67" s="625" t="str">
        <f>RIGHT(report_47_flagged!B60,4)</f>
        <v>3800</v>
      </c>
      <c r="D67" s="494">
        <v>3712.5</v>
      </c>
      <c r="E67" t="str">
        <f>report!D60</f>
        <v>McLane-PARFLUX-Mark78H-21 ; 10705, A250x21</v>
      </c>
      <c r="G67" s="625">
        <f>report_47_flagged!C60</f>
        <v>13</v>
      </c>
      <c r="H67" s="634">
        <f>report_47_flagged!F60</f>
        <v>1</v>
      </c>
      <c r="I67" s="161">
        <f>report_47_flagged!AC60</f>
        <v>43016</v>
      </c>
      <c r="J67" s="161">
        <f>report_47_flagged!AD60</f>
        <v>43032</v>
      </c>
      <c r="K67" s="161">
        <f>report_47_flagged!AE60</f>
        <v>43024</v>
      </c>
      <c r="L67" s="68">
        <f>report_47_flagged!AF60</f>
        <v>16</v>
      </c>
      <c r="M67" s="7">
        <f>report_47_flagged!H60</f>
        <v>54.94285714285715</v>
      </c>
      <c r="N67" s="7">
        <f t="shared" si="8"/>
        <v>3.2965714285714286E-2</v>
      </c>
      <c r="O67" s="68">
        <f>report_47_flagged!J60</f>
        <v>1</v>
      </c>
      <c r="P67" s="567">
        <f>report_47_flagged!BA60</f>
        <v>37.39</v>
      </c>
      <c r="Q67" s="567">
        <f t="shared" si="9"/>
        <v>0.82257999999999998</v>
      </c>
      <c r="R67" s="568">
        <f>report_47_flagged!BB60</f>
        <v>1</v>
      </c>
      <c r="S67" s="567">
        <f>report_47_flagged!BC60</f>
        <v>8.6270000000000007</v>
      </c>
      <c r="T67" s="567">
        <f t="shared" si="10"/>
        <v>0.25018300000000004</v>
      </c>
      <c r="U67" s="568">
        <f>report_47_flagged!BD60</f>
        <v>1</v>
      </c>
      <c r="V67" s="71">
        <f>(report_47_flagged!N60/100)*report_47_flagged!H60</f>
        <v>7.6978470472608311</v>
      </c>
      <c r="W67" s="71">
        <f t="shared" si="11"/>
        <v>0.16172075607846853</v>
      </c>
      <c r="X67" s="68">
        <f>report_47_flagged!AP60</f>
        <v>3</v>
      </c>
      <c r="Y67" s="71">
        <f>(report_47_flagged!P60/100)*report_47_flagged!H60</f>
        <v>0.42701820184503286</v>
      </c>
      <c r="Z67" s="71">
        <f t="shared" si="12"/>
        <v>1.6228714261855504E-2</v>
      </c>
      <c r="AA67" s="68">
        <f>report_47_flagged!AR60</f>
        <v>3</v>
      </c>
      <c r="AB67" s="71">
        <f>(report_47_flagged!R60/100)*report_47_flagged!H60</f>
        <v>3.054943638847067</v>
      </c>
      <c r="AC67" s="71">
        <f t="shared" si="13"/>
        <v>8.5558058557159686E-2</v>
      </c>
      <c r="AD67" s="68">
        <f>report_47_flagged!AT60</f>
        <v>3</v>
      </c>
      <c r="AE67" s="71">
        <f>(report_47_flagged!L60/100)*report_47_flagged!H60</f>
        <v>4.6429034084137628</v>
      </c>
      <c r="AF67" s="71">
        <f t="shared" si="14"/>
        <v>8.825913920014776E-2</v>
      </c>
      <c r="AG67" s="68">
        <f>report_47_flagged!AV60</f>
        <v>1</v>
      </c>
      <c r="AH67" s="71">
        <f>(report_47_flagged!T60/100)*report_47_flagged!H60</f>
        <v>2.0411553850625705</v>
      </c>
      <c r="AI67" s="71">
        <f t="shared" si="15"/>
        <v>0.10002411170884726</v>
      </c>
      <c r="AJ67" s="68">
        <f>report_47_flagged!AX60</f>
        <v>1</v>
      </c>
    </row>
    <row r="68" spans="1:36">
      <c r="A68" s="625">
        <f>report_47_flagged!A61</f>
        <v>2017</v>
      </c>
      <c r="B68" s="625" t="str">
        <f>LEFT(report_47_flagged!B61,2)</f>
        <v>46</v>
      </c>
      <c r="C68" s="625" t="str">
        <f>RIGHT(report_47_flagged!B61,4)</f>
        <v>3800</v>
      </c>
      <c r="D68" s="494">
        <v>3712.5</v>
      </c>
      <c r="E68" t="str">
        <f>report!D61</f>
        <v>McLane-PARFLUX-Mark78H-21 ; 10705, A250x21</v>
      </c>
      <c r="G68" s="625">
        <f>report_47_flagged!C61</f>
        <v>14</v>
      </c>
      <c r="H68" s="634">
        <f>report_47_flagged!F61</f>
        <v>1</v>
      </c>
      <c r="I68" s="161">
        <f>report_47_flagged!AC61</f>
        <v>43032</v>
      </c>
      <c r="J68" s="161">
        <f>report_47_flagged!AD61</f>
        <v>43048</v>
      </c>
      <c r="K68" s="161">
        <f>report_47_flagged!AE61</f>
        <v>43040</v>
      </c>
      <c r="L68" s="68">
        <f>report_47_flagged!AF61</f>
        <v>16</v>
      </c>
      <c r="M68" s="7">
        <f>report_47_flagged!H61</f>
        <v>78.871428571428567</v>
      </c>
      <c r="N68" s="7">
        <f t="shared" si="8"/>
        <v>4.7322857142857139E-2</v>
      </c>
      <c r="O68" s="68">
        <f>report_47_flagged!J61</f>
        <v>1</v>
      </c>
      <c r="P68" s="567">
        <f>report_47_flagged!BA61</f>
        <v>37.4</v>
      </c>
      <c r="Q68" s="567">
        <f t="shared" si="9"/>
        <v>0.82279999999999998</v>
      </c>
      <c r="R68" s="568">
        <f>report_47_flagged!BB61</f>
        <v>1</v>
      </c>
      <c r="S68" s="567">
        <f>report_47_flagged!BC61</f>
        <v>8.5869999999999997</v>
      </c>
      <c r="T68" s="567">
        <f t="shared" si="10"/>
        <v>0.24902299999999999</v>
      </c>
      <c r="U68" s="568">
        <f>report_47_flagged!BD61</f>
        <v>1</v>
      </c>
      <c r="V68" s="71">
        <f>(report_47_flagged!N61/100)*report_47_flagged!H61</f>
        <v>11.291600012234278</v>
      </c>
      <c r="W68" s="71">
        <f t="shared" si="11"/>
        <v>0.23722036565586982</v>
      </c>
      <c r="X68" s="68">
        <f>report_47_flagged!AP61</f>
        <v>1</v>
      </c>
      <c r="Y68" s="71">
        <f>(report_47_flagged!P61/100)*report_47_flagged!H61</f>
        <v>0.58015847972461154</v>
      </c>
      <c r="Z68" s="71">
        <f t="shared" si="12"/>
        <v>2.2048770177389408E-2</v>
      </c>
      <c r="AA68" s="68">
        <f>report_47_flagged!AR61</f>
        <v>1</v>
      </c>
      <c r="AB68" s="71">
        <f>(report_47_flagged!R61/100)*report_47_flagged!H61</f>
        <v>4.4647319477660803</v>
      </c>
      <c r="AC68" s="71">
        <f t="shared" si="13"/>
        <v>0.12504119309158712</v>
      </c>
      <c r="AD68" s="68">
        <f>report_47_flagged!AT61</f>
        <v>1</v>
      </c>
      <c r="AE68" s="71">
        <f>(report_47_flagged!L61/100)*report_47_flagged!H61</f>
        <v>6.826868064468198</v>
      </c>
      <c r="AF68" s="71">
        <f t="shared" si="14"/>
        <v>0.12977515270101131</v>
      </c>
      <c r="AG68" s="68">
        <f>report_47_flagged!AV61</f>
        <v>1</v>
      </c>
      <c r="AH68" s="71">
        <f>(report_47_flagged!T61/100)*report_47_flagged!H61</f>
        <v>2.5522647965290242</v>
      </c>
      <c r="AI68" s="71">
        <f t="shared" si="15"/>
        <v>0.12507035034510697</v>
      </c>
      <c r="AJ68" s="68">
        <f>report_47_flagged!AX61</f>
        <v>1</v>
      </c>
    </row>
    <row r="69" spans="1:36">
      <c r="A69" s="625">
        <f>report_47_flagged!A62</f>
        <v>2017</v>
      </c>
      <c r="B69" s="625" t="str">
        <f>LEFT(report_47_flagged!B62,2)</f>
        <v>46</v>
      </c>
      <c r="C69" s="625" t="str">
        <f>RIGHT(report_47_flagged!B62,4)</f>
        <v>3800</v>
      </c>
      <c r="D69" s="494">
        <v>3712.5</v>
      </c>
      <c r="E69" t="str">
        <f>report!D62</f>
        <v>McLane-PARFLUX-Mark78H-21 ; 10705, A250x21</v>
      </c>
      <c r="G69" s="625">
        <f>report_47_flagged!C62</f>
        <v>15</v>
      </c>
      <c r="H69" s="634">
        <f>report_47_flagged!F62</f>
        <v>1</v>
      </c>
      <c r="I69" s="161">
        <f>report_47_flagged!AC62</f>
        <v>43048</v>
      </c>
      <c r="J69" s="161">
        <f>report_47_flagged!AD62</f>
        <v>43064</v>
      </c>
      <c r="K69" s="161">
        <f>report_47_flagged!AE62</f>
        <v>43056</v>
      </c>
      <c r="L69" s="68">
        <f>report_47_flagged!AF62</f>
        <v>16</v>
      </c>
      <c r="M69" s="7">
        <f>report_47_flagged!H62</f>
        <v>129.94285714285715</v>
      </c>
      <c r="N69" s="7">
        <f t="shared" si="8"/>
        <v>7.7965714285714277E-2</v>
      </c>
      <c r="O69" s="68">
        <f>report_47_flagged!J62</f>
        <v>3</v>
      </c>
      <c r="P69" s="567">
        <f>report_47_flagged!BA62</f>
        <v>37.340000000000003</v>
      </c>
      <c r="Q69" s="567">
        <f t="shared" si="9"/>
        <v>0.82147999999999999</v>
      </c>
      <c r="R69" s="568">
        <f>report_47_flagged!BB62</f>
        <v>1</v>
      </c>
      <c r="S69" s="567">
        <f>report_47_flagged!BC62</f>
        <v>8.4830000000000005</v>
      </c>
      <c r="T69" s="567">
        <f t="shared" si="10"/>
        <v>0.24600700000000003</v>
      </c>
      <c r="U69" s="568">
        <f>report_47_flagged!BD62</f>
        <v>1</v>
      </c>
      <c r="V69" s="71">
        <f>(report_47_flagged!N62/100)*report_47_flagged!H62</f>
        <v>18.058105976649692</v>
      </c>
      <c r="W69" s="71">
        <f t="shared" si="11"/>
        <v>0.37937497769952078</v>
      </c>
      <c r="X69" s="68">
        <f>report_47_flagged!AP62</f>
        <v>3</v>
      </c>
      <c r="Y69" s="71">
        <f>(report_47_flagged!P62/100)*report_47_flagged!H62</f>
        <v>0.89293611390250072</v>
      </c>
      <c r="Z69" s="71">
        <f t="shared" si="12"/>
        <v>3.3935801762085729E-2</v>
      </c>
      <c r="AA69" s="68">
        <f>report_47_flagged!AR62</f>
        <v>3</v>
      </c>
      <c r="AB69" s="71">
        <f>(report_47_flagged!R62/100)*report_47_flagged!H62</f>
        <v>7.0021441791296244</v>
      </c>
      <c r="AC69" s="71">
        <f t="shared" si="13"/>
        <v>0.19610504563342557</v>
      </c>
      <c r="AD69" s="68">
        <f>report_47_flagged!AT62</f>
        <v>3</v>
      </c>
      <c r="AE69" s="71">
        <f>(report_47_flagged!L62/100)*report_47_flagged!H62</f>
        <v>11.055961797520071</v>
      </c>
      <c r="AF69" s="71">
        <f t="shared" si="14"/>
        <v>0.21016798874396916</v>
      </c>
      <c r="AG69" s="68">
        <f>report_47_flagged!AV62</f>
        <v>3</v>
      </c>
      <c r="AH69" s="71">
        <f>(report_47_flagged!T62/100)*report_47_flagged!H62</f>
        <v>5.7848473038961057</v>
      </c>
      <c r="AI69" s="71">
        <f t="shared" si="15"/>
        <v>0.28347876755389229</v>
      </c>
      <c r="AJ69" s="68">
        <f>report_47_flagged!AX62</f>
        <v>3</v>
      </c>
    </row>
    <row r="70" spans="1:36">
      <c r="A70" s="625">
        <f>report_47_flagged!A63</f>
        <v>2017</v>
      </c>
      <c r="B70" s="625" t="str">
        <f>LEFT(report_47_flagged!B63,2)</f>
        <v>46</v>
      </c>
      <c r="C70" s="625" t="str">
        <f>RIGHT(report_47_flagged!B63,4)</f>
        <v>3800</v>
      </c>
      <c r="D70" s="494">
        <v>3712.5</v>
      </c>
      <c r="E70" t="str">
        <f>report!D63</f>
        <v>McLane-PARFLUX-Mark78H-21 ; 10705, A250x21</v>
      </c>
      <c r="G70" s="625">
        <f>report_47_flagged!C63</f>
        <v>16</v>
      </c>
      <c r="H70" s="634">
        <f>report_47_flagged!F63</f>
        <v>1</v>
      </c>
      <c r="I70" s="161">
        <f>report_47_flagged!AC63</f>
        <v>43064</v>
      </c>
      <c r="J70" s="161">
        <f>report_47_flagged!AD63</f>
        <v>43080</v>
      </c>
      <c r="K70" s="161">
        <f>report_47_flagged!AE63</f>
        <v>43072</v>
      </c>
      <c r="L70" s="68">
        <f>report_47_flagged!AF63</f>
        <v>16</v>
      </c>
      <c r="M70" s="7">
        <f>report_47_flagged!H63</f>
        <v>189.46607142857144</v>
      </c>
      <c r="N70" s="7">
        <f t="shared" si="8"/>
        <v>0.11367964285714285</v>
      </c>
      <c r="O70" s="68">
        <f>report_47_flagged!J63</f>
        <v>3</v>
      </c>
      <c r="P70" s="567">
        <f>report_47_flagged!BA63</f>
        <v>36.659999999999997</v>
      </c>
      <c r="Q70" s="567">
        <f t="shared" si="9"/>
        <v>0.8065199999999999</v>
      </c>
      <c r="R70" s="568">
        <f>report_47_flagged!BB63</f>
        <v>1</v>
      </c>
      <c r="S70" s="567">
        <f>report_47_flagged!BC63</f>
        <v>8.4580000000000002</v>
      </c>
      <c r="T70" s="567">
        <f t="shared" si="10"/>
        <v>0.24528200000000003</v>
      </c>
      <c r="U70" s="568">
        <f>report_47_flagged!BD63</f>
        <v>1</v>
      </c>
      <c r="V70" s="71">
        <f>(report_47_flagged!N63/100)*report_47_flagged!H63</f>
        <v>26.055305206418041</v>
      </c>
      <c r="W70" s="71">
        <f t="shared" si="11"/>
        <v>0.54738469496306275</v>
      </c>
      <c r="X70" s="68">
        <f>report_47_flagged!AP63</f>
        <v>3</v>
      </c>
      <c r="Y70" s="71">
        <f>(report_47_flagged!P63/100)*report_47_flagged!H63</f>
        <v>1.5179288204823222</v>
      </c>
      <c r="Z70" s="71">
        <f t="shared" si="12"/>
        <v>5.7688484919391762E-2</v>
      </c>
      <c r="AA70" s="68">
        <f>report_47_flagged!AR63</f>
        <v>3</v>
      </c>
      <c r="AB70" s="71">
        <f>(report_47_flagged!R63/100)*report_47_flagged!H63</f>
        <v>11.800099256600873</v>
      </c>
      <c r="AC70" s="71">
        <f t="shared" si="13"/>
        <v>0.3304786282595949</v>
      </c>
      <c r="AD70" s="68">
        <f>report_47_flagged!AT63</f>
        <v>3</v>
      </c>
      <c r="AE70" s="71">
        <f>(report_47_flagged!L63/100)*report_47_flagged!H63</f>
        <v>14.255205949817164</v>
      </c>
      <c r="AF70" s="71">
        <f t="shared" si="14"/>
        <v>0.2709839287140226</v>
      </c>
      <c r="AG70" s="68">
        <f>report_47_flagged!AV63</f>
        <v>3</v>
      </c>
      <c r="AH70" s="71">
        <f>(report_47_flagged!T63/100)*report_47_flagged!H63</f>
        <v>13.677914430174319</v>
      </c>
      <c r="AI70" s="71">
        <f t="shared" si="15"/>
        <v>0.67026805059521266</v>
      </c>
      <c r="AJ70" s="68">
        <f>report_47_flagged!AX63</f>
        <v>3</v>
      </c>
    </row>
    <row r="71" spans="1:36">
      <c r="A71" s="625">
        <f>report_47_flagged!A64</f>
        <v>2017</v>
      </c>
      <c r="B71" s="625" t="str">
        <f>LEFT(report_47_flagged!B64,2)</f>
        <v>46</v>
      </c>
      <c r="C71" s="625" t="str">
        <f>RIGHT(report_47_flagged!B64,4)</f>
        <v>3800</v>
      </c>
      <c r="D71" s="494">
        <v>3712.5</v>
      </c>
      <c r="E71" t="str">
        <f>report!D64</f>
        <v>McLane-PARFLUX-Mark78H-21 ; 10705, A250x21</v>
      </c>
      <c r="G71" s="625">
        <f>report_47_flagged!C64</f>
        <v>17</v>
      </c>
      <c r="H71" s="634">
        <f>report_47_flagged!F64</f>
        <v>1</v>
      </c>
      <c r="I71" s="161">
        <f>report_47_flagged!AC64</f>
        <v>43080</v>
      </c>
      <c r="J71" s="161">
        <f>report_47_flagged!AD64</f>
        <v>43096</v>
      </c>
      <c r="K71" s="161">
        <f>report_47_flagged!AE64</f>
        <v>43088</v>
      </c>
      <c r="L71" s="68">
        <f>report_47_flagged!AF64</f>
        <v>16</v>
      </c>
      <c r="M71" s="7">
        <f>report_47_flagged!H64</f>
        <v>154.09464285714287</v>
      </c>
      <c r="N71" s="7">
        <f t="shared" si="8"/>
        <v>9.2456785714285714E-2</v>
      </c>
      <c r="O71" s="68">
        <f>report_47_flagged!J64</f>
        <v>1</v>
      </c>
      <c r="P71" s="567">
        <f>report_47_flagged!BA64</f>
        <v>36.64</v>
      </c>
      <c r="Q71" s="567">
        <f t="shared" si="9"/>
        <v>0.80608000000000002</v>
      </c>
      <c r="R71" s="568">
        <f>report_47_flagged!BB64</f>
        <v>1</v>
      </c>
      <c r="S71" s="567">
        <f>report_47_flagged!BC64</f>
        <v>8.3999999999999986</v>
      </c>
      <c r="T71" s="567">
        <f t="shared" si="10"/>
        <v>0.24359999999999998</v>
      </c>
      <c r="U71" s="568">
        <f>report_47_flagged!BD64</f>
        <v>1</v>
      </c>
      <c r="V71" s="71">
        <f>(report_47_flagged!N64/100)*report_47_flagged!H64</f>
        <v>22.506281646949908</v>
      </c>
      <c r="W71" s="71">
        <f t="shared" si="11"/>
        <v>0.47282478621796548</v>
      </c>
      <c r="X71" s="68">
        <f>report_47_flagged!AP64</f>
        <v>1</v>
      </c>
      <c r="Y71" s="71">
        <f>(report_47_flagged!P64/100)*report_47_flagged!H64</f>
        <v>1.5373078873040422</v>
      </c>
      <c r="Z71" s="71">
        <f t="shared" si="12"/>
        <v>5.8424981248476185E-2</v>
      </c>
      <c r="AA71" s="68">
        <f>report_47_flagged!AR64</f>
        <v>1</v>
      </c>
      <c r="AB71" s="71">
        <f>(report_47_flagged!R64/100)*report_47_flagged!H64</f>
        <v>11.91898267113509</v>
      </c>
      <c r="AC71" s="71">
        <f t="shared" si="13"/>
        <v>0.33380812802936227</v>
      </c>
      <c r="AD71" s="68">
        <f>report_47_flagged!AT64</f>
        <v>1</v>
      </c>
      <c r="AE71" s="71">
        <f>(report_47_flagged!L64/100)*report_47_flagged!H64</f>
        <v>10.587298975814816</v>
      </c>
      <c r="AF71" s="71">
        <f t="shared" si="14"/>
        <v>0.2012589562743598</v>
      </c>
      <c r="AG71" s="68">
        <f>report_47_flagged!AV64</f>
        <v>1</v>
      </c>
      <c r="AH71" s="71">
        <f>(report_47_flagged!T64/100)*report_47_flagged!H64</f>
        <v>11.790580130236133</v>
      </c>
      <c r="AI71" s="71">
        <f t="shared" si="15"/>
        <v>0.57778173709332847</v>
      </c>
      <c r="AJ71" s="68">
        <f>report_47_flagged!AX64</f>
        <v>1</v>
      </c>
    </row>
    <row r="72" spans="1:36">
      <c r="A72" s="625">
        <f>report_47_flagged!A65</f>
        <v>2017</v>
      </c>
      <c r="B72" s="625" t="str">
        <f>LEFT(report_47_flagged!B65,2)</f>
        <v>46</v>
      </c>
      <c r="C72" s="625" t="str">
        <f>RIGHT(report_47_flagged!B65,4)</f>
        <v>3800</v>
      </c>
      <c r="D72" s="494">
        <v>3712.5</v>
      </c>
      <c r="E72" t="str">
        <f>report!D65</f>
        <v>McLane-PARFLUX-Mark78H-21 ; 10705, A250x21</v>
      </c>
      <c r="G72" s="625">
        <f>report_47_flagged!C65</f>
        <v>18</v>
      </c>
      <c r="H72" s="634">
        <f>report_47_flagged!F65</f>
        <v>1</v>
      </c>
      <c r="I72" s="161">
        <f>report_47_flagged!AC65</f>
        <v>43096</v>
      </c>
      <c r="J72" s="161">
        <f>report_47_flagged!AD65</f>
        <v>43112</v>
      </c>
      <c r="K72" s="161">
        <f>report_47_flagged!AE65</f>
        <v>43104</v>
      </c>
      <c r="L72" s="68">
        <f>report_47_flagged!AF65</f>
        <v>16</v>
      </c>
      <c r="M72" s="7">
        <f>report_47_flagged!H65</f>
        <v>119.55178571428573</v>
      </c>
      <c r="N72" s="7">
        <f t="shared" si="8"/>
        <v>7.1731071428571436E-2</v>
      </c>
      <c r="O72" s="68">
        <f>report_47_flagged!J65</f>
        <v>1</v>
      </c>
      <c r="P72" s="567">
        <f>report_47_flagged!BA65</f>
        <v>36.840000000000003</v>
      </c>
      <c r="Q72" s="567">
        <f t="shared" si="9"/>
        <v>0.81047999999999998</v>
      </c>
      <c r="R72" s="568">
        <f>report_47_flagged!BB65</f>
        <v>1</v>
      </c>
      <c r="S72" s="567">
        <f>report_47_flagged!BC65</f>
        <v>8.5060000000000002</v>
      </c>
      <c r="T72" s="567">
        <f t="shared" si="10"/>
        <v>0.24667400000000003</v>
      </c>
      <c r="U72" s="568">
        <f>report_47_flagged!BD65</f>
        <v>1</v>
      </c>
      <c r="V72" s="71">
        <f>(report_47_flagged!N65/100)*report_47_flagged!H65</f>
        <v>17.81422805496625</v>
      </c>
      <c r="W72" s="71">
        <f t="shared" si="11"/>
        <v>0.3742514513884172</v>
      </c>
      <c r="X72" s="68">
        <f>report_47_flagged!AP65</f>
        <v>2</v>
      </c>
      <c r="Y72" s="71">
        <f>(report_47_flagged!P65/100)*report_47_flagged!H65</f>
        <v>1.3806020471858129</v>
      </c>
      <c r="Z72" s="71">
        <f t="shared" si="12"/>
        <v>5.2469417079420759E-2</v>
      </c>
      <c r="AA72" s="68">
        <f>report_47_flagged!AR65</f>
        <v>1</v>
      </c>
      <c r="AB72" s="71">
        <f>(report_47_flagged!R65/100)*report_47_flagged!H65</f>
        <v>10.269390771982803</v>
      </c>
      <c r="AC72" s="71">
        <f t="shared" si="13"/>
        <v>0.28760895155082267</v>
      </c>
      <c r="AD72" s="68">
        <f>report_47_flagged!AT65</f>
        <v>2</v>
      </c>
      <c r="AE72" s="71">
        <f>(report_47_flagged!L65/100)*report_47_flagged!H65</f>
        <v>7.5448372829834467</v>
      </c>
      <c r="AF72" s="71">
        <f t="shared" si="14"/>
        <v>0.14342336797155211</v>
      </c>
      <c r="AG72" s="68">
        <f>report_47_flagged!AV65</f>
        <v>1</v>
      </c>
      <c r="AH72" s="71">
        <f>(report_47_flagged!T65/100)*report_47_flagged!H65</f>
        <v>10.787922498551971</v>
      </c>
      <c r="AI72" s="71">
        <f t="shared" si="15"/>
        <v>0.52864783004674143</v>
      </c>
      <c r="AJ72" s="68">
        <f>report_47_flagged!AX65</f>
        <v>1</v>
      </c>
    </row>
    <row r="73" spans="1:36">
      <c r="A73" s="625">
        <f>report_47_flagged!A66</f>
        <v>2017</v>
      </c>
      <c r="B73" s="625" t="str">
        <f>LEFT(report_47_flagged!B66,2)</f>
        <v>46</v>
      </c>
      <c r="C73" s="625" t="str">
        <f>RIGHT(report_47_flagged!B66,4)</f>
        <v>3800</v>
      </c>
      <c r="D73" s="494">
        <v>3712.5</v>
      </c>
      <c r="E73" t="str">
        <f>report!D66</f>
        <v>McLane-PARFLUX-Mark78H-21 ; 10705, A250x21</v>
      </c>
      <c r="G73" s="625">
        <f>report_47_flagged!C66</f>
        <v>19</v>
      </c>
      <c r="H73" s="634">
        <f>report_47_flagged!F66</f>
        <v>1</v>
      </c>
      <c r="I73" s="161">
        <f>report_47_flagged!AC66</f>
        <v>43112</v>
      </c>
      <c r="J73" s="161">
        <f>report_47_flagged!AD66</f>
        <v>43128</v>
      </c>
      <c r="K73" s="161">
        <f>report_47_flagged!AE66</f>
        <v>43120</v>
      </c>
      <c r="L73" s="68">
        <f>report_47_flagged!AF66</f>
        <v>16</v>
      </c>
      <c r="M73" s="7">
        <f>report_47_flagged!H66</f>
        <v>141.75</v>
      </c>
      <c r="N73" s="7">
        <f t="shared" si="8"/>
        <v>8.5049999999999987E-2</v>
      </c>
      <c r="O73" s="68">
        <f>report_47_flagged!J66</f>
        <v>1</v>
      </c>
      <c r="P73" s="567">
        <f>report_47_flagged!BA66</f>
        <v>35.869999999999997</v>
      </c>
      <c r="Q73" s="567">
        <f t="shared" si="9"/>
        <v>0.78913999999999995</v>
      </c>
      <c r="R73" s="568">
        <f>report_47_flagged!BB66</f>
        <v>1</v>
      </c>
      <c r="S73" s="567">
        <f>report_47_flagged!BC66</f>
        <v>8.4870000000000001</v>
      </c>
      <c r="T73" s="567">
        <f t="shared" si="10"/>
        <v>0.24612300000000001</v>
      </c>
      <c r="U73" s="568">
        <f>report_47_flagged!BD66</f>
        <v>1</v>
      </c>
      <c r="V73" s="71">
        <f>(report_47_flagged!N66/100)*report_47_flagged!H66</f>
        <v>20.304173176288604</v>
      </c>
      <c r="W73" s="71">
        <f t="shared" si="11"/>
        <v>0.42656163696912858</v>
      </c>
      <c r="X73" s="68">
        <f>report_47_flagged!AP66</f>
        <v>1</v>
      </c>
      <c r="Y73" s="71">
        <f>(report_47_flagged!P66/100)*report_47_flagged!H66</f>
        <v>1.4400626054406165</v>
      </c>
      <c r="Z73" s="71">
        <f t="shared" si="12"/>
        <v>5.4729199930826734E-2</v>
      </c>
      <c r="AA73" s="68">
        <f>report_47_flagged!AR66</f>
        <v>1</v>
      </c>
      <c r="AB73" s="71">
        <f>(report_47_flagged!R66/100)*report_47_flagged!H66</f>
        <v>10.452775259791117</v>
      </c>
      <c r="AC73" s="71">
        <f t="shared" si="13"/>
        <v>0.29274489597443237</v>
      </c>
      <c r="AD73" s="68">
        <f>report_47_flagged!AT66</f>
        <v>1</v>
      </c>
      <c r="AE73" s="71">
        <f>(report_47_flagged!L66/100)*report_47_flagged!H66</f>
        <v>9.8513979164974863</v>
      </c>
      <c r="AF73" s="71">
        <f t="shared" si="14"/>
        <v>0.1872698661903138</v>
      </c>
      <c r="AG73" s="68">
        <f>report_47_flagged!AV66</f>
        <v>1</v>
      </c>
      <c r="AH73" s="71">
        <f>(report_47_flagged!T66/100)*report_47_flagged!H66</f>
        <v>12.077085964608669</v>
      </c>
      <c r="AI73" s="71">
        <f t="shared" si="15"/>
        <v>0.59182157540854641</v>
      </c>
      <c r="AJ73" s="68">
        <f>report_47_flagged!AX66</f>
        <v>1</v>
      </c>
    </row>
    <row r="74" spans="1:36">
      <c r="A74" s="625">
        <f>report_47_flagged!A67</f>
        <v>2017</v>
      </c>
      <c r="B74" s="625" t="str">
        <f>LEFT(report_47_flagged!B67,2)</f>
        <v>46</v>
      </c>
      <c r="C74" s="625" t="str">
        <f>RIGHT(report_47_flagged!B67,4)</f>
        <v>3800</v>
      </c>
      <c r="D74" s="494">
        <v>3712.5</v>
      </c>
      <c r="E74" t="str">
        <f>report!D67</f>
        <v>McLane-PARFLUX-Mark78H-21 ; 10705, A250x21</v>
      </c>
      <c r="G74" s="625">
        <f>report_47_flagged!C67</f>
        <v>20</v>
      </c>
      <c r="H74" s="634">
        <f>report_47_flagged!F67</f>
        <v>1</v>
      </c>
      <c r="I74" s="161">
        <f>report_47_flagged!AC67</f>
        <v>43128</v>
      </c>
      <c r="J74" s="161">
        <f>report_47_flagged!AD67</f>
        <v>43144</v>
      </c>
      <c r="K74" s="161">
        <f>report_47_flagged!AE67</f>
        <v>43136</v>
      </c>
      <c r="L74" s="68">
        <f>report_47_flagged!AF67</f>
        <v>16</v>
      </c>
      <c r="M74" s="7">
        <f>report_47_flagged!H67</f>
        <v>252.69642857142856</v>
      </c>
      <c r="N74" s="7">
        <f t="shared" si="8"/>
        <v>0.15161785714285711</v>
      </c>
      <c r="O74" s="68">
        <f>report_47_flagged!J67</f>
        <v>1</v>
      </c>
      <c r="P74" s="567">
        <f>report_47_flagged!BA67</f>
        <v>35.520000000000003</v>
      </c>
      <c r="Q74" s="567">
        <f t="shared" si="9"/>
        <v>0.78144000000000002</v>
      </c>
      <c r="R74" s="568">
        <f>report_47_flagged!BB67</f>
        <v>1</v>
      </c>
      <c r="S74" s="567">
        <f>report_47_flagged!BC67</f>
        <v>8.3670000000000009</v>
      </c>
      <c r="T74" s="567">
        <f t="shared" si="10"/>
        <v>0.24264300000000003</v>
      </c>
      <c r="U74" s="568">
        <f>report_47_flagged!BD67</f>
        <v>1</v>
      </c>
      <c r="V74" s="71">
        <f>(report_47_flagged!N67/100)*report_47_flagged!H67</f>
        <v>35.85705462225846</v>
      </c>
      <c r="W74" s="71">
        <f t="shared" si="11"/>
        <v>0.7533054305517819</v>
      </c>
      <c r="X74" s="68">
        <f>report_47_flagged!AP67</f>
        <v>1</v>
      </c>
      <c r="Y74" s="71">
        <f>(report_47_flagged!P67/100)*report_47_flagged!H67</f>
        <v>2.3370458669428316</v>
      </c>
      <c r="Z74" s="71">
        <f t="shared" si="12"/>
        <v>8.8818812471206057E-2</v>
      </c>
      <c r="AA74" s="68">
        <f>report_47_flagged!AR67</f>
        <v>1</v>
      </c>
      <c r="AB74" s="71">
        <f>(report_47_flagged!R67/100)*report_47_flagged!H67</f>
        <v>16.556877997602427</v>
      </c>
      <c r="AC74" s="71">
        <f t="shared" si="13"/>
        <v>0.46369900878997272</v>
      </c>
      <c r="AD74" s="68">
        <f>report_47_flagged!AT67</f>
        <v>1</v>
      </c>
      <c r="AE74" s="71">
        <f>(report_47_flagged!L67/100)*report_47_flagged!H67</f>
        <v>19.300176624656029</v>
      </c>
      <c r="AF74" s="71">
        <f t="shared" si="14"/>
        <v>0.36688615408540726</v>
      </c>
      <c r="AG74" s="68">
        <f>report_47_flagged!AV67</f>
        <v>1</v>
      </c>
      <c r="AH74" s="71">
        <f>(report_47_flagged!T67/100)*report_47_flagged!H67</f>
        <v>17.061998322990952</v>
      </c>
      <c r="AI74" s="71">
        <f t="shared" si="15"/>
        <v>0.83610059220586785</v>
      </c>
      <c r="AJ74" s="68">
        <f>report_47_flagged!AX67</f>
        <v>1</v>
      </c>
    </row>
    <row r="75" spans="1:36">
      <c r="A75" s="625">
        <f>report_47_flagged!A68</f>
        <v>2017</v>
      </c>
      <c r="B75" s="625" t="str">
        <f>LEFT(report_47_flagged!B68,2)</f>
        <v>46</v>
      </c>
      <c r="C75" s="625" t="str">
        <f>RIGHT(report_47_flagged!B68,4)</f>
        <v>3800</v>
      </c>
      <c r="D75" s="494">
        <v>3712.5</v>
      </c>
      <c r="E75" t="str">
        <f>report!D68</f>
        <v>McLane-PARFLUX-Mark78H-21 ; 10705, A250x21</v>
      </c>
      <c r="G75" s="625">
        <f>report_47_flagged!C68</f>
        <v>21</v>
      </c>
      <c r="H75" s="634">
        <f>report_47_flagged!F68</f>
        <v>1</v>
      </c>
      <c r="I75" s="161">
        <f>report_47_flagged!AC68</f>
        <v>43144</v>
      </c>
      <c r="J75" s="161">
        <f>report_47_flagged!AD68</f>
        <v>43160</v>
      </c>
      <c r="K75" s="161">
        <f>report_47_flagged!AE68</f>
        <v>43152</v>
      </c>
      <c r="L75" s="68">
        <f>report_47_flagged!AF68</f>
        <v>16</v>
      </c>
      <c r="M75" s="7">
        <f>report_47_flagged!H68</f>
        <v>74.035714285714292</v>
      </c>
      <c r="N75" s="7">
        <f t="shared" si="8"/>
        <v>4.442142857142857E-2</v>
      </c>
      <c r="O75" s="68">
        <f>report_47_flagged!J68</f>
        <v>1</v>
      </c>
      <c r="P75" s="567">
        <f>report_47_flagged!BA68</f>
        <v>36.97</v>
      </c>
      <c r="Q75" s="567">
        <f t="shared" si="9"/>
        <v>0.81333999999999995</v>
      </c>
      <c r="R75" s="568">
        <f>report_47_flagged!BB68</f>
        <v>1</v>
      </c>
      <c r="S75" s="567">
        <f>report_47_flagged!BC68</f>
        <v>8.5549999999999997</v>
      </c>
      <c r="T75" s="567">
        <f t="shared" si="10"/>
        <v>0.24809500000000001</v>
      </c>
      <c r="U75" s="568">
        <f>report_47_flagged!BD68</f>
        <v>1</v>
      </c>
      <c r="V75" s="71">
        <f>(report_47_flagged!N68/100)*report_47_flagged!H68</f>
        <v>9.4559426266806472</v>
      </c>
      <c r="W75" s="71">
        <f t="shared" si="11"/>
        <v>0.19865582956283417</v>
      </c>
      <c r="X75" s="68">
        <f>report_47_flagged!AP68</f>
        <v>1</v>
      </c>
      <c r="Y75" s="71">
        <f>(report_47_flagged!P68/100)*report_47_flagged!H68</f>
        <v>0.46450402896319121</v>
      </c>
      <c r="Z75" s="71">
        <f t="shared" si="12"/>
        <v>1.7653353245724108E-2</v>
      </c>
      <c r="AA75" s="68">
        <f>report_47_flagged!AR68</f>
        <v>1</v>
      </c>
      <c r="AB75" s="71">
        <f>(report_47_flagged!R68/100)*report_47_flagged!H68</f>
        <v>3.3054983681074437</v>
      </c>
      <c r="AC75" s="71">
        <f t="shared" si="13"/>
        <v>9.257520150056367E-2</v>
      </c>
      <c r="AD75" s="68">
        <f>report_47_flagged!AT68</f>
        <v>1</v>
      </c>
      <c r="AE75" s="71">
        <f>(report_47_flagged!L68/100)*report_47_flagged!H68</f>
        <v>6.1504442585732031</v>
      </c>
      <c r="AF75" s="71">
        <f t="shared" si="14"/>
        <v>0.11691669376029934</v>
      </c>
      <c r="AG75" s="68">
        <f>report_47_flagged!AV68</f>
        <v>1</v>
      </c>
      <c r="AH75" s="71">
        <f>(report_47_flagged!T68/100)*report_47_flagged!H68</f>
        <v>4.3908476652342339</v>
      </c>
      <c r="AI75" s="71">
        <f t="shared" si="15"/>
        <v>0.21516766463639758</v>
      </c>
      <c r="AJ75" s="68">
        <f>report_47_flagged!AX68</f>
        <v>1</v>
      </c>
    </row>
    <row r="76" spans="1:36">
      <c r="I76" s="161"/>
      <c r="J76" s="161"/>
      <c r="K76" s="191"/>
      <c r="M76" s="7"/>
      <c r="N76" s="7"/>
      <c r="O76" s="68"/>
      <c r="P76" s="568"/>
      <c r="Q76" s="568"/>
      <c r="R76" s="568"/>
      <c r="U76" s="476"/>
    </row>
    <row r="77" spans="1:36">
      <c r="I77" s="161"/>
      <c r="J77" s="161"/>
      <c r="K77" s="191"/>
      <c r="M77" s="7"/>
      <c r="N77" s="7"/>
      <c r="O77" s="68"/>
      <c r="P77" s="568"/>
      <c r="Q77" s="568"/>
      <c r="R77" s="568"/>
      <c r="U77" s="476"/>
    </row>
    <row r="78" spans="1:36">
      <c r="I78" s="161"/>
      <c r="J78" s="161"/>
      <c r="K78" s="191"/>
      <c r="M78" s="7"/>
      <c r="N78" s="7"/>
      <c r="O78" s="68"/>
      <c r="P78" s="568"/>
      <c r="Q78" s="568"/>
      <c r="R78" s="568"/>
      <c r="U78" s="476"/>
    </row>
    <row r="82" spans="19:20">
      <c r="S82" s="567"/>
      <c r="T82" s="567"/>
    </row>
    <row r="83" spans="19:20">
      <c r="S83" s="567"/>
      <c r="T83" s="567"/>
    </row>
    <row r="84" spans="19:20">
      <c r="S84" s="567"/>
      <c r="T84" s="567"/>
    </row>
    <row r="85" spans="19:20">
      <c r="S85" s="567"/>
      <c r="T85" s="567"/>
    </row>
    <row r="86" spans="19:20">
      <c r="S86" s="567"/>
      <c r="T86" s="567"/>
    </row>
    <row r="87" spans="19:20">
      <c r="S87" s="567"/>
      <c r="T87" s="567"/>
    </row>
    <row r="88" spans="19:20">
      <c r="S88" s="567"/>
      <c r="T88" s="567"/>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24"/>
  <sheetViews>
    <sheetView workbookViewId="0">
      <selection activeCell="A4" sqref="A4"/>
    </sheetView>
  </sheetViews>
  <sheetFormatPr defaultColWidth="11" defaultRowHeight="15.5"/>
  <sheetData>
    <row r="1" spans="1:1">
      <c r="A1" t="s">
        <v>64</v>
      </c>
    </row>
    <row r="3" spans="1:1">
      <c r="A3" t="s">
        <v>65</v>
      </c>
    </row>
    <row r="4" spans="1:1">
      <c r="A4" t="s">
        <v>2702</v>
      </c>
    </row>
    <row r="24" spans="9:9">
      <c r="I24"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S100"/>
  <sheetViews>
    <sheetView topLeftCell="A57" workbookViewId="0">
      <selection activeCell="G7" sqref="G7"/>
    </sheetView>
  </sheetViews>
  <sheetFormatPr defaultColWidth="8.83203125" defaultRowHeight="15.5"/>
  <cols>
    <col min="6" max="6" width="13.5" bestFit="1" customWidth="1"/>
  </cols>
  <sheetData>
    <row r="1" spans="1:8">
      <c r="A1" s="1" t="s">
        <v>1627</v>
      </c>
      <c r="B1" s="1" t="s">
        <v>1628</v>
      </c>
      <c r="C1" s="1" t="s">
        <v>1629</v>
      </c>
      <c r="D1" s="53" t="s">
        <v>2080</v>
      </c>
      <c r="E1" s="54" t="s">
        <v>1930</v>
      </c>
      <c r="F1" s="54" t="s">
        <v>2221</v>
      </c>
      <c r="G1" s="1" t="s">
        <v>2222</v>
      </c>
    </row>
    <row r="2" spans="1:8">
      <c r="A2" s="66" t="s">
        <v>1934</v>
      </c>
      <c r="D2" s="67" t="s">
        <v>2102</v>
      </c>
      <c r="E2" s="7" t="s">
        <v>1675</v>
      </c>
      <c r="F2" s="7"/>
    </row>
    <row r="3" spans="1:8">
      <c r="A3" s="80"/>
      <c r="D3" s="67"/>
      <c r="E3" s="81" t="s">
        <v>1937</v>
      </c>
      <c r="F3" s="81"/>
      <c r="H3" t="s">
        <v>2223</v>
      </c>
    </row>
    <row r="4" spans="1:8">
      <c r="A4" s="86" t="s">
        <v>2127</v>
      </c>
      <c r="B4" s="87"/>
      <c r="C4" s="1"/>
      <c r="D4" s="53" t="s">
        <v>2128</v>
      </c>
      <c r="E4" s="54" t="s">
        <v>1940</v>
      </c>
      <c r="F4" s="54"/>
    </row>
    <row r="5" spans="1:8">
      <c r="A5" s="90"/>
      <c r="B5" s="90"/>
      <c r="C5" s="90"/>
      <c r="D5" s="91"/>
      <c r="E5" s="7"/>
      <c r="F5" s="7"/>
    </row>
    <row r="6" spans="1:8">
      <c r="A6" s="102" t="s">
        <v>2693</v>
      </c>
      <c r="B6" s="103" t="s">
        <v>2694</v>
      </c>
      <c r="C6" s="109"/>
      <c r="D6" s="105"/>
      <c r="E6" s="106"/>
      <c r="F6" s="106"/>
    </row>
    <row r="7" spans="1:8">
      <c r="A7">
        <v>2017</v>
      </c>
      <c r="B7" t="s">
        <v>1708</v>
      </c>
      <c r="C7" t="s">
        <v>2143</v>
      </c>
      <c r="D7">
        <f>main!D7</f>
        <v>5</v>
      </c>
      <c r="E7">
        <f>main!E7</f>
        <v>297.18571428571431</v>
      </c>
      <c r="F7" s="161">
        <v>43178</v>
      </c>
      <c r="G7" t="s">
        <v>2224</v>
      </c>
    </row>
    <row r="8" spans="1:8">
      <c r="A8">
        <v>2017</v>
      </c>
      <c r="B8" t="s">
        <v>1708</v>
      </c>
      <c r="C8">
        <v>2</v>
      </c>
      <c r="D8">
        <f>main!D8</f>
        <v>3</v>
      </c>
      <c r="E8">
        <f>main!E8</f>
        <v>231.91428571428565</v>
      </c>
      <c r="F8" s="161">
        <v>43178</v>
      </c>
      <c r="G8" t="s">
        <v>2225</v>
      </c>
    </row>
    <row r="9" spans="1:8">
      <c r="A9">
        <v>2017</v>
      </c>
      <c r="B9" t="s">
        <v>1708</v>
      </c>
      <c r="C9">
        <v>3</v>
      </c>
      <c r="D9" t="str">
        <f>main!D9</f>
        <v>&lt;1</v>
      </c>
      <c r="E9">
        <f>main!E9</f>
        <v>93.357142857142861</v>
      </c>
      <c r="F9" s="161">
        <v>43178</v>
      </c>
      <c r="G9" t="s">
        <v>2226</v>
      </c>
    </row>
    <row r="10" spans="1:8">
      <c r="A10">
        <v>2017</v>
      </c>
      <c r="B10" t="s">
        <v>1708</v>
      </c>
      <c r="C10">
        <v>4</v>
      </c>
      <c r="D10">
        <f>main!D10</f>
        <v>2</v>
      </c>
      <c r="E10">
        <f>main!E10</f>
        <v>298.58571428571429</v>
      </c>
      <c r="F10" s="161">
        <v>43179</v>
      </c>
      <c r="G10" t="s">
        <v>2227</v>
      </c>
    </row>
    <row r="11" spans="1:8">
      <c r="A11">
        <v>2017</v>
      </c>
      <c r="B11" t="s">
        <v>1708</v>
      </c>
      <c r="C11">
        <v>5</v>
      </c>
      <c r="D11">
        <f>main!D11</f>
        <v>7</v>
      </c>
      <c r="E11">
        <f>main!E11</f>
        <v>807.67142857142858</v>
      </c>
      <c r="F11" s="161">
        <v>43179</v>
      </c>
      <c r="G11" t="s">
        <v>2741</v>
      </c>
    </row>
    <row r="12" spans="1:8">
      <c r="A12">
        <v>2017</v>
      </c>
      <c r="B12" t="s">
        <v>1708</v>
      </c>
      <c r="C12">
        <v>6</v>
      </c>
      <c r="D12">
        <f>main!D12</f>
        <v>1</v>
      </c>
      <c r="E12">
        <f>main!E12</f>
        <v>121.02857142857141</v>
      </c>
      <c r="F12" s="161">
        <v>43179</v>
      </c>
      <c r="G12" t="s">
        <v>2228</v>
      </c>
    </row>
    <row r="13" spans="1:8">
      <c r="A13">
        <v>2017</v>
      </c>
      <c r="B13" t="s">
        <v>1708</v>
      </c>
      <c r="C13">
        <v>7</v>
      </c>
      <c r="D13" t="str">
        <f>main!D13</f>
        <v>&lt;1</v>
      </c>
      <c r="E13">
        <f>main!E13</f>
        <v>54.342857142857142</v>
      </c>
      <c r="F13" s="161">
        <v>43179</v>
      </c>
      <c r="G13" t="s">
        <v>2229</v>
      </c>
    </row>
    <row r="14" spans="1:8">
      <c r="A14">
        <v>2017</v>
      </c>
      <c r="B14" t="s">
        <v>1708</v>
      </c>
      <c r="C14">
        <v>8</v>
      </c>
      <c r="D14" t="str">
        <f>main!D14</f>
        <v>&lt;1</v>
      </c>
      <c r="E14">
        <f>main!E14</f>
        <v>63.328571428571436</v>
      </c>
      <c r="F14" s="161">
        <v>43179</v>
      </c>
      <c r="G14" t="s">
        <v>2230</v>
      </c>
    </row>
    <row r="15" spans="1:8">
      <c r="A15">
        <v>2017</v>
      </c>
      <c r="B15" t="s">
        <v>1708</v>
      </c>
      <c r="C15">
        <v>9</v>
      </c>
      <c r="D15">
        <f>main!D15</f>
        <v>1</v>
      </c>
      <c r="E15">
        <f>main!E15</f>
        <v>99.17142857142855</v>
      </c>
      <c r="F15" s="161">
        <v>43179</v>
      </c>
      <c r="G15" t="s">
        <v>2231</v>
      </c>
    </row>
    <row r="16" spans="1:8">
      <c r="A16">
        <v>2017</v>
      </c>
      <c r="B16" t="s">
        <v>1708</v>
      </c>
      <c r="C16">
        <v>10</v>
      </c>
      <c r="D16">
        <f>main!D16</f>
        <v>3</v>
      </c>
      <c r="E16">
        <f>main!E16</f>
        <v>306.2</v>
      </c>
      <c r="F16" s="161">
        <v>43179</v>
      </c>
      <c r="G16" t="s">
        <v>2232</v>
      </c>
    </row>
    <row r="17" spans="1:7">
      <c r="A17">
        <v>2017</v>
      </c>
      <c r="B17" t="s">
        <v>1708</v>
      </c>
      <c r="C17">
        <v>11</v>
      </c>
      <c r="D17">
        <f>main!D17</f>
        <v>3</v>
      </c>
      <c r="E17">
        <f>main!E17</f>
        <v>394.55714285714288</v>
      </c>
      <c r="F17" s="161">
        <v>43179</v>
      </c>
      <c r="G17" t="s">
        <v>2233</v>
      </c>
    </row>
    <row r="18" spans="1:7">
      <c r="A18">
        <v>2017</v>
      </c>
      <c r="B18" t="s">
        <v>1708</v>
      </c>
      <c r="C18">
        <v>12</v>
      </c>
      <c r="D18">
        <f>main!D18</f>
        <v>1</v>
      </c>
      <c r="E18">
        <f>main!E18</f>
        <v>146.32499999999999</v>
      </c>
      <c r="F18" s="161">
        <v>43179</v>
      </c>
      <c r="G18" t="s">
        <v>2234</v>
      </c>
    </row>
    <row r="19" spans="1:7">
      <c r="A19">
        <v>2017</v>
      </c>
      <c r="B19" t="s">
        <v>1708</v>
      </c>
      <c r="C19">
        <v>13</v>
      </c>
      <c r="D19" t="str">
        <f>main!D19</f>
        <v>&lt;1</v>
      </c>
      <c r="E19">
        <f>main!E19</f>
        <v>69.414285714285725</v>
      </c>
      <c r="F19" s="161">
        <v>43179</v>
      </c>
      <c r="G19" t="s">
        <v>2235</v>
      </c>
    </row>
    <row r="20" spans="1:7">
      <c r="A20">
        <v>2017</v>
      </c>
      <c r="B20" t="s">
        <v>1708</v>
      </c>
      <c r="C20">
        <v>14</v>
      </c>
      <c r="D20">
        <f>main!D20</f>
        <v>3</v>
      </c>
      <c r="E20">
        <f>main!E20</f>
        <v>810.38571428571436</v>
      </c>
      <c r="F20" s="161">
        <v>43180</v>
      </c>
      <c r="G20" t="s">
        <v>2236</v>
      </c>
    </row>
    <row r="21" spans="1:7">
      <c r="A21">
        <v>2017</v>
      </c>
      <c r="B21" t="s">
        <v>1708</v>
      </c>
      <c r="C21">
        <v>15</v>
      </c>
      <c r="D21">
        <f>main!D21</f>
        <v>19</v>
      </c>
      <c r="E21">
        <f>main!E21</f>
        <v>1575.3999999999996</v>
      </c>
      <c r="F21" s="161">
        <v>43180</v>
      </c>
      <c r="G21" t="s">
        <v>2237</v>
      </c>
    </row>
    <row r="22" spans="1:7">
      <c r="A22">
        <v>2017</v>
      </c>
      <c r="B22" t="s">
        <v>1708</v>
      </c>
      <c r="C22">
        <v>16</v>
      </c>
      <c r="D22">
        <f>main!D22</f>
        <v>10</v>
      </c>
      <c r="E22">
        <f>main!E22</f>
        <v>952.48571428571427</v>
      </c>
      <c r="F22" s="161">
        <v>43180</v>
      </c>
      <c r="G22" t="s">
        <v>2238</v>
      </c>
    </row>
    <row r="23" spans="1:7">
      <c r="A23">
        <v>2017</v>
      </c>
      <c r="B23" t="s">
        <v>1708</v>
      </c>
      <c r="C23">
        <v>17</v>
      </c>
      <c r="D23">
        <f>main!D23</f>
        <v>13</v>
      </c>
      <c r="E23">
        <f>main!E23</f>
        <v>659.71428571428578</v>
      </c>
      <c r="F23" s="161">
        <v>43180</v>
      </c>
      <c r="G23" t="s">
        <v>2239</v>
      </c>
    </row>
    <row r="24" spans="1:7">
      <c r="A24">
        <v>2017</v>
      </c>
      <c r="B24" t="s">
        <v>1708</v>
      </c>
      <c r="C24">
        <v>18</v>
      </c>
      <c r="D24">
        <f>main!D24</f>
        <v>30</v>
      </c>
      <c r="E24">
        <f>main!E24</f>
        <v>1057.0714285714287</v>
      </c>
      <c r="F24" s="161">
        <v>43180</v>
      </c>
      <c r="G24" t="s">
        <v>2240</v>
      </c>
    </row>
    <row r="25" spans="1:7">
      <c r="A25">
        <v>2017</v>
      </c>
      <c r="B25" t="s">
        <v>1708</v>
      </c>
      <c r="C25">
        <v>19</v>
      </c>
      <c r="D25">
        <f>main!D25</f>
        <v>15</v>
      </c>
      <c r="E25">
        <f>main!E25</f>
        <v>800.81428571428557</v>
      </c>
      <c r="F25" s="161">
        <v>43180</v>
      </c>
      <c r="G25" t="s">
        <v>2241</v>
      </c>
    </row>
    <row r="26" spans="1:7">
      <c r="A26">
        <v>2017</v>
      </c>
      <c r="B26" t="s">
        <v>1708</v>
      </c>
      <c r="C26">
        <v>20</v>
      </c>
      <c r="D26">
        <f>main!D26</f>
        <v>10</v>
      </c>
      <c r="E26">
        <f>main!E26</f>
        <v>780.0428571428572</v>
      </c>
      <c r="F26" s="161">
        <v>43180</v>
      </c>
      <c r="G26" t="s">
        <v>2242</v>
      </c>
    </row>
    <row r="27" spans="1:7">
      <c r="A27">
        <v>2017</v>
      </c>
      <c r="B27" t="s">
        <v>1708</v>
      </c>
      <c r="C27">
        <v>21</v>
      </c>
      <c r="D27" t="str">
        <f>main!D27</f>
        <v>&lt;1</v>
      </c>
      <c r="E27" s="181">
        <f>main!E27</f>
        <v>40.042857142857137</v>
      </c>
      <c r="F27" s="161">
        <v>43180</v>
      </c>
      <c r="G27" t="s">
        <v>2243</v>
      </c>
    </row>
    <row r="28" spans="1:7">
      <c r="A28" s="55" t="s">
        <v>2697</v>
      </c>
      <c r="B28" s="116"/>
      <c r="C28" s="117"/>
    </row>
    <row r="29" spans="1:7">
      <c r="A29" s="116"/>
      <c r="B29" s="117"/>
      <c r="C29" s="117"/>
    </row>
    <row r="30" spans="1:7">
      <c r="A30" s="102" t="s">
        <v>1706</v>
      </c>
      <c r="B30" s="103" t="s">
        <v>2695</v>
      </c>
      <c r="C30" s="104"/>
    </row>
    <row r="31" spans="1:7">
      <c r="A31">
        <v>2017</v>
      </c>
      <c r="B31" t="s">
        <v>1750</v>
      </c>
      <c r="C31" t="s">
        <v>2147</v>
      </c>
      <c r="D31">
        <f>main!D31</f>
        <v>4</v>
      </c>
      <c r="E31">
        <f>main!E31</f>
        <v>398.62857142857138</v>
      </c>
      <c r="F31" s="161">
        <v>43181</v>
      </c>
      <c r="G31" t="s">
        <v>2244</v>
      </c>
    </row>
    <row r="32" spans="1:7">
      <c r="A32">
        <v>2017</v>
      </c>
      <c r="B32" t="s">
        <v>1750</v>
      </c>
      <c r="C32">
        <v>2</v>
      </c>
      <c r="D32">
        <f>main!D32</f>
        <v>4</v>
      </c>
      <c r="E32">
        <f>main!E32</f>
        <v>498.84285714285727</v>
      </c>
      <c r="F32" s="161">
        <v>43181</v>
      </c>
      <c r="G32" t="s">
        <v>2245</v>
      </c>
    </row>
    <row r="33" spans="1:7">
      <c r="A33">
        <v>2017</v>
      </c>
      <c r="B33" t="s">
        <v>1750</v>
      </c>
      <c r="C33">
        <v>3</v>
      </c>
      <c r="D33">
        <f>main!D33</f>
        <v>4</v>
      </c>
      <c r="E33">
        <f>main!E33</f>
        <v>586.1</v>
      </c>
      <c r="F33" s="161">
        <v>43181</v>
      </c>
      <c r="G33" t="s">
        <v>2246</v>
      </c>
    </row>
    <row r="34" spans="1:7">
      <c r="A34">
        <v>2017</v>
      </c>
      <c r="B34" t="s">
        <v>1750</v>
      </c>
      <c r="C34">
        <v>4</v>
      </c>
      <c r="D34">
        <f>main!D34</f>
        <v>3</v>
      </c>
      <c r="E34">
        <f>main!E34</f>
        <v>653.55714285714282</v>
      </c>
      <c r="F34" s="161">
        <v>43181</v>
      </c>
      <c r="G34" t="s">
        <v>2247</v>
      </c>
    </row>
    <row r="35" spans="1:7">
      <c r="A35">
        <v>2017</v>
      </c>
      <c r="B35" t="s">
        <v>1750</v>
      </c>
      <c r="C35">
        <v>5</v>
      </c>
      <c r="D35">
        <f>main!D35</f>
        <v>3</v>
      </c>
      <c r="E35">
        <f>main!E35</f>
        <v>520.19999999999993</v>
      </c>
      <c r="F35" s="161">
        <v>43181</v>
      </c>
      <c r="G35" t="s">
        <v>2248</v>
      </c>
    </row>
    <row r="36" spans="1:7">
      <c r="A36">
        <v>2017</v>
      </c>
      <c r="B36" t="s">
        <v>1750</v>
      </c>
      <c r="C36">
        <v>6</v>
      </c>
      <c r="D36">
        <f>main!D36</f>
        <v>3</v>
      </c>
      <c r="E36">
        <f>main!E36</f>
        <v>469.55714285714288</v>
      </c>
      <c r="F36" s="161">
        <v>43181</v>
      </c>
      <c r="G36" t="s">
        <v>2249</v>
      </c>
    </row>
    <row r="37" spans="1:7">
      <c r="A37">
        <v>2017</v>
      </c>
      <c r="B37" t="s">
        <v>1750</v>
      </c>
      <c r="C37">
        <v>7</v>
      </c>
      <c r="D37">
        <f>main!D37</f>
        <v>2</v>
      </c>
      <c r="E37">
        <f>main!E37</f>
        <v>410.91428571428571</v>
      </c>
      <c r="F37" s="161">
        <v>43181</v>
      </c>
      <c r="G37" t="s">
        <v>2250</v>
      </c>
    </row>
    <row r="38" spans="1:7">
      <c r="A38">
        <v>2017</v>
      </c>
      <c r="B38" t="s">
        <v>1750</v>
      </c>
      <c r="C38">
        <v>8</v>
      </c>
      <c r="D38">
        <f>main!D38</f>
        <v>3</v>
      </c>
      <c r="E38">
        <f>main!E38</f>
        <v>387.74285714285719</v>
      </c>
      <c r="F38" s="161">
        <v>43181</v>
      </c>
      <c r="G38" t="s">
        <v>2251</v>
      </c>
    </row>
    <row r="39" spans="1:7">
      <c r="A39">
        <v>2017</v>
      </c>
      <c r="B39" t="s">
        <v>1750</v>
      </c>
      <c r="C39">
        <v>9</v>
      </c>
      <c r="D39">
        <f>main!D39</f>
        <v>2</v>
      </c>
      <c r="E39">
        <f>main!E39</f>
        <v>291.95714285714286</v>
      </c>
      <c r="F39" s="161">
        <v>43182</v>
      </c>
      <c r="G39" t="s">
        <v>2252</v>
      </c>
    </row>
    <row r="40" spans="1:7">
      <c r="A40">
        <v>2017</v>
      </c>
      <c r="B40" t="s">
        <v>1750</v>
      </c>
      <c r="C40">
        <v>10</v>
      </c>
      <c r="D40">
        <f>main!D40</f>
        <v>2</v>
      </c>
      <c r="E40">
        <f>main!E40</f>
        <v>284.5</v>
      </c>
      <c r="F40" s="161">
        <v>43182</v>
      </c>
      <c r="G40" t="s">
        <v>2253</v>
      </c>
    </row>
    <row r="41" spans="1:7">
      <c r="A41">
        <v>2017</v>
      </c>
      <c r="B41" t="s">
        <v>1750</v>
      </c>
      <c r="C41">
        <v>11</v>
      </c>
      <c r="D41">
        <f>main!D41</f>
        <v>3</v>
      </c>
      <c r="E41">
        <f>main!E41</f>
        <v>494.20000000000005</v>
      </c>
      <c r="F41" s="161">
        <v>43182</v>
      </c>
      <c r="G41" t="s">
        <v>2254</v>
      </c>
    </row>
    <row r="42" spans="1:7">
      <c r="A42">
        <v>2017</v>
      </c>
      <c r="B42" t="s">
        <v>1750</v>
      </c>
      <c r="C42">
        <v>12</v>
      </c>
      <c r="D42">
        <f>main!D42</f>
        <v>2</v>
      </c>
      <c r="E42">
        <f>main!E42</f>
        <v>468.7714285714286</v>
      </c>
      <c r="F42" s="161">
        <v>43182</v>
      </c>
      <c r="G42" t="s">
        <v>2255</v>
      </c>
    </row>
    <row r="43" spans="1:7">
      <c r="A43">
        <v>2017</v>
      </c>
      <c r="B43" t="s">
        <v>1750</v>
      </c>
      <c r="C43">
        <v>13</v>
      </c>
      <c r="D43">
        <f>main!D43</f>
        <v>2</v>
      </c>
      <c r="E43">
        <f>main!E43</f>
        <v>316.74285714285713</v>
      </c>
      <c r="F43" s="161">
        <v>43182</v>
      </c>
      <c r="G43" t="s">
        <v>2256</v>
      </c>
    </row>
    <row r="44" spans="1:7">
      <c r="A44">
        <v>2017</v>
      </c>
      <c r="B44" t="s">
        <v>1750</v>
      </c>
      <c r="C44">
        <v>14</v>
      </c>
      <c r="D44">
        <f>main!D44</f>
        <v>6</v>
      </c>
      <c r="E44">
        <f>main!E44</f>
        <v>787.87142857142851</v>
      </c>
      <c r="F44" s="161">
        <v>43182</v>
      </c>
      <c r="G44" t="s">
        <v>2257</v>
      </c>
    </row>
    <row r="45" spans="1:7">
      <c r="A45">
        <v>2017</v>
      </c>
      <c r="B45" t="s">
        <v>1750</v>
      </c>
      <c r="C45">
        <v>15</v>
      </c>
      <c r="D45">
        <f>main!D45</f>
        <v>15</v>
      </c>
      <c r="E45">
        <f>main!E45</f>
        <v>1495.7571428571428</v>
      </c>
      <c r="F45" s="161">
        <v>43182</v>
      </c>
      <c r="G45" t="s">
        <v>2258</v>
      </c>
    </row>
    <row r="46" spans="1:7">
      <c r="A46">
        <v>2017</v>
      </c>
      <c r="B46" t="s">
        <v>1750</v>
      </c>
      <c r="C46">
        <v>16</v>
      </c>
      <c r="D46">
        <f>main!D46</f>
        <v>29</v>
      </c>
      <c r="E46">
        <f>main!E46</f>
        <v>1953.4285714285713</v>
      </c>
      <c r="F46" s="161">
        <v>43182</v>
      </c>
      <c r="G46" t="s">
        <v>2259</v>
      </c>
    </row>
    <row r="47" spans="1:7">
      <c r="A47">
        <v>2017</v>
      </c>
      <c r="B47" t="s">
        <v>1750</v>
      </c>
      <c r="C47">
        <v>17</v>
      </c>
      <c r="D47">
        <f>main!D47</f>
        <v>15</v>
      </c>
      <c r="E47">
        <f>main!E47</f>
        <v>1052.0000000000002</v>
      </c>
      <c r="F47" s="161">
        <v>43185</v>
      </c>
      <c r="G47" t="s">
        <v>2260</v>
      </c>
    </row>
    <row r="48" spans="1:7">
      <c r="A48">
        <v>2017</v>
      </c>
      <c r="B48" t="s">
        <v>1750</v>
      </c>
      <c r="C48">
        <v>18</v>
      </c>
      <c r="D48">
        <f>main!D48</f>
        <v>29</v>
      </c>
      <c r="E48">
        <f>main!E48</f>
        <v>1195.3</v>
      </c>
      <c r="F48" s="161">
        <v>43185</v>
      </c>
      <c r="G48" t="s">
        <v>2261</v>
      </c>
    </row>
    <row r="49" spans="1:7">
      <c r="A49">
        <v>2017</v>
      </c>
      <c r="B49" t="s">
        <v>1750</v>
      </c>
      <c r="C49">
        <v>19</v>
      </c>
      <c r="D49">
        <f>main!D49</f>
        <v>30</v>
      </c>
      <c r="E49">
        <f>main!E49</f>
        <v>1184.8</v>
      </c>
      <c r="F49" s="161">
        <v>43185</v>
      </c>
      <c r="G49" t="s">
        <v>2262</v>
      </c>
    </row>
    <row r="50" spans="1:7">
      <c r="A50">
        <v>2017</v>
      </c>
      <c r="B50" t="s">
        <v>1750</v>
      </c>
      <c r="C50">
        <v>20</v>
      </c>
      <c r="D50">
        <f>main!D50</f>
        <v>19</v>
      </c>
      <c r="E50">
        <f>main!E50</f>
        <v>1109.3857142857144</v>
      </c>
      <c r="F50" s="161">
        <v>43185</v>
      </c>
      <c r="G50" t="s">
        <v>2263</v>
      </c>
    </row>
    <row r="51" spans="1:7">
      <c r="A51">
        <v>2017</v>
      </c>
      <c r="B51" t="s">
        <v>1750</v>
      </c>
      <c r="C51">
        <v>21</v>
      </c>
      <c r="D51">
        <f>main!D51</f>
        <v>2</v>
      </c>
      <c r="E51">
        <f>main!E51</f>
        <v>169.55714285714288</v>
      </c>
      <c r="F51" s="161">
        <v>43185</v>
      </c>
      <c r="G51" t="s">
        <v>2264</v>
      </c>
    </row>
    <row r="52" spans="1:7">
      <c r="A52" s="55" t="s">
        <v>2697</v>
      </c>
      <c r="B52" s="116"/>
      <c r="C52" s="117"/>
    </row>
    <row r="54" spans="1:7">
      <c r="A54" s="102" t="s">
        <v>1706</v>
      </c>
      <c r="B54" s="103" t="s">
        <v>2696</v>
      </c>
      <c r="C54" s="104"/>
      <c r="F54" s="193" t="s">
        <v>2265</v>
      </c>
    </row>
    <row r="55" spans="1:7">
      <c r="A55">
        <v>2017</v>
      </c>
      <c r="B55" t="s">
        <v>1776</v>
      </c>
      <c r="C55" t="s">
        <v>2149</v>
      </c>
      <c r="D55">
        <f>main!D55</f>
        <v>4</v>
      </c>
      <c r="E55">
        <f>main!E55</f>
        <v>378.02857142857141</v>
      </c>
      <c r="F55" s="161">
        <v>43185</v>
      </c>
      <c r="G55" t="s">
        <v>2266</v>
      </c>
    </row>
    <row r="56" spans="1:7">
      <c r="A56">
        <v>2017</v>
      </c>
      <c r="B56" t="s">
        <v>1776</v>
      </c>
      <c r="C56">
        <v>2</v>
      </c>
      <c r="D56">
        <f>main!D56</f>
        <v>4</v>
      </c>
      <c r="E56">
        <f>main!E56</f>
        <v>436.18571428571437</v>
      </c>
      <c r="F56" s="161">
        <v>43185</v>
      </c>
      <c r="G56" t="s">
        <v>2266</v>
      </c>
    </row>
    <row r="57" spans="1:7">
      <c r="A57">
        <v>2017</v>
      </c>
      <c r="B57" t="s">
        <v>1776</v>
      </c>
      <c r="C57">
        <v>3</v>
      </c>
      <c r="D57">
        <f>main!D57</f>
        <v>4</v>
      </c>
      <c r="E57">
        <f>main!E57</f>
        <v>503.48571428571427</v>
      </c>
      <c r="F57" s="161">
        <v>43185</v>
      </c>
      <c r="G57" t="s">
        <v>2267</v>
      </c>
    </row>
    <row r="58" spans="1:7">
      <c r="A58">
        <v>2017</v>
      </c>
      <c r="B58" t="s">
        <v>1776</v>
      </c>
      <c r="C58">
        <v>4</v>
      </c>
      <c r="D58">
        <f>main!D58</f>
        <v>4</v>
      </c>
      <c r="E58">
        <f>main!E58</f>
        <v>525.70000000000005</v>
      </c>
      <c r="F58" s="161">
        <v>43185</v>
      </c>
      <c r="G58" t="s">
        <v>2268</v>
      </c>
    </row>
    <row r="59" spans="1:7">
      <c r="A59">
        <v>2017</v>
      </c>
      <c r="B59" t="s">
        <v>1776</v>
      </c>
      <c r="C59">
        <v>5</v>
      </c>
      <c r="D59">
        <f>main!D59</f>
        <v>4</v>
      </c>
      <c r="E59">
        <f>main!E59</f>
        <v>538.7285714285714</v>
      </c>
      <c r="F59" s="161">
        <v>43186</v>
      </c>
      <c r="G59" t="s">
        <v>2269</v>
      </c>
    </row>
    <row r="60" spans="1:7">
      <c r="A60">
        <v>2017</v>
      </c>
      <c r="B60" t="s">
        <v>1776</v>
      </c>
      <c r="C60">
        <v>6</v>
      </c>
      <c r="D60">
        <f>main!D60</f>
        <v>4</v>
      </c>
      <c r="E60">
        <f>main!E60</f>
        <v>422.01428571428573</v>
      </c>
      <c r="F60" s="161">
        <v>43186</v>
      </c>
      <c r="G60" t="s">
        <v>2270</v>
      </c>
    </row>
    <row r="61" spans="1:7">
      <c r="A61">
        <v>2017</v>
      </c>
      <c r="B61" t="s">
        <v>1776</v>
      </c>
      <c r="C61">
        <v>7</v>
      </c>
      <c r="D61">
        <f>main!D61</f>
        <v>3</v>
      </c>
      <c r="E61">
        <f>main!E61</f>
        <v>457.61428571428564</v>
      </c>
      <c r="F61" s="161">
        <v>43186</v>
      </c>
      <c r="G61" t="s">
        <v>2271</v>
      </c>
    </row>
    <row r="62" spans="1:7">
      <c r="A62">
        <v>2017</v>
      </c>
      <c r="B62" t="s">
        <v>1776</v>
      </c>
      <c r="C62">
        <v>8</v>
      </c>
      <c r="D62">
        <f>main!D62</f>
        <v>3</v>
      </c>
      <c r="E62">
        <f>main!E62</f>
        <v>435.92857142857144</v>
      </c>
      <c r="F62" s="161">
        <v>43186</v>
      </c>
      <c r="G62" t="s">
        <v>2272</v>
      </c>
    </row>
    <row r="63" spans="1:7">
      <c r="A63">
        <v>2017</v>
      </c>
      <c r="B63" t="s">
        <v>1776</v>
      </c>
      <c r="C63">
        <v>9</v>
      </c>
      <c r="D63">
        <f>main!D63</f>
        <v>3</v>
      </c>
      <c r="E63">
        <f>main!E63</f>
        <v>415.67142857142863</v>
      </c>
      <c r="F63" s="161">
        <v>43186</v>
      </c>
      <c r="G63" t="s">
        <v>2273</v>
      </c>
    </row>
    <row r="64" spans="1:7">
      <c r="A64">
        <v>2017</v>
      </c>
      <c r="B64" t="s">
        <v>1776</v>
      </c>
      <c r="C64">
        <v>10</v>
      </c>
      <c r="D64">
        <f>main!D64</f>
        <v>3</v>
      </c>
      <c r="E64">
        <f>main!E64</f>
        <v>403.55714285714282</v>
      </c>
      <c r="F64" s="161">
        <v>43186</v>
      </c>
      <c r="G64" t="s">
        <v>2274</v>
      </c>
    </row>
    <row r="65" spans="1:19">
      <c r="A65">
        <v>2017</v>
      </c>
      <c r="B65" t="s">
        <v>1776</v>
      </c>
      <c r="C65">
        <v>11</v>
      </c>
      <c r="D65">
        <f>main!D65</f>
        <v>2</v>
      </c>
      <c r="E65">
        <f>main!E65</f>
        <v>371.18571428571431</v>
      </c>
      <c r="F65" s="161">
        <v>43186</v>
      </c>
      <c r="G65" t="s">
        <v>2275</v>
      </c>
    </row>
    <row r="66" spans="1:19">
      <c r="A66">
        <v>2017</v>
      </c>
      <c r="B66" t="s">
        <v>1776</v>
      </c>
      <c r="C66">
        <v>12</v>
      </c>
      <c r="D66">
        <f>main!D66</f>
        <v>3</v>
      </c>
      <c r="E66">
        <f>main!E66</f>
        <v>470.35714285714283</v>
      </c>
      <c r="F66" s="161">
        <v>43186</v>
      </c>
      <c r="G66" t="s">
        <v>2276</v>
      </c>
    </row>
    <row r="67" spans="1:19">
      <c r="A67">
        <v>2017</v>
      </c>
      <c r="B67" t="s">
        <v>1776</v>
      </c>
      <c r="C67">
        <v>13</v>
      </c>
      <c r="D67">
        <f>main!D67</f>
        <v>2</v>
      </c>
      <c r="E67">
        <f>main!E67</f>
        <v>439.5428571428572</v>
      </c>
      <c r="F67" s="161">
        <v>43186</v>
      </c>
      <c r="G67" t="s">
        <v>2277</v>
      </c>
    </row>
    <row r="68" spans="1:19">
      <c r="A68">
        <v>2017</v>
      </c>
      <c r="B68" t="s">
        <v>1776</v>
      </c>
      <c r="C68">
        <v>14</v>
      </c>
      <c r="D68">
        <f>main!D68</f>
        <v>3</v>
      </c>
      <c r="E68">
        <f>main!E68</f>
        <v>630.97142857142853</v>
      </c>
      <c r="F68" s="161">
        <v>43186</v>
      </c>
      <c r="G68" t="s">
        <v>2258</v>
      </c>
    </row>
    <row r="69" spans="1:19">
      <c r="A69">
        <v>2017</v>
      </c>
      <c r="B69" t="s">
        <v>1776</v>
      </c>
      <c r="C69">
        <v>15</v>
      </c>
      <c r="D69">
        <f>main!D69</f>
        <v>7</v>
      </c>
      <c r="E69">
        <f>main!E69</f>
        <v>1039.5428571428572</v>
      </c>
      <c r="F69" s="161">
        <v>43186</v>
      </c>
      <c r="G69" t="s">
        <v>2278</v>
      </c>
    </row>
    <row r="70" spans="1:19">
      <c r="A70">
        <v>2017</v>
      </c>
      <c r="B70" t="s">
        <v>1776</v>
      </c>
      <c r="C70">
        <v>16</v>
      </c>
      <c r="D70">
        <f>main!D70</f>
        <v>20</v>
      </c>
      <c r="E70">
        <f>main!E70</f>
        <v>1515.7285714285715</v>
      </c>
      <c r="F70" s="161">
        <v>43187</v>
      </c>
      <c r="G70" t="s">
        <v>2279</v>
      </c>
    </row>
    <row r="71" spans="1:19">
      <c r="A71">
        <v>2017</v>
      </c>
      <c r="B71" t="s">
        <v>1776</v>
      </c>
      <c r="C71">
        <v>17</v>
      </c>
      <c r="D71">
        <f>main!D71</f>
        <v>16</v>
      </c>
      <c r="E71">
        <f>main!E71</f>
        <v>1232.757142857143</v>
      </c>
      <c r="F71" s="161">
        <v>43187</v>
      </c>
      <c r="G71" t="s">
        <v>2279</v>
      </c>
    </row>
    <row r="72" spans="1:19">
      <c r="A72">
        <v>2017</v>
      </c>
      <c r="B72" t="s">
        <v>1776</v>
      </c>
      <c r="C72">
        <v>18</v>
      </c>
      <c r="D72">
        <f>main!D72</f>
        <v>14</v>
      </c>
      <c r="E72">
        <f>main!E72</f>
        <v>956.41428571428582</v>
      </c>
      <c r="F72" s="161">
        <v>43187</v>
      </c>
      <c r="G72" t="s">
        <v>2280</v>
      </c>
    </row>
    <row r="73" spans="1:19">
      <c r="A73">
        <v>2017</v>
      </c>
      <c r="B73" t="s">
        <v>1776</v>
      </c>
      <c r="C73">
        <v>19</v>
      </c>
      <c r="D73">
        <f>main!D73</f>
        <v>30</v>
      </c>
      <c r="E73">
        <f>main!E73</f>
        <v>1134</v>
      </c>
      <c r="F73" s="161">
        <v>43187</v>
      </c>
      <c r="G73" t="s">
        <v>2281</v>
      </c>
    </row>
    <row r="74" spans="1:19">
      <c r="A74">
        <v>2017</v>
      </c>
      <c r="B74" t="s">
        <v>1776</v>
      </c>
      <c r="C74">
        <v>20</v>
      </c>
      <c r="D74">
        <f>main!D74</f>
        <v>45</v>
      </c>
      <c r="E74" s="181">
        <f>main!E74</f>
        <v>2021.5714285714284</v>
      </c>
      <c r="F74" s="161">
        <v>43187</v>
      </c>
      <c r="G74" t="s">
        <v>2282</v>
      </c>
    </row>
    <row r="75" spans="1:19">
      <c r="A75">
        <v>2017</v>
      </c>
      <c r="B75" t="s">
        <v>1776</v>
      </c>
      <c r="C75">
        <v>21</v>
      </c>
      <c r="D75">
        <f>main!D75</f>
        <v>10</v>
      </c>
      <c r="E75">
        <f>main!E75</f>
        <v>592.28571428571433</v>
      </c>
      <c r="F75" s="161">
        <v>43187</v>
      </c>
      <c r="G75" t="s">
        <v>2283</v>
      </c>
    </row>
    <row r="76" spans="1:19">
      <c r="A76" s="55" t="s">
        <v>2697</v>
      </c>
      <c r="B76" s="116"/>
      <c r="C76" s="117"/>
      <c r="D76" s="118"/>
      <c r="E76" s="119"/>
      <c r="F76" s="119"/>
    </row>
    <row r="78" spans="1:19">
      <c r="A78" s="193" t="s">
        <v>2671</v>
      </c>
    </row>
    <row r="79" spans="1:19">
      <c r="Q79" s="193" t="s">
        <v>104</v>
      </c>
      <c r="R79" t="s">
        <v>1940</v>
      </c>
    </row>
    <row r="80" spans="1:19">
      <c r="Q80">
        <v>5</v>
      </c>
      <c r="R80">
        <v>297.18571428571431</v>
      </c>
      <c r="S80" t="s">
        <v>2670</v>
      </c>
    </row>
    <row r="81" spans="17:19">
      <c r="Q81">
        <v>3</v>
      </c>
      <c r="R81">
        <v>231.91428571428565</v>
      </c>
      <c r="S81" t="s">
        <v>2698</v>
      </c>
    </row>
    <row r="82" spans="17:19">
      <c r="Q82">
        <v>1</v>
      </c>
      <c r="R82">
        <v>93.357142857142861</v>
      </c>
    </row>
    <row r="83" spans="17:19">
      <c r="Q83">
        <v>2</v>
      </c>
      <c r="R83">
        <v>298.58571428571429</v>
      </c>
    </row>
    <row r="84" spans="17:19">
      <c r="Q84" s="181">
        <v>7</v>
      </c>
      <c r="R84" s="181">
        <v>807.67142857142858</v>
      </c>
    </row>
    <row r="85" spans="17:19">
      <c r="Q85">
        <v>1</v>
      </c>
      <c r="R85">
        <v>121.02857142857141</v>
      </c>
    </row>
    <row r="86" spans="17:19">
      <c r="Q86">
        <v>1</v>
      </c>
      <c r="R86">
        <v>54.342857142857142</v>
      </c>
    </row>
    <row r="87" spans="17:19">
      <c r="Q87">
        <v>1</v>
      </c>
      <c r="R87">
        <v>63.328571428571436</v>
      </c>
    </row>
    <row r="88" spans="17:19">
      <c r="Q88">
        <v>1</v>
      </c>
      <c r="R88">
        <v>99.17142857142855</v>
      </c>
    </row>
    <row r="89" spans="17:19">
      <c r="Q89">
        <v>3</v>
      </c>
      <c r="R89">
        <v>306.2</v>
      </c>
    </row>
    <row r="90" spans="17:19">
      <c r="Q90">
        <v>3</v>
      </c>
      <c r="R90">
        <v>394.55714285714288</v>
      </c>
    </row>
    <row r="91" spans="17:19">
      <c r="Q91">
        <v>1</v>
      </c>
      <c r="R91">
        <v>146.32499999999999</v>
      </c>
    </row>
    <row r="92" spans="17:19">
      <c r="Q92">
        <v>1</v>
      </c>
      <c r="R92">
        <v>69.414285714285725</v>
      </c>
    </row>
    <row r="93" spans="17:19">
      <c r="Q93">
        <v>3</v>
      </c>
      <c r="R93">
        <v>810.38571428571436</v>
      </c>
    </row>
    <row r="94" spans="17:19">
      <c r="Q94">
        <v>19</v>
      </c>
      <c r="R94">
        <v>1575.3999999999996</v>
      </c>
    </row>
    <row r="95" spans="17:19">
      <c r="Q95" s="181">
        <v>10</v>
      </c>
      <c r="R95" s="181">
        <v>952.48571428571427</v>
      </c>
    </row>
    <row r="96" spans="17:19">
      <c r="Q96">
        <v>13</v>
      </c>
      <c r="R96">
        <v>659.71428571428578</v>
      </c>
    </row>
    <row r="97" spans="17:18">
      <c r="Q97">
        <v>30</v>
      </c>
      <c r="R97">
        <v>1057.0714285714287</v>
      </c>
    </row>
    <row r="98" spans="17:18">
      <c r="Q98" s="181">
        <v>15</v>
      </c>
      <c r="R98" s="181">
        <v>800.81428571428557</v>
      </c>
    </row>
    <row r="99" spans="17:18">
      <c r="Q99" s="181">
        <v>10</v>
      </c>
      <c r="R99" s="181">
        <v>780.0428571428572</v>
      </c>
    </row>
    <row r="100" spans="17:18">
      <c r="Q100">
        <v>1</v>
      </c>
      <c r="R100">
        <v>40.042857142857137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D111"/>
  <sheetViews>
    <sheetView workbookViewId="0">
      <pane xSplit="6720" ySplit="1900" topLeftCell="Y13" activePane="bottomRight"/>
      <selection pane="topRight" activeCell="Z2" sqref="Z2"/>
      <selection pane="bottomLeft" activeCell="A6" sqref="A6"/>
      <selection pane="bottomRight" activeCell="AC35" sqref="AC35"/>
    </sheetView>
  </sheetViews>
  <sheetFormatPr defaultColWidth="8.83203125" defaultRowHeight="15.5"/>
  <cols>
    <col min="1" max="1" width="26" bestFit="1" customWidth="1"/>
    <col min="2" max="2" width="17" customWidth="1"/>
    <col min="8" max="10" width="10.33203125" bestFit="1" customWidth="1"/>
    <col min="11" max="11" width="9.33203125" bestFit="1" customWidth="1"/>
    <col min="13" max="13" width="10.33203125" bestFit="1" customWidth="1"/>
    <col min="24" max="24" width="13.83203125" bestFit="1" customWidth="1"/>
    <col min="25" max="25" width="51" bestFit="1" customWidth="1"/>
    <col min="28" max="28" width="44.33203125" bestFit="1" customWidth="1"/>
    <col min="29" max="29" width="10.33203125" bestFit="1" customWidth="1"/>
    <col min="35" max="35" width="10.33203125" bestFit="1" customWidth="1"/>
  </cols>
  <sheetData>
    <row r="1" spans="1:56">
      <c r="B1" t="s">
        <v>1674</v>
      </c>
      <c r="C1" t="s">
        <v>1675</v>
      </c>
      <c r="D1" t="s">
        <v>1676</v>
      </c>
      <c r="E1" t="s">
        <v>1676</v>
      </c>
      <c r="F1" s="7" t="s">
        <v>1677</v>
      </c>
      <c r="G1" s="64" t="s">
        <v>1677</v>
      </c>
      <c r="H1" s="191" t="s">
        <v>1641</v>
      </c>
      <c r="I1" s="191" t="s">
        <v>1641</v>
      </c>
      <c r="J1" t="s">
        <v>1678</v>
      </c>
      <c r="K1" s="71" t="s">
        <v>1679</v>
      </c>
      <c r="L1" s="71" t="s">
        <v>1631</v>
      </c>
      <c r="M1" t="s">
        <v>1678</v>
      </c>
      <c r="N1" s="71" t="s">
        <v>1679</v>
      </c>
      <c r="O1" s="71" t="s">
        <v>1631</v>
      </c>
      <c r="P1" s="71" t="s">
        <v>1680</v>
      </c>
      <c r="Q1" t="s">
        <v>1681</v>
      </c>
      <c r="R1" t="s">
        <v>1682</v>
      </c>
      <c r="S1" t="s">
        <v>1683</v>
      </c>
      <c r="T1" t="s">
        <v>1683</v>
      </c>
      <c r="U1" s="7" t="s">
        <v>1677</v>
      </c>
      <c r="V1" s="7" t="s">
        <v>1677</v>
      </c>
      <c r="W1" s="7" t="s">
        <v>1677</v>
      </c>
      <c r="X1" s="192" t="s">
        <v>1677</v>
      </c>
      <c r="Y1" s="192" t="s">
        <v>1677</v>
      </c>
      <c r="Z1" s="212" t="s">
        <v>1677</v>
      </c>
      <c r="AA1" s="212" t="s">
        <v>1684</v>
      </c>
      <c r="AB1" s="212" t="s">
        <v>1684</v>
      </c>
      <c r="AC1" s="193" t="s">
        <v>1678</v>
      </c>
      <c r="AD1" s="210" t="s">
        <v>1679</v>
      </c>
      <c r="AE1" s="210" t="s">
        <v>1631</v>
      </c>
      <c r="AF1" s="54" t="s">
        <v>1677</v>
      </c>
      <c r="AG1" s="54" t="s">
        <v>1677</v>
      </c>
      <c r="AH1" s="54" t="s">
        <v>1677</v>
      </c>
      <c r="AI1" s="193" t="s">
        <v>1678</v>
      </c>
      <c r="AJ1" s="210" t="s">
        <v>1679</v>
      </c>
      <c r="AK1" s="210" t="s">
        <v>1631</v>
      </c>
    </row>
    <row r="2" spans="1:56">
      <c r="B2" t="s">
        <v>1685</v>
      </c>
      <c r="C2" t="s">
        <v>1686</v>
      </c>
      <c r="D2" t="s">
        <v>1687</v>
      </c>
      <c r="E2" t="s">
        <v>1688</v>
      </c>
      <c r="F2" s="7" t="s">
        <v>1689</v>
      </c>
      <c r="G2" s="64" t="s">
        <v>1690</v>
      </c>
      <c r="H2" s="191" t="s">
        <v>1689</v>
      </c>
      <c r="I2" s="191" t="s">
        <v>1691</v>
      </c>
      <c r="J2" t="s">
        <v>1692</v>
      </c>
      <c r="K2" s="71" t="s">
        <v>1662</v>
      </c>
      <c r="L2" s="71" t="s">
        <v>1693</v>
      </c>
      <c r="M2" t="s">
        <v>1692</v>
      </c>
      <c r="N2" s="71" t="s">
        <v>1662</v>
      </c>
      <c r="O2" s="71" t="s">
        <v>1693</v>
      </c>
      <c r="P2" s="71"/>
      <c r="Q2" t="s">
        <v>1694</v>
      </c>
      <c r="U2" s="7" t="s">
        <v>1695</v>
      </c>
      <c r="V2" s="7" t="s">
        <v>1696</v>
      </c>
      <c r="W2" s="7" t="s">
        <v>1697</v>
      </c>
      <c r="X2" s="192" t="s">
        <v>1698</v>
      </c>
      <c r="Y2" s="192" t="s">
        <v>1699</v>
      </c>
      <c r="Z2" s="212" t="s">
        <v>1700</v>
      </c>
      <c r="AA2" s="212"/>
      <c r="AB2" s="212"/>
      <c r="AC2" s="193" t="s">
        <v>1692</v>
      </c>
      <c r="AD2" s="210" t="s">
        <v>1662</v>
      </c>
      <c r="AE2" s="210" t="s">
        <v>1693</v>
      </c>
      <c r="AF2" s="54" t="s">
        <v>1701</v>
      </c>
      <c r="AG2" s="54" t="s">
        <v>1702</v>
      </c>
      <c r="AH2" s="54" t="s">
        <v>1702</v>
      </c>
      <c r="AI2" s="193" t="s">
        <v>1692</v>
      </c>
      <c r="AJ2" s="210" t="s">
        <v>1662</v>
      </c>
      <c r="AK2" s="210" t="s">
        <v>1693</v>
      </c>
    </row>
    <row r="3" spans="1:56">
      <c r="A3" s="77"/>
      <c r="B3" s="77"/>
      <c r="C3" s="129"/>
      <c r="D3" s="129"/>
      <c r="E3" s="77"/>
      <c r="F3" s="64" t="s">
        <v>1703</v>
      </c>
      <c r="G3" s="64" t="s">
        <v>1703</v>
      </c>
      <c r="H3" s="190"/>
      <c r="I3" s="190"/>
      <c r="J3" s="77" t="s">
        <v>1704</v>
      </c>
      <c r="K3" s="77" t="s">
        <v>1704</v>
      </c>
      <c r="L3" s="77" t="s">
        <v>1704</v>
      </c>
      <c r="M3" s="77" t="s">
        <v>1705</v>
      </c>
      <c r="N3" s="77" t="s">
        <v>1705</v>
      </c>
      <c r="O3" s="77" t="s">
        <v>1705</v>
      </c>
      <c r="P3" s="126"/>
      <c r="Q3" s="77"/>
      <c r="R3" s="77"/>
      <c r="S3" s="77"/>
      <c r="T3" s="77"/>
      <c r="U3" s="64" t="s">
        <v>1703</v>
      </c>
      <c r="V3" s="7" t="s">
        <v>1703</v>
      </c>
      <c r="W3" s="7" t="s">
        <v>1703</v>
      </c>
      <c r="X3" s="7" t="s">
        <v>1703</v>
      </c>
      <c r="Y3" s="7"/>
      <c r="Z3" s="1" t="s">
        <v>1703</v>
      </c>
      <c r="AA3" s="1" t="s">
        <v>1703</v>
      </c>
      <c r="AB3" s="1" t="s">
        <v>1662</v>
      </c>
      <c r="AC3" s="77"/>
      <c r="AD3" s="77"/>
      <c r="AE3" s="77"/>
      <c r="AF3" s="54" t="s">
        <v>1703</v>
      </c>
      <c r="AG3" s="54" t="s">
        <v>1703</v>
      </c>
      <c r="AH3" s="54" t="s">
        <v>1662</v>
      </c>
      <c r="AI3" s="77"/>
      <c r="AJ3" s="77"/>
      <c r="AK3" s="77"/>
      <c r="AL3" s="77"/>
      <c r="AM3" s="77"/>
      <c r="AN3" s="77"/>
      <c r="AO3" s="77"/>
      <c r="AP3" s="77"/>
      <c r="AQ3" s="77"/>
      <c r="AR3" s="77"/>
      <c r="AS3" s="77"/>
      <c r="AT3" s="77"/>
      <c r="AU3" s="77"/>
      <c r="AV3" s="77"/>
      <c r="AW3" s="77"/>
      <c r="AX3" s="77"/>
      <c r="AY3" s="77"/>
      <c r="AZ3" s="77"/>
      <c r="BA3" s="77"/>
      <c r="BB3" s="77"/>
      <c r="BC3" s="77"/>
      <c r="BD3" s="77"/>
    </row>
    <row r="4" spans="1:56">
      <c r="A4" s="77"/>
      <c r="B4" s="77"/>
      <c r="C4" s="129"/>
      <c r="D4" s="129"/>
      <c r="E4" s="77"/>
      <c r="F4" s="64"/>
      <c r="G4" s="64"/>
      <c r="H4" s="190"/>
      <c r="I4" s="190"/>
      <c r="J4" s="190"/>
      <c r="K4" s="190"/>
      <c r="L4" s="190"/>
      <c r="M4" s="77"/>
      <c r="N4" s="126"/>
      <c r="O4" s="126"/>
      <c r="P4" s="126"/>
      <c r="Q4" s="77"/>
      <c r="R4" s="77"/>
      <c r="S4" s="77"/>
      <c r="T4" s="77"/>
      <c r="U4" s="64"/>
      <c r="V4" s="7"/>
      <c r="W4" s="7"/>
      <c r="X4" s="7"/>
      <c r="Y4" s="7"/>
      <c r="Z4" s="77"/>
      <c r="AA4" s="77"/>
      <c r="AB4" s="77"/>
      <c r="AC4" s="77"/>
      <c r="AD4" s="77"/>
      <c r="AE4" s="77"/>
      <c r="AF4" s="54"/>
      <c r="AG4" s="54"/>
      <c r="AH4" s="54"/>
      <c r="AI4" s="77"/>
      <c r="AJ4" s="77"/>
      <c r="AK4" s="77"/>
      <c r="AL4" s="77"/>
      <c r="AM4" s="77"/>
      <c r="AN4" s="77"/>
      <c r="AO4" s="77"/>
      <c r="AP4" s="77"/>
      <c r="AQ4" s="77"/>
      <c r="AR4" s="77"/>
      <c r="AS4" s="77"/>
      <c r="AT4" s="77"/>
      <c r="AU4" s="77"/>
      <c r="AV4" s="77"/>
      <c r="AW4" s="77"/>
      <c r="AX4" s="77"/>
      <c r="AY4" s="77"/>
      <c r="AZ4" s="77"/>
      <c r="BA4" s="77"/>
      <c r="BB4" s="77"/>
      <c r="BC4" s="77"/>
      <c r="BD4" s="77"/>
    </row>
    <row r="5" spans="1:56" s="202" customFormat="1">
      <c r="A5" s="199" t="s">
        <v>1706</v>
      </c>
      <c r="B5" s="200" t="s">
        <v>1707</v>
      </c>
      <c r="C5" s="201"/>
      <c r="E5" s="203"/>
      <c r="F5" s="203"/>
      <c r="G5" s="203"/>
      <c r="H5" s="204"/>
      <c r="I5" s="204"/>
      <c r="J5" s="204"/>
      <c r="K5" s="204"/>
      <c r="L5" s="204"/>
      <c r="M5" s="204"/>
      <c r="N5" s="205"/>
      <c r="O5" s="206"/>
      <c r="P5" s="207"/>
      <c r="Q5" s="207"/>
      <c r="R5" s="207"/>
      <c r="S5" s="207"/>
      <c r="T5" s="207"/>
      <c r="U5" s="203"/>
      <c r="V5" s="203"/>
      <c r="W5" s="203"/>
      <c r="X5" s="203"/>
      <c r="Y5" s="203"/>
      <c r="Z5" s="207"/>
      <c r="AA5" s="207"/>
      <c r="AB5" s="207"/>
      <c r="AC5" s="207"/>
      <c r="AD5" s="207"/>
      <c r="AE5" s="207"/>
      <c r="AF5" s="208"/>
      <c r="AG5" s="208"/>
      <c r="AH5" s="208"/>
      <c r="AI5" s="207"/>
      <c r="AJ5" s="207"/>
      <c r="AK5" s="209"/>
      <c r="AL5" s="209"/>
      <c r="AM5" s="209"/>
      <c r="AN5" s="209"/>
      <c r="AO5" s="209"/>
      <c r="AP5" s="209"/>
      <c r="AQ5" s="209"/>
      <c r="AR5" s="209"/>
      <c r="AS5" s="209"/>
      <c r="AT5" s="209"/>
      <c r="AU5" s="209"/>
      <c r="AV5" s="209"/>
    </row>
    <row r="6" spans="1:56">
      <c r="A6">
        <v>2017</v>
      </c>
      <c r="B6" t="s">
        <v>1708</v>
      </c>
      <c r="C6">
        <v>1</v>
      </c>
      <c r="D6">
        <v>4</v>
      </c>
      <c r="E6">
        <v>10</v>
      </c>
      <c r="F6">
        <v>39.31</v>
      </c>
      <c r="G6">
        <v>247.34</v>
      </c>
      <c r="H6" s="161">
        <v>43217</v>
      </c>
      <c r="I6" s="161">
        <v>43220</v>
      </c>
      <c r="J6" s="161">
        <v>43220</v>
      </c>
      <c r="K6" t="s">
        <v>1709</v>
      </c>
      <c r="L6" t="s">
        <v>1710</v>
      </c>
      <c r="M6" s="161">
        <v>43216</v>
      </c>
      <c r="N6" t="s">
        <v>1711</v>
      </c>
      <c r="O6" t="s">
        <v>1712</v>
      </c>
      <c r="P6" t="s">
        <v>1713</v>
      </c>
      <c r="Q6" t="s">
        <v>1714</v>
      </c>
      <c r="R6" t="s">
        <v>1715</v>
      </c>
      <c r="T6" t="s">
        <v>1716</v>
      </c>
      <c r="U6">
        <f>G6-F6</f>
        <v>208.03</v>
      </c>
      <c r="V6">
        <f>(U6/7)*10</f>
        <v>297.18571428571431</v>
      </c>
      <c r="W6">
        <f>U6/7</f>
        <v>29.71857142857143</v>
      </c>
      <c r="X6">
        <v>14505.14</v>
      </c>
      <c r="Y6">
        <v>14695.87</v>
      </c>
    </row>
    <row r="7" spans="1:56">
      <c r="A7">
        <v>2017</v>
      </c>
      <c r="B7" t="s">
        <v>1708</v>
      </c>
      <c r="C7">
        <v>2</v>
      </c>
      <c r="D7">
        <v>4</v>
      </c>
      <c r="E7">
        <v>10</v>
      </c>
      <c r="F7">
        <v>39.549999999999997</v>
      </c>
      <c r="G7">
        <v>201.89</v>
      </c>
      <c r="H7" s="161">
        <v>43217</v>
      </c>
      <c r="I7" s="161">
        <v>43220</v>
      </c>
      <c r="J7" s="161">
        <v>43220</v>
      </c>
      <c r="K7" t="s">
        <v>1709</v>
      </c>
      <c r="L7" t="s">
        <v>1710</v>
      </c>
      <c r="M7" s="161">
        <v>43216</v>
      </c>
      <c r="N7" t="s">
        <v>1711</v>
      </c>
      <c r="O7" t="s">
        <v>1712</v>
      </c>
      <c r="P7" t="s">
        <v>1713</v>
      </c>
      <c r="Q7" t="s">
        <v>1714</v>
      </c>
      <c r="R7" t="s">
        <v>1715</v>
      </c>
      <c r="T7" t="s">
        <v>1716</v>
      </c>
      <c r="U7">
        <f t="shared" ref="U7:U35" si="0">G7-F7</f>
        <v>162.33999999999997</v>
      </c>
      <c r="V7">
        <f t="shared" ref="V7:V9" si="1">(U7/7)*10</f>
        <v>231.91428571428565</v>
      </c>
      <c r="W7">
        <f t="shared" ref="W7:W9" si="2">U7/7</f>
        <v>23.191428571428567</v>
      </c>
      <c r="X7">
        <v>14582.66</v>
      </c>
      <c r="Y7">
        <v>14730.84</v>
      </c>
    </row>
    <row r="8" spans="1:56">
      <c r="A8">
        <v>2017</v>
      </c>
      <c r="B8" t="s">
        <v>1708</v>
      </c>
      <c r="C8">
        <v>3</v>
      </c>
      <c r="D8">
        <v>4</v>
      </c>
      <c r="E8">
        <v>10</v>
      </c>
      <c r="F8">
        <v>40.4</v>
      </c>
      <c r="G8">
        <v>105.75</v>
      </c>
      <c r="H8" s="161">
        <v>43217</v>
      </c>
      <c r="I8" s="161">
        <v>43220</v>
      </c>
      <c r="J8" s="161">
        <v>43220</v>
      </c>
      <c r="K8" t="s">
        <v>1709</v>
      </c>
      <c r="L8" t="s">
        <v>1710</v>
      </c>
      <c r="M8" s="161">
        <v>43216</v>
      </c>
      <c r="N8" t="s">
        <v>1711</v>
      </c>
      <c r="O8" t="s">
        <v>1712</v>
      </c>
      <c r="P8" t="s">
        <v>1713</v>
      </c>
      <c r="Q8" t="s">
        <v>1714</v>
      </c>
      <c r="R8" t="s">
        <v>1715</v>
      </c>
      <c r="T8" t="s">
        <v>1716</v>
      </c>
      <c r="U8">
        <f t="shared" si="0"/>
        <v>65.349999999999994</v>
      </c>
      <c r="V8">
        <f t="shared" si="1"/>
        <v>93.357142857142861</v>
      </c>
      <c r="W8">
        <f t="shared" si="2"/>
        <v>9.3357142857142854</v>
      </c>
      <c r="X8">
        <v>14575.15</v>
      </c>
      <c r="Y8">
        <v>14620.88</v>
      </c>
      <c r="AF8">
        <v>41.92</v>
      </c>
      <c r="AG8">
        <f>AF8-F8</f>
        <v>1.5200000000000031</v>
      </c>
      <c r="AH8">
        <f>(AG8/U8)*100</f>
        <v>2.3259372609028359</v>
      </c>
      <c r="AI8" s="161">
        <v>43223</v>
      </c>
      <c r="AJ8" t="s">
        <v>1717</v>
      </c>
      <c r="AK8" t="s">
        <v>1718</v>
      </c>
    </row>
    <row r="9" spans="1:56">
      <c r="A9">
        <v>2017</v>
      </c>
      <c r="B9" t="s">
        <v>1708</v>
      </c>
      <c r="C9">
        <v>4</v>
      </c>
      <c r="D9">
        <v>4</v>
      </c>
      <c r="E9">
        <v>10</v>
      </c>
      <c r="F9">
        <v>41</v>
      </c>
      <c r="G9">
        <v>250.01</v>
      </c>
      <c r="H9" s="161">
        <v>43217</v>
      </c>
      <c r="I9" s="161">
        <v>43220</v>
      </c>
      <c r="J9" s="161">
        <v>43220</v>
      </c>
      <c r="K9" t="s">
        <v>1709</v>
      </c>
      <c r="L9" t="s">
        <v>1710</v>
      </c>
      <c r="M9" s="161">
        <v>43216</v>
      </c>
      <c r="N9" t="s">
        <v>1711</v>
      </c>
      <c r="O9" t="s">
        <v>1712</v>
      </c>
      <c r="P9" t="s">
        <v>1713</v>
      </c>
      <c r="Q9" t="s">
        <v>1714</v>
      </c>
      <c r="R9" t="s">
        <v>1715</v>
      </c>
      <c r="T9" t="s">
        <v>1716</v>
      </c>
      <c r="U9">
        <f t="shared" si="0"/>
        <v>209.01</v>
      </c>
      <c r="V9">
        <f t="shared" si="1"/>
        <v>298.58571428571429</v>
      </c>
      <c r="W9">
        <f t="shared" si="2"/>
        <v>29.858571428571427</v>
      </c>
      <c r="X9">
        <v>15151.74</v>
      </c>
      <c r="Y9">
        <v>15331.8</v>
      </c>
      <c r="AF9">
        <v>42.38</v>
      </c>
      <c r="AG9">
        <f>AF9-F9</f>
        <v>1.3800000000000026</v>
      </c>
      <c r="AH9">
        <f>(AG9/U9)*100</f>
        <v>0.66025549016793583</v>
      </c>
      <c r="AI9" s="161">
        <v>43223</v>
      </c>
      <c r="AJ9" t="s">
        <v>1717</v>
      </c>
      <c r="AK9" t="s">
        <v>1718</v>
      </c>
    </row>
    <row r="10" spans="1:56">
      <c r="A10">
        <v>2017</v>
      </c>
      <c r="B10" t="s">
        <v>1708</v>
      </c>
      <c r="C10" t="s">
        <v>1719</v>
      </c>
      <c r="D10">
        <v>4</v>
      </c>
      <c r="E10">
        <v>8</v>
      </c>
      <c r="F10">
        <v>40.08</v>
      </c>
      <c r="G10">
        <v>446.11</v>
      </c>
      <c r="H10" s="161">
        <v>43217</v>
      </c>
      <c r="I10" s="161">
        <v>43220</v>
      </c>
      <c r="J10" s="161">
        <v>43220</v>
      </c>
      <c r="K10" t="s">
        <v>1709</v>
      </c>
      <c r="L10" t="s">
        <v>1710</v>
      </c>
      <c r="M10" s="161">
        <v>43216</v>
      </c>
      <c r="N10" t="s">
        <v>1711</v>
      </c>
      <c r="O10" t="s">
        <v>1712</v>
      </c>
      <c r="P10" t="s">
        <v>1713</v>
      </c>
      <c r="Q10" t="s">
        <v>1714</v>
      </c>
      <c r="R10" t="s">
        <v>1715</v>
      </c>
      <c r="T10" t="s">
        <v>1716</v>
      </c>
      <c r="U10">
        <f t="shared" si="0"/>
        <v>406.03000000000003</v>
      </c>
      <c r="V10" s="672">
        <f>((U10+U11)/7)*10</f>
        <v>807.67142857142858</v>
      </c>
      <c r="W10">
        <f>U10/5</f>
        <v>81.206000000000003</v>
      </c>
      <c r="X10">
        <v>14547.16</v>
      </c>
      <c r="Y10">
        <v>15097.32</v>
      </c>
      <c r="AF10">
        <v>41.9</v>
      </c>
      <c r="AG10">
        <f>AF10-F10</f>
        <v>1.8200000000000003</v>
      </c>
      <c r="AH10">
        <f>(AG10/U10)*100</f>
        <v>0.44824274068418596</v>
      </c>
      <c r="AI10" s="161">
        <v>43223</v>
      </c>
      <c r="AJ10" t="s">
        <v>1717</v>
      </c>
      <c r="AK10" t="s">
        <v>1718</v>
      </c>
    </row>
    <row r="11" spans="1:56">
      <c r="A11">
        <v>2017</v>
      </c>
      <c r="B11" t="s">
        <v>1708</v>
      </c>
      <c r="C11" t="s">
        <v>1720</v>
      </c>
      <c r="D11">
        <v>9</v>
      </c>
      <c r="E11">
        <v>10</v>
      </c>
      <c r="F11">
        <v>39.35</v>
      </c>
      <c r="G11">
        <v>198.69</v>
      </c>
      <c r="H11" s="161">
        <v>43217</v>
      </c>
      <c r="I11" s="161">
        <v>43220</v>
      </c>
      <c r="J11" s="161">
        <v>43220</v>
      </c>
      <c r="K11" t="s">
        <v>1709</v>
      </c>
      <c r="L11" t="s">
        <v>1710</v>
      </c>
      <c r="M11" s="161">
        <v>43216</v>
      </c>
      <c r="N11" t="s">
        <v>1711</v>
      </c>
      <c r="O11" t="s">
        <v>1712</v>
      </c>
      <c r="P11" t="s">
        <v>1713</v>
      </c>
      <c r="Q11" t="s">
        <v>1714</v>
      </c>
      <c r="R11" t="s">
        <v>1715</v>
      </c>
      <c r="T11" t="s">
        <v>1716</v>
      </c>
      <c r="U11">
        <f t="shared" si="0"/>
        <v>159.34</v>
      </c>
      <c r="V11" s="672"/>
      <c r="W11">
        <f>U11/2</f>
        <v>79.67</v>
      </c>
    </row>
    <row r="12" spans="1:56">
      <c r="A12">
        <v>2017</v>
      </c>
      <c r="B12" t="s">
        <v>1708</v>
      </c>
      <c r="C12" t="s">
        <v>1721</v>
      </c>
      <c r="D12">
        <v>4</v>
      </c>
      <c r="E12">
        <v>7</v>
      </c>
      <c r="F12">
        <v>40.450000000000003</v>
      </c>
      <c r="G12">
        <v>88.49</v>
      </c>
      <c r="H12" s="161">
        <v>43217</v>
      </c>
      <c r="I12" s="161">
        <v>43220</v>
      </c>
      <c r="J12" s="161">
        <v>43220</v>
      </c>
      <c r="K12" t="s">
        <v>1709</v>
      </c>
      <c r="L12" t="s">
        <v>1710</v>
      </c>
      <c r="M12" s="161">
        <v>43216</v>
      </c>
      <c r="N12" t="s">
        <v>1711</v>
      </c>
      <c r="O12" t="s">
        <v>1712</v>
      </c>
      <c r="P12" t="s">
        <v>1713</v>
      </c>
      <c r="Q12" t="s">
        <v>1714</v>
      </c>
      <c r="R12" t="s">
        <v>1715</v>
      </c>
      <c r="T12" t="s">
        <v>1716</v>
      </c>
      <c r="U12">
        <f t="shared" si="0"/>
        <v>48.039999999999992</v>
      </c>
      <c r="V12" s="672">
        <f>((U12+U13)/7)*10</f>
        <v>121.02857142857141</v>
      </c>
      <c r="W12">
        <f>U12/4</f>
        <v>12.009999999999998</v>
      </c>
      <c r="X12">
        <v>15136.65</v>
      </c>
      <c r="Y12">
        <v>15188.8</v>
      </c>
    </row>
    <row r="13" spans="1:56">
      <c r="A13">
        <v>2017</v>
      </c>
      <c r="B13" t="s">
        <v>1708</v>
      </c>
      <c r="C13" t="s">
        <v>1722</v>
      </c>
      <c r="D13">
        <v>8</v>
      </c>
      <c r="E13">
        <v>10</v>
      </c>
      <c r="F13">
        <v>40.03</v>
      </c>
      <c r="G13">
        <v>76.709999999999994</v>
      </c>
      <c r="H13" s="161">
        <v>43217</v>
      </c>
      <c r="I13" s="161">
        <v>43220</v>
      </c>
      <c r="J13" s="161">
        <v>43220</v>
      </c>
      <c r="K13" t="s">
        <v>1709</v>
      </c>
      <c r="L13" t="s">
        <v>1710</v>
      </c>
      <c r="M13" s="161">
        <v>43216</v>
      </c>
      <c r="N13" t="s">
        <v>1711</v>
      </c>
      <c r="O13" t="s">
        <v>1712</v>
      </c>
      <c r="P13" t="s">
        <v>1713</v>
      </c>
      <c r="Q13" t="s">
        <v>1714</v>
      </c>
      <c r="R13" t="s">
        <v>1715</v>
      </c>
      <c r="T13" t="s">
        <v>1716</v>
      </c>
      <c r="U13">
        <f t="shared" si="0"/>
        <v>36.679999999999993</v>
      </c>
      <c r="V13" s="672"/>
      <c r="W13">
        <f>U13/3</f>
        <v>12.226666666666665</v>
      </c>
    </row>
    <row r="14" spans="1:56">
      <c r="A14">
        <v>2017</v>
      </c>
      <c r="B14" t="s">
        <v>1708</v>
      </c>
      <c r="C14">
        <v>7</v>
      </c>
      <c r="D14">
        <v>4</v>
      </c>
      <c r="E14">
        <v>10</v>
      </c>
      <c r="F14">
        <v>40.9</v>
      </c>
      <c r="G14">
        <v>78.94</v>
      </c>
      <c r="H14" s="161">
        <v>43217</v>
      </c>
      <c r="I14" s="161">
        <v>43220</v>
      </c>
      <c r="J14" s="161">
        <v>43220</v>
      </c>
      <c r="K14" t="s">
        <v>1709</v>
      </c>
      <c r="L14" t="s">
        <v>1710</v>
      </c>
      <c r="M14" s="161">
        <v>43216</v>
      </c>
      <c r="N14" t="s">
        <v>1711</v>
      </c>
      <c r="O14" t="s">
        <v>1712</v>
      </c>
      <c r="P14" t="s">
        <v>1713</v>
      </c>
      <c r="Q14" t="s">
        <v>1714</v>
      </c>
      <c r="R14" t="s">
        <v>1715</v>
      </c>
      <c r="T14" t="s">
        <v>1716</v>
      </c>
      <c r="U14">
        <f t="shared" si="0"/>
        <v>38.04</v>
      </c>
      <c r="V14">
        <f t="shared" ref="V14:V18" si="3">(U14/7)*10</f>
        <v>54.342857142857142</v>
      </c>
      <c r="W14">
        <f t="shared" ref="W14:W18" si="4">U14/7</f>
        <v>5.4342857142857142</v>
      </c>
      <c r="X14">
        <v>15088.73</v>
      </c>
      <c r="Y14">
        <v>15110.27</v>
      </c>
    </row>
    <row r="15" spans="1:56">
      <c r="A15">
        <v>2017</v>
      </c>
      <c r="B15" t="s">
        <v>1708</v>
      </c>
      <c r="C15">
        <v>8</v>
      </c>
      <c r="D15">
        <v>4</v>
      </c>
      <c r="E15">
        <v>10</v>
      </c>
      <c r="F15">
        <v>38.93</v>
      </c>
      <c r="G15">
        <v>83.26</v>
      </c>
      <c r="H15" s="161">
        <v>43217</v>
      </c>
      <c r="I15" s="161">
        <v>43220</v>
      </c>
      <c r="J15" s="161">
        <v>43220</v>
      </c>
      <c r="K15" t="s">
        <v>1709</v>
      </c>
      <c r="L15" t="s">
        <v>1710</v>
      </c>
      <c r="M15" s="161">
        <v>43216</v>
      </c>
      <c r="N15" t="s">
        <v>1711</v>
      </c>
      <c r="O15" t="s">
        <v>1712</v>
      </c>
      <c r="P15" t="s">
        <v>1713</v>
      </c>
      <c r="Q15" t="s">
        <v>1714</v>
      </c>
      <c r="R15" t="s">
        <v>1715</v>
      </c>
      <c r="T15" t="s">
        <v>1716</v>
      </c>
      <c r="U15">
        <f t="shared" si="0"/>
        <v>44.330000000000005</v>
      </c>
      <c r="V15">
        <f t="shared" si="3"/>
        <v>63.328571428571436</v>
      </c>
      <c r="W15">
        <f t="shared" si="4"/>
        <v>6.3328571428571436</v>
      </c>
      <c r="X15">
        <v>14886.55</v>
      </c>
      <c r="Y15">
        <v>14915.52</v>
      </c>
    </row>
    <row r="16" spans="1:56">
      <c r="A16">
        <v>2017</v>
      </c>
      <c r="B16" t="s">
        <v>1708</v>
      </c>
      <c r="C16">
        <v>9</v>
      </c>
      <c r="D16">
        <v>4</v>
      </c>
      <c r="E16">
        <v>10</v>
      </c>
      <c r="F16">
        <v>39.630000000000003</v>
      </c>
      <c r="G16">
        <v>109.05</v>
      </c>
      <c r="H16" s="161">
        <v>43217</v>
      </c>
      <c r="I16" s="161">
        <v>43220</v>
      </c>
      <c r="J16" s="161">
        <v>43220</v>
      </c>
      <c r="K16" t="s">
        <v>1709</v>
      </c>
      <c r="L16" t="s">
        <v>1710</v>
      </c>
      <c r="M16" s="161">
        <v>43216</v>
      </c>
      <c r="N16" t="s">
        <v>1711</v>
      </c>
      <c r="O16" t="s">
        <v>1712</v>
      </c>
      <c r="P16" t="s">
        <v>1713</v>
      </c>
      <c r="Q16" t="s">
        <v>1714</v>
      </c>
      <c r="R16" t="s">
        <v>1715</v>
      </c>
      <c r="T16" t="s">
        <v>1716</v>
      </c>
      <c r="U16">
        <f t="shared" si="0"/>
        <v>69.419999999999987</v>
      </c>
      <c r="V16">
        <f t="shared" si="3"/>
        <v>99.17142857142855</v>
      </c>
      <c r="W16">
        <f t="shared" si="4"/>
        <v>9.9171428571428546</v>
      </c>
      <c r="X16">
        <v>14974.82</v>
      </c>
      <c r="Y16">
        <v>15033.48</v>
      </c>
      <c r="Z16">
        <v>109.34</v>
      </c>
      <c r="AA16">
        <f>Z16-G16</f>
        <v>0.29000000000000625</v>
      </c>
      <c r="AB16">
        <f>(AA16/Z16)*100</f>
        <v>0.2652277300164681</v>
      </c>
      <c r="AC16" s="161">
        <v>43224</v>
      </c>
      <c r="AD16" t="s">
        <v>1723</v>
      </c>
      <c r="AE16" t="s">
        <v>1724</v>
      </c>
    </row>
    <row r="17" spans="1:37">
      <c r="A17">
        <v>2017</v>
      </c>
      <c r="B17" t="s">
        <v>1708</v>
      </c>
      <c r="C17">
        <v>10</v>
      </c>
      <c r="D17">
        <v>4</v>
      </c>
      <c r="E17">
        <v>10</v>
      </c>
      <c r="F17">
        <v>39.770000000000003</v>
      </c>
      <c r="G17">
        <v>254.11</v>
      </c>
      <c r="H17" s="161">
        <v>43217</v>
      </c>
      <c r="I17" s="161">
        <v>43220</v>
      </c>
      <c r="J17" s="161">
        <v>43220</v>
      </c>
      <c r="K17" t="s">
        <v>1709</v>
      </c>
      <c r="L17" t="s">
        <v>1710</v>
      </c>
      <c r="M17" s="161">
        <v>43216</v>
      </c>
      <c r="N17" t="s">
        <v>1711</v>
      </c>
      <c r="O17" t="s">
        <v>1712</v>
      </c>
      <c r="P17" t="s">
        <v>1713</v>
      </c>
      <c r="Q17" t="s">
        <v>1714</v>
      </c>
      <c r="R17" t="s">
        <v>1715</v>
      </c>
      <c r="T17" t="s">
        <v>1716</v>
      </c>
      <c r="U17">
        <f t="shared" si="0"/>
        <v>214.34</v>
      </c>
      <c r="V17">
        <f t="shared" si="3"/>
        <v>306.2</v>
      </c>
      <c r="W17">
        <f t="shared" si="4"/>
        <v>30.62</v>
      </c>
      <c r="X17">
        <v>14899.92</v>
      </c>
      <c r="Y17">
        <v>15102.1</v>
      </c>
      <c r="AF17">
        <v>41.03</v>
      </c>
      <c r="AG17">
        <f>AF17-F17</f>
        <v>1.259999999999998</v>
      </c>
      <c r="AH17">
        <f>(AG17/U17)*100</f>
        <v>0.58785107772697487</v>
      </c>
      <c r="AI17" s="161">
        <v>43223</v>
      </c>
      <c r="AJ17" t="s">
        <v>1717</v>
      </c>
      <c r="AK17" t="s">
        <v>1718</v>
      </c>
    </row>
    <row r="18" spans="1:37">
      <c r="A18">
        <v>2017</v>
      </c>
      <c r="B18" t="s">
        <v>1708</v>
      </c>
      <c r="C18">
        <v>11</v>
      </c>
      <c r="D18">
        <v>4</v>
      </c>
      <c r="E18">
        <v>10</v>
      </c>
      <c r="F18">
        <v>39.729999999999997</v>
      </c>
      <c r="G18">
        <v>315.92</v>
      </c>
      <c r="H18" s="161">
        <v>43217</v>
      </c>
      <c r="I18" s="161">
        <v>43220</v>
      </c>
      <c r="J18" s="161">
        <v>43220</v>
      </c>
      <c r="K18" t="s">
        <v>1709</v>
      </c>
      <c r="L18" t="s">
        <v>1710</v>
      </c>
      <c r="M18" s="161">
        <v>43216</v>
      </c>
      <c r="N18" t="s">
        <v>1711</v>
      </c>
      <c r="O18" t="s">
        <v>1712</v>
      </c>
      <c r="P18" t="s">
        <v>1713</v>
      </c>
      <c r="Q18" t="s">
        <v>1714</v>
      </c>
      <c r="R18" t="s">
        <v>1715</v>
      </c>
      <c r="T18" t="s">
        <v>1716</v>
      </c>
      <c r="U18">
        <f t="shared" si="0"/>
        <v>276.19</v>
      </c>
      <c r="V18">
        <f t="shared" si="3"/>
        <v>394.55714285714288</v>
      </c>
      <c r="W18">
        <f t="shared" si="4"/>
        <v>39.455714285714286</v>
      </c>
      <c r="X18">
        <v>14739.52</v>
      </c>
      <c r="Y18">
        <v>15005.54</v>
      </c>
      <c r="Z18">
        <v>316.32</v>
      </c>
      <c r="AA18">
        <f>Z18-G18</f>
        <v>0.39999999999997726</v>
      </c>
      <c r="AB18">
        <f>(AA18/Z18)*100</f>
        <v>0.12645422357106006</v>
      </c>
      <c r="AC18" s="161">
        <v>43224</v>
      </c>
      <c r="AD18" t="s">
        <v>1723</v>
      </c>
      <c r="AE18" t="s">
        <v>1724</v>
      </c>
    </row>
    <row r="19" spans="1:37">
      <c r="A19">
        <v>2017</v>
      </c>
      <c r="B19" t="s">
        <v>1708</v>
      </c>
      <c r="C19" t="s">
        <v>1725</v>
      </c>
      <c r="D19">
        <v>4</v>
      </c>
      <c r="E19">
        <v>6</v>
      </c>
      <c r="F19">
        <v>39.61</v>
      </c>
      <c r="G19">
        <v>66</v>
      </c>
      <c r="H19" s="161">
        <v>43220</v>
      </c>
      <c r="I19" s="161">
        <v>43222</v>
      </c>
      <c r="J19" s="161">
        <v>43222</v>
      </c>
      <c r="K19" t="s">
        <v>1709</v>
      </c>
      <c r="L19" t="s">
        <v>1726</v>
      </c>
      <c r="M19" s="161">
        <v>43216</v>
      </c>
      <c r="N19" t="s">
        <v>1711</v>
      </c>
      <c r="O19" t="s">
        <v>1712</v>
      </c>
      <c r="P19" t="s">
        <v>1713</v>
      </c>
      <c r="Q19" t="s">
        <v>1714</v>
      </c>
      <c r="R19" t="s">
        <v>1715</v>
      </c>
      <c r="S19" s="745" t="s">
        <v>1727</v>
      </c>
      <c r="T19" s="211" t="s">
        <v>1728</v>
      </c>
      <c r="U19" s="211">
        <f t="shared" si="0"/>
        <v>26.39</v>
      </c>
      <c r="V19" s="742">
        <f>((U20)/4)*10</f>
        <v>146.32499999999999</v>
      </c>
      <c r="W19">
        <f>U19/3</f>
        <v>8.7966666666666669</v>
      </c>
      <c r="X19">
        <v>14832.45</v>
      </c>
      <c r="Y19">
        <v>14897.96</v>
      </c>
    </row>
    <row r="20" spans="1:37">
      <c r="A20">
        <v>2017</v>
      </c>
      <c r="B20" t="s">
        <v>1708</v>
      </c>
      <c r="C20" t="s">
        <v>1729</v>
      </c>
      <c r="D20">
        <v>7</v>
      </c>
      <c r="E20">
        <v>10</v>
      </c>
      <c r="F20">
        <v>41.17</v>
      </c>
      <c r="G20">
        <v>99.7</v>
      </c>
      <c r="H20" s="161">
        <v>43220</v>
      </c>
      <c r="I20" s="161">
        <v>43222</v>
      </c>
      <c r="J20" s="161">
        <v>43222</v>
      </c>
      <c r="K20" t="s">
        <v>1709</v>
      </c>
      <c r="L20" t="s">
        <v>1726</v>
      </c>
      <c r="M20" s="161">
        <v>43216</v>
      </c>
      <c r="N20" t="s">
        <v>1711</v>
      </c>
      <c r="O20" t="s">
        <v>1712</v>
      </c>
      <c r="P20" t="s">
        <v>1713</v>
      </c>
      <c r="Q20" t="s">
        <v>1714</v>
      </c>
      <c r="R20" t="s">
        <v>1715</v>
      </c>
      <c r="S20" s="745"/>
      <c r="T20" s="211" t="s">
        <v>1730</v>
      </c>
      <c r="U20" s="211">
        <f t="shared" si="0"/>
        <v>58.53</v>
      </c>
      <c r="V20" s="742"/>
      <c r="W20">
        <f>U20/4</f>
        <v>14.6325</v>
      </c>
      <c r="Z20">
        <v>99.75</v>
      </c>
      <c r="AA20">
        <f>Z20-G20</f>
        <v>4.9999999999997158E-2</v>
      </c>
      <c r="AB20">
        <f>(AA20/Z20)*100</f>
        <v>5.0125313283205165E-2</v>
      </c>
      <c r="AC20" s="161">
        <v>43224</v>
      </c>
      <c r="AD20" t="s">
        <v>1723</v>
      </c>
      <c r="AE20" t="s">
        <v>1724</v>
      </c>
    </row>
    <row r="21" spans="1:37">
      <c r="A21">
        <v>2017</v>
      </c>
      <c r="B21" t="s">
        <v>1708</v>
      </c>
      <c r="C21">
        <v>13</v>
      </c>
      <c r="D21">
        <v>4</v>
      </c>
      <c r="E21">
        <v>10</v>
      </c>
      <c r="F21">
        <v>40.53</v>
      </c>
      <c r="G21">
        <v>89.12</v>
      </c>
      <c r="H21" s="161">
        <v>43220</v>
      </c>
      <c r="I21" s="161">
        <v>43222</v>
      </c>
      <c r="J21" s="161">
        <v>43222</v>
      </c>
      <c r="K21" t="s">
        <v>1709</v>
      </c>
      <c r="L21" t="s">
        <v>1726</v>
      </c>
      <c r="M21" s="161">
        <v>43216</v>
      </c>
      <c r="N21" t="s">
        <v>1711</v>
      </c>
      <c r="O21" t="s">
        <v>1712</v>
      </c>
      <c r="P21" t="s">
        <v>1713</v>
      </c>
      <c r="Q21" t="s">
        <v>1714</v>
      </c>
      <c r="R21" t="s">
        <v>1715</v>
      </c>
      <c r="T21" t="s">
        <v>1730</v>
      </c>
      <c r="U21">
        <f t="shared" si="0"/>
        <v>48.59</v>
      </c>
      <c r="V21">
        <f t="shared" ref="V21:V22" si="5">(U21/7)*10</f>
        <v>69.414285714285725</v>
      </c>
      <c r="W21">
        <f t="shared" ref="W21" si="6">U21/7</f>
        <v>6.9414285714285722</v>
      </c>
      <c r="X21">
        <v>14901.93</v>
      </c>
      <c r="Y21">
        <v>14938.67</v>
      </c>
      <c r="Z21">
        <v>89.28</v>
      </c>
      <c r="AA21">
        <f>Z21-G21</f>
        <v>0.15999999999999659</v>
      </c>
      <c r="AB21">
        <f>(AA21/Z21)*100</f>
        <v>0.17921146953404637</v>
      </c>
      <c r="AC21" s="161">
        <v>43224</v>
      </c>
      <c r="AD21" t="s">
        <v>1723</v>
      </c>
      <c r="AE21" t="s">
        <v>1724</v>
      </c>
    </row>
    <row r="22" spans="1:37">
      <c r="A22">
        <v>2017</v>
      </c>
      <c r="B22" t="s">
        <v>1708</v>
      </c>
      <c r="C22">
        <v>14</v>
      </c>
      <c r="D22">
        <v>4</v>
      </c>
      <c r="E22">
        <v>10</v>
      </c>
      <c r="F22">
        <v>41.34</v>
      </c>
      <c r="G22">
        <v>608.61</v>
      </c>
      <c r="H22" s="161">
        <v>43220</v>
      </c>
      <c r="I22" s="161">
        <v>43222</v>
      </c>
      <c r="J22" s="161">
        <v>43222</v>
      </c>
      <c r="K22" t="s">
        <v>1709</v>
      </c>
      <c r="L22" t="s">
        <v>1726</v>
      </c>
      <c r="M22" s="161">
        <v>43216</v>
      </c>
      <c r="N22" t="s">
        <v>1711</v>
      </c>
      <c r="O22" t="s">
        <v>1712</v>
      </c>
      <c r="P22" t="s">
        <v>1713</v>
      </c>
      <c r="Q22" t="s">
        <v>1714</v>
      </c>
      <c r="R22" t="s">
        <v>1715</v>
      </c>
      <c r="T22" t="s">
        <v>1730</v>
      </c>
      <c r="U22">
        <f t="shared" si="0"/>
        <v>567.27</v>
      </c>
      <c r="V22">
        <f t="shared" si="5"/>
        <v>810.38571428571436</v>
      </c>
      <c r="W22">
        <f>U22/7</f>
        <v>81.03857142857143</v>
      </c>
      <c r="X22">
        <v>14917.41</v>
      </c>
      <c r="Y22">
        <v>15451.65</v>
      </c>
    </row>
    <row r="23" spans="1:37">
      <c r="A23">
        <v>2017</v>
      </c>
      <c r="B23" t="s">
        <v>1708</v>
      </c>
      <c r="C23" t="s">
        <v>1731</v>
      </c>
      <c r="D23">
        <v>4</v>
      </c>
      <c r="E23">
        <v>7</v>
      </c>
      <c r="F23">
        <v>39.97</v>
      </c>
      <c r="G23">
        <v>649.29</v>
      </c>
      <c r="H23" s="161">
        <v>43220</v>
      </c>
      <c r="I23" s="161">
        <v>43222</v>
      </c>
      <c r="J23" s="161">
        <v>43222</v>
      </c>
      <c r="K23" t="s">
        <v>1709</v>
      </c>
      <c r="L23" t="s">
        <v>1726</v>
      </c>
      <c r="M23" s="161">
        <v>43216</v>
      </c>
      <c r="N23" t="s">
        <v>1711</v>
      </c>
      <c r="O23" t="s">
        <v>1712</v>
      </c>
      <c r="P23" t="s">
        <v>1713</v>
      </c>
      <c r="Q23" t="s">
        <v>1714</v>
      </c>
      <c r="R23" t="s">
        <v>1715</v>
      </c>
      <c r="T23" t="s">
        <v>1730</v>
      </c>
      <c r="U23">
        <f t="shared" si="0"/>
        <v>609.31999999999994</v>
      </c>
      <c r="V23" s="672">
        <f>((U23+U24)/7)*10</f>
        <v>1575.3999999999996</v>
      </c>
      <c r="W23">
        <f>U23/4</f>
        <v>152.32999999999998</v>
      </c>
      <c r="X23">
        <v>14810.68</v>
      </c>
      <c r="Y23">
        <v>15902</v>
      </c>
      <c r="AF23">
        <v>41.3</v>
      </c>
      <c r="AG23">
        <f>AF23-F23</f>
        <v>1.3299999999999983</v>
      </c>
      <c r="AH23">
        <f>(AG23/U23)*100</f>
        <v>0.21827611107464034</v>
      </c>
      <c r="AI23" s="161">
        <v>43223</v>
      </c>
      <c r="AJ23" t="s">
        <v>1717</v>
      </c>
      <c r="AK23" t="s">
        <v>1718</v>
      </c>
    </row>
    <row r="24" spans="1:37">
      <c r="A24">
        <v>2017</v>
      </c>
      <c r="B24" t="s">
        <v>1708</v>
      </c>
      <c r="C24" t="s">
        <v>1732</v>
      </c>
      <c r="D24">
        <v>8</v>
      </c>
      <c r="E24">
        <v>10</v>
      </c>
      <c r="F24">
        <v>40.590000000000003</v>
      </c>
      <c r="G24">
        <v>534.04999999999995</v>
      </c>
      <c r="H24" s="161">
        <v>43220</v>
      </c>
      <c r="I24" s="161">
        <v>43222</v>
      </c>
      <c r="J24" s="161">
        <v>43222</v>
      </c>
      <c r="K24" t="s">
        <v>1709</v>
      </c>
      <c r="L24" t="s">
        <v>1726</v>
      </c>
      <c r="M24" s="161">
        <v>43216</v>
      </c>
      <c r="N24" t="s">
        <v>1711</v>
      </c>
      <c r="O24" t="s">
        <v>1712</v>
      </c>
      <c r="P24" t="s">
        <v>1713</v>
      </c>
      <c r="Q24" t="s">
        <v>1714</v>
      </c>
      <c r="R24" t="s">
        <v>1715</v>
      </c>
      <c r="T24" t="s">
        <v>1730</v>
      </c>
      <c r="U24">
        <f t="shared" si="0"/>
        <v>493.45999999999992</v>
      </c>
      <c r="V24" s="672"/>
      <c r="W24">
        <f>U24/3</f>
        <v>164.48666666666665</v>
      </c>
    </row>
    <row r="25" spans="1:37">
      <c r="A25">
        <v>2017</v>
      </c>
      <c r="B25" t="s">
        <v>1708</v>
      </c>
      <c r="C25" t="s">
        <v>1733</v>
      </c>
      <c r="D25">
        <v>4</v>
      </c>
      <c r="E25">
        <v>7</v>
      </c>
      <c r="F25">
        <v>39.92</v>
      </c>
      <c r="G25">
        <v>431.78</v>
      </c>
      <c r="H25" s="161">
        <v>43222</v>
      </c>
      <c r="I25" s="161">
        <v>43224</v>
      </c>
      <c r="J25" s="161">
        <v>43224</v>
      </c>
      <c r="K25" t="s">
        <v>1723</v>
      </c>
      <c r="L25" t="s">
        <v>1724</v>
      </c>
      <c r="M25" s="161">
        <v>43216</v>
      </c>
      <c r="N25" t="s">
        <v>1711</v>
      </c>
      <c r="O25" t="s">
        <v>1712</v>
      </c>
      <c r="P25" t="s">
        <v>1713</v>
      </c>
      <c r="Q25" t="s">
        <v>1714</v>
      </c>
      <c r="R25" t="s">
        <v>1715</v>
      </c>
      <c r="T25" t="s">
        <v>1734</v>
      </c>
      <c r="U25">
        <f t="shared" si="0"/>
        <v>391.85999999999996</v>
      </c>
      <c r="V25" s="672">
        <f>((U25+U26)/7)*10</f>
        <v>952.48571428571427</v>
      </c>
      <c r="W25">
        <f>U25/4</f>
        <v>97.964999999999989</v>
      </c>
      <c r="X25">
        <v>14909.68</v>
      </c>
      <c r="Y25" s="608">
        <v>15560.38</v>
      </c>
      <c r="AB25">
        <f>AA16/AVERAGE(Z16,G16)</f>
        <v>2.6557992582078509E-3</v>
      </c>
    </row>
    <row r="26" spans="1:37">
      <c r="A26">
        <v>2017</v>
      </c>
      <c r="B26" t="s">
        <v>1708</v>
      </c>
      <c r="C26" t="s">
        <v>1735</v>
      </c>
      <c r="D26">
        <v>8</v>
      </c>
      <c r="E26">
        <v>10</v>
      </c>
      <c r="F26">
        <v>39.89</v>
      </c>
      <c r="G26">
        <v>314.77</v>
      </c>
      <c r="H26" s="161">
        <v>43222</v>
      </c>
      <c r="I26" s="161">
        <v>43224</v>
      </c>
      <c r="J26" s="161">
        <v>43224</v>
      </c>
      <c r="K26" t="s">
        <v>1723</v>
      </c>
      <c r="L26" t="s">
        <v>1724</v>
      </c>
      <c r="M26" s="161">
        <v>43216</v>
      </c>
      <c r="N26" t="s">
        <v>1711</v>
      </c>
      <c r="O26" t="s">
        <v>1712</v>
      </c>
      <c r="P26" t="s">
        <v>1713</v>
      </c>
      <c r="Q26" t="s">
        <v>1714</v>
      </c>
      <c r="R26" t="s">
        <v>1715</v>
      </c>
      <c r="T26" t="s">
        <v>1734</v>
      </c>
      <c r="U26">
        <f t="shared" si="0"/>
        <v>274.88</v>
      </c>
      <c r="V26" s="672"/>
      <c r="W26">
        <f>U26/3</f>
        <v>91.626666666666665</v>
      </c>
      <c r="Y26" s="608"/>
    </row>
    <row r="27" spans="1:37">
      <c r="A27">
        <v>2017</v>
      </c>
      <c r="B27" t="s">
        <v>1708</v>
      </c>
      <c r="C27" t="s">
        <v>1736</v>
      </c>
      <c r="D27">
        <v>4</v>
      </c>
      <c r="E27">
        <v>7</v>
      </c>
      <c r="F27">
        <v>40.72</v>
      </c>
      <c r="G27">
        <v>293.36</v>
      </c>
      <c r="H27" s="161">
        <v>43224</v>
      </c>
      <c r="I27" s="161">
        <v>43227</v>
      </c>
      <c r="J27" s="161">
        <v>43227</v>
      </c>
      <c r="K27" t="s">
        <v>1737</v>
      </c>
      <c r="L27" t="s">
        <v>1738</v>
      </c>
      <c r="M27" s="161">
        <v>43216</v>
      </c>
      <c r="N27" t="s">
        <v>1711</v>
      </c>
      <c r="O27" t="s">
        <v>1712</v>
      </c>
      <c r="P27" t="s">
        <v>1713</v>
      </c>
      <c r="Q27" t="s">
        <v>1714</v>
      </c>
      <c r="R27" t="s">
        <v>1715</v>
      </c>
      <c r="T27" t="s">
        <v>1739</v>
      </c>
      <c r="U27">
        <f t="shared" si="0"/>
        <v>252.64000000000001</v>
      </c>
      <c r="V27" s="672">
        <f>((U27+U28)/7)*10</f>
        <v>659.71428571428578</v>
      </c>
      <c r="W27">
        <f>U27/4</f>
        <v>63.160000000000004</v>
      </c>
      <c r="X27">
        <v>14765.48</v>
      </c>
      <c r="Y27" s="608">
        <v>15211.69</v>
      </c>
      <c r="AB27" s="644">
        <f>AA18/AVERAGE(Z18,G18)</f>
        <v>1.2653422750853387E-3</v>
      </c>
    </row>
    <row r="28" spans="1:37">
      <c r="A28">
        <v>2017</v>
      </c>
      <c r="B28" t="s">
        <v>1708</v>
      </c>
      <c r="C28" t="s">
        <v>1740</v>
      </c>
      <c r="D28">
        <v>8</v>
      </c>
      <c r="E28">
        <v>10</v>
      </c>
      <c r="F28">
        <v>40.83</v>
      </c>
      <c r="G28">
        <v>249.99</v>
      </c>
      <c r="H28" s="161">
        <v>43224</v>
      </c>
      <c r="I28" s="161">
        <v>43227</v>
      </c>
      <c r="J28" s="161">
        <v>43227</v>
      </c>
      <c r="K28" t="s">
        <v>1737</v>
      </c>
      <c r="L28" t="s">
        <v>1738</v>
      </c>
      <c r="M28" s="161">
        <v>43216</v>
      </c>
      <c r="N28" t="s">
        <v>1711</v>
      </c>
      <c r="O28" t="s">
        <v>1712</v>
      </c>
      <c r="P28" t="s">
        <v>1713</v>
      </c>
      <c r="Q28" t="s">
        <v>1714</v>
      </c>
      <c r="R28" t="s">
        <v>1715</v>
      </c>
      <c r="T28" t="s">
        <v>1739</v>
      </c>
      <c r="U28">
        <f t="shared" si="0"/>
        <v>209.16000000000003</v>
      </c>
      <c r="V28" s="672"/>
      <c r="W28">
        <f>U28/3</f>
        <v>69.720000000000013</v>
      </c>
    </row>
    <row r="29" spans="1:37">
      <c r="A29">
        <v>2017</v>
      </c>
      <c r="B29" t="s">
        <v>1708</v>
      </c>
      <c r="C29" t="s">
        <v>1741</v>
      </c>
      <c r="D29">
        <v>4</v>
      </c>
      <c r="E29">
        <v>7</v>
      </c>
      <c r="F29">
        <v>39.42</v>
      </c>
      <c r="G29">
        <v>457.44</v>
      </c>
      <c r="H29" s="161">
        <v>43224</v>
      </c>
      <c r="I29" s="161">
        <v>43227</v>
      </c>
      <c r="J29" s="161">
        <v>43227</v>
      </c>
      <c r="K29" t="s">
        <v>1737</v>
      </c>
      <c r="L29" t="s">
        <v>1738</v>
      </c>
      <c r="M29" s="161">
        <v>43216</v>
      </c>
      <c r="N29" t="s">
        <v>1711</v>
      </c>
      <c r="O29" t="s">
        <v>1712</v>
      </c>
      <c r="P29" t="s">
        <v>1713</v>
      </c>
      <c r="Q29" t="s">
        <v>1714</v>
      </c>
      <c r="R29" t="s">
        <v>1715</v>
      </c>
      <c r="T29" t="s">
        <v>1739</v>
      </c>
      <c r="U29">
        <f t="shared" si="0"/>
        <v>418.02</v>
      </c>
      <c r="V29" s="672">
        <f>((U29+U30)/7)*10</f>
        <v>1057.0714285714287</v>
      </c>
      <c r="W29">
        <f>U29/4</f>
        <v>104.505</v>
      </c>
      <c r="X29">
        <v>14714.49</v>
      </c>
      <c r="Y29">
        <v>15432.57</v>
      </c>
      <c r="AB29" s="644">
        <f>AA20/AVERAGE(Z20,G20)</f>
        <v>5.0137879167708361E-4</v>
      </c>
    </row>
    <row r="30" spans="1:37">
      <c r="A30">
        <v>2017</v>
      </c>
      <c r="B30" t="s">
        <v>1708</v>
      </c>
      <c r="C30" t="s">
        <v>1742</v>
      </c>
      <c r="D30">
        <v>8</v>
      </c>
      <c r="E30">
        <v>10</v>
      </c>
      <c r="F30">
        <v>39.24</v>
      </c>
      <c r="G30">
        <v>361.17</v>
      </c>
      <c r="H30" s="161">
        <v>43224</v>
      </c>
      <c r="I30" s="161">
        <v>43227</v>
      </c>
      <c r="J30" s="161">
        <v>43227</v>
      </c>
      <c r="K30" t="s">
        <v>1737</v>
      </c>
      <c r="L30" t="s">
        <v>1738</v>
      </c>
      <c r="M30" s="161">
        <v>43216</v>
      </c>
      <c r="N30" t="s">
        <v>1711</v>
      </c>
      <c r="O30" t="s">
        <v>1712</v>
      </c>
      <c r="P30" t="s">
        <v>1713</v>
      </c>
      <c r="Q30" t="s">
        <v>1714</v>
      </c>
      <c r="R30" t="s">
        <v>1715</v>
      </c>
      <c r="T30" t="s">
        <v>1739</v>
      </c>
      <c r="U30">
        <f t="shared" si="0"/>
        <v>321.93</v>
      </c>
      <c r="V30" s="672"/>
      <c r="W30">
        <f>U30/3</f>
        <v>107.31</v>
      </c>
      <c r="AB30" s="644">
        <f>AA21/AVERAGE(Z21,G21)</f>
        <v>1.793721973094132E-3</v>
      </c>
    </row>
    <row r="31" spans="1:37">
      <c r="A31">
        <v>2017</v>
      </c>
      <c r="B31" t="s">
        <v>1708</v>
      </c>
      <c r="C31" t="s">
        <v>1743</v>
      </c>
      <c r="D31">
        <v>4</v>
      </c>
      <c r="E31">
        <v>7</v>
      </c>
      <c r="F31">
        <v>39.619999999999997</v>
      </c>
      <c r="G31">
        <v>329.27</v>
      </c>
      <c r="H31" s="161">
        <v>43224</v>
      </c>
      <c r="I31" s="161">
        <v>43227</v>
      </c>
      <c r="J31" s="161">
        <v>43227</v>
      </c>
      <c r="K31" t="s">
        <v>1737</v>
      </c>
      <c r="L31" t="s">
        <v>1738</v>
      </c>
      <c r="M31" s="161">
        <v>43216</v>
      </c>
      <c r="N31" t="s">
        <v>1711</v>
      </c>
      <c r="O31" t="s">
        <v>1712</v>
      </c>
      <c r="P31" t="s">
        <v>1713</v>
      </c>
      <c r="Q31" t="s">
        <v>1714</v>
      </c>
      <c r="R31" t="s">
        <v>1715</v>
      </c>
      <c r="T31" t="s">
        <v>1739</v>
      </c>
      <c r="U31">
        <f t="shared" si="0"/>
        <v>289.64999999999998</v>
      </c>
      <c r="V31" s="672">
        <f>((U31+U32)/7)*10</f>
        <v>800.81428571428557</v>
      </c>
      <c r="W31">
        <f>U31/4</f>
        <v>72.412499999999994</v>
      </c>
      <c r="X31">
        <v>15025.96</v>
      </c>
      <c r="Y31">
        <v>15565.87</v>
      </c>
    </row>
    <row r="32" spans="1:37">
      <c r="A32">
        <v>2017</v>
      </c>
      <c r="B32" t="s">
        <v>1708</v>
      </c>
      <c r="C32" t="s">
        <v>1744</v>
      </c>
      <c r="D32">
        <v>8</v>
      </c>
      <c r="E32">
        <v>10</v>
      </c>
      <c r="F32">
        <v>36.159999999999997</v>
      </c>
      <c r="G32">
        <v>307.08</v>
      </c>
      <c r="H32" s="161">
        <v>43228</v>
      </c>
      <c r="I32" s="161">
        <v>43230</v>
      </c>
      <c r="J32" s="161">
        <v>43230</v>
      </c>
      <c r="K32" t="s">
        <v>1723</v>
      </c>
      <c r="L32" t="s">
        <v>1745</v>
      </c>
      <c r="M32" s="161">
        <v>43216</v>
      </c>
      <c r="N32" t="s">
        <v>1711</v>
      </c>
      <c r="O32" t="s">
        <v>1712</v>
      </c>
      <c r="P32" t="s">
        <v>1713</v>
      </c>
      <c r="Q32" t="s">
        <v>1714</v>
      </c>
      <c r="R32" t="s">
        <v>1715</v>
      </c>
      <c r="T32" t="s">
        <v>1746</v>
      </c>
      <c r="U32">
        <f t="shared" si="0"/>
        <v>270.91999999999996</v>
      </c>
      <c r="V32" s="672"/>
      <c r="W32">
        <f>U32/3</f>
        <v>90.306666666666658</v>
      </c>
    </row>
    <row r="33" spans="1:48">
      <c r="A33">
        <v>2017</v>
      </c>
      <c r="B33" t="s">
        <v>1708</v>
      </c>
      <c r="C33" t="s">
        <v>1747</v>
      </c>
      <c r="D33">
        <v>4</v>
      </c>
      <c r="E33">
        <v>7</v>
      </c>
      <c r="F33">
        <v>39.56</v>
      </c>
      <c r="G33">
        <v>329.27</v>
      </c>
      <c r="H33" s="161">
        <v>43228</v>
      </c>
      <c r="I33" s="161">
        <v>43230</v>
      </c>
      <c r="J33" s="161">
        <v>43230</v>
      </c>
      <c r="K33" t="s">
        <v>1723</v>
      </c>
      <c r="L33" t="s">
        <v>1745</v>
      </c>
      <c r="M33" s="161">
        <v>43216</v>
      </c>
      <c r="N33" t="s">
        <v>1711</v>
      </c>
      <c r="O33" t="s">
        <v>1712</v>
      </c>
      <c r="P33" t="s">
        <v>1713</v>
      </c>
      <c r="Q33" t="s">
        <v>1714</v>
      </c>
      <c r="R33" t="s">
        <v>1715</v>
      </c>
      <c r="T33" t="s">
        <v>1746</v>
      </c>
      <c r="U33">
        <f t="shared" si="0"/>
        <v>289.70999999999998</v>
      </c>
      <c r="V33" s="672">
        <f>((U33+U34)/7)*10</f>
        <v>780.0428571428572</v>
      </c>
      <c r="W33">
        <f>U33/4</f>
        <v>72.427499999999995</v>
      </c>
      <c r="X33">
        <v>14898.19</v>
      </c>
      <c r="Y33">
        <v>15438.05</v>
      </c>
      <c r="AB33" s="649">
        <f>_xlfn.STDEV.P(AB25:AB30)/SQRT(2)</f>
        <v>5.5483814142713399E-4</v>
      </c>
      <c r="AC33" s="434">
        <f>AB33</f>
        <v>5.5483814142713399E-4</v>
      </c>
    </row>
    <row r="34" spans="1:48">
      <c r="A34">
        <v>2017</v>
      </c>
      <c r="B34" t="s">
        <v>1708</v>
      </c>
      <c r="C34" t="s">
        <v>1748</v>
      </c>
      <c r="D34">
        <v>8</v>
      </c>
      <c r="E34">
        <v>10</v>
      </c>
      <c r="F34">
        <v>39.869999999999997</v>
      </c>
      <c r="G34">
        <v>296.19</v>
      </c>
      <c r="H34" s="161">
        <v>43228</v>
      </c>
      <c r="I34" s="161">
        <v>43230</v>
      </c>
      <c r="J34" s="161">
        <v>43230</v>
      </c>
      <c r="K34" t="s">
        <v>1723</v>
      </c>
      <c r="L34" t="s">
        <v>1745</v>
      </c>
      <c r="M34" s="161">
        <v>43216</v>
      </c>
      <c r="N34" t="s">
        <v>1711</v>
      </c>
      <c r="O34" t="s">
        <v>1712</v>
      </c>
      <c r="P34" t="s">
        <v>1713</v>
      </c>
      <c r="Q34" t="s">
        <v>1714</v>
      </c>
      <c r="R34" t="s">
        <v>1715</v>
      </c>
      <c r="T34" t="s">
        <v>1746</v>
      </c>
      <c r="U34">
        <f t="shared" si="0"/>
        <v>256.32</v>
      </c>
      <c r="V34" s="672"/>
      <c r="W34">
        <f>U34/3</f>
        <v>85.44</v>
      </c>
    </row>
    <row r="35" spans="1:48">
      <c r="A35">
        <v>2017</v>
      </c>
      <c r="B35" t="s">
        <v>1708</v>
      </c>
      <c r="C35">
        <v>21</v>
      </c>
      <c r="D35">
        <v>4</v>
      </c>
      <c r="E35">
        <v>10</v>
      </c>
      <c r="F35">
        <v>39.1</v>
      </c>
      <c r="G35">
        <v>67.13</v>
      </c>
      <c r="H35" s="161">
        <v>43228</v>
      </c>
      <c r="I35" s="161">
        <v>43230</v>
      </c>
      <c r="J35" s="161">
        <v>43230</v>
      </c>
      <c r="K35" t="s">
        <v>1723</v>
      </c>
      <c r="L35" t="s">
        <v>1745</v>
      </c>
      <c r="M35" s="161">
        <v>43216</v>
      </c>
      <c r="N35" t="s">
        <v>1711</v>
      </c>
      <c r="O35" t="s">
        <v>1712</v>
      </c>
      <c r="P35" t="s">
        <v>1713</v>
      </c>
      <c r="Q35" t="s">
        <v>1714</v>
      </c>
      <c r="R35" t="s">
        <v>1715</v>
      </c>
      <c r="T35" t="s">
        <v>1746</v>
      </c>
      <c r="U35">
        <f t="shared" si="0"/>
        <v>28.029999999999994</v>
      </c>
      <c r="V35">
        <f>(U35/7)*10</f>
        <v>40.042857142857137</v>
      </c>
      <c r="W35">
        <f>U35/7</f>
        <v>4.0042857142857136</v>
      </c>
      <c r="X35">
        <v>14805.81</v>
      </c>
      <c r="Y35">
        <v>14817.67</v>
      </c>
    </row>
    <row r="37" spans="1:48" s="202" customFormat="1">
      <c r="A37" s="199" t="s">
        <v>1706</v>
      </c>
      <c r="B37" s="199" t="s">
        <v>1749</v>
      </c>
      <c r="C37" s="201"/>
      <c r="E37" s="203"/>
      <c r="F37" s="203"/>
      <c r="G37" s="203"/>
      <c r="H37" s="204"/>
      <c r="I37" s="204"/>
      <c r="J37" s="204"/>
      <c r="K37" s="204"/>
      <c r="L37" s="204"/>
      <c r="M37" s="204"/>
      <c r="N37" s="205"/>
      <c r="O37" s="206"/>
      <c r="P37" s="207"/>
      <c r="Q37" s="207"/>
      <c r="R37" s="207"/>
      <c r="S37" s="207"/>
      <c r="T37" s="207"/>
      <c r="U37" s="203"/>
      <c r="V37" s="203"/>
      <c r="W37" s="203"/>
      <c r="X37" s="203"/>
      <c r="Y37" s="203"/>
      <c r="Z37" s="207"/>
      <c r="AA37" s="207"/>
      <c r="AB37" s="207"/>
      <c r="AC37" s="207"/>
      <c r="AD37" s="207"/>
      <c r="AE37" s="207"/>
      <c r="AF37" s="208"/>
      <c r="AG37" s="208"/>
      <c r="AH37" s="208"/>
      <c r="AI37" s="207"/>
      <c r="AJ37" s="207"/>
      <c r="AK37" s="209"/>
      <c r="AL37" s="209"/>
      <c r="AM37" s="209"/>
      <c r="AN37" s="209"/>
      <c r="AO37" s="209"/>
      <c r="AP37" s="209"/>
      <c r="AQ37" s="209"/>
      <c r="AR37" s="209"/>
      <c r="AS37" s="209"/>
      <c r="AT37" s="209"/>
      <c r="AU37" s="209"/>
      <c r="AV37" s="209"/>
    </row>
    <row r="38" spans="1:48">
      <c r="A38">
        <v>2017</v>
      </c>
      <c r="B38" t="s">
        <v>1750</v>
      </c>
      <c r="C38">
        <v>1</v>
      </c>
      <c r="D38">
        <v>4</v>
      </c>
      <c r="E38">
        <v>10</v>
      </c>
      <c r="F38">
        <v>39.409999999999997</v>
      </c>
      <c r="G38">
        <v>318.45</v>
      </c>
      <c r="H38" s="161">
        <v>43229</v>
      </c>
      <c r="I38" s="161">
        <v>43234</v>
      </c>
      <c r="J38" s="161">
        <v>43234</v>
      </c>
      <c r="K38" t="s">
        <v>1723</v>
      </c>
      <c r="L38" t="s">
        <v>1751</v>
      </c>
      <c r="M38" s="161">
        <v>43228</v>
      </c>
      <c r="N38" t="s">
        <v>1752</v>
      </c>
      <c r="O38" t="s">
        <v>1753</v>
      </c>
      <c r="P38" t="s">
        <v>1713</v>
      </c>
      <c r="Q38" t="s">
        <v>1714</v>
      </c>
      <c r="R38" t="s">
        <v>1715</v>
      </c>
      <c r="T38" t="s">
        <v>1754</v>
      </c>
      <c r="U38">
        <f t="shared" ref="U38:U69" si="7">G38-F38</f>
        <v>279.03999999999996</v>
      </c>
      <c r="V38">
        <f>(U38/7)*10</f>
        <v>398.62857142857138</v>
      </c>
      <c r="W38">
        <f>U38/7</f>
        <v>39.862857142857138</v>
      </c>
      <c r="X38">
        <v>14981.05</v>
      </c>
      <c r="Y38">
        <v>15230.15</v>
      </c>
    </row>
    <row r="39" spans="1:48">
      <c r="A39">
        <v>2017</v>
      </c>
      <c r="B39" t="s">
        <v>1750</v>
      </c>
      <c r="C39">
        <v>2</v>
      </c>
      <c r="D39">
        <v>4</v>
      </c>
      <c r="E39">
        <v>10</v>
      </c>
      <c r="F39">
        <v>39.53</v>
      </c>
      <c r="G39">
        <v>388.72</v>
      </c>
      <c r="H39" s="161">
        <v>43229</v>
      </c>
      <c r="I39" s="161">
        <v>43234</v>
      </c>
      <c r="J39" s="161">
        <v>43234</v>
      </c>
      <c r="K39" t="s">
        <v>1723</v>
      </c>
      <c r="L39" t="s">
        <v>1751</v>
      </c>
      <c r="M39" s="161">
        <v>43228</v>
      </c>
      <c r="N39" t="s">
        <v>1752</v>
      </c>
      <c r="O39" t="s">
        <v>1753</v>
      </c>
      <c r="P39" t="s">
        <v>1713</v>
      </c>
      <c r="Q39" t="s">
        <v>1714</v>
      </c>
      <c r="R39" t="s">
        <v>1715</v>
      </c>
      <c r="T39" t="s">
        <v>1754</v>
      </c>
      <c r="U39">
        <f t="shared" si="7"/>
        <v>349.19000000000005</v>
      </c>
      <c r="V39">
        <f t="shared" ref="V39:V51" si="8">(U39/7)*10</f>
        <v>498.84285714285727</v>
      </c>
      <c r="W39">
        <f t="shared" ref="W39:W51" si="9">U39/7</f>
        <v>49.884285714285724</v>
      </c>
      <c r="X39">
        <v>14966.27</v>
      </c>
      <c r="Y39">
        <v>15299.96</v>
      </c>
    </row>
    <row r="40" spans="1:48">
      <c r="A40">
        <v>2017</v>
      </c>
      <c r="B40" t="s">
        <v>1750</v>
      </c>
      <c r="C40">
        <v>3</v>
      </c>
      <c r="D40">
        <v>4</v>
      </c>
      <c r="E40">
        <v>10</v>
      </c>
      <c r="F40">
        <v>40.44</v>
      </c>
      <c r="G40">
        <v>450.71</v>
      </c>
      <c r="H40" s="161">
        <v>43229</v>
      </c>
      <c r="I40" s="161">
        <v>43234</v>
      </c>
      <c r="J40" s="161">
        <v>43234</v>
      </c>
      <c r="K40" t="s">
        <v>1723</v>
      </c>
      <c r="L40" t="s">
        <v>1751</v>
      </c>
      <c r="M40" s="161">
        <v>43228</v>
      </c>
      <c r="N40" t="s">
        <v>1752</v>
      </c>
      <c r="O40" t="s">
        <v>1753</v>
      </c>
      <c r="P40" t="s">
        <v>1713</v>
      </c>
      <c r="Q40" t="s">
        <v>1714</v>
      </c>
      <c r="R40" t="s">
        <v>1715</v>
      </c>
      <c r="T40" t="s">
        <v>1754</v>
      </c>
      <c r="U40">
        <f t="shared" si="7"/>
        <v>410.27</v>
      </c>
      <c r="V40">
        <f t="shared" si="8"/>
        <v>586.1</v>
      </c>
      <c r="W40">
        <f t="shared" si="9"/>
        <v>58.61</v>
      </c>
      <c r="X40">
        <v>14702.21</v>
      </c>
      <c r="Y40">
        <v>15094.63</v>
      </c>
    </row>
    <row r="41" spans="1:48">
      <c r="A41">
        <v>2017</v>
      </c>
      <c r="B41" t="s">
        <v>1750</v>
      </c>
      <c r="C41">
        <v>4</v>
      </c>
      <c r="D41">
        <v>4</v>
      </c>
      <c r="E41">
        <v>10</v>
      </c>
      <c r="F41">
        <v>41.2</v>
      </c>
      <c r="G41">
        <v>498.69</v>
      </c>
      <c r="H41" s="161">
        <v>43229</v>
      </c>
      <c r="I41" s="161">
        <v>43234</v>
      </c>
      <c r="J41" s="161">
        <v>43234</v>
      </c>
      <c r="K41" t="s">
        <v>1723</v>
      </c>
      <c r="L41" t="s">
        <v>1751</v>
      </c>
      <c r="M41" s="161">
        <v>43228</v>
      </c>
      <c r="N41" t="s">
        <v>1752</v>
      </c>
      <c r="O41" t="s">
        <v>1753</v>
      </c>
      <c r="P41" t="s">
        <v>1713</v>
      </c>
      <c r="Q41" t="s">
        <v>1714</v>
      </c>
      <c r="R41" t="s">
        <v>1715</v>
      </c>
      <c r="T41" t="s">
        <v>1754</v>
      </c>
      <c r="U41">
        <f t="shared" si="7"/>
        <v>457.49</v>
      </c>
      <c r="V41">
        <f t="shared" si="8"/>
        <v>653.55714285714282</v>
      </c>
      <c r="W41">
        <f t="shared" si="9"/>
        <v>65.355714285714285</v>
      </c>
      <c r="X41">
        <v>14888.98</v>
      </c>
      <c r="Y41">
        <v>15332.02</v>
      </c>
    </row>
    <row r="42" spans="1:48">
      <c r="A42">
        <v>2017</v>
      </c>
      <c r="B42" t="s">
        <v>1750</v>
      </c>
      <c r="C42">
        <v>5</v>
      </c>
      <c r="D42">
        <v>4</v>
      </c>
      <c r="E42">
        <v>10</v>
      </c>
      <c r="F42">
        <v>40.14</v>
      </c>
      <c r="G42">
        <v>404.28</v>
      </c>
      <c r="H42" s="161">
        <v>43234</v>
      </c>
      <c r="I42" s="161">
        <v>43236</v>
      </c>
      <c r="J42" s="161">
        <v>43236</v>
      </c>
      <c r="K42" t="s">
        <v>1755</v>
      </c>
      <c r="L42" t="s">
        <v>1756</v>
      </c>
      <c r="M42" s="161">
        <v>43228</v>
      </c>
      <c r="N42" t="s">
        <v>1752</v>
      </c>
      <c r="O42" t="s">
        <v>1753</v>
      </c>
      <c r="P42" t="s">
        <v>1713</v>
      </c>
      <c r="Q42" t="s">
        <v>1714</v>
      </c>
      <c r="R42" t="s">
        <v>1715</v>
      </c>
      <c r="T42" t="s">
        <v>1757</v>
      </c>
      <c r="U42">
        <f t="shared" si="7"/>
        <v>364.14</v>
      </c>
      <c r="V42">
        <f t="shared" si="8"/>
        <v>520.19999999999993</v>
      </c>
      <c r="W42">
        <f t="shared" si="9"/>
        <v>52.019999999999996</v>
      </c>
      <c r="X42">
        <v>14957.24</v>
      </c>
      <c r="Y42">
        <v>15306.31</v>
      </c>
    </row>
    <row r="43" spans="1:48">
      <c r="A43">
        <v>2017</v>
      </c>
      <c r="B43" t="s">
        <v>1750</v>
      </c>
      <c r="C43">
        <v>6</v>
      </c>
      <c r="D43">
        <v>4</v>
      </c>
      <c r="E43">
        <v>10</v>
      </c>
      <c r="F43">
        <v>39.36</v>
      </c>
      <c r="G43">
        <v>368.05</v>
      </c>
      <c r="H43" s="161">
        <v>43234</v>
      </c>
      <c r="I43" s="161">
        <v>43236</v>
      </c>
      <c r="J43" s="161">
        <v>43236</v>
      </c>
      <c r="K43" t="s">
        <v>1755</v>
      </c>
      <c r="L43" t="s">
        <v>1756</v>
      </c>
      <c r="M43" s="161">
        <v>43228</v>
      </c>
      <c r="N43" t="s">
        <v>1752</v>
      </c>
      <c r="O43" t="s">
        <v>1753</v>
      </c>
      <c r="P43" t="s">
        <v>1713</v>
      </c>
      <c r="Q43" t="s">
        <v>1714</v>
      </c>
      <c r="R43" t="s">
        <v>1715</v>
      </c>
      <c r="T43" t="s">
        <v>1757</v>
      </c>
      <c r="U43">
        <f t="shared" si="7"/>
        <v>328.69</v>
      </c>
      <c r="V43">
        <f t="shared" si="8"/>
        <v>469.55714285714288</v>
      </c>
      <c r="W43">
        <f t="shared" si="9"/>
        <v>46.955714285714286</v>
      </c>
      <c r="X43">
        <v>14958.78</v>
      </c>
      <c r="Y43">
        <v>15275.57</v>
      </c>
      <c r="AF43">
        <v>40.28</v>
      </c>
      <c r="AG43">
        <f>AF43-F43</f>
        <v>0.92000000000000171</v>
      </c>
      <c r="AH43">
        <f>(AG43/U43)*100</f>
        <v>0.27989899297210191</v>
      </c>
      <c r="AI43" s="161">
        <v>43238</v>
      </c>
      <c r="AJ43" t="s">
        <v>1758</v>
      </c>
      <c r="AK43" t="s">
        <v>1759</v>
      </c>
    </row>
    <row r="44" spans="1:48">
      <c r="A44">
        <v>2017</v>
      </c>
      <c r="B44" t="s">
        <v>1750</v>
      </c>
      <c r="C44">
        <v>7</v>
      </c>
      <c r="D44">
        <v>4</v>
      </c>
      <c r="E44">
        <v>10</v>
      </c>
      <c r="F44">
        <v>40.590000000000003</v>
      </c>
      <c r="G44">
        <v>328.23</v>
      </c>
      <c r="H44" s="161">
        <v>43234</v>
      </c>
      <c r="I44" s="161">
        <v>43236</v>
      </c>
      <c r="J44" s="161">
        <v>43236</v>
      </c>
      <c r="K44" t="s">
        <v>1755</v>
      </c>
      <c r="L44" t="s">
        <v>1756</v>
      </c>
      <c r="M44" s="161">
        <v>43228</v>
      </c>
      <c r="N44" t="s">
        <v>1752</v>
      </c>
      <c r="O44" t="s">
        <v>1753</v>
      </c>
      <c r="P44" t="s">
        <v>1713</v>
      </c>
      <c r="Q44" t="s">
        <v>1714</v>
      </c>
      <c r="R44" t="s">
        <v>1715</v>
      </c>
      <c r="T44" t="s">
        <v>1757</v>
      </c>
      <c r="U44">
        <f t="shared" si="7"/>
        <v>287.64</v>
      </c>
      <c r="V44">
        <f t="shared" si="8"/>
        <v>410.91428571428571</v>
      </c>
      <c r="W44">
        <f t="shared" si="9"/>
        <v>41.091428571428573</v>
      </c>
      <c r="X44">
        <v>14767.37</v>
      </c>
      <c r="Y44">
        <v>15041.98</v>
      </c>
      <c r="AF44">
        <v>41.7</v>
      </c>
      <c r="AG44">
        <f t="shared" ref="AG44:AG45" si="10">AF44-F44</f>
        <v>1.1099999999999994</v>
      </c>
      <c r="AH44">
        <f>(AG44/U44)*100</f>
        <v>0.38589904046725054</v>
      </c>
      <c r="AI44" s="161">
        <v>43238</v>
      </c>
      <c r="AJ44" t="s">
        <v>1758</v>
      </c>
      <c r="AK44" t="s">
        <v>1759</v>
      </c>
    </row>
    <row r="45" spans="1:48">
      <c r="A45">
        <v>2017</v>
      </c>
      <c r="B45" t="s">
        <v>1750</v>
      </c>
      <c r="C45">
        <v>8</v>
      </c>
      <c r="D45">
        <v>4</v>
      </c>
      <c r="E45">
        <v>10</v>
      </c>
      <c r="F45">
        <v>39.020000000000003</v>
      </c>
      <c r="G45">
        <v>310.44</v>
      </c>
      <c r="H45" s="161">
        <v>43234</v>
      </c>
      <c r="I45" s="161">
        <v>43236</v>
      </c>
      <c r="J45" s="161">
        <v>43236</v>
      </c>
      <c r="K45" t="s">
        <v>1755</v>
      </c>
      <c r="L45" t="s">
        <v>1756</v>
      </c>
      <c r="M45" s="161">
        <v>43228</v>
      </c>
      <c r="N45" t="s">
        <v>1752</v>
      </c>
      <c r="O45" t="s">
        <v>1753</v>
      </c>
      <c r="P45" t="s">
        <v>1713</v>
      </c>
      <c r="Q45" t="s">
        <v>1714</v>
      </c>
      <c r="R45" t="s">
        <v>1715</v>
      </c>
      <c r="T45" t="s">
        <v>1757</v>
      </c>
      <c r="U45">
        <f t="shared" si="7"/>
        <v>271.42</v>
      </c>
      <c r="V45">
        <f t="shared" si="8"/>
        <v>387.74285714285719</v>
      </c>
      <c r="W45">
        <f t="shared" si="9"/>
        <v>38.774285714285718</v>
      </c>
      <c r="X45">
        <v>14649.12</v>
      </c>
      <c r="Y45">
        <v>14907.5</v>
      </c>
      <c r="AF45">
        <v>40.340000000000003</v>
      </c>
      <c r="AG45">
        <f t="shared" si="10"/>
        <v>1.3200000000000003</v>
      </c>
      <c r="AH45">
        <f>(AG45/U45)*100</f>
        <v>0.48633114729938848</v>
      </c>
      <c r="AI45" s="161">
        <v>43238</v>
      </c>
      <c r="AJ45" t="s">
        <v>1758</v>
      </c>
      <c r="AK45" t="s">
        <v>1759</v>
      </c>
    </row>
    <row r="46" spans="1:48">
      <c r="A46">
        <v>2017</v>
      </c>
      <c r="B46" t="s">
        <v>1750</v>
      </c>
      <c r="C46">
        <v>9</v>
      </c>
      <c r="D46">
        <v>4</v>
      </c>
      <c r="E46">
        <v>10</v>
      </c>
      <c r="F46">
        <v>39.880000000000003</v>
      </c>
      <c r="G46">
        <v>244.25</v>
      </c>
      <c r="H46" s="161">
        <v>43234</v>
      </c>
      <c r="I46" s="161">
        <v>43236</v>
      </c>
      <c r="J46" s="161">
        <v>43236</v>
      </c>
      <c r="K46" t="s">
        <v>1755</v>
      </c>
      <c r="L46" t="s">
        <v>1756</v>
      </c>
      <c r="M46" s="161">
        <v>43228</v>
      </c>
      <c r="N46" t="s">
        <v>1752</v>
      </c>
      <c r="O46" t="s">
        <v>1753</v>
      </c>
      <c r="P46" t="s">
        <v>1713</v>
      </c>
      <c r="Q46" t="s">
        <v>1714</v>
      </c>
      <c r="R46" t="s">
        <v>1715</v>
      </c>
      <c r="T46" t="s">
        <v>1757</v>
      </c>
      <c r="U46">
        <f t="shared" si="7"/>
        <v>204.37</v>
      </c>
      <c r="V46">
        <f t="shared" si="8"/>
        <v>291.95714285714286</v>
      </c>
      <c r="W46">
        <f t="shared" si="9"/>
        <v>29.195714285714285</v>
      </c>
      <c r="X46">
        <v>14975.41</v>
      </c>
      <c r="Y46">
        <v>15167.17</v>
      </c>
    </row>
    <row r="47" spans="1:48">
      <c r="A47">
        <v>2017</v>
      </c>
      <c r="B47" t="s">
        <v>1750</v>
      </c>
      <c r="C47">
        <v>10</v>
      </c>
      <c r="D47">
        <v>4</v>
      </c>
      <c r="E47">
        <v>10</v>
      </c>
      <c r="F47">
        <v>39.81</v>
      </c>
      <c r="G47">
        <v>238.96</v>
      </c>
      <c r="H47" s="161">
        <v>43234</v>
      </c>
      <c r="I47" s="161">
        <v>43236</v>
      </c>
      <c r="J47" s="161">
        <v>43236</v>
      </c>
      <c r="K47" t="s">
        <v>1755</v>
      </c>
      <c r="L47" t="s">
        <v>1756</v>
      </c>
      <c r="M47" s="161">
        <v>43228</v>
      </c>
      <c r="N47" t="s">
        <v>1752</v>
      </c>
      <c r="O47" t="s">
        <v>1753</v>
      </c>
      <c r="P47" t="s">
        <v>1713</v>
      </c>
      <c r="Q47" t="s">
        <v>1714</v>
      </c>
      <c r="R47" t="s">
        <v>1715</v>
      </c>
      <c r="T47" t="s">
        <v>1757</v>
      </c>
      <c r="U47">
        <f t="shared" si="7"/>
        <v>199.15</v>
      </c>
      <c r="V47">
        <f t="shared" si="8"/>
        <v>284.5</v>
      </c>
      <c r="W47">
        <f t="shared" si="9"/>
        <v>28.45</v>
      </c>
      <c r="X47">
        <v>14803.1</v>
      </c>
      <c r="Y47">
        <v>14991.33</v>
      </c>
    </row>
    <row r="48" spans="1:48">
      <c r="A48">
        <v>2017</v>
      </c>
      <c r="B48" t="s">
        <v>1750</v>
      </c>
      <c r="C48">
        <v>11</v>
      </c>
      <c r="D48">
        <v>4</v>
      </c>
      <c r="E48">
        <v>10</v>
      </c>
      <c r="F48">
        <v>38.950000000000003</v>
      </c>
      <c r="G48">
        <v>384.89</v>
      </c>
      <c r="H48" s="161">
        <v>43234</v>
      </c>
      <c r="I48" s="161">
        <v>43236</v>
      </c>
      <c r="J48" s="161">
        <v>43236</v>
      </c>
      <c r="K48" t="s">
        <v>1755</v>
      </c>
      <c r="L48" t="s">
        <v>1756</v>
      </c>
      <c r="M48" s="161">
        <v>43228</v>
      </c>
      <c r="N48" t="s">
        <v>1752</v>
      </c>
      <c r="O48" t="s">
        <v>1753</v>
      </c>
      <c r="P48" t="s">
        <v>1713</v>
      </c>
      <c r="Q48" t="s">
        <v>1714</v>
      </c>
      <c r="R48" t="s">
        <v>1715</v>
      </c>
      <c r="T48" t="s">
        <v>1757</v>
      </c>
      <c r="U48">
        <f t="shared" si="7"/>
        <v>345.94</v>
      </c>
      <c r="V48">
        <f t="shared" si="8"/>
        <v>494.20000000000005</v>
      </c>
      <c r="W48">
        <f t="shared" si="9"/>
        <v>49.42</v>
      </c>
      <c r="X48">
        <v>14892.25</v>
      </c>
      <c r="Y48">
        <v>15228.49</v>
      </c>
    </row>
    <row r="49" spans="1:37">
      <c r="A49">
        <v>2017</v>
      </c>
      <c r="B49" t="s">
        <v>1750</v>
      </c>
      <c r="C49">
        <v>12</v>
      </c>
      <c r="D49">
        <v>4</v>
      </c>
      <c r="E49">
        <v>10</v>
      </c>
      <c r="F49">
        <v>13.99</v>
      </c>
      <c r="G49">
        <v>342.13</v>
      </c>
      <c r="H49" s="161">
        <v>43234</v>
      </c>
      <c r="I49" s="161">
        <v>43236</v>
      </c>
      <c r="J49" s="161">
        <v>43236</v>
      </c>
      <c r="K49" t="s">
        <v>1755</v>
      </c>
      <c r="L49" t="s">
        <v>1756</v>
      </c>
      <c r="M49" s="161">
        <v>43228</v>
      </c>
      <c r="N49" t="s">
        <v>1723</v>
      </c>
      <c r="O49" t="s">
        <v>1760</v>
      </c>
      <c r="P49" t="s">
        <v>1761</v>
      </c>
      <c r="Q49" t="s">
        <v>1762</v>
      </c>
      <c r="R49" t="s">
        <v>1715</v>
      </c>
      <c r="T49" t="s">
        <v>1757</v>
      </c>
      <c r="U49">
        <f t="shared" si="7"/>
        <v>328.14</v>
      </c>
      <c r="V49">
        <f t="shared" si="8"/>
        <v>468.7714285714286</v>
      </c>
      <c r="W49">
        <f t="shared" si="9"/>
        <v>46.877142857142857</v>
      </c>
      <c r="X49">
        <v>14901.93</v>
      </c>
      <c r="Y49">
        <v>15220.52</v>
      </c>
    </row>
    <row r="50" spans="1:37">
      <c r="A50">
        <v>2017</v>
      </c>
      <c r="B50" t="s">
        <v>1750</v>
      </c>
      <c r="C50">
        <v>13</v>
      </c>
      <c r="D50">
        <v>4</v>
      </c>
      <c r="E50">
        <v>10</v>
      </c>
      <c r="F50">
        <v>14.27</v>
      </c>
      <c r="G50">
        <v>235.99</v>
      </c>
      <c r="H50" s="161">
        <v>43237</v>
      </c>
      <c r="I50" s="161">
        <v>43241</v>
      </c>
      <c r="J50" s="161">
        <v>43241</v>
      </c>
      <c r="K50" t="s">
        <v>1711</v>
      </c>
      <c r="L50" t="s">
        <v>1763</v>
      </c>
      <c r="M50" s="161">
        <v>43228</v>
      </c>
      <c r="N50" t="s">
        <v>1723</v>
      </c>
      <c r="O50" t="s">
        <v>1760</v>
      </c>
      <c r="P50" t="s">
        <v>1761</v>
      </c>
      <c r="Q50" t="s">
        <v>1762</v>
      </c>
      <c r="R50" t="s">
        <v>1715</v>
      </c>
      <c r="T50" t="s">
        <v>1764</v>
      </c>
      <c r="U50">
        <f t="shared" si="7"/>
        <v>221.72</v>
      </c>
      <c r="V50">
        <f t="shared" si="8"/>
        <v>316.74285714285713</v>
      </c>
      <c r="W50">
        <f t="shared" si="9"/>
        <v>31.674285714285713</v>
      </c>
      <c r="X50">
        <v>14766.05</v>
      </c>
      <c r="Y50">
        <v>14975.14</v>
      </c>
    </row>
    <row r="51" spans="1:37">
      <c r="A51">
        <v>2017</v>
      </c>
      <c r="B51" t="s">
        <v>1750</v>
      </c>
      <c r="C51">
        <v>14</v>
      </c>
      <c r="D51">
        <v>4</v>
      </c>
      <c r="E51">
        <v>10</v>
      </c>
      <c r="F51">
        <v>14.41</v>
      </c>
      <c r="G51">
        <v>565.91999999999996</v>
      </c>
      <c r="H51" s="161">
        <v>43237</v>
      </c>
      <c r="I51" s="161">
        <v>43241</v>
      </c>
      <c r="J51" s="161">
        <v>43241</v>
      </c>
      <c r="K51" t="s">
        <v>1711</v>
      </c>
      <c r="L51" t="s">
        <v>1763</v>
      </c>
      <c r="M51" s="161">
        <v>43228</v>
      </c>
      <c r="N51" t="s">
        <v>1723</v>
      </c>
      <c r="O51" t="s">
        <v>1760</v>
      </c>
      <c r="P51" t="s">
        <v>1761</v>
      </c>
      <c r="Q51" t="s">
        <v>1762</v>
      </c>
      <c r="R51" t="s">
        <v>1715</v>
      </c>
      <c r="T51" t="s">
        <v>1764</v>
      </c>
      <c r="U51">
        <f t="shared" si="7"/>
        <v>551.51</v>
      </c>
      <c r="V51">
        <f t="shared" si="8"/>
        <v>787.87142857142851</v>
      </c>
      <c r="W51">
        <f t="shared" si="9"/>
        <v>78.787142857142854</v>
      </c>
      <c r="X51">
        <v>14967.48</v>
      </c>
      <c r="Y51">
        <v>15511.59</v>
      </c>
    </row>
    <row r="52" spans="1:37">
      <c r="A52">
        <v>2017</v>
      </c>
      <c r="B52" t="s">
        <v>1750</v>
      </c>
      <c r="C52" t="s">
        <v>1731</v>
      </c>
      <c r="D52">
        <v>4</v>
      </c>
      <c r="E52">
        <v>7</v>
      </c>
      <c r="F52">
        <v>14.63</v>
      </c>
      <c r="G52">
        <v>618.23</v>
      </c>
      <c r="H52" s="161">
        <v>43237</v>
      </c>
      <c r="I52" s="161">
        <v>43241</v>
      </c>
      <c r="J52" s="161">
        <v>43241</v>
      </c>
      <c r="K52" t="s">
        <v>1711</v>
      </c>
      <c r="L52" t="s">
        <v>1763</v>
      </c>
      <c r="M52" s="161">
        <v>43228</v>
      </c>
      <c r="N52" t="s">
        <v>1723</v>
      </c>
      <c r="O52" t="s">
        <v>1760</v>
      </c>
      <c r="P52" t="s">
        <v>1761</v>
      </c>
      <c r="Q52" t="s">
        <v>1762</v>
      </c>
      <c r="R52" t="s">
        <v>1715</v>
      </c>
      <c r="T52" t="s">
        <v>1764</v>
      </c>
      <c r="U52">
        <f t="shared" si="7"/>
        <v>603.6</v>
      </c>
      <c r="V52" s="744">
        <f>((U52+U53)/7)*10</f>
        <v>1495.7571428571428</v>
      </c>
      <c r="W52">
        <f>U52/4</f>
        <v>150.9</v>
      </c>
      <c r="X52">
        <v>14814.9</v>
      </c>
      <c r="Y52">
        <v>15844.77</v>
      </c>
      <c r="AF52">
        <v>16.2</v>
      </c>
      <c r="AG52">
        <f t="shared" ref="AG52" si="11">AF52-F52</f>
        <v>1.5699999999999985</v>
      </c>
      <c r="AH52">
        <f>(AG52/U52)*100</f>
        <v>0.26010603048376385</v>
      </c>
      <c r="AI52" s="161">
        <v>43242</v>
      </c>
      <c r="AJ52" t="s">
        <v>1765</v>
      </c>
      <c r="AK52" t="s">
        <v>1766</v>
      </c>
    </row>
    <row r="53" spans="1:37">
      <c r="A53">
        <v>2017</v>
      </c>
      <c r="B53" t="s">
        <v>1750</v>
      </c>
      <c r="C53" t="s">
        <v>1732</v>
      </c>
      <c r="D53">
        <v>8</v>
      </c>
      <c r="E53">
        <v>10</v>
      </c>
      <c r="F53">
        <v>14.54</v>
      </c>
      <c r="G53">
        <v>457.97</v>
      </c>
      <c r="H53" s="161">
        <v>43237</v>
      </c>
      <c r="I53" s="161">
        <v>43241</v>
      </c>
      <c r="J53" s="161">
        <v>43241</v>
      </c>
      <c r="K53" t="s">
        <v>1711</v>
      </c>
      <c r="L53" t="s">
        <v>1763</v>
      </c>
      <c r="M53" s="161">
        <v>43228</v>
      </c>
      <c r="N53" t="s">
        <v>1723</v>
      </c>
      <c r="O53" t="s">
        <v>1760</v>
      </c>
      <c r="P53" t="s">
        <v>1761</v>
      </c>
      <c r="Q53" t="s">
        <v>1762</v>
      </c>
      <c r="R53" t="s">
        <v>1715</v>
      </c>
      <c r="T53" t="s">
        <v>1764</v>
      </c>
      <c r="U53">
        <f t="shared" si="7"/>
        <v>443.43</v>
      </c>
      <c r="V53" s="744"/>
      <c r="W53">
        <f>U53/3</f>
        <v>147.81</v>
      </c>
    </row>
    <row r="54" spans="1:37">
      <c r="A54">
        <v>2017</v>
      </c>
      <c r="B54" t="s">
        <v>1750</v>
      </c>
      <c r="C54" t="s">
        <v>1733</v>
      </c>
      <c r="D54">
        <v>4</v>
      </c>
      <c r="E54">
        <v>5</v>
      </c>
      <c r="F54">
        <v>14.72</v>
      </c>
      <c r="G54">
        <v>405.86</v>
      </c>
      <c r="H54" s="161">
        <v>43237</v>
      </c>
      <c r="I54" s="161">
        <v>43241</v>
      </c>
      <c r="J54" s="161">
        <v>43241</v>
      </c>
      <c r="K54" t="s">
        <v>1711</v>
      </c>
      <c r="L54" t="s">
        <v>1763</v>
      </c>
      <c r="M54" s="161">
        <v>43228</v>
      </c>
      <c r="N54" t="s">
        <v>1723</v>
      </c>
      <c r="O54" t="s">
        <v>1760</v>
      </c>
      <c r="P54" t="s">
        <v>1761</v>
      </c>
      <c r="Q54" t="s">
        <v>1762</v>
      </c>
      <c r="R54" t="s">
        <v>1715</v>
      </c>
      <c r="T54" t="s">
        <v>1764</v>
      </c>
      <c r="U54">
        <f t="shared" si="7"/>
        <v>391.14</v>
      </c>
      <c r="V54" s="744">
        <f>((U54+U55+U56)/7)*10</f>
        <v>1953.4285714285713</v>
      </c>
      <c r="W54">
        <f>U54/2</f>
        <v>195.57</v>
      </c>
      <c r="X54">
        <v>15069.39</v>
      </c>
      <c r="Y54" s="608">
        <v>16427.03</v>
      </c>
      <c r="AF54">
        <v>16.190000000000001</v>
      </c>
      <c r="AG54">
        <f t="shared" ref="AG54" si="12">AF54-F54</f>
        <v>1.4700000000000006</v>
      </c>
      <c r="AH54">
        <f>(AG54/U54)*100</f>
        <v>0.37582451296211095</v>
      </c>
      <c r="AI54" s="161">
        <v>43242</v>
      </c>
      <c r="AJ54" t="s">
        <v>1765</v>
      </c>
      <c r="AK54" t="s">
        <v>1766</v>
      </c>
    </row>
    <row r="55" spans="1:37">
      <c r="A55">
        <v>2017</v>
      </c>
      <c r="B55" t="s">
        <v>1750</v>
      </c>
      <c r="C55" t="s">
        <v>1735</v>
      </c>
      <c r="D55">
        <v>6</v>
      </c>
      <c r="E55">
        <v>7</v>
      </c>
      <c r="F55">
        <v>14.73</v>
      </c>
      <c r="G55">
        <v>402.41</v>
      </c>
      <c r="H55" s="161">
        <v>43237</v>
      </c>
      <c r="I55" s="161">
        <v>43241</v>
      </c>
      <c r="J55" s="161">
        <v>43241</v>
      </c>
      <c r="K55" t="s">
        <v>1711</v>
      </c>
      <c r="L55" t="s">
        <v>1763</v>
      </c>
      <c r="M55" s="161">
        <v>43228</v>
      </c>
      <c r="N55" t="s">
        <v>1723</v>
      </c>
      <c r="O55" t="s">
        <v>1760</v>
      </c>
      <c r="P55" t="s">
        <v>1761</v>
      </c>
      <c r="Q55" t="s">
        <v>1762</v>
      </c>
      <c r="R55" t="s">
        <v>1715</v>
      </c>
      <c r="T55" t="s">
        <v>1764</v>
      </c>
      <c r="U55">
        <f t="shared" si="7"/>
        <v>387.68</v>
      </c>
      <c r="V55" s="744"/>
      <c r="W55">
        <f>U55/2</f>
        <v>193.84</v>
      </c>
      <c r="Y55" s="608"/>
    </row>
    <row r="56" spans="1:37">
      <c r="A56">
        <v>2017</v>
      </c>
      <c r="B56" t="s">
        <v>1750</v>
      </c>
      <c r="C56" t="s">
        <v>1767</v>
      </c>
      <c r="D56">
        <v>8</v>
      </c>
      <c r="E56">
        <v>10</v>
      </c>
      <c r="F56">
        <v>14.35</v>
      </c>
      <c r="G56">
        <v>602.92999999999995</v>
      </c>
      <c r="H56" s="161">
        <v>43237</v>
      </c>
      <c r="I56" s="161">
        <v>43241</v>
      </c>
      <c r="J56" s="161">
        <v>43241</v>
      </c>
      <c r="K56" t="s">
        <v>1711</v>
      </c>
      <c r="L56" t="s">
        <v>1763</v>
      </c>
      <c r="M56" s="161">
        <v>43228</v>
      </c>
      <c r="N56" t="s">
        <v>1723</v>
      </c>
      <c r="O56" t="s">
        <v>1760</v>
      </c>
      <c r="P56" t="s">
        <v>1761</v>
      </c>
      <c r="Q56" t="s">
        <v>1762</v>
      </c>
      <c r="R56" t="s">
        <v>1715</v>
      </c>
      <c r="T56" t="s">
        <v>1764</v>
      </c>
      <c r="U56">
        <f t="shared" si="7"/>
        <v>588.57999999999993</v>
      </c>
      <c r="V56" s="744"/>
      <c r="W56">
        <f>U56/3</f>
        <v>196.1933333333333</v>
      </c>
      <c r="AF56">
        <v>15.91</v>
      </c>
      <c r="AG56">
        <f t="shared" ref="AG56" si="13">AF56-F56</f>
        <v>1.5600000000000005</v>
      </c>
      <c r="AH56">
        <f>(AG56/U56)*100</f>
        <v>0.26504468381528434</v>
      </c>
      <c r="AI56" s="161">
        <v>43242</v>
      </c>
      <c r="AJ56" t="s">
        <v>1765</v>
      </c>
      <c r="AK56" t="s">
        <v>1766</v>
      </c>
    </row>
    <row r="57" spans="1:37">
      <c r="A57">
        <v>2017</v>
      </c>
      <c r="B57" t="s">
        <v>1750</v>
      </c>
      <c r="C57" t="s">
        <v>1736</v>
      </c>
      <c r="D57">
        <v>4</v>
      </c>
      <c r="E57">
        <v>6</v>
      </c>
      <c r="F57">
        <v>14.36</v>
      </c>
      <c r="G57">
        <v>321.04000000000002</v>
      </c>
      <c r="H57" s="161">
        <v>43238</v>
      </c>
      <c r="I57" s="161">
        <v>43241</v>
      </c>
      <c r="J57" s="161">
        <v>43241</v>
      </c>
      <c r="K57" t="s">
        <v>1711</v>
      </c>
      <c r="L57" t="s">
        <v>1763</v>
      </c>
      <c r="M57" s="161">
        <v>43228</v>
      </c>
      <c r="N57" t="s">
        <v>1723</v>
      </c>
      <c r="O57" t="s">
        <v>1760</v>
      </c>
      <c r="P57" t="s">
        <v>1761</v>
      </c>
      <c r="Q57" t="s">
        <v>1762</v>
      </c>
      <c r="R57" t="s">
        <v>1715</v>
      </c>
      <c r="T57" t="s">
        <v>1768</v>
      </c>
      <c r="U57">
        <f t="shared" si="7"/>
        <v>306.68</v>
      </c>
      <c r="V57" s="744">
        <f>((U57+U58+U59)/7)*10</f>
        <v>1052.0000000000002</v>
      </c>
      <c r="W57">
        <f>U57/3</f>
        <v>102.22666666666667</v>
      </c>
      <c r="X57">
        <v>14943</v>
      </c>
      <c r="Y57" s="608">
        <v>15672.42</v>
      </c>
    </row>
    <row r="58" spans="1:37">
      <c r="A58">
        <v>2017</v>
      </c>
      <c r="B58" t="s">
        <v>1750</v>
      </c>
      <c r="C58" t="s">
        <v>1740</v>
      </c>
      <c r="D58">
        <v>7</v>
      </c>
      <c r="E58">
        <v>8</v>
      </c>
      <c r="F58">
        <v>14.42</v>
      </c>
      <c r="G58">
        <v>228.91</v>
      </c>
      <c r="H58" s="161">
        <v>43238</v>
      </c>
      <c r="I58" s="161">
        <v>43241</v>
      </c>
      <c r="J58" s="161">
        <v>43241</v>
      </c>
      <c r="K58" t="s">
        <v>1711</v>
      </c>
      <c r="L58" t="s">
        <v>1763</v>
      </c>
      <c r="M58" s="161">
        <v>43228</v>
      </c>
      <c r="N58" t="s">
        <v>1723</v>
      </c>
      <c r="O58" t="s">
        <v>1760</v>
      </c>
      <c r="P58" t="s">
        <v>1761</v>
      </c>
      <c r="Q58" t="s">
        <v>1762</v>
      </c>
      <c r="R58" t="s">
        <v>1715</v>
      </c>
      <c r="T58" t="s">
        <v>1768</v>
      </c>
      <c r="U58">
        <f t="shared" si="7"/>
        <v>214.49</v>
      </c>
      <c r="V58" s="744"/>
      <c r="W58">
        <f>U58/2</f>
        <v>107.245</v>
      </c>
    </row>
    <row r="59" spans="1:37">
      <c r="A59">
        <v>2017</v>
      </c>
      <c r="B59" t="s">
        <v>1750</v>
      </c>
      <c r="C59" t="s">
        <v>1769</v>
      </c>
      <c r="D59">
        <v>9</v>
      </c>
      <c r="E59">
        <v>10</v>
      </c>
      <c r="F59">
        <v>14.57</v>
      </c>
      <c r="G59">
        <v>229.8</v>
      </c>
      <c r="H59" s="161">
        <v>43238</v>
      </c>
      <c r="I59" s="161">
        <v>43241</v>
      </c>
      <c r="J59" s="161">
        <v>43241</v>
      </c>
      <c r="K59" t="s">
        <v>1711</v>
      </c>
      <c r="L59" t="s">
        <v>1763</v>
      </c>
      <c r="M59" s="161">
        <v>43228</v>
      </c>
      <c r="N59" t="s">
        <v>1723</v>
      </c>
      <c r="O59" t="s">
        <v>1760</v>
      </c>
      <c r="P59" t="s">
        <v>1761</v>
      </c>
      <c r="Q59" t="s">
        <v>1762</v>
      </c>
      <c r="R59" t="s">
        <v>1715</v>
      </c>
      <c r="T59" t="s">
        <v>1768</v>
      </c>
      <c r="U59">
        <f t="shared" si="7"/>
        <v>215.23000000000002</v>
      </c>
      <c r="V59" s="744"/>
      <c r="W59">
        <f>U59/2</f>
        <v>107.61500000000001</v>
      </c>
    </row>
    <row r="60" spans="1:37" ht="19.5" customHeight="1">
      <c r="A60">
        <v>2017</v>
      </c>
      <c r="B60" t="s">
        <v>1750</v>
      </c>
      <c r="C60" t="s">
        <v>1741</v>
      </c>
      <c r="D60">
        <v>4</v>
      </c>
      <c r="E60">
        <v>5</v>
      </c>
      <c r="F60">
        <v>14.56</v>
      </c>
      <c r="G60">
        <v>259.04000000000002</v>
      </c>
      <c r="H60" s="161">
        <v>43238</v>
      </c>
      <c r="I60" s="161">
        <v>43241</v>
      </c>
      <c r="J60" s="161">
        <v>43241</v>
      </c>
      <c r="K60" t="s">
        <v>1711</v>
      </c>
      <c r="L60" t="s">
        <v>1763</v>
      </c>
      <c r="M60" s="161">
        <v>43228</v>
      </c>
      <c r="N60" t="s">
        <v>1723</v>
      </c>
      <c r="O60" t="s">
        <v>1760</v>
      </c>
      <c r="P60" t="s">
        <v>1761</v>
      </c>
      <c r="Q60" t="s">
        <v>1762</v>
      </c>
      <c r="R60" t="s">
        <v>1715</v>
      </c>
      <c r="S60" s="745" t="s">
        <v>1770</v>
      </c>
      <c r="T60" s="211" t="s">
        <v>1768</v>
      </c>
      <c r="U60">
        <f t="shared" si="7"/>
        <v>244.48000000000002</v>
      </c>
      <c r="V60" s="746">
        <f>((U61+U62)/5)*10</f>
        <v>1195.3</v>
      </c>
      <c r="W60" s="211">
        <f>U60/2</f>
        <v>122.24000000000001</v>
      </c>
      <c r="X60" s="211">
        <v>14971.98</v>
      </c>
      <c r="Y60">
        <v>15795.22</v>
      </c>
    </row>
    <row r="61" spans="1:37" ht="15.75" customHeight="1">
      <c r="A61">
        <v>2017</v>
      </c>
      <c r="B61" t="s">
        <v>1750</v>
      </c>
      <c r="C61" t="s">
        <v>1742</v>
      </c>
      <c r="D61">
        <v>6</v>
      </c>
      <c r="E61">
        <v>8</v>
      </c>
      <c r="F61">
        <v>14.38</v>
      </c>
      <c r="G61">
        <v>365.89</v>
      </c>
      <c r="H61" s="161">
        <v>43238</v>
      </c>
      <c r="I61" s="161">
        <v>43241</v>
      </c>
      <c r="J61" s="161">
        <v>43241</v>
      </c>
      <c r="K61" t="s">
        <v>1711</v>
      </c>
      <c r="L61" t="s">
        <v>1763</v>
      </c>
      <c r="M61" s="161">
        <v>43228</v>
      </c>
      <c r="N61" t="s">
        <v>1723</v>
      </c>
      <c r="O61" t="s">
        <v>1760</v>
      </c>
      <c r="P61" t="s">
        <v>1761</v>
      </c>
      <c r="Q61" t="s">
        <v>1762</v>
      </c>
      <c r="R61" t="s">
        <v>1715</v>
      </c>
      <c r="S61" s="745"/>
      <c r="T61" s="211" t="s">
        <v>1768</v>
      </c>
      <c r="U61">
        <f t="shared" si="7"/>
        <v>351.51</v>
      </c>
      <c r="V61" s="746"/>
      <c r="W61" s="211">
        <f>U61/3</f>
        <v>117.17</v>
      </c>
      <c r="X61" s="211"/>
    </row>
    <row r="62" spans="1:37">
      <c r="A62">
        <v>2017</v>
      </c>
      <c r="B62" t="s">
        <v>1750</v>
      </c>
      <c r="C62" t="s">
        <v>1771</v>
      </c>
      <c r="D62">
        <v>9</v>
      </c>
      <c r="E62">
        <v>10</v>
      </c>
      <c r="F62">
        <v>14.09</v>
      </c>
      <c r="G62">
        <v>260.23</v>
      </c>
      <c r="H62" s="161">
        <v>43238</v>
      </c>
      <c r="I62" s="161">
        <v>43241</v>
      </c>
      <c r="J62" s="161">
        <v>43241</v>
      </c>
      <c r="K62" t="s">
        <v>1711</v>
      </c>
      <c r="L62" t="s">
        <v>1763</v>
      </c>
      <c r="M62" s="161">
        <v>43228</v>
      </c>
      <c r="N62" t="s">
        <v>1723</v>
      </c>
      <c r="O62" t="s">
        <v>1760</v>
      </c>
      <c r="P62" t="s">
        <v>1761</v>
      </c>
      <c r="Q62" t="s">
        <v>1762</v>
      </c>
      <c r="R62" t="s">
        <v>1715</v>
      </c>
      <c r="S62" s="745"/>
      <c r="T62" s="211" t="s">
        <v>1768</v>
      </c>
      <c r="U62">
        <f t="shared" si="7"/>
        <v>246.14000000000001</v>
      </c>
      <c r="V62" s="746"/>
      <c r="W62" s="211">
        <f>U62/2</f>
        <v>123.07000000000001</v>
      </c>
      <c r="X62" s="211"/>
    </row>
    <row r="63" spans="1:37">
      <c r="A63">
        <v>2017</v>
      </c>
      <c r="B63" t="s">
        <v>1750</v>
      </c>
      <c r="C63" t="s">
        <v>1743</v>
      </c>
      <c r="D63">
        <v>4</v>
      </c>
      <c r="E63">
        <v>6</v>
      </c>
      <c r="F63">
        <v>14.6</v>
      </c>
      <c r="G63">
        <v>368.85</v>
      </c>
      <c r="H63" s="161">
        <v>43238</v>
      </c>
      <c r="I63" s="161">
        <v>43241</v>
      </c>
      <c r="J63" s="161">
        <v>43241</v>
      </c>
      <c r="K63" t="s">
        <v>1711</v>
      </c>
      <c r="L63" t="s">
        <v>1763</v>
      </c>
      <c r="M63" s="161">
        <v>43228</v>
      </c>
      <c r="N63" t="s">
        <v>1723</v>
      </c>
      <c r="O63" t="s">
        <v>1760</v>
      </c>
      <c r="P63" t="s">
        <v>1761</v>
      </c>
      <c r="Q63" t="s">
        <v>1762</v>
      </c>
      <c r="R63" t="s">
        <v>1715</v>
      </c>
      <c r="T63" t="s">
        <v>1768</v>
      </c>
      <c r="U63">
        <f t="shared" si="7"/>
        <v>354.25</v>
      </c>
      <c r="V63" s="743">
        <f>((U63+U64+U65)/7)*10</f>
        <v>1184.8</v>
      </c>
      <c r="W63">
        <f>U63/3</f>
        <v>118.08333333333333</v>
      </c>
      <c r="X63">
        <v>15001.97</v>
      </c>
      <c r="Y63">
        <v>15817.34</v>
      </c>
    </row>
    <row r="64" spans="1:37">
      <c r="A64">
        <v>2017</v>
      </c>
      <c r="B64" t="s">
        <v>1750</v>
      </c>
      <c r="C64" t="s">
        <v>1744</v>
      </c>
      <c r="D64">
        <v>7</v>
      </c>
      <c r="E64">
        <v>8</v>
      </c>
      <c r="F64">
        <v>14.29</v>
      </c>
      <c r="G64">
        <v>250.63</v>
      </c>
      <c r="H64" s="161">
        <v>43238</v>
      </c>
      <c r="I64" s="161">
        <v>43241</v>
      </c>
      <c r="J64" s="161">
        <v>43241</v>
      </c>
      <c r="K64" t="s">
        <v>1711</v>
      </c>
      <c r="L64" t="s">
        <v>1763</v>
      </c>
      <c r="M64" s="161">
        <v>43228</v>
      </c>
      <c r="N64" t="s">
        <v>1723</v>
      </c>
      <c r="O64" t="s">
        <v>1760</v>
      </c>
      <c r="P64" t="s">
        <v>1761</v>
      </c>
      <c r="Q64" t="s">
        <v>1762</v>
      </c>
      <c r="R64" t="s">
        <v>1715</v>
      </c>
      <c r="T64" t="s">
        <v>1768</v>
      </c>
      <c r="U64">
        <f t="shared" si="7"/>
        <v>236.34</v>
      </c>
      <c r="V64" s="743"/>
      <c r="W64">
        <f>U64/2</f>
        <v>118.17</v>
      </c>
    </row>
    <row r="65" spans="1:48">
      <c r="A65">
        <v>2017</v>
      </c>
      <c r="B65" t="s">
        <v>1750</v>
      </c>
      <c r="C65" t="s">
        <v>1772</v>
      </c>
      <c r="D65">
        <v>9</v>
      </c>
      <c r="E65">
        <v>10</v>
      </c>
      <c r="F65">
        <v>14.74</v>
      </c>
      <c r="G65">
        <v>253.51</v>
      </c>
      <c r="H65" s="161">
        <v>43238</v>
      </c>
      <c r="I65" s="161">
        <v>43241</v>
      </c>
      <c r="J65" s="161">
        <v>43241</v>
      </c>
      <c r="K65" t="s">
        <v>1711</v>
      </c>
      <c r="L65" t="s">
        <v>1763</v>
      </c>
      <c r="M65" s="161">
        <v>43238</v>
      </c>
      <c r="N65" t="s">
        <v>1773</v>
      </c>
      <c r="O65" t="s">
        <v>1774</v>
      </c>
      <c r="P65" t="s">
        <v>1761</v>
      </c>
      <c r="Q65" t="s">
        <v>1762</v>
      </c>
      <c r="R65" t="s">
        <v>1715</v>
      </c>
      <c r="T65" t="s">
        <v>1768</v>
      </c>
      <c r="U65">
        <f t="shared" si="7"/>
        <v>238.76999999999998</v>
      </c>
      <c r="V65" s="743"/>
      <c r="W65">
        <f>U65/2</f>
        <v>119.38499999999999</v>
      </c>
    </row>
    <row r="66" spans="1:48">
      <c r="A66">
        <v>2017</v>
      </c>
      <c r="B66" t="s">
        <v>1750</v>
      </c>
      <c r="C66" t="s">
        <v>1747</v>
      </c>
      <c r="D66">
        <v>4</v>
      </c>
      <c r="E66">
        <v>6</v>
      </c>
      <c r="F66">
        <v>14.51</v>
      </c>
      <c r="G66">
        <v>352.38</v>
      </c>
      <c r="H66" s="161">
        <v>43238</v>
      </c>
      <c r="I66" s="161">
        <v>43241</v>
      </c>
      <c r="J66" s="161">
        <v>43241</v>
      </c>
      <c r="K66" t="s">
        <v>1711</v>
      </c>
      <c r="L66" t="s">
        <v>1763</v>
      </c>
      <c r="M66" s="161">
        <v>43228</v>
      </c>
      <c r="N66" t="s">
        <v>1723</v>
      </c>
      <c r="O66" t="s">
        <v>1760</v>
      </c>
      <c r="P66" t="s">
        <v>1761</v>
      </c>
      <c r="Q66" t="s">
        <v>1762</v>
      </c>
      <c r="R66" t="s">
        <v>1715</v>
      </c>
      <c r="T66" t="s">
        <v>1768</v>
      </c>
      <c r="U66">
        <f t="shared" si="7"/>
        <v>337.87</v>
      </c>
      <c r="V66" s="744">
        <f>((U66+U67+U68)/7)*10</f>
        <v>1109.3857142857144</v>
      </c>
      <c r="W66">
        <f>U66/3</f>
        <v>112.62333333333333</v>
      </c>
      <c r="X66" s="170">
        <v>14734.16</v>
      </c>
      <c r="Y66">
        <v>15497.67</v>
      </c>
    </row>
    <row r="67" spans="1:48">
      <c r="A67">
        <v>2017</v>
      </c>
      <c r="B67" t="s">
        <v>1750</v>
      </c>
      <c r="C67" t="s">
        <v>1748</v>
      </c>
      <c r="D67">
        <v>7</v>
      </c>
      <c r="E67">
        <v>8</v>
      </c>
      <c r="F67">
        <v>14.53</v>
      </c>
      <c r="G67">
        <v>234.4</v>
      </c>
      <c r="H67" s="161">
        <v>43238</v>
      </c>
      <c r="I67" s="161">
        <v>43241</v>
      </c>
      <c r="J67" s="161">
        <v>43241</v>
      </c>
      <c r="K67" t="s">
        <v>1711</v>
      </c>
      <c r="L67" t="s">
        <v>1763</v>
      </c>
      <c r="M67" s="161">
        <v>43238</v>
      </c>
      <c r="N67" t="s">
        <v>1773</v>
      </c>
      <c r="O67" t="s">
        <v>1774</v>
      </c>
      <c r="P67" t="s">
        <v>1761</v>
      </c>
      <c r="Q67" t="s">
        <v>1762</v>
      </c>
      <c r="R67" t="s">
        <v>1715</v>
      </c>
      <c r="T67" t="s">
        <v>1768</v>
      </c>
      <c r="U67">
        <f t="shared" si="7"/>
        <v>219.87</v>
      </c>
      <c r="V67" s="744"/>
      <c r="W67">
        <f>U67/2</f>
        <v>109.935</v>
      </c>
    </row>
    <row r="68" spans="1:48">
      <c r="A68">
        <v>2017</v>
      </c>
      <c r="B68" t="s">
        <v>1750</v>
      </c>
      <c r="C68" t="s">
        <v>1775</v>
      </c>
      <c r="D68">
        <v>9</v>
      </c>
      <c r="E68">
        <v>10</v>
      </c>
      <c r="F68">
        <v>14.92</v>
      </c>
      <c r="G68">
        <v>233.75</v>
      </c>
      <c r="H68" s="161">
        <v>43238</v>
      </c>
      <c r="I68" s="161">
        <v>43241</v>
      </c>
      <c r="J68" s="161">
        <v>43241</v>
      </c>
      <c r="K68" t="s">
        <v>1711</v>
      </c>
      <c r="L68" t="s">
        <v>1763</v>
      </c>
      <c r="M68" s="161">
        <v>43238</v>
      </c>
      <c r="N68" t="s">
        <v>1773</v>
      </c>
      <c r="O68" t="s">
        <v>1774</v>
      </c>
      <c r="P68" t="s">
        <v>1761</v>
      </c>
      <c r="Q68" t="s">
        <v>1762</v>
      </c>
      <c r="R68" t="s">
        <v>1715</v>
      </c>
      <c r="T68" t="s">
        <v>1768</v>
      </c>
      <c r="U68">
        <f t="shared" si="7"/>
        <v>218.83</v>
      </c>
      <c r="V68" s="744"/>
      <c r="W68">
        <f>U68/2</f>
        <v>109.41500000000001</v>
      </c>
    </row>
    <row r="69" spans="1:48">
      <c r="A69">
        <v>2017</v>
      </c>
      <c r="B69" t="s">
        <v>1750</v>
      </c>
      <c r="C69">
        <v>21</v>
      </c>
      <c r="D69">
        <v>4</v>
      </c>
      <c r="E69">
        <v>10</v>
      </c>
      <c r="F69">
        <v>14.44</v>
      </c>
      <c r="G69">
        <v>133.13</v>
      </c>
      <c r="H69" s="161">
        <v>43238</v>
      </c>
      <c r="I69" s="161">
        <v>43241</v>
      </c>
      <c r="J69" s="161">
        <v>43241</v>
      </c>
      <c r="K69" t="s">
        <v>1711</v>
      </c>
      <c r="L69" t="s">
        <v>1763</v>
      </c>
      <c r="M69" s="161">
        <v>43228</v>
      </c>
      <c r="N69" t="s">
        <v>1723</v>
      </c>
      <c r="O69" t="s">
        <v>1760</v>
      </c>
      <c r="P69" t="s">
        <v>1761</v>
      </c>
      <c r="Q69" t="s">
        <v>1762</v>
      </c>
      <c r="R69" t="s">
        <v>1715</v>
      </c>
      <c r="T69" t="s">
        <v>1768</v>
      </c>
      <c r="U69">
        <f t="shared" si="7"/>
        <v>118.69</v>
      </c>
      <c r="V69">
        <f>(U69/7)*10</f>
        <v>169.55714285714288</v>
      </c>
      <c r="W69">
        <f>U69/7</f>
        <v>16.955714285714286</v>
      </c>
      <c r="X69">
        <v>14971.91</v>
      </c>
      <c r="Y69">
        <v>15076.44</v>
      </c>
    </row>
    <row r="71" spans="1:48" s="202" customFormat="1">
      <c r="A71" s="199" t="s">
        <v>1706</v>
      </c>
      <c r="B71" s="199" t="str">
        <f>main!B54</f>
        <v>McLane-PARFLUX-Mark78H-21 ; 10705, A250x21</v>
      </c>
      <c r="C71" s="201"/>
      <c r="E71" s="203"/>
      <c r="F71" s="203"/>
      <c r="G71" s="203"/>
      <c r="H71" s="204"/>
      <c r="I71" s="204"/>
      <c r="J71" s="204"/>
      <c r="K71" s="204"/>
      <c r="L71" s="204"/>
      <c r="M71" s="204"/>
      <c r="N71" s="205"/>
      <c r="O71" s="206"/>
      <c r="P71" s="207"/>
      <c r="Q71" s="207"/>
      <c r="R71" s="207"/>
      <c r="S71" s="207"/>
      <c r="T71" s="207"/>
      <c r="U71" s="203"/>
      <c r="V71" s="203"/>
      <c r="W71" s="203"/>
      <c r="X71" s="203"/>
      <c r="Y71" s="203"/>
      <c r="Z71" s="207"/>
      <c r="AA71" s="207"/>
      <c r="AB71" s="207"/>
      <c r="AC71" s="207"/>
      <c r="AD71" s="207"/>
      <c r="AE71" s="207"/>
      <c r="AF71" s="208"/>
      <c r="AG71" s="208"/>
      <c r="AH71" s="208"/>
      <c r="AI71" s="207"/>
      <c r="AJ71" s="207"/>
      <c r="AK71" s="209"/>
      <c r="AL71" s="209"/>
      <c r="AM71" s="209"/>
      <c r="AN71" s="209"/>
      <c r="AO71" s="209"/>
      <c r="AP71" s="209"/>
      <c r="AQ71" s="209"/>
      <c r="AR71" s="209"/>
      <c r="AS71" s="209"/>
      <c r="AT71" s="209"/>
      <c r="AU71" s="209"/>
      <c r="AV71" s="209"/>
    </row>
    <row r="72" spans="1:48">
      <c r="A72">
        <v>2017</v>
      </c>
      <c r="B72" t="s">
        <v>1776</v>
      </c>
      <c r="C72">
        <v>1</v>
      </c>
      <c r="D72">
        <v>4</v>
      </c>
      <c r="E72">
        <v>10</v>
      </c>
      <c r="F72">
        <v>14.64</v>
      </c>
      <c r="G72">
        <v>279.26</v>
      </c>
      <c r="H72" s="161">
        <v>43241</v>
      </c>
      <c r="I72" s="161">
        <v>43243</v>
      </c>
      <c r="J72" s="161">
        <v>43243</v>
      </c>
      <c r="K72" t="s">
        <v>1709</v>
      </c>
      <c r="L72" t="s">
        <v>1777</v>
      </c>
      <c r="M72" s="161">
        <v>43241</v>
      </c>
      <c r="N72" t="s">
        <v>1737</v>
      </c>
      <c r="O72" t="s">
        <v>1778</v>
      </c>
      <c r="P72" t="s">
        <v>1761</v>
      </c>
      <c r="Q72" t="s">
        <v>1762</v>
      </c>
      <c r="R72" t="s">
        <v>1715</v>
      </c>
      <c r="T72" t="s">
        <v>1779</v>
      </c>
      <c r="U72">
        <f t="shared" ref="U72:U74" si="14">G72-F72</f>
        <v>264.62</v>
      </c>
      <c r="V72">
        <f>(U72/7)*10</f>
        <v>378.02857142857141</v>
      </c>
      <c r="W72">
        <f>U72/7</f>
        <v>37.802857142857142</v>
      </c>
      <c r="X72">
        <v>14875.5</v>
      </c>
      <c r="Y72">
        <v>15119.68</v>
      </c>
    </row>
    <row r="73" spans="1:48">
      <c r="A73">
        <v>2017</v>
      </c>
      <c r="B73" t="s">
        <v>1776</v>
      </c>
      <c r="C73" t="s">
        <v>1780</v>
      </c>
      <c r="D73">
        <v>4</v>
      </c>
      <c r="E73">
        <v>10</v>
      </c>
      <c r="F73">
        <v>14.71</v>
      </c>
      <c r="G73">
        <v>317.42</v>
      </c>
      <c r="H73" s="161">
        <v>43241</v>
      </c>
      <c r="I73" s="161">
        <v>43243</v>
      </c>
      <c r="J73" s="161">
        <v>43243</v>
      </c>
      <c r="K73" t="s">
        <v>1709</v>
      </c>
      <c r="L73" t="s">
        <v>1777</v>
      </c>
      <c r="M73" s="161">
        <v>43241</v>
      </c>
      <c r="N73" t="s">
        <v>1737</v>
      </c>
      <c r="O73" t="s">
        <v>1778</v>
      </c>
      <c r="P73" t="s">
        <v>1761</v>
      </c>
      <c r="Q73" t="s">
        <v>1762</v>
      </c>
      <c r="R73" t="s">
        <v>1715</v>
      </c>
      <c r="S73" s="745" t="s">
        <v>1781</v>
      </c>
      <c r="T73" s="211" t="s">
        <v>1779</v>
      </c>
      <c r="U73" s="211">
        <f t="shared" si="14"/>
        <v>302.71000000000004</v>
      </c>
      <c r="V73" s="211">
        <f>((U73+U74)/7)*10</f>
        <v>436.18571428571437</v>
      </c>
      <c r="W73" s="211">
        <f>U73/7</f>
        <v>43.244285714285716</v>
      </c>
      <c r="X73">
        <v>14933.6</v>
      </c>
      <c r="Y73">
        <v>15225.35</v>
      </c>
    </row>
    <row r="74" spans="1:48">
      <c r="A74">
        <v>2017</v>
      </c>
      <c r="B74" t="s">
        <v>1776</v>
      </c>
      <c r="C74" t="s">
        <v>1782</v>
      </c>
      <c r="D74" t="s">
        <v>1783</v>
      </c>
      <c r="F74">
        <v>14.52</v>
      </c>
      <c r="G74">
        <v>17.14</v>
      </c>
      <c r="H74" s="161">
        <v>43241</v>
      </c>
      <c r="I74" s="161">
        <v>43243</v>
      </c>
      <c r="J74" s="161">
        <v>43243</v>
      </c>
      <c r="K74" t="s">
        <v>1709</v>
      </c>
      <c r="L74" t="s">
        <v>1777</v>
      </c>
      <c r="M74" s="161">
        <v>43241</v>
      </c>
      <c r="N74" t="s">
        <v>1737</v>
      </c>
      <c r="O74" t="s">
        <v>1778</v>
      </c>
      <c r="P74" t="s">
        <v>1761</v>
      </c>
      <c r="Q74" t="s">
        <v>1762</v>
      </c>
      <c r="R74" t="s">
        <v>1715</v>
      </c>
      <c r="S74" s="745"/>
      <c r="T74" s="211"/>
      <c r="U74" s="211">
        <f t="shared" si="14"/>
        <v>2.620000000000001</v>
      </c>
      <c r="V74" s="211"/>
      <c r="W74" s="211"/>
    </row>
    <row r="75" spans="1:48">
      <c r="A75">
        <v>2017</v>
      </c>
      <c r="B75" t="s">
        <v>1776</v>
      </c>
      <c r="C75">
        <v>3</v>
      </c>
      <c r="D75">
        <v>4</v>
      </c>
      <c r="E75">
        <v>10</v>
      </c>
      <c r="F75">
        <v>14.66</v>
      </c>
      <c r="G75">
        <v>367.1</v>
      </c>
      <c r="H75" s="161">
        <v>43241</v>
      </c>
      <c r="I75" s="161">
        <v>43243</v>
      </c>
      <c r="J75" s="161">
        <v>43243</v>
      </c>
      <c r="K75" t="s">
        <v>1709</v>
      </c>
      <c r="L75" t="s">
        <v>1777</v>
      </c>
      <c r="M75" s="161">
        <v>43241</v>
      </c>
      <c r="N75" t="s">
        <v>1737</v>
      </c>
      <c r="O75" t="s">
        <v>1778</v>
      </c>
      <c r="P75" t="s">
        <v>1761</v>
      </c>
      <c r="Q75" t="s">
        <v>1762</v>
      </c>
      <c r="R75" t="s">
        <v>1715</v>
      </c>
      <c r="T75" t="s">
        <v>1779</v>
      </c>
      <c r="U75">
        <f t="shared" ref="U75:U105" si="15">G75-F75</f>
        <v>352.44</v>
      </c>
      <c r="V75">
        <f t="shared" ref="V75:V86" si="16">(U75/7)*10</f>
        <v>503.48571428571427</v>
      </c>
      <c r="W75">
        <f t="shared" ref="W75:W86" si="17">U75/7</f>
        <v>50.348571428571425</v>
      </c>
      <c r="X75">
        <v>14960.07</v>
      </c>
      <c r="Y75">
        <v>15299.55</v>
      </c>
    </row>
    <row r="76" spans="1:48">
      <c r="A76">
        <v>2017</v>
      </c>
      <c r="B76" t="s">
        <v>1776</v>
      </c>
      <c r="C76">
        <v>4</v>
      </c>
      <c r="D76">
        <v>4</v>
      </c>
      <c r="E76">
        <v>10</v>
      </c>
      <c r="F76">
        <v>14.56</v>
      </c>
      <c r="G76">
        <v>382.55</v>
      </c>
      <c r="H76" s="161">
        <v>43241</v>
      </c>
      <c r="I76" s="161">
        <v>43243</v>
      </c>
      <c r="J76" s="161">
        <v>43243</v>
      </c>
      <c r="K76" t="s">
        <v>1709</v>
      </c>
      <c r="L76" t="s">
        <v>1777</v>
      </c>
      <c r="M76" s="161">
        <v>43241</v>
      </c>
      <c r="N76" t="s">
        <v>1737</v>
      </c>
      <c r="O76" t="s">
        <v>1778</v>
      </c>
      <c r="P76" t="s">
        <v>1761</v>
      </c>
      <c r="Q76" t="s">
        <v>1762</v>
      </c>
      <c r="R76" t="s">
        <v>1715</v>
      </c>
      <c r="T76" t="s">
        <v>1779</v>
      </c>
      <c r="U76">
        <f t="shared" si="15"/>
        <v>367.99</v>
      </c>
      <c r="V76">
        <f t="shared" si="16"/>
        <v>525.70000000000005</v>
      </c>
      <c r="W76">
        <f t="shared" si="17"/>
        <v>52.57</v>
      </c>
      <c r="X76">
        <v>14812.12</v>
      </c>
      <c r="Y76">
        <v>15166.19</v>
      </c>
    </row>
    <row r="77" spans="1:48">
      <c r="A77">
        <v>2017</v>
      </c>
      <c r="B77" t="s">
        <v>1776</v>
      </c>
      <c r="C77">
        <v>5</v>
      </c>
      <c r="D77">
        <v>4</v>
      </c>
      <c r="E77">
        <v>10</v>
      </c>
      <c r="F77">
        <v>14.42</v>
      </c>
      <c r="G77">
        <v>391.53</v>
      </c>
      <c r="H77" s="161">
        <v>43241</v>
      </c>
      <c r="I77" s="161">
        <v>43243</v>
      </c>
      <c r="J77" s="161">
        <v>43243</v>
      </c>
      <c r="K77" t="s">
        <v>1709</v>
      </c>
      <c r="L77" t="s">
        <v>1777</v>
      </c>
      <c r="M77" s="161">
        <v>43241</v>
      </c>
      <c r="N77" t="s">
        <v>1737</v>
      </c>
      <c r="O77" t="s">
        <v>1778</v>
      </c>
      <c r="P77" t="s">
        <v>1761</v>
      </c>
      <c r="Q77" t="s">
        <v>1762</v>
      </c>
      <c r="R77" t="s">
        <v>1715</v>
      </c>
      <c r="T77" t="s">
        <v>1779</v>
      </c>
      <c r="U77">
        <f t="shared" si="15"/>
        <v>377.10999999999996</v>
      </c>
      <c r="V77">
        <f t="shared" si="16"/>
        <v>538.7285714285714</v>
      </c>
      <c r="W77">
        <f t="shared" si="17"/>
        <v>53.872857142857136</v>
      </c>
      <c r="X77">
        <v>14869.56</v>
      </c>
      <c r="Y77">
        <v>15234.49</v>
      </c>
    </row>
    <row r="78" spans="1:48">
      <c r="A78">
        <v>2017</v>
      </c>
      <c r="B78" t="s">
        <v>1776</v>
      </c>
      <c r="C78">
        <v>6</v>
      </c>
      <c r="D78">
        <v>4</v>
      </c>
      <c r="E78">
        <v>10</v>
      </c>
      <c r="F78">
        <v>14.34</v>
      </c>
      <c r="G78">
        <v>309.75</v>
      </c>
      <c r="H78" s="161">
        <v>43241</v>
      </c>
      <c r="I78" s="161">
        <v>43243</v>
      </c>
      <c r="J78" s="161">
        <v>43243</v>
      </c>
      <c r="K78" t="s">
        <v>1709</v>
      </c>
      <c r="L78" t="s">
        <v>1777</v>
      </c>
      <c r="M78" s="161">
        <v>43241</v>
      </c>
      <c r="N78" t="s">
        <v>1737</v>
      </c>
      <c r="O78" t="s">
        <v>1778</v>
      </c>
      <c r="P78" t="s">
        <v>1761</v>
      </c>
      <c r="Q78" t="s">
        <v>1762</v>
      </c>
      <c r="R78" t="s">
        <v>1715</v>
      </c>
      <c r="T78" t="s">
        <v>1779</v>
      </c>
      <c r="U78">
        <f t="shared" si="15"/>
        <v>295.41000000000003</v>
      </c>
      <c r="V78">
        <f t="shared" si="16"/>
        <v>422.01428571428573</v>
      </c>
      <c r="W78">
        <f t="shared" si="17"/>
        <v>42.201428571428572</v>
      </c>
      <c r="X78">
        <v>14739.31</v>
      </c>
      <c r="Y78">
        <v>15022.69</v>
      </c>
    </row>
    <row r="79" spans="1:48">
      <c r="A79">
        <v>2017</v>
      </c>
      <c r="B79" t="s">
        <v>1776</v>
      </c>
      <c r="C79">
        <v>7</v>
      </c>
      <c r="D79">
        <v>4</v>
      </c>
      <c r="E79">
        <v>10</v>
      </c>
      <c r="F79">
        <v>14.61</v>
      </c>
      <c r="G79">
        <v>334.94</v>
      </c>
      <c r="H79" s="161">
        <v>43242</v>
      </c>
      <c r="I79" s="161">
        <v>43244</v>
      </c>
      <c r="J79" s="161">
        <v>43244</v>
      </c>
      <c r="K79" t="s">
        <v>1765</v>
      </c>
      <c r="L79" t="s">
        <v>1784</v>
      </c>
      <c r="M79" s="161">
        <v>43241</v>
      </c>
      <c r="N79" t="s">
        <v>1737</v>
      </c>
      <c r="O79" t="s">
        <v>1778</v>
      </c>
      <c r="P79" t="s">
        <v>1761</v>
      </c>
      <c r="Q79" t="s">
        <v>1762</v>
      </c>
      <c r="R79" t="s">
        <v>1715</v>
      </c>
      <c r="T79" t="s">
        <v>1785</v>
      </c>
      <c r="U79">
        <f t="shared" si="15"/>
        <v>320.33</v>
      </c>
      <c r="V79">
        <f t="shared" si="16"/>
        <v>457.61428571428564</v>
      </c>
      <c r="W79">
        <f t="shared" si="17"/>
        <v>45.761428571428567</v>
      </c>
      <c r="X79">
        <v>14744.61</v>
      </c>
      <c r="Y79">
        <v>15055.5</v>
      </c>
    </row>
    <row r="80" spans="1:48">
      <c r="A80">
        <v>2017</v>
      </c>
      <c r="B80" t="s">
        <v>1776</v>
      </c>
      <c r="C80">
        <v>8</v>
      </c>
      <c r="D80">
        <v>4</v>
      </c>
      <c r="E80">
        <v>10</v>
      </c>
      <c r="F80">
        <v>14.72</v>
      </c>
      <c r="G80">
        <v>319.87</v>
      </c>
      <c r="H80" s="161">
        <v>43242</v>
      </c>
      <c r="I80" s="161">
        <v>43244</v>
      </c>
      <c r="J80" s="161">
        <v>43244</v>
      </c>
      <c r="K80" t="s">
        <v>1765</v>
      </c>
      <c r="L80" t="s">
        <v>1784</v>
      </c>
      <c r="M80" s="161">
        <v>43241</v>
      </c>
      <c r="N80" t="s">
        <v>1737</v>
      </c>
      <c r="O80" t="s">
        <v>1778</v>
      </c>
      <c r="P80" t="s">
        <v>1761</v>
      </c>
      <c r="Q80" t="s">
        <v>1762</v>
      </c>
      <c r="R80" t="s">
        <v>1715</v>
      </c>
      <c r="T80" t="s">
        <v>1785</v>
      </c>
      <c r="U80">
        <f t="shared" si="15"/>
        <v>305.14999999999998</v>
      </c>
      <c r="V80">
        <f t="shared" si="16"/>
        <v>435.92857142857144</v>
      </c>
      <c r="W80">
        <f t="shared" si="17"/>
        <v>43.592857142857142</v>
      </c>
      <c r="X80">
        <v>14864.91</v>
      </c>
      <c r="Y80">
        <v>15159.23</v>
      </c>
    </row>
    <row r="81" spans="1:25">
      <c r="A81">
        <v>2017</v>
      </c>
      <c r="B81" t="s">
        <v>1776</v>
      </c>
      <c r="C81">
        <v>9</v>
      </c>
      <c r="D81">
        <v>4</v>
      </c>
      <c r="E81">
        <v>10</v>
      </c>
      <c r="F81">
        <v>14.59</v>
      </c>
      <c r="G81">
        <v>305.56</v>
      </c>
      <c r="H81" s="161">
        <v>43242</v>
      </c>
      <c r="I81" s="161">
        <v>43244</v>
      </c>
      <c r="J81" s="161">
        <v>43244</v>
      </c>
      <c r="K81" t="s">
        <v>1765</v>
      </c>
      <c r="L81" t="s">
        <v>1784</v>
      </c>
      <c r="M81" s="161">
        <v>43241</v>
      </c>
      <c r="N81" t="s">
        <v>1737</v>
      </c>
      <c r="O81" t="s">
        <v>1778</v>
      </c>
      <c r="P81" t="s">
        <v>1761</v>
      </c>
      <c r="Q81" t="s">
        <v>1762</v>
      </c>
      <c r="R81" t="s">
        <v>1715</v>
      </c>
      <c r="T81" t="s">
        <v>1785</v>
      </c>
      <c r="U81">
        <f t="shared" si="15"/>
        <v>290.97000000000003</v>
      </c>
      <c r="V81">
        <f t="shared" si="16"/>
        <v>415.67142857142863</v>
      </c>
      <c r="W81">
        <f t="shared" si="17"/>
        <v>41.567142857142862</v>
      </c>
      <c r="X81">
        <v>14875.52</v>
      </c>
      <c r="Y81">
        <v>15157.92</v>
      </c>
    </row>
    <row r="82" spans="1:25">
      <c r="A82">
        <v>2017</v>
      </c>
      <c r="B82" t="s">
        <v>1776</v>
      </c>
      <c r="C82">
        <v>10</v>
      </c>
      <c r="D82">
        <v>4</v>
      </c>
      <c r="E82">
        <v>10</v>
      </c>
      <c r="F82">
        <v>15.94</v>
      </c>
      <c r="G82">
        <v>298.43</v>
      </c>
      <c r="H82" s="161">
        <v>43242</v>
      </c>
      <c r="I82" s="161">
        <v>43244</v>
      </c>
      <c r="J82" s="161">
        <v>43244</v>
      </c>
      <c r="K82" t="s">
        <v>1765</v>
      </c>
      <c r="L82" t="s">
        <v>1784</v>
      </c>
      <c r="M82" s="161">
        <v>43242</v>
      </c>
      <c r="N82" t="s">
        <v>1765</v>
      </c>
      <c r="O82" t="s">
        <v>1786</v>
      </c>
      <c r="P82" t="s">
        <v>1787</v>
      </c>
      <c r="Q82" t="s">
        <v>1788</v>
      </c>
      <c r="R82" t="s">
        <v>1715</v>
      </c>
      <c r="T82" t="s">
        <v>1785</v>
      </c>
      <c r="U82">
        <f t="shared" si="15"/>
        <v>282.49</v>
      </c>
      <c r="V82">
        <f t="shared" si="16"/>
        <v>403.55714285714282</v>
      </c>
      <c r="W82">
        <f t="shared" si="17"/>
        <v>40.355714285714285</v>
      </c>
      <c r="X82">
        <v>14962.46</v>
      </c>
      <c r="Y82">
        <v>15234.4</v>
      </c>
    </row>
    <row r="83" spans="1:25">
      <c r="A83">
        <v>2017</v>
      </c>
      <c r="B83" t="s">
        <v>1776</v>
      </c>
      <c r="C83">
        <v>11</v>
      </c>
      <c r="D83">
        <v>4</v>
      </c>
      <c r="E83">
        <v>10</v>
      </c>
      <c r="F83">
        <v>15.92</v>
      </c>
      <c r="G83">
        <v>275.75</v>
      </c>
      <c r="H83" s="161">
        <v>43242</v>
      </c>
      <c r="I83" s="161">
        <v>43244</v>
      </c>
      <c r="J83" s="161">
        <v>43244</v>
      </c>
      <c r="K83" t="s">
        <v>1765</v>
      </c>
      <c r="L83" t="s">
        <v>1784</v>
      </c>
      <c r="M83" s="161">
        <v>43242</v>
      </c>
      <c r="N83" t="s">
        <v>1765</v>
      </c>
      <c r="O83" t="s">
        <v>1786</v>
      </c>
      <c r="P83" t="s">
        <v>1787</v>
      </c>
      <c r="Q83" t="s">
        <v>1788</v>
      </c>
      <c r="R83" t="s">
        <v>1715</v>
      </c>
      <c r="T83" t="s">
        <v>1785</v>
      </c>
      <c r="U83">
        <f t="shared" si="15"/>
        <v>259.83</v>
      </c>
      <c r="V83">
        <f t="shared" si="16"/>
        <v>371.18571428571431</v>
      </c>
      <c r="W83">
        <f t="shared" si="17"/>
        <v>37.118571428571428</v>
      </c>
      <c r="X83">
        <v>14765.74</v>
      </c>
      <c r="Y83">
        <v>15015.4</v>
      </c>
    </row>
    <row r="84" spans="1:25">
      <c r="A84">
        <v>2017</v>
      </c>
      <c r="B84" t="s">
        <v>1776</v>
      </c>
      <c r="C84">
        <v>12</v>
      </c>
      <c r="D84">
        <v>4</v>
      </c>
      <c r="E84">
        <v>10</v>
      </c>
      <c r="F84">
        <v>15.99</v>
      </c>
      <c r="G84">
        <v>345.24</v>
      </c>
      <c r="H84" s="161">
        <v>43242</v>
      </c>
      <c r="I84" s="161">
        <v>43244</v>
      </c>
      <c r="J84" s="161">
        <v>43244</v>
      </c>
      <c r="K84" t="s">
        <v>1765</v>
      </c>
      <c r="L84" t="s">
        <v>1784</v>
      </c>
      <c r="M84" s="161">
        <v>43242</v>
      </c>
      <c r="N84" t="s">
        <v>1765</v>
      </c>
      <c r="O84" t="s">
        <v>1786</v>
      </c>
      <c r="P84" t="s">
        <v>1787</v>
      </c>
      <c r="Q84" t="s">
        <v>1788</v>
      </c>
      <c r="R84" t="s">
        <v>1715</v>
      </c>
      <c r="T84" t="s">
        <v>1785</v>
      </c>
      <c r="U84">
        <f t="shared" si="15"/>
        <v>329.25</v>
      </c>
      <c r="V84">
        <f t="shared" si="16"/>
        <v>470.35714285714283</v>
      </c>
      <c r="W84">
        <f t="shared" si="17"/>
        <v>47.035714285714285</v>
      </c>
      <c r="X84">
        <v>14993.61</v>
      </c>
      <c r="Y84">
        <v>15312.2</v>
      </c>
    </row>
    <row r="85" spans="1:25">
      <c r="A85">
        <v>2017</v>
      </c>
      <c r="B85" t="s">
        <v>1776</v>
      </c>
      <c r="C85">
        <v>13</v>
      </c>
      <c r="D85">
        <v>4</v>
      </c>
      <c r="E85">
        <v>10</v>
      </c>
      <c r="F85">
        <v>16.05</v>
      </c>
      <c r="G85">
        <v>323.73</v>
      </c>
      <c r="H85" s="161">
        <v>43242</v>
      </c>
      <c r="I85" s="161">
        <v>43244</v>
      </c>
      <c r="J85" s="161">
        <v>43244</v>
      </c>
      <c r="K85" t="s">
        <v>1765</v>
      </c>
      <c r="L85" t="s">
        <v>1784</v>
      </c>
      <c r="M85" s="161">
        <v>43242</v>
      </c>
      <c r="N85" t="s">
        <v>1765</v>
      </c>
      <c r="O85" t="s">
        <v>1786</v>
      </c>
      <c r="P85" t="s">
        <v>1787</v>
      </c>
      <c r="Q85" t="s">
        <v>1788</v>
      </c>
      <c r="R85" t="s">
        <v>1715</v>
      </c>
      <c r="T85" t="s">
        <v>1785</v>
      </c>
      <c r="U85">
        <f t="shared" si="15"/>
        <v>307.68</v>
      </c>
      <c r="V85">
        <f t="shared" si="16"/>
        <v>439.5428571428572</v>
      </c>
      <c r="W85">
        <f t="shared" si="17"/>
        <v>43.954285714285717</v>
      </c>
      <c r="X85">
        <v>14921.94</v>
      </c>
      <c r="Y85">
        <v>15218.96</v>
      </c>
    </row>
    <row r="86" spans="1:25">
      <c r="A86">
        <v>2017</v>
      </c>
      <c r="B86" t="s">
        <v>1776</v>
      </c>
      <c r="C86">
        <v>14</v>
      </c>
      <c r="D86">
        <v>4</v>
      </c>
      <c r="E86">
        <v>10</v>
      </c>
      <c r="F86">
        <v>16.09</v>
      </c>
      <c r="G86">
        <v>457.77</v>
      </c>
      <c r="H86" s="161">
        <v>43242</v>
      </c>
      <c r="I86" s="161">
        <v>43244</v>
      </c>
      <c r="J86" s="161">
        <v>43244</v>
      </c>
      <c r="K86" t="s">
        <v>1765</v>
      </c>
      <c r="L86" t="s">
        <v>1784</v>
      </c>
      <c r="M86" s="161">
        <v>43242</v>
      </c>
      <c r="N86" t="s">
        <v>1765</v>
      </c>
      <c r="O86" t="s">
        <v>1786</v>
      </c>
      <c r="P86" t="s">
        <v>1787</v>
      </c>
      <c r="Q86" t="s">
        <v>1788</v>
      </c>
      <c r="R86" t="s">
        <v>1715</v>
      </c>
      <c r="T86" t="s">
        <v>1785</v>
      </c>
      <c r="U86">
        <f t="shared" si="15"/>
        <v>441.68</v>
      </c>
      <c r="V86">
        <f t="shared" si="16"/>
        <v>630.97142857142853</v>
      </c>
      <c r="W86">
        <f t="shared" si="17"/>
        <v>63.097142857142856</v>
      </c>
      <c r="X86">
        <v>14818.81</v>
      </c>
      <c r="Y86">
        <v>15250.49</v>
      </c>
    </row>
    <row r="87" spans="1:25">
      <c r="A87">
        <v>2017</v>
      </c>
      <c r="B87" t="s">
        <v>1776</v>
      </c>
      <c r="C87" t="s">
        <v>1731</v>
      </c>
      <c r="D87">
        <v>4</v>
      </c>
      <c r="E87">
        <v>7</v>
      </c>
      <c r="F87">
        <v>16</v>
      </c>
      <c r="G87">
        <v>421.99</v>
      </c>
      <c r="H87" s="161">
        <v>43243</v>
      </c>
      <c r="I87" s="161">
        <v>43245</v>
      </c>
      <c r="J87" s="161">
        <v>43245</v>
      </c>
      <c r="K87" t="s">
        <v>1789</v>
      </c>
      <c r="L87" t="s">
        <v>1790</v>
      </c>
      <c r="M87" s="161">
        <v>43242</v>
      </c>
      <c r="N87" t="s">
        <v>1765</v>
      </c>
      <c r="O87" t="s">
        <v>1786</v>
      </c>
      <c r="P87" t="s">
        <v>1787</v>
      </c>
      <c r="Q87" t="s">
        <v>1788</v>
      </c>
      <c r="R87" t="s">
        <v>1715</v>
      </c>
      <c r="T87" t="s">
        <v>1791</v>
      </c>
      <c r="U87">
        <f t="shared" si="15"/>
        <v>405.99</v>
      </c>
      <c r="V87" s="744">
        <f>((U87+U88)/7)*10</f>
        <v>1039.5428571428572</v>
      </c>
      <c r="W87">
        <f>U87/4</f>
        <v>101.4975</v>
      </c>
      <c r="X87">
        <v>14872.37</v>
      </c>
      <c r="Y87">
        <v>15590.02</v>
      </c>
    </row>
    <row r="88" spans="1:25">
      <c r="A88">
        <v>2017</v>
      </c>
      <c r="B88" t="s">
        <v>1776</v>
      </c>
      <c r="C88" t="s">
        <v>1732</v>
      </c>
      <c r="D88">
        <v>8</v>
      </c>
      <c r="E88">
        <v>10</v>
      </c>
      <c r="F88">
        <v>16.059999999999999</v>
      </c>
      <c r="G88">
        <v>337.75</v>
      </c>
      <c r="H88" s="161">
        <v>43243</v>
      </c>
      <c r="I88" s="161">
        <v>43245</v>
      </c>
      <c r="J88" s="161">
        <v>43245</v>
      </c>
      <c r="K88" t="s">
        <v>1789</v>
      </c>
      <c r="L88" t="s">
        <v>1790</v>
      </c>
      <c r="M88" s="161">
        <v>43243</v>
      </c>
      <c r="N88" t="s">
        <v>1737</v>
      </c>
      <c r="O88" t="s">
        <v>1792</v>
      </c>
      <c r="P88" t="s">
        <v>1787</v>
      </c>
      <c r="Q88" t="s">
        <v>1788</v>
      </c>
      <c r="R88" t="s">
        <v>1715</v>
      </c>
      <c r="T88" t="s">
        <v>1791</v>
      </c>
      <c r="U88">
        <f t="shared" si="15"/>
        <v>321.69</v>
      </c>
      <c r="V88" s="744"/>
      <c r="W88">
        <f>U88/3</f>
        <v>107.23</v>
      </c>
    </row>
    <row r="89" spans="1:25">
      <c r="A89">
        <v>2017</v>
      </c>
      <c r="B89" t="s">
        <v>1776</v>
      </c>
      <c r="C89" s="133" t="s">
        <v>1733</v>
      </c>
      <c r="D89">
        <v>4</v>
      </c>
      <c r="E89">
        <v>6</v>
      </c>
      <c r="F89">
        <v>15.93</v>
      </c>
      <c r="G89">
        <v>463.65</v>
      </c>
      <c r="H89" s="161">
        <v>43243</v>
      </c>
      <c r="I89" s="161">
        <v>43245</v>
      </c>
      <c r="J89" s="161">
        <v>43245</v>
      </c>
      <c r="K89" t="s">
        <v>1789</v>
      </c>
      <c r="L89" t="s">
        <v>1790</v>
      </c>
      <c r="M89" s="161">
        <v>43242</v>
      </c>
      <c r="N89" t="s">
        <v>1765</v>
      </c>
      <c r="O89" t="s">
        <v>1786</v>
      </c>
      <c r="P89" t="s">
        <v>1787</v>
      </c>
      <c r="Q89" t="s">
        <v>1788</v>
      </c>
      <c r="R89" t="s">
        <v>1715</v>
      </c>
      <c r="T89" t="s">
        <v>1791</v>
      </c>
      <c r="U89">
        <f t="shared" si="15"/>
        <v>447.71999999999997</v>
      </c>
      <c r="V89" s="744">
        <f>((U89+U90+U91)/7)*10</f>
        <v>1515.7285714285715</v>
      </c>
      <c r="W89">
        <f>U89/3</f>
        <v>149.23999999999998</v>
      </c>
      <c r="X89">
        <v>14726.19</v>
      </c>
    </row>
    <row r="90" spans="1:25">
      <c r="A90">
        <v>2017</v>
      </c>
      <c r="B90" t="s">
        <v>1776</v>
      </c>
      <c r="C90" t="s">
        <v>1735</v>
      </c>
      <c r="D90">
        <v>7</v>
      </c>
      <c r="E90">
        <v>8</v>
      </c>
      <c r="F90">
        <v>15.92</v>
      </c>
      <c r="G90">
        <v>316.29000000000002</v>
      </c>
      <c r="H90" s="161">
        <v>43243</v>
      </c>
      <c r="I90" s="161">
        <v>43245</v>
      </c>
      <c r="J90" s="161">
        <v>43245</v>
      </c>
      <c r="K90" t="s">
        <v>1789</v>
      </c>
      <c r="L90" t="s">
        <v>1790</v>
      </c>
      <c r="M90" s="161">
        <v>43243</v>
      </c>
      <c r="N90" t="s">
        <v>1737</v>
      </c>
      <c r="O90" t="s">
        <v>1792</v>
      </c>
      <c r="P90" t="s">
        <v>1787</v>
      </c>
      <c r="Q90" t="s">
        <v>1788</v>
      </c>
      <c r="R90" t="s">
        <v>1715</v>
      </c>
      <c r="T90" t="s">
        <v>1791</v>
      </c>
      <c r="U90">
        <f t="shared" si="15"/>
        <v>300.37</v>
      </c>
      <c r="V90" s="744"/>
      <c r="W90">
        <f>U90/2</f>
        <v>150.185</v>
      </c>
      <c r="Y90">
        <v>15330.42</v>
      </c>
    </row>
    <row r="91" spans="1:25">
      <c r="A91">
        <v>2017</v>
      </c>
      <c r="B91" t="s">
        <v>1776</v>
      </c>
      <c r="C91" t="s">
        <v>1767</v>
      </c>
      <c r="D91">
        <v>9</v>
      </c>
      <c r="E91">
        <v>10</v>
      </c>
      <c r="F91">
        <v>16.12</v>
      </c>
      <c r="G91">
        <v>329.04</v>
      </c>
      <c r="H91" s="161">
        <v>43243</v>
      </c>
      <c r="I91" s="161">
        <v>43245</v>
      </c>
      <c r="J91" s="161">
        <v>43245</v>
      </c>
      <c r="K91" t="s">
        <v>1789</v>
      </c>
      <c r="L91" t="s">
        <v>1790</v>
      </c>
      <c r="M91" s="161">
        <v>43243</v>
      </c>
      <c r="N91" t="s">
        <v>1737</v>
      </c>
      <c r="O91" t="s">
        <v>1792</v>
      </c>
      <c r="P91" t="s">
        <v>1787</v>
      </c>
      <c r="Q91" t="s">
        <v>1788</v>
      </c>
      <c r="R91" t="s">
        <v>1715</v>
      </c>
      <c r="T91" t="s">
        <v>1791</v>
      </c>
      <c r="U91">
        <f t="shared" si="15"/>
        <v>312.92</v>
      </c>
      <c r="V91" s="744"/>
      <c r="W91">
        <f>U91/2</f>
        <v>156.46</v>
      </c>
    </row>
    <row r="92" spans="1:25">
      <c r="A92">
        <v>2017</v>
      </c>
      <c r="B92" t="s">
        <v>1776</v>
      </c>
      <c r="C92" t="s">
        <v>1736</v>
      </c>
      <c r="D92">
        <v>4</v>
      </c>
      <c r="E92">
        <v>6</v>
      </c>
      <c r="F92">
        <v>15.98</v>
      </c>
      <c r="G92">
        <v>361.99</v>
      </c>
      <c r="H92" s="161">
        <v>43243</v>
      </c>
      <c r="I92" s="161">
        <v>43245</v>
      </c>
      <c r="J92" s="161">
        <v>43245</v>
      </c>
      <c r="K92" t="s">
        <v>1789</v>
      </c>
      <c r="L92" t="s">
        <v>1790</v>
      </c>
      <c r="M92" s="161">
        <v>43242</v>
      </c>
      <c r="N92" t="s">
        <v>1765</v>
      </c>
      <c r="O92" t="s">
        <v>1786</v>
      </c>
      <c r="P92" t="s">
        <v>1787</v>
      </c>
      <c r="Q92" t="s">
        <v>1788</v>
      </c>
      <c r="R92" t="s">
        <v>1715</v>
      </c>
      <c r="T92" t="s">
        <v>1791</v>
      </c>
      <c r="U92">
        <f t="shared" si="15"/>
        <v>346.01</v>
      </c>
      <c r="V92" s="744">
        <f>((U92+U93+U94)/7)*10</f>
        <v>1232.757142857143</v>
      </c>
      <c r="W92">
        <f>U92/3</f>
        <v>115.33666666666666</v>
      </c>
      <c r="X92">
        <v>14820.65</v>
      </c>
      <c r="Y92">
        <v>15674.02</v>
      </c>
    </row>
    <row r="93" spans="1:25">
      <c r="A93">
        <v>2017</v>
      </c>
      <c r="B93" t="s">
        <v>1776</v>
      </c>
      <c r="C93" t="s">
        <v>1740</v>
      </c>
      <c r="D93">
        <v>7</v>
      </c>
      <c r="E93">
        <v>8</v>
      </c>
      <c r="F93">
        <v>15.95</v>
      </c>
      <c r="G93">
        <v>270.39</v>
      </c>
      <c r="H93" s="161">
        <v>43243</v>
      </c>
      <c r="I93" s="161">
        <v>43245</v>
      </c>
      <c r="J93" s="161">
        <v>43245</v>
      </c>
      <c r="K93" t="s">
        <v>1789</v>
      </c>
      <c r="L93" t="s">
        <v>1790</v>
      </c>
      <c r="M93" s="161">
        <v>43243</v>
      </c>
      <c r="N93" t="s">
        <v>1737</v>
      </c>
      <c r="O93" t="s">
        <v>1792</v>
      </c>
      <c r="P93" t="s">
        <v>1787</v>
      </c>
      <c r="Q93" t="s">
        <v>1788</v>
      </c>
      <c r="R93" t="s">
        <v>1715</v>
      </c>
      <c r="T93" t="s">
        <v>1791</v>
      </c>
      <c r="U93">
        <f t="shared" si="15"/>
        <v>254.44</v>
      </c>
      <c r="V93" s="744"/>
      <c r="W93">
        <f>U93/2</f>
        <v>127.22</v>
      </c>
    </row>
    <row r="94" spans="1:25">
      <c r="A94">
        <v>2017</v>
      </c>
      <c r="B94" t="s">
        <v>1776</v>
      </c>
      <c r="C94" t="s">
        <v>1769</v>
      </c>
      <c r="D94">
        <v>9</v>
      </c>
      <c r="E94">
        <v>10</v>
      </c>
      <c r="F94">
        <v>15.9</v>
      </c>
      <c r="G94">
        <v>278.38</v>
      </c>
      <c r="H94" s="161">
        <v>43243</v>
      </c>
      <c r="I94" s="161">
        <v>43245</v>
      </c>
      <c r="J94" s="161">
        <v>43245</v>
      </c>
      <c r="K94" t="s">
        <v>1789</v>
      </c>
      <c r="L94" t="s">
        <v>1790</v>
      </c>
      <c r="M94" s="161">
        <v>43243</v>
      </c>
      <c r="N94" t="s">
        <v>1737</v>
      </c>
      <c r="O94" t="s">
        <v>1792</v>
      </c>
      <c r="P94" t="s">
        <v>1787</v>
      </c>
      <c r="Q94" t="s">
        <v>1788</v>
      </c>
      <c r="R94" t="s">
        <v>1715</v>
      </c>
      <c r="T94" t="s">
        <v>1791</v>
      </c>
      <c r="U94">
        <f t="shared" si="15"/>
        <v>262.48</v>
      </c>
      <c r="V94" s="744"/>
      <c r="W94">
        <f>U94/2</f>
        <v>131.24</v>
      </c>
    </row>
    <row r="95" spans="1:25">
      <c r="A95">
        <v>2017</v>
      </c>
      <c r="B95" t="s">
        <v>1776</v>
      </c>
      <c r="C95" t="s">
        <v>1741</v>
      </c>
      <c r="D95">
        <v>4</v>
      </c>
      <c r="E95">
        <v>6</v>
      </c>
      <c r="F95">
        <v>15.98</v>
      </c>
      <c r="G95">
        <v>285.81</v>
      </c>
      <c r="H95" s="161">
        <v>43243</v>
      </c>
      <c r="I95" s="161">
        <v>43245</v>
      </c>
      <c r="J95" s="161">
        <v>43245</v>
      </c>
      <c r="K95" t="s">
        <v>1789</v>
      </c>
      <c r="L95" t="s">
        <v>1790</v>
      </c>
      <c r="M95" s="161">
        <v>43242</v>
      </c>
      <c r="N95" t="s">
        <v>1765</v>
      </c>
      <c r="O95" t="s">
        <v>1786</v>
      </c>
      <c r="P95" t="s">
        <v>1787</v>
      </c>
      <c r="Q95" t="s">
        <v>1788</v>
      </c>
      <c r="R95" t="s">
        <v>1715</v>
      </c>
      <c r="T95" t="s">
        <v>1791</v>
      </c>
      <c r="U95">
        <f t="shared" si="15"/>
        <v>269.83</v>
      </c>
      <c r="V95" s="744">
        <f>((U95+U96+U97)/7)*10</f>
        <v>956.41428571428582</v>
      </c>
      <c r="W95">
        <f>U95/3</f>
        <v>89.943333333333328</v>
      </c>
      <c r="X95">
        <v>14944.57</v>
      </c>
      <c r="Y95">
        <v>15602.25</v>
      </c>
    </row>
    <row r="96" spans="1:25">
      <c r="A96">
        <v>2017</v>
      </c>
      <c r="B96" t="s">
        <v>1776</v>
      </c>
      <c r="C96" t="s">
        <v>1742</v>
      </c>
      <c r="D96">
        <v>7</v>
      </c>
      <c r="E96">
        <v>8</v>
      </c>
      <c r="F96">
        <v>15.99</v>
      </c>
      <c r="G96">
        <v>215.91</v>
      </c>
      <c r="H96" s="161">
        <v>43243</v>
      </c>
      <c r="I96" s="161">
        <v>43245</v>
      </c>
      <c r="J96" s="161">
        <v>43245</v>
      </c>
      <c r="K96" t="s">
        <v>1789</v>
      </c>
      <c r="L96" t="s">
        <v>1790</v>
      </c>
      <c r="M96" s="161">
        <v>43243</v>
      </c>
      <c r="N96" t="s">
        <v>1737</v>
      </c>
      <c r="O96" t="s">
        <v>1792</v>
      </c>
      <c r="P96" t="s">
        <v>1787</v>
      </c>
      <c r="Q96" t="s">
        <v>1788</v>
      </c>
      <c r="R96" t="s">
        <v>1715</v>
      </c>
      <c r="T96" t="s">
        <v>1791</v>
      </c>
      <c r="U96">
        <f t="shared" si="15"/>
        <v>199.92</v>
      </c>
      <c r="V96" s="744"/>
      <c r="W96">
        <f>U96/2</f>
        <v>99.96</v>
      </c>
    </row>
    <row r="97" spans="1:25">
      <c r="A97">
        <v>2017</v>
      </c>
      <c r="B97" t="s">
        <v>1776</v>
      </c>
      <c r="C97" t="s">
        <v>1771</v>
      </c>
      <c r="D97">
        <v>9</v>
      </c>
      <c r="E97">
        <v>10</v>
      </c>
      <c r="F97">
        <v>15.96</v>
      </c>
      <c r="G97">
        <v>215.7</v>
      </c>
      <c r="H97" s="161">
        <v>43243</v>
      </c>
      <c r="I97" s="161">
        <v>43245</v>
      </c>
      <c r="J97" s="161">
        <v>43245</v>
      </c>
      <c r="K97" t="s">
        <v>1789</v>
      </c>
      <c r="L97" t="s">
        <v>1790</v>
      </c>
      <c r="M97" s="161">
        <v>43243</v>
      </c>
      <c r="N97" t="s">
        <v>1737</v>
      </c>
      <c r="O97" t="s">
        <v>1792</v>
      </c>
      <c r="P97" t="s">
        <v>1787</v>
      </c>
      <c r="Q97" t="s">
        <v>1788</v>
      </c>
      <c r="R97" t="s">
        <v>1715</v>
      </c>
      <c r="T97" t="s">
        <v>1791</v>
      </c>
      <c r="U97">
        <f t="shared" si="15"/>
        <v>199.73999999999998</v>
      </c>
      <c r="V97" s="744"/>
      <c r="W97">
        <f>U97/2</f>
        <v>99.86999999999999</v>
      </c>
    </row>
    <row r="98" spans="1:25">
      <c r="A98">
        <v>2017</v>
      </c>
      <c r="B98" t="s">
        <v>1776</v>
      </c>
      <c r="C98" t="s">
        <v>1743</v>
      </c>
      <c r="D98">
        <v>4</v>
      </c>
      <c r="E98">
        <v>6</v>
      </c>
      <c r="F98">
        <v>15.98</v>
      </c>
      <c r="G98">
        <v>331.45</v>
      </c>
      <c r="H98" s="161">
        <v>43245</v>
      </c>
      <c r="I98" s="161">
        <v>43248</v>
      </c>
      <c r="J98" s="161">
        <v>43248</v>
      </c>
      <c r="K98" t="s">
        <v>1737</v>
      </c>
      <c r="L98" t="s">
        <v>1793</v>
      </c>
      <c r="M98" s="161">
        <v>43242</v>
      </c>
      <c r="N98" t="s">
        <v>1765</v>
      </c>
      <c r="O98" t="s">
        <v>1786</v>
      </c>
      <c r="P98" t="s">
        <v>1787</v>
      </c>
      <c r="Q98" t="s">
        <v>1788</v>
      </c>
      <c r="R98" t="s">
        <v>1715</v>
      </c>
      <c r="T98" t="s">
        <v>1794</v>
      </c>
      <c r="U98">
        <f t="shared" si="15"/>
        <v>315.46999999999997</v>
      </c>
      <c r="V98" s="744">
        <f>((U98+U99+U100)/7)*10</f>
        <v>1134</v>
      </c>
      <c r="W98">
        <f>U98/3</f>
        <v>105.15666666666665</v>
      </c>
      <c r="X98">
        <v>15010.08</v>
      </c>
      <c r="Y98">
        <v>15792.97</v>
      </c>
    </row>
    <row r="99" spans="1:25">
      <c r="A99">
        <v>2017</v>
      </c>
      <c r="B99" t="s">
        <v>1776</v>
      </c>
      <c r="C99" t="s">
        <v>1744</v>
      </c>
      <c r="D99">
        <v>7</v>
      </c>
      <c r="E99">
        <v>8</v>
      </c>
      <c r="F99">
        <v>15.95</v>
      </c>
      <c r="G99">
        <v>246.95</v>
      </c>
      <c r="H99" s="161">
        <v>43245</v>
      </c>
      <c r="I99" s="161">
        <v>43248</v>
      </c>
      <c r="J99" s="161">
        <v>43248</v>
      </c>
      <c r="K99" t="s">
        <v>1737</v>
      </c>
      <c r="L99" t="s">
        <v>1793</v>
      </c>
      <c r="M99" s="161">
        <v>43244</v>
      </c>
      <c r="N99" t="s">
        <v>1795</v>
      </c>
      <c r="O99" t="s">
        <v>1796</v>
      </c>
      <c r="P99" t="s">
        <v>1787</v>
      </c>
      <c r="Q99" t="s">
        <v>1788</v>
      </c>
      <c r="R99" t="s">
        <v>1715</v>
      </c>
      <c r="T99" t="s">
        <v>1794</v>
      </c>
      <c r="U99">
        <f t="shared" si="15"/>
        <v>231</v>
      </c>
      <c r="V99" s="744"/>
      <c r="W99">
        <f>U99/2</f>
        <v>115.5</v>
      </c>
    </row>
    <row r="100" spans="1:25">
      <c r="A100">
        <v>2017</v>
      </c>
      <c r="B100" t="s">
        <v>1776</v>
      </c>
      <c r="C100" t="s">
        <v>1772</v>
      </c>
      <c r="D100">
        <v>9</v>
      </c>
      <c r="E100">
        <v>10</v>
      </c>
      <c r="F100">
        <v>15.92</v>
      </c>
      <c r="G100">
        <v>263.25</v>
      </c>
      <c r="H100" s="161">
        <v>43245</v>
      </c>
      <c r="I100" s="161">
        <v>43248</v>
      </c>
      <c r="J100" s="161">
        <v>43248</v>
      </c>
      <c r="K100" t="s">
        <v>1737</v>
      </c>
      <c r="L100" t="s">
        <v>1793</v>
      </c>
      <c r="M100" s="161">
        <v>43244</v>
      </c>
      <c r="N100" t="s">
        <v>1795</v>
      </c>
      <c r="O100" t="s">
        <v>1796</v>
      </c>
      <c r="P100" t="s">
        <v>1787</v>
      </c>
      <c r="Q100" t="s">
        <v>1788</v>
      </c>
      <c r="R100" t="s">
        <v>1715</v>
      </c>
      <c r="T100" t="s">
        <v>1794</v>
      </c>
      <c r="U100">
        <f t="shared" si="15"/>
        <v>247.33</v>
      </c>
      <c r="V100" s="744"/>
      <c r="W100">
        <f>U100/2</f>
        <v>123.66500000000001</v>
      </c>
    </row>
    <row r="101" spans="1:25">
      <c r="A101">
        <v>2017</v>
      </c>
      <c r="B101" t="s">
        <v>1776</v>
      </c>
      <c r="C101" t="s">
        <v>1747</v>
      </c>
      <c r="D101">
        <v>4</v>
      </c>
      <c r="E101">
        <v>5</v>
      </c>
      <c r="F101">
        <v>15.84</v>
      </c>
      <c r="G101">
        <v>390.32</v>
      </c>
      <c r="H101" s="161">
        <v>43245</v>
      </c>
      <c r="I101" s="161">
        <v>43248</v>
      </c>
      <c r="J101" s="161">
        <v>43248</v>
      </c>
      <c r="K101" t="s">
        <v>1737</v>
      </c>
      <c r="L101" t="s">
        <v>1793</v>
      </c>
      <c r="M101" s="161">
        <v>43244</v>
      </c>
      <c r="N101" t="s">
        <v>1795</v>
      </c>
      <c r="O101" t="s">
        <v>1796</v>
      </c>
      <c r="P101" t="s">
        <v>1787</v>
      </c>
      <c r="Q101" t="s">
        <v>1788</v>
      </c>
      <c r="R101" t="s">
        <v>1715</v>
      </c>
      <c r="T101" t="s">
        <v>1794</v>
      </c>
      <c r="U101">
        <f t="shared" si="15"/>
        <v>374.48</v>
      </c>
      <c r="V101" s="744">
        <f>((U101+U102+U103+U104)/7)*10</f>
        <v>2021.5714285714284</v>
      </c>
      <c r="W101">
        <f>U101/2</f>
        <v>187.24</v>
      </c>
      <c r="X101">
        <v>14747.21</v>
      </c>
      <c r="Y101">
        <v>16139.02</v>
      </c>
    </row>
    <row r="102" spans="1:25">
      <c r="A102">
        <v>2017</v>
      </c>
      <c r="B102" t="s">
        <v>1776</v>
      </c>
      <c r="C102" t="s">
        <v>1748</v>
      </c>
      <c r="D102">
        <v>6</v>
      </c>
      <c r="E102">
        <v>7</v>
      </c>
      <c r="F102">
        <v>15.93</v>
      </c>
      <c r="G102">
        <v>414.38</v>
      </c>
      <c r="H102" s="161">
        <v>43245</v>
      </c>
      <c r="I102" s="161">
        <v>43248</v>
      </c>
      <c r="J102" s="161">
        <v>43248</v>
      </c>
      <c r="K102" t="s">
        <v>1737</v>
      </c>
      <c r="L102" t="s">
        <v>1793</v>
      </c>
      <c r="M102" s="161">
        <v>43244</v>
      </c>
      <c r="N102" t="s">
        <v>1795</v>
      </c>
      <c r="O102" t="s">
        <v>1796</v>
      </c>
      <c r="P102" t="s">
        <v>1787</v>
      </c>
      <c r="Q102" t="s">
        <v>1788</v>
      </c>
      <c r="R102" t="s">
        <v>1715</v>
      </c>
      <c r="T102" t="s">
        <v>1794</v>
      </c>
      <c r="U102">
        <f t="shared" si="15"/>
        <v>398.45</v>
      </c>
      <c r="V102" s="744"/>
      <c r="W102">
        <f>U102/2</f>
        <v>199.22499999999999</v>
      </c>
    </row>
    <row r="103" spans="1:25">
      <c r="A103">
        <v>2017</v>
      </c>
      <c r="B103" t="s">
        <v>1776</v>
      </c>
      <c r="C103" t="s">
        <v>1775</v>
      </c>
      <c r="D103">
        <v>8</v>
      </c>
      <c r="E103">
        <v>9</v>
      </c>
      <c r="F103">
        <v>16.11</v>
      </c>
      <c r="G103">
        <v>438.17</v>
      </c>
      <c r="H103" s="161">
        <v>43245</v>
      </c>
      <c r="I103" s="161">
        <v>43248</v>
      </c>
      <c r="J103" s="161">
        <v>43248</v>
      </c>
      <c r="K103" t="s">
        <v>1737</v>
      </c>
      <c r="L103" t="s">
        <v>1793</v>
      </c>
      <c r="M103" s="161">
        <v>43244</v>
      </c>
      <c r="N103" t="s">
        <v>1795</v>
      </c>
      <c r="O103" t="s">
        <v>1796</v>
      </c>
      <c r="P103" t="s">
        <v>1787</v>
      </c>
      <c r="Q103" t="s">
        <v>1788</v>
      </c>
      <c r="R103" t="s">
        <v>1715</v>
      </c>
      <c r="T103" t="s">
        <v>1794</v>
      </c>
      <c r="U103">
        <f t="shared" si="15"/>
        <v>422.06</v>
      </c>
      <c r="V103" s="744"/>
      <c r="W103">
        <f>U103/2</f>
        <v>211.03</v>
      </c>
    </row>
    <row r="104" spans="1:25">
      <c r="A104">
        <v>2017</v>
      </c>
      <c r="B104" t="s">
        <v>1776</v>
      </c>
      <c r="C104" t="s">
        <v>1797</v>
      </c>
      <c r="D104">
        <v>10</v>
      </c>
      <c r="F104">
        <v>16.079999999999998</v>
      </c>
      <c r="G104">
        <v>236.19</v>
      </c>
      <c r="H104" s="161">
        <v>43245</v>
      </c>
      <c r="I104" s="161">
        <v>43248</v>
      </c>
      <c r="J104" s="161">
        <v>43248</v>
      </c>
      <c r="K104" t="s">
        <v>1737</v>
      </c>
      <c r="L104" t="s">
        <v>1793</v>
      </c>
      <c r="M104" s="161">
        <v>43244</v>
      </c>
      <c r="N104" t="s">
        <v>1795</v>
      </c>
      <c r="O104" t="s">
        <v>1796</v>
      </c>
      <c r="P104" t="s">
        <v>1787</v>
      </c>
      <c r="Q104" t="s">
        <v>1788</v>
      </c>
      <c r="R104" t="s">
        <v>1715</v>
      </c>
      <c r="T104" t="s">
        <v>1794</v>
      </c>
      <c r="U104">
        <f t="shared" si="15"/>
        <v>220.11</v>
      </c>
      <c r="V104" s="744"/>
      <c r="W104">
        <f>U104/1</f>
        <v>220.11</v>
      </c>
    </row>
    <row r="105" spans="1:25">
      <c r="A105">
        <v>2017</v>
      </c>
      <c r="B105" t="s">
        <v>1776</v>
      </c>
      <c r="C105">
        <v>21</v>
      </c>
      <c r="D105">
        <v>4</v>
      </c>
      <c r="E105">
        <v>10</v>
      </c>
      <c r="F105">
        <v>15.87</v>
      </c>
      <c r="G105">
        <v>430.47</v>
      </c>
      <c r="H105" s="161">
        <v>43245</v>
      </c>
      <c r="I105" s="161">
        <v>43248</v>
      </c>
      <c r="J105" s="161">
        <v>43248</v>
      </c>
      <c r="K105" t="s">
        <v>1737</v>
      </c>
      <c r="L105" t="s">
        <v>1793</v>
      </c>
      <c r="M105" s="161">
        <v>43243</v>
      </c>
      <c r="N105" t="s">
        <v>1737</v>
      </c>
      <c r="O105" t="s">
        <v>1792</v>
      </c>
      <c r="P105" t="s">
        <v>1787</v>
      </c>
      <c r="Q105" t="s">
        <v>1788</v>
      </c>
      <c r="R105" t="s">
        <v>1715</v>
      </c>
      <c r="T105" t="s">
        <v>1794</v>
      </c>
      <c r="U105">
        <f t="shared" si="15"/>
        <v>414.6</v>
      </c>
      <c r="V105">
        <f>(U105/7)*10</f>
        <v>592.28571428571433</v>
      </c>
      <c r="W105">
        <f>U105/7</f>
        <v>59.228571428571435</v>
      </c>
      <c r="X105">
        <v>14770.67</v>
      </c>
      <c r="Y105">
        <v>15173.32</v>
      </c>
    </row>
    <row r="106" spans="1:25">
      <c r="M106" s="161"/>
    </row>
    <row r="107" spans="1:25">
      <c r="M107" s="161"/>
    </row>
    <row r="108" spans="1:25">
      <c r="M108" s="161"/>
    </row>
    <row r="109" spans="1:25">
      <c r="M109" s="161"/>
    </row>
    <row r="110" spans="1:25">
      <c r="M110" s="161"/>
    </row>
    <row r="111" spans="1:25">
      <c r="M111" s="161"/>
    </row>
  </sheetData>
  <mergeCells count="24">
    <mergeCell ref="V101:V104"/>
    <mergeCell ref="V87:V88"/>
    <mergeCell ref="V89:V91"/>
    <mergeCell ref="V92:V94"/>
    <mergeCell ref="V95:V97"/>
    <mergeCell ref="V98:V100"/>
    <mergeCell ref="V63:V65"/>
    <mergeCell ref="V66:V68"/>
    <mergeCell ref="S73:S74"/>
    <mergeCell ref="S60:S62"/>
    <mergeCell ref="S19:S20"/>
    <mergeCell ref="V29:V30"/>
    <mergeCell ref="V31:V32"/>
    <mergeCell ref="V33:V34"/>
    <mergeCell ref="V52:V53"/>
    <mergeCell ref="V54:V56"/>
    <mergeCell ref="V57:V59"/>
    <mergeCell ref="V60:V62"/>
    <mergeCell ref="V10:V11"/>
    <mergeCell ref="V12:V13"/>
    <mergeCell ref="V19:V20"/>
    <mergeCell ref="V23:V24"/>
    <mergeCell ref="V27:V28"/>
    <mergeCell ref="V25:V26"/>
  </mergeCells>
  <conditionalFormatting sqref="U1:U5">
    <cfRule type="cellIs" dxfId="2" priority="3" operator="lessThan">
      <formula>10</formula>
    </cfRule>
  </conditionalFormatting>
  <conditionalFormatting sqref="U37">
    <cfRule type="cellIs" dxfId="1" priority="2" operator="lessThan">
      <formula>10</formula>
    </cfRule>
  </conditionalFormatting>
  <conditionalFormatting sqref="U71">
    <cfRule type="cellIs" dxfId="0" priority="1" operator="lessThan">
      <formula>10</formula>
    </cfRule>
  </conditionalFormatting>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64"/>
  <sheetViews>
    <sheetView workbookViewId="0">
      <pane xSplit="4420" ySplit="580" topLeftCell="D36" activePane="bottomRight"/>
      <selection pane="topRight" activeCell="I1" sqref="I1:I1048576"/>
      <selection pane="bottomLeft" activeCell="A2" sqref="A2"/>
      <selection pane="bottomRight" activeCell="I44" sqref="I44"/>
    </sheetView>
  </sheetViews>
  <sheetFormatPr defaultColWidth="8.83203125" defaultRowHeight="15.5"/>
  <cols>
    <col min="1" max="1" width="4.83203125" bestFit="1" customWidth="1"/>
    <col min="2" max="2" width="14.5" bestFit="1" customWidth="1"/>
    <col min="3" max="3" width="8.5" bestFit="1" customWidth="1"/>
    <col min="4" max="4" width="4.83203125" bestFit="1" customWidth="1"/>
    <col min="5" max="5" width="28" bestFit="1" customWidth="1"/>
    <col min="6" max="8" width="37.33203125" bestFit="1" customWidth="1"/>
    <col min="9" max="9" width="17.33203125" bestFit="1" customWidth="1"/>
  </cols>
  <sheetData>
    <row r="1" spans="1:9" s="1" customFormat="1" ht="13">
      <c r="A1" s="1" t="s">
        <v>2284</v>
      </c>
      <c r="B1" s="1" t="s">
        <v>2285</v>
      </c>
      <c r="C1" s="1" t="s">
        <v>2286</v>
      </c>
      <c r="D1" s="1" t="s">
        <v>2287</v>
      </c>
      <c r="E1" s="1" t="s">
        <v>2288</v>
      </c>
      <c r="F1" s="1" t="s">
        <v>2289</v>
      </c>
      <c r="G1" s="1" t="s">
        <v>2290</v>
      </c>
      <c r="H1" s="1" t="s">
        <v>2291</v>
      </c>
      <c r="I1" s="609" t="s">
        <v>2832</v>
      </c>
    </row>
    <row r="2" spans="1:9" s="1" customFormat="1">
      <c r="A2">
        <v>19</v>
      </c>
      <c r="B2">
        <v>2017</v>
      </c>
      <c r="C2" t="s">
        <v>1708</v>
      </c>
      <c r="D2">
        <v>1</v>
      </c>
      <c r="E2" s="1" t="s">
        <v>2292</v>
      </c>
      <c r="F2" s="583" t="s">
        <v>2292</v>
      </c>
      <c r="G2" s="583" t="s">
        <v>2292</v>
      </c>
      <c r="H2" s="583" t="s">
        <v>2292</v>
      </c>
      <c r="I2" s="1">
        <f>mass_filt!Y6-mass_filt!X6</f>
        <v>190.73000000000138</v>
      </c>
    </row>
    <row r="3" spans="1:9">
      <c r="A3">
        <v>19</v>
      </c>
      <c r="B3">
        <v>2017</v>
      </c>
      <c r="C3" t="s">
        <v>1708</v>
      </c>
      <c r="D3">
        <v>2</v>
      </c>
      <c r="E3" s="1" t="s">
        <v>2292</v>
      </c>
      <c r="F3" s="583" t="s">
        <v>2292</v>
      </c>
      <c r="G3" s="583" t="s">
        <v>2292</v>
      </c>
      <c r="H3" s="583" t="s">
        <v>2292</v>
      </c>
      <c r="I3" s="583">
        <f>mass_filt!Y7-mass_filt!X7</f>
        <v>148.18000000000029</v>
      </c>
    </row>
    <row r="4" spans="1:9">
      <c r="A4">
        <v>19</v>
      </c>
      <c r="B4">
        <v>2017</v>
      </c>
      <c r="C4" t="s">
        <v>1708</v>
      </c>
      <c r="D4">
        <v>3</v>
      </c>
      <c r="E4" s="1" t="s">
        <v>2292</v>
      </c>
      <c r="F4" s="583" t="s">
        <v>2292</v>
      </c>
      <c r="G4" s="583" t="s">
        <v>2292</v>
      </c>
      <c r="H4" s="583" t="s">
        <v>2292</v>
      </c>
      <c r="I4" s="583">
        <f>mass_filt!Y8-mass_filt!X8</f>
        <v>45.729999999999563</v>
      </c>
    </row>
    <row r="5" spans="1:9">
      <c r="A5">
        <v>19</v>
      </c>
      <c r="B5">
        <v>2017</v>
      </c>
      <c r="C5" t="s">
        <v>1708</v>
      </c>
      <c r="D5">
        <v>4</v>
      </c>
      <c r="E5" s="1" t="s">
        <v>2292</v>
      </c>
      <c r="F5" s="583" t="s">
        <v>2292</v>
      </c>
      <c r="G5" s="583" t="s">
        <v>2292</v>
      </c>
      <c r="H5" s="583" t="s">
        <v>2292</v>
      </c>
      <c r="I5" s="583">
        <f>mass_filt!Y9-mass_filt!X9</f>
        <v>180.05999999999949</v>
      </c>
    </row>
    <row r="6" spans="1:9">
      <c r="A6">
        <v>19</v>
      </c>
      <c r="B6">
        <v>2017</v>
      </c>
      <c r="C6" t="s">
        <v>1708</v>
      </c>
      <c r="D6">
        <v>5</v>
      </c>
      <c r="E6" s="1" t="s">
        <v>2292</v>
      </c>
      <c r="F6" s="583" t="s">
        <v>2292</v>
      </c>
      <c r="G6" s="583" t="s">
        <v>2292</v>
      </c>
      <c r="H6" s="583" t="s">
        <v>2292</v>
      </c>
      <c r="I6" s="583">
        <f>mass_filt!Y10-mass_filt!X10</f>
        <v>550.15999999999985</v>
      </c>
    </row>
    <row r="7" spans="1:9">
      <c r="A7">
        <v>19</v>
      </c>
      <c r="B7">
        <v>2017</v>
      </c>
      <c r="C7" t="s">
        <v>1708</v>
      </c>
      <c r="D7">
        <v>6</v>
      </c>
      <c r="E7" s="1" t="s">
        <v>2292</v>
      </c>
      <c r="F7" s="583" t="s">
        <v>2292</v>
      </c>
      <c r="G7" s="583" t="s">
        <v>2292</v>
      </c>
      <c r="H7" s="583" t="s">
        <v>2292</v>
      </c>
      <c r="I7" s="583">
        <f>mass_filt!Y12-mass_filt!X12</f>
        <v>52.149999999999636</v>
      </c>
    </row>
    <row r="8" spans="1:9">
      <c r="A8">
        <v>19</v>
      </c>
      <c r="B8">
        <v>2017</v>
      </c>
      <c r="C8" t="s">
        <v>1708</v>
      </c>
      <c r="D8">
        <v>7</v>
      </c>
      <c r="E8" s="1" t="s">
        <v>2292</v>
      </c>
      <c r="F8" s="583" t="s">
        <v>2292</v>
      </c>
      <c r="G8" s="583" t="s">
        <v>2292</v>
      </c>
      <c r="H8" s="583" t="s">
        <v>2292</v>
      </c>
      <c r="I8" s="583">
        <f>mass_filt!Y14-mass_filt!X14</f>
        <v>21.540000000000873</v>
      </c>
    </row>
    <row r="9" spans="1:9">
      <c r="A9">
        <v>19</v>
      </c>
      <c r="B9">
        <v>2017</v>
      </c>
      <c r="C9" t="s">
        <v>1708</v>
      </c>
      <c r="D9">
        <v>8</v>
      </c>
      <c r="E9" s="1" t="s">
        <v>2292</v>
      </c>
      <c r="F9" s="583" t="s">
        <v>2292</v>
      </c>
      <c r="G9" s="583" t="s">
        <v>2292</v>
      </c>
      <c r="H9" s="583" t="s">
        <v>2292</v>
      </c>
      <c r="I9" s="610">
        <f>mass_filt!Y15-mass_filt!X15</f>
        <v>28.970000000001164</v>
      </c>
    </row>
    <row r="10" spans="1:9">
      <c r="A10">
        <v>19</v>
      </c>
      <c r="B10">
        <v>2017</v>
      </c>
      <c r="C10" t="s">
        <v>1708</v>
      </c>
      <c r="D10">
        <v>9</v>
      </c>
      <c r="E10" s="1" t="s">
        <v>2292</v>
      </c>
      <c r="F10" s="583" t="s">
        <v>2292</v>
      </c>
      <c r="G10" s="583" t="s">
        <v>2292</v>
      </c>
      <c r="H10" s="583" t="s">
        <v>2292</v>
      </c>
      <c r="I10" s="610">
        <f>mass_filt!Y16-mass_filt!X16</f>
        <v>58.659999999999854</v>
      </c>
    </row>
    <row r="11" spans="1:9">
      <c r="A11">
        <v>19</v>
      </c>
      <c r="B11">
        <v>2017</v>
      </c>
      <c r="C11" t="s">
        <v>1708</v>
      </c>
      <c r="D11">
        <v>10</v>
      </c>
      <c r="E11" s="1" t="s">
        <v>2292</v>
      </c>
      <c r="F11" s="583" t="s">
        <v>2292</v>
      </c>
      <c r="G11" s="583" t="s">
        <v>2292</v>
      </c>
      <c r="H11" s="583" t="s">
        <v>2292</v>
      </c>
      <c r="I11" s="610">
        <f>mass_filt!Y17-mass_filt!X17</f>
        <v>202.18000000000029</v>
      </c>
    </row>
    <row r="12" spans="1:9">
      <c r="A12">
        <v>19</v>
      </c>
      <c r="B12">
        <v>2017</v>
      </c>
      <c r="C12" t="s">
        <v>1708</v>
      </c>
      <c r="D12">
        <v>11</v>
      </c>
      <c r="E12" s="1" t="s">
        <v>2292</v>
      </c>
      <c r="F12" s="583" t="s">
        <v>2292</v>
      </c>
      <c r="G12" s="583" t="s">
        <v>2292</v>
      </c>
      <c r="H12" s="583" t="s">
        <v>2292</v>
      </c>
      <c r="I12" s="610">
        <f>mass_filt!Y18-mass_filt!X18</f>
        <v>266.02000000000044</v>
      </c>
    </row>
    <row r="13" spans="1:9">
      <c r="A13">
        <v>19</v>
      </c>
      <c r="B13">
        <v>2017</v>
      </c>
      <c r="C13" t="s">
        <v>1708</v>
      </c>
      <c r="D13">
        <v>12</v>
      </c>
      <c r="E13" s="1" t="s">
        <v>2292</v>
      </c>
      <c r="F13" s="583" t="s">
        <v>2292</v>
      </c>
      <c r="G13" s="583" t="s">
        <v>2292</v>
      </c>
      <c r="H13" s="583" t="s">
        <v>2292</v>
      </c>
      <c r="I13" s="610">
        <f>mass_filt!Y19-mass_filt!X19</f>
        <v>65.509999999998399</v>
      </c>
    </row>
    <row r="14" spans="1:9">
      <c r="A14">
        <v>19</v>
      </c>
      <c r="B14">
        <v>2017</v>
      </c>
      <c r="C14" t="s">
        <v>1708</v>
      </c>
      <c r="D14">
        <v>13</v>
      </c>
      <c r="E14" s="1" t="s">
        <v>2292</v>
      </c>
      <c r="F14" s="583" t="s">
        <v>2292</v>
      </c>
      <c r="G14" s="583" t="s">
        <v>2292</v>
      </c>
      <c r="H14" s="583" t="s">
        <v>2292</v>
      </c>
      <c r="I14" s="610">
        <f>mass_filt!Y21-mass_filt!X21</f>
        <v>36.739999999999782</v>
      </c>
    </row>
    <row r="15" spans="1:9">
      <c r="A15">
        <v>19</v>
      </c>
      <c r="B15">
        <v>2017</v>
      </c>
      <c r="C15" t="s">
        <v>1708</v>
      </c>
      <c r="D15">
        <v>14</v>
      </c>
      <c r="E15" s="1" t="s">
        <v>2292</v>
      </c>
      <c r="F15" s="583" t="s">
        <v>2292</v>
      </c>
      <c r="G15" s="583" t="s">
        <v>2292</v>
      </c>
      <c r="H15" s="583" t="s">
        <v>2292</v>
      </c>
      <c r="I15" s="610">
        <f>mass_filt!Y22-mass_filt!X22</f>
        <v>534.23999999999978</v>
      </c>
    </row>
    <row r="16" spans="1:9">
      <c r="A16">
        <v>19</v>
      </c>
      <c r="B16">
        <v>2017</v>
      </c>
      <c r="C16" t="s">
        <v>1708</v>
      </c>
      <c r="D16">
        <v>15</v>
      </c>
      <c r="E16" s="1" t="s">
        <v>2292</v>
      </c>
      <c r="F16" s="583" t="s">
        <v>2292</v>
      </c>
      <c r="G16" s="583" t="s">
        <v>2292</v>
      </c>
      <c r="H16" s="583" t="s">
        <v>2292</v>
      </c>
      <c r="I16" s="610">
        <f>mass_filt!Y23-mass_filt!X23</f>
        <v>1091.3199999999997</v>
      </c>
    </row>
    <row r="17" spans="1:9">
      <c r="A17">
        <v>19</v>
      </c>
      <c r="B17">
        <v>2017</v>
      </c>
      <c r="C17" t="s">
        <v>1708</v>
      </c>
      <c r="D17">
        <v>16</v>
      </c>
      <c r="E17" s="1" t="s">
        <v>2292</v>
      </c>
      <c r="F17" s="583" t="s">
        <v>2292</v>
      </c>
      <c r="G17" s="583" t="s">
        <v>2292</v>
      </c>
      <c r="H17" s="583" t="s">
        <v>2292</v>
      </c>
      <c r="I17" s="610">
        <f>mass_filt!Y25-mass_filt!X25</f>
        <v>650.69999999999891</v>
      </c>
    </row>
    <row r="18" spans="1:9">
      <c r="A18">
        <v>19</v>
      </c>
      <c r="B18">
        <v>2017</v>
      </c>
      <c r="C18" t="s">
        <v>1708</v>
      </c>
      <c r="D18">
        <v>17</v>
      </c>
      <c r="E18" s="1" t="s">
        <v>2292</v>
      </c>
      <c r="F18" s="583" t="s">
        <v>2292</v>
      </c>
      <c r="G18" s="583" t="s">
        <v>2292</v>
      </c>
      <c r="H18" s="583" t="s">
        <v>2292</v>
      </c>
      <c r="I18" s="610">
        <f>mass_filt!Y27-mass_filt!X27</f>
        <v>446.21000000000095</v>
      </c>
    </row>
    <row r="19" spans="1:9">
      <c r="A19">
        <v>19</v>
      </c>
      <c r="B19">
        <v>2017</v>
      </c>
      <c r="C19" t="s">
        <v>1708</v>
      </c>
      <c r="D19">
        <v>18</v>
      </c>
      <c r="E19" s="1" t="s">
        <v>2292</v>
      </c>
      <c r="F19" s="583" t="s">
        <v>2292</v>
      </c>
      <c r="G19" s="583" t="s">
        <v>2292</v>
      </c>
      <c r="H19" s="583" t="s">
        <v>2292</v>
      </c>
      <c r="I19" s="610">
        <f>mass_filt!Y29-mass_filt!X29</f>
        <v>718.07999999999993</v>
      </c>
    </row>
    <row r="20" spans="1:9">
      <c r="A20">
        <v>19</v>
      </c>
      <c r="B20">
        <v>2017</v>
      </c>
      <c r="C20" t="s">
        <v>1708</v>
      </c>
      <c r="D20">
        <v>19</v>
      </c>
      <c r="E20" s="1" t="s">
        <v>2292</v>
      </c>
      <c r="F20" s="583" t="s">
        <v>2292</v>
      </c>
      <c r="G20" s="583" t="s">
        <v>2292</v>
      </c>
      <c r="H20" s="583" t="s">
        <v>2292</v>
      </c>
      <c r="I20" s="610">
        <f>mass_filt!Y31-mass_filt!X31</f>
        <v>539.91000000000167</v>
      </c>
    </row>
    <row r="21" spans="1:9">
      <c r="A21">
        <v>19</v>
      </c>
      <c r="B21">
        <v>2017</v>
      </c>
      <c r="C21" t="s">
        <v>1708</v>
      </c>
      <c r="D21">
        <v>20</v>
      </c>
      <c r="E21" s="1" t="s">
        <v>2292</v>
      </c>
      <c r="F21" s="583" t="s">
        <v>2292</v>
      </c>
      <c r="G21" s="583" t="s">
        <v>2292</v>
      </c>
      <c r="H21" s="583" t="s">
        <v>2292</v>
      </c>
      <c r="I21" s="610">
        <f>mass_filt!Y33-mass_filt!X33</f>
        <v>539.85999999999876</v>
      </c>
    </row>
    <row r="22" spans="1:9">
      <c r="A22">
        <v>19</v>
      </c>
      <c r="B22">
        <v>2017</v>
      </c>
      <c r="C22" t="s">
        <v>1708</v>
      </c>
      <c r="D22">
        <v>21</v>
      </c>
      <c r="E22" s="1" t="s">
        <v>2292</v>
      </c>
      <c r="F22" s="583" t="s">
        <v>2292</v>
      </c>
      <c r="G22" s="583" t="s">
        <v>2292</v>
      </c>
      <c r="H22" s="583" t="s">
        <v>2292</v>
      </c>
      <c r="I22" s="610">
        <f>mass_filt!Y35-mass_filt!X35</f>
        <v>11.860000000000582</v>
      </c>
    </row>
    <row r="23" spans="1:9">
      <c r="A23">
        <v>19</v>
      </c>
      <c r="B23">
        <v>2017</v>
      </c>
      <c r="C23" t="s">
        <v>1750</v>
      </c>
      <c r="D23">
        <v>1</v>
      </c>
      <c r="E23" s="1" t="s">
        <v>2292</v>
      </c>
      <c r="F23" s="583" t="s">
        <v>2292</v>
      </c>
      <c r="G23" s="583" t="s">
        <v>2292</v>
      </c>
      <c r="H23" s="583" t="s">
        <v>2292</v>
      </c>
      <c r="I23" s="583">
        <f>mass_filt!Y38-mass_filt!X38</f>
        <v>249.10000000000036</v>
      </c>
    </row>
    <row r="24" spans="1:9">
      <c r="A24">
        <v>19</v>
      </c>
      <c r="B24">
        <v>2017</v>
      </c>
      <c r="C24" t="s">
        <v>1750</v>
      </c>
      <c r="D24">
        <v>2</v>
      </c>
      <c r="E24" s="1" t="s">
        <v>2292</v>
      </c>
      <c r="F24" s="583" t="s">
        <v>2292</v>
      </c>
      <c r="G24" s="583" t="s">
        <v>2292</v>
      </c>
      <c r="H24" s="583" t="s">
        <v>2292</v>
      </c>
      <c r="I24" s="610">
        <f>mass_filt!Y39-mass_filt!X39</f>
        <v>333.68999999999869</v>
      </c>
    </row>
    <row r="25" spans="1:9">
      <c r="A25">
        <v>19</v>
      </c>
      <c r="B25">
        <v>2017</v>
      </c>
      <c r="C25" t="s">
        <v>1750</v>
      </c>
      <c r="D25">
        <v>3</v>
      </c>
      <c r="E25" s="1" t="s">
        <v>2292</v>
      </c>
      <c r="F25" s="583" t="s">
        <v>2292</v>
      </c>
      <c r="G25" s="583" t="s">
        <v>2292</v>
      </c>
      <c r="H25" s="583" t="s">
        <v>2292</v>
      </c>
      <c r="I25" s="610">
        <f>mass_filt!Y40-mass_filt!X40</f>
        <v>392.42000000000007</v>
      </c>
    </row>
    <row r="26" spans="1:9">
      <c r="A26">
        <v>19</v>
      </c>
      <c r="B26">
        <v>2017</v>
      </c>
      <c r="C26" t="s">
        <v>1750</v>
      </c>
      <c r="D26">
        <v>4</v>
      </c>
      <c r="E26" s="1" t="s">
        <v>2292</v>
      </c>
      <c r="F26" s="583" t="s">
        <v>2292</v>
      </c>
      <c r="G26" s="583" t="s">
        <v>2292</v>
      </c>
      <c r="H26" s="583" t="s">
        <v>2292</v>
      </c>
      <c r="I26" s="610">
        <f>mass_filt!Y41-mass_filt!X41</f>
        <v>443.04000000000087</v>
      </c>
    </row>
    <row r="27" spans="1:9">
      <c r="A27">
        <v>19</v>
      </c>
      <c r="B27">
        <v>2017</v>
      </c>
      <c r="C27" t="s">
        <v>1750</v>
      </c>
      <c r="D27">
        <v>5</v>
      </c>
      <c r="E27" s="1" t="s">
        <v>2292</v>
      </c>
      <c r="F27" s="583" t="s">
        <v>2292</v>
      </c>
      <c r="G27" s="583" t="s">
        <v>2292</v>
      </c>
      <c r="H27" s="583" t="s">
        <v>2292</v>
      </c>
      <c r="I27" s="610">
        <f>mass_filt!Y42-mass_filt!X42</f>
        <v>349.06999999999971</v>
      </c>
    </row>
    <row r="28" spans="1:9">
      <c r="A28">
        <v>19</v>
      </c>
      <c r="B28">
        <v>2017</v>
      </c>
      <c r="C28" t="s">
        <v>1750</v>
      </c>
      <c r="D28">
        <v>6</v>
      </c>
      <c r="E28" s="1" t="s">
        <v>2292</v>
      </c>
      <c r="F28" s="583" t="s">
        <v>2292</v>
      </c>
      <c r="G28" s="583" t="s">
        <v>2292</v>
      </c>
      <c r="H28" s="583" t="s">
        <v>2292</v>
      </c>
      <c r="I28" s="610">
        <f>mass_filt!Y43-mass_filt!X43</f>
        <v>316.78999999999905</v>
      </c>
    </row>
    <row r="29" spans="1:9">
      <c r="A29">
        <v>19</v>
      </c>
      <c r="B29">
        <v>2017</v>
      </c>
      <c r="C29" t="s">
        <v>1750</v>
      </c>
      <c r="D29">
        <v>7</v>
      </c>
      <c r="E29" s="1" t="s">
        <v>2292</v>
      </c>
      <c r="F29" s="583" t="s">
        <v>2292</v>
      </c>
      <c r="G29" s="583" t="s">
        <v>2292</v>
      </c>
      <c r="H29" s="583" t="s">
        <v>2292</v>
      </c>
      <c r="I29" s="610">
        <f>mass_filt!Y44-mass_filt!X44</f>
        <v>274.60999999999876</v>
      </c>
    </row>
    <row r="30" spans="1:9">
      <c r="A30">
        <v>19</v>
      </c>
      <c r="B30">
        <v>2017</v>
      </c>
      <c r="C30" t="s">
        <v>1750</v>
      </c>
      <c r="D30">
        <v>8</v>
      </c>
      <c r="E30" s="1" t="s">
        <v>2292</v>
      </c>
      <c r="F30" s="583" t="s">
        <v>2292</v>
      </c>
      <c r="G30" s="583" t="s">
        <v>2292</v>
      </c>
      <c r="H30" s="583" t="s">
        <v>2292</v>
      </c>
      <c r="I30" s="610">
        <f>mass_filt!Y45-mass_filt!X45</f>
        <v>258.3799999999992</v>
      </c>
    </row>
    <row r="31" spans="1:9">
      <c r="A31">
        <v>19</v>
      </c>
      <c r="B31">
        <v>2017</v>
      </c>
      <c r="C31" t="s">
        <v>1750</v>
      </c>
      <c r="D31">
        <v>9</v>
      </c>
      <c r="E31" s="1" t="s">
        <v>2292</v>
      </c>
      <c r="F31" s="583" t="s">
        <v>2292</v>
      </c>
      <c r="G31" s="583" t="s">
        <v>2292</v>
      </c>
      <c r="H31" s="583" t="s">
        <v>2292</v>
      </c>
      <c r="I31" s="610">
        <f>mass_filt!Y46-mass_filt!X46</f>
        <v>191.76000000000022</v>
      </c>
    </row>
    <row r="32" spans="1:9">
      <c r="A32">
        <v>19</v>
      </c>
      <c r="B32">
        <v>2017</v>
      </c>
      <c r="C32" t="s">
        <v>1750</v>
      </c>
      <c r="D32">
        <v>10</v>
      </c>
      <c r="E32" s="1" t="s">
        <v>2292</v>
      </c>
      <c r="F32" s="583" t="s">
        <v>2292</v>
      </c>
      <c r="G32" s="583" t="s">
        <v>2292</v>
      </c>
      <c r="H32" s="583" t="s">
        <v>2292</v>
      </c>
      <c r="I32" s="610">
        <f>mass_filt!Y47-mass_filt!X47</f>
        <v>188.22999999999956</v>
      </c>
    </row>
    <row r="33" spans="1:9">
      <c r="A33">
        <v>19</v>
      </c>
      <c r="B33">
        <v>2017</v>
      </c>
      <c r="C33" t="s">
        <v>1750</v>
      </c>
      <c r="D33">
        <v>11</v>
      </c>
      <c r="E33" s="1" t="s">
        <v>2292</v>
      </c>
      <c r="F33" s="583" t="s">
        <v>2292</v>
      </c>
      <c r="G33" s="583" t="s">
        <v>2292</v>
      </c>
      <c r="H33" s="583" t="s">
        <v>2292</v>
      </c>
      <c r="I33" s="610">
        <f>mass_filt!Y48-mass_filt!X48</f>
        <v>336.23999999999978</v>
      </c>
    </row>
    <row r="34" spans="1:9">
      <c r="A34">
        <v>19</v>
      </c>
      <c r="B34">
        <v>2017</v>
      </c>
      <c r="C34" t="s">
        <v>1750</v>
      </c>
      <c r="D34">
        <v>12</v>
      </c>
      <c r="E34" s="1" t="s">
        <v>2292</v>
      </c>
      <c r="F34" s="583" t="s">
        <v>2292</v>
      </c>
      <c r="G34" s="583" t="s">
        <v>2292</v>
      </c>
      <c r="H34" s="583" t="s">
        <v>2292</v>
      </c>
      <c r="I34" s="610">
        <f>mass_filt!Y49-mass_filt!X49</f>
        <v>318.59000000000015</v>
      </c>
    </row>
    <row r="35" spans="1:9">
      <c r="A35">
        <v>19</v>
      </c>
      <c r="B35">
        <v>2017</v>
      </c>
      <c r="C35" t="s">
        <v>1750</v>
      </c>
      <c r="D35">
        <v>13</v>
      </c>
      <c r="E35" s="1" t="s">
        <v>2292</v>
      </c>
      <c r="F35" s="583" t="s">
        <v>2292</v>
      </c>
      <c r="G35" s="583" t="s">
        <v>2292</v>
      </c>
      <c r="H35" s="583" t="s">
        <v>2292</v>
      </c>
      <c r="I35" s="610">
        <f>mass_filt!Y50-mass_filt!X50</f>
        <v>209.09000000000015</v>
      </c>
    </row>
    <row r="36" spans="1:9">
      <c r="A36">
        <v>19</v>
      </c>
      <c r="B36">
        <v>2017</v>
      </c>
      <c r="C36" t="s">
        <v>1750</v>
      </c>
      <c r="D36">
        <v>14</v>
      </c>
      <c r="E36" s="1" t="s">
        <v>2292</v>
      </c>
      <c r="F36" s="583" t="s">
        <v>2292</v>
      </c>
      <c r="G36" s="583" t="s">
        <v>2292</v>
      </c>
      <c r="H36" s="583" t="s">
        <v>2292</v>
      </c>
      <c r="I36" s="610">
        <f>mass_filt!Y51-mass_filt!X51</f>
        <v>544.11000000000058</v>
      </c>
    </row>
    <row r="37" spans="1:9">
      <c r="A37">
        <v>19</v>
      </c>
      <c r="B37">
        <v>2017</v>
      </c>
      <c r="C37" t="s">
        <v>1750</v>
      </c>
      <c r="D37">
        <v>15</v>
      </c>
      <c r="E37" s="1" t="s">
        <v>2292</v>
      </c>
      <c r="F37" s="583" t="s">
        <v>2292</v>
      </c>
      <c r="G37" s="583" t="s">
        <v>2292</v>
      </c>
      <c r="H37" s="583" t="s">
        <v>2292</v>
      </c>
      <c r="I37" s="610">
        <f>mass_filt!Y52-mass_filt!X52</f>
        <v>1029.8700000000008</v>
      </c>
    </row>
    <row r="38" spans="1:9">
      <c r="A38">
        <v>19</v>
      </c>
      <c r="B38">
        <v>2017</v>
      </c>
      <c r="C38" t="s">
        <v>1750</v>
      </c>
      <c r="D38">
        <v>16</v>
      </c>
      <c r="E38" s="1" t="s">
        <v>2292</v>
      </c>
      <c r="F38" s="583" t="s">
        <v>2292</v>
      </c>
      <c r="G38" s="583" t="s">
        <v>2292</v>
      </c>
      <c r="H38" s="583" t="s">
        <v>2292</v>
      </c>
      <c r="I38" s="583">
        <f>mass_filt!Y54-mass_filt!X54</f>
        <v>1357.6399999999994</v>
      </c>
    </row>
    <row r="39" spans="1:9">
      <c r="A39">
        <v>19</v>
      </c>
      <c r="B39">
        <v>2017</v>
      </c>
      <c r="C39" t="s">
        <v>1750</v>
      </c>
      <c r="D39">
        <v>17</v>
      </c>
      <c r="E39" s="1" t="s">
        <v>2292</v>
      </c>
      <c r="F39" s="583" t="s">
        <v>2292</v>
      </c>
      <c r="G39" s="583" t="s">
        <v>2292</v>
      </c>
      <c r="H39" s="583" t="s">
        <v>2292</v>
      </c>
      <c r="I39" s="583">
        <f>mass_filt!Y57-mass_filt!X57</f>
        <v>729.42000000000007</v>
      </c>
    </row>
    <row r="40" spans="1:9">
      <c r="A40">
        <v>19</v>
      </c>
      <c r="B40">
        <v>2017</v>
      </c>
      <c r="C40" t="s">
        <v>1750</v>
      </c>
      <c r="D40">
        <v>18</v>
      </c>
      <c r="E40" s="1" t="s">
        <v>2292</v>
      </c>
      <c r="F40" s="583" t="s">
        <v>2292</v>
      </c>
      <c r="G40" s="583" t="s">
        <v>2292</v>
      </c>
      <c r="H40" s="583" t="s">
        <v>2292</v>
      </c>
      <c r="I40" s="583">
        <f>mass_filt!Y60-mass_filt!X60</f>
        <v>823.23999999999978</v>
      </c>
    </row>
    <row r="41" spans="1:9">
      <c r="A41">
        <v>19</v>
      </c>
      <c r="B41">
        <v>2017</v>
      </c>
      <c r="C41" t="s">
        <v>1750</v>
      </c>
      <c r="D41">
        <v>19</v>
      </c>
      <c r="E41" s="1" t="s">
        <v>2292</v>
      </c>
      <c r="F41" s="583" t="s">
        <v>2292</v>
      </c>
      <c r="G41" s="583" t="s">
        <v>2292</v>
      </c>
      <c r="H41" s="583" t="s">
        <v>2292</v>
      </c>
      <c r="I41" s="583">
        <f>mass_filt!Y63-mass_filt!X63</f>
        <v>815.3700000000008</v>
      </c>
    </row>
    <row r="42" spans="1:9">
      <c r="A42">
        <v>19</v>
      </c>
      <c r="B42">
        <v>2017</v>
      </c>
      <c r="C42" t="s">
        <v>1750</v>
      </c>
      <c r="D42">
        <v>20</v>
      </c>
      <c r="E42" s="1" t="s">
        <v>2292</v>
      </c>
      <c r="F42" s="583" t="s">
        <v>2292</v>
      </c>
      <c r="G42" s="583" t="s">
        <v>2292</v>
      </c>
      <c r="H42" s="583" t="s">
        <v>2292</v>
      </c>
      <c r="I42" s="583">
        <f>mass_filt!Y66-mass_filt!X66</f>
        <v>763.51000000000022</v>
      </c>
    </row>
    <row r="43" spans="1:9">
      <c r="A43">
        <v>19</v>
      </c>
      <c r="B43">
        <v>2017</v>
      </c>
      <c r="C43" t="s">
        <v>1750</v>
      </c>
      <c r="D43">
        <v>21</v>
      </c>
      <c r="E43" s="1" t="s">
        <v>2292</v>
      </c>
      <c r="F43" s="583" t="s">
        <v>2292</v>
      </c>
      <c r="G43" s="583" t="s">
        <v>2292</v>
      </c>
      <c r="H43" s="583" t="s">
        <v>2292</v>
      </c>
      <c r="I43" s="583">
        <f>mass_filt!Y69-mass_filt!X69</f>
        <v>104.53000000000065</v>
      </c>
    </row>
    <row r="44" spans="1:9">
      <c r="A44">
        <v>19</v>
      </c>
      <c r="B44">
        <v>2017</v>
      </c>
      <c r="C44" t="s">
        <v>1776</v>
      </c>
      <c r="D44">
        <v>1</v>
      </c>
      <c r="E44" s="1" t="s">
        <v>2292</v>
      </c>
      <c r="F44" s="583" t="s">
        <v>2292</v>
      </c>
      <c r="G44" s="583" t="s">
        <v>2292</v>
      </c>
      <c r="H44" s="583" t="s">
        <v>2292</v>
      </c>
      <c r="I44" s="583">
        <f>mass_filt!Y72-mass_filt!X72</f>
        <v>244.18000000000029</v>
      </c>
    </row>
    <row r="45" spans="1:9">
      <c r="A45">
        <v>19</v>
      </c>
      <c r="B45">
        <v>2017</v>
      </c>
      <c r="C45" t="s">
        <v>1776</v>
      </c>
      <c r="D45">
        <v>2</v>
      </c>
      <c r="E45" s="1" t="s">
        <v>2292</v>
      </c>
      <c r="F45" s="583" t="s">
        <v>2292</v>
      </c>
      <c r="G45" s="583" t="s">
        <v>2292</v>
      </c>
      <c r="H45" s="583" t="s">
        <v>2292</v>
      </c>
      <c r="I45" s="610">
        <f>mass_filt!Y73-mass_filt!X73</f>
        <v>291.75</v>
      </c>
    </row>
    <row r="46" spans="1:9">
      <c r="A46">
        <v>19</v>
      </c>
      <c r="B46">
        <v>2017</v>
      </c>
      <c r="C46" t="s">
        <v>1776</v>
      </c>
      <c r="D46">
        <v>3</v>
      </c>
      <c r="E46" s="1" t="s">
        <v>2292</v>
      </c>
      <c r="F46" s="583" t="s">
        <v>2292</v>
      </c>
      <c r="G46" s="583" t="s">
        <v>2292</v>
      </c>
      <c r="H46" s="583" t="s">
        <v>2292</v>
      </c>
      <c r="I46" s="583">
        <f>mass_filt!Y75-mass_filt!X75</f>
        <v>339.47999999999956</v>
      </c>
    </row>
    <row r="47" spans="1:9">
      <c r="A47">
        <v>19</v>
      </c>
      <c r="B47">
        <v>2017</v>
      </c>
      <c r="C47" t="s">
        <v>1776</v>
      </c>
      <c r="D47">
        <v>4</v>
      </c>
      <c r="E47" s="1" t="s">
        <v>2292</v>
      </c>
      <c r="F47" s="583" t="s">
        <v>2292</v>
      </c>
      <c r="G47" s="583" t="s">
        <v>2292</v>
      </c>
      <c r="H47" s="583" t="s">
        <v>2292</v>
      </c>
      <c r="I47" s="610">
        <f>mass_filt!Y76-mass_filt!X76</f>
        <v>354.06999999999971</v>
      </c>
    </row>
    <row r="48" spans="1:9">
      <c r="A48">
        <v>19</v>
      </c>
      <c r="B48">
        <v>2017</v>
      </c>
      <c r="C48" t="s">
        <v>1776</v>
      </c>
      <c r="D48">
        <v>5</v>
      </c>
      <c r="E48" s="1" t="s">
        <v>2292</v>
      </c>
      <c r="F48" s="583" t="s">
        <v>2292</v>
      </c>
      <c r="G48" s="583" t="s">
        <v>2292</v>
      </c>
      <c r="H48" s="583" t="s">
        <v>2292</v>
      </c>
      <c r="I48" s="610">
        <f>mass_filt!Y77-mass_filt!X77</f>
        <v>364.93000000000029</v>
      </c>
    </row>
    <row r="49" spans="1:9">
      <c r="A49">
        <v>19</v>
      </c>
      <c r="B49">
        <v>2017</v>
      </c>
      <c r="C49" t="s">
        <v>1776</v>
      </c>
      <c r="D49">
        <v>6</v>
      </c>
      <c r="E49" s="1" t="s">
        <v>2292</v>
      </c>
      <c r="F49" s="583" t="s">
        <v>2292</v>
      </c>
      <c r="G49" s="583" t="s">
        <v>2292</v>
      </c>
      <c r="H49" s="583" t="s">
        <v>2292</v>
      </c>
      <c r="I49" s="610">
        <f>mass_filt!Y78-mass_filt!X78</f>
        <v>283.38000000000102</v>
      </c>
    </row>
    <row r="50" spans="1:9">
      <c r="A50">
        <v>19</v>
      </c>
      <c r="B50">
        <v>2017</v>
      </c>
      <c r="C50" t="s">
        <v>1776</v>
      </c>
      <c r="D50">
        <v>7</v>
      </c>
      <c r="E50" s="1" t="s">
        <v>2292</v>
      </c>
      <c r="F50" s="583" t="s">
        <v>2292</v>
      </c>
      <c r="G50" s="583" t="s">
        <v>2292</v>
      </c>
      <c r="H50" s="583" t="s">
        <v>2292</v>
      </c>
      <c r="I50" s="610">
        <f>mass_filt!Y79-mass_filt!X79</f>
        <v>310.88999999999942</v>
      </c>
    </row>
    <row r="51" spans="1:9">
      <c r="A51">
        <v>19</v>
      </c>
      <c r="B51">
        <v>2017</v>
      </c>
      <c r="C51" t="s">
        <v>1776</v>
      </c>
      <c r="D51">
        <v>8</v>
      </c>
      <c r="E51" s="1" t="s">
        <v>2292</v>
      </c>
      <c r="F51" s="583" t="s">
        <v>2292</v>
      </c>
      <c r="G51" s="583" t="s">
        <v>2292</v>
      </c>
      <c r="H51" s="583" t="s">
        <v>2292</v>
      </c>
      <c r="I51" s="610">
        <f>mass_filt!Y80-mass_filt!X80</f>
        <v>294.31999999999971</v>
      </c>
    </row>
    <row r="52" spans="1:9">
      <c r="A52">
        <v>19</v>
      </c>
      <c r="B52">
        <v>2017</v>
      </c>
      <c r="C52" t="s">
        <v>1776</v>
      </c>
      <c r="D52">
        <v>9</v>
      </c>
      <c r="E52" s="1" t="s">
        <v>2292</v>
      </c>
      <c r="F52" s="583" t="s">
        <v>2292</v>
      </c>
      <c r="G52" s="583" t="s">
        <v>2292</v>
      </c>
      <c r="H52" s="583" t="s">
        <v>2292</v>
      </c>
      <c r="I52" s="610">
        <f>mass_filt!Y81-mass_filt!X81</f>
        <v>282.39999999999964</v>
      </c>
    </row>
    <row r="53" spans="1:9">
      <c r="A53">
        <v>19</v>
      </c>
      <c r="B53">
        <v>2017</v>
      </c>
      <c r="C53" t="s">
        <v>1776</v>
      </c>
      <c r="D53">
        <v>10</v>
      </c>
      <c r="E53" s="1" t="s">
        <v>2292</v>
      </c>
      <c r="F53" s="583" t="s">
        <v>2292</v>
      </c>
      <c r="G53" s="583" t="s">
        <v>2292</v>
      </c>
      <c r="H53" s="583" t="s">
        <v>2292</v>
      </c>
      <c r="I53" s="610">
        <f>mass_filt!Y82-mass_filt!X82</f>
        <v>271.94000000000051</v>
      </c>
    </row>
    <row r="54" spans="1:9">
      <c r="A54">
        <v>19</v>
      </c>
      <c r="B54">
        <v>2017</v>
      </c>
      <c r="C54" t="s">
        <v>1776</v>
      </c>
      <c r="D54">
        <v>11</v>
      </c>
      <c r="E54" s="1" t="s">
        <v>2292</v>
      </c>
      <c r="F54" s="583" t="s">
        <v>2292</v>
      </c>
      <c r="G54" s="583" t="s">
        <v>2292</v>
      </c>
      <c r="H54" s="583" t="s">
        <v>2292</v>
      </c>
      <c r="I54" s="610">
        <f>mass_filt!Y83-mass_filt!X83</f>
        <v>249.65999999999985</v>
      </c>
    </row>
    <row r="55" spans="1:9">
      <c r="A55">
        <v>19</v>
      </c>
      <c r="B55">
        <v>2017</v>
      </c>
      <c r="C55" t="s">
        <v>1776</v>
      </c>
      <c r="D55">
        <v>12</v>
      </c>
      <c r="E55" s="1" t="s">
        <v>2292</v>
      </c>
      <c r="F55" s="583" t="s">
        <v>2292</v>
      </c>
      <c r="G55" s="583" t="s">
        <v>2292</v>
      </c>
      <c r="H55" s="583" t="s">
        <v>2292</v>
      </c>
      <c r="I55" s="610">
        <f>mass_filt!Y84-mass_filt!X84</f>
        <v>318.59000000000015</v>
      </c>
    </row>
    <row r="56" spans="1:9">
      <c r="A56">
        <v>19</v>
      </c>
      <c r="B56">
        <v>2017</v>
      </c>
      <c r="C56" t="s">
        <v>1776</v>
      </c>
      <c r="D56">
        <v>13</v>
      </c>
      <c r="E56" s="1" t="s">
        <v>2292</v>
      </c>
      <c r="F56" s="583" t="s">
        <v>2292</v>
      </c>
      <c r="G56" s="583" t="s">
        <v>2292</v>
      </c>
      <c r="H56" s="583" t="s">
        <v>2292</v>
      </c>
      <c r="I56" s="610">
        <f>mass_filt!Y85-mass_filt!X85</f>
        <v>297.01999999999862</v>
      </c>
    </row>
    <row r="57" spans="1:9">
      <c r="A57">
        <v>19</v>
      </c>
      <c r="B57">
        <v>2017</v>
      </c>
      <c r="C57" t="s">
        <v>1776</v>
      </c>
      <c r="D57">
        <v>14</v>
      </c>
      <c r="E57" s="1" t="s">
        <v>2292</v>
      </c>
      <c r="F57" s="583" t="s">
        <v>2292</v>
      </c>
      <c r="G57" s="583" t="s">
        <v>2292</v>
      </c>
      <c r="H57" s="583" t="s">
        <v>2292</v>
      </c>
      <c r="I57" s="610">
        <f>mass_filt!Y86-mass_filt!X86</f>
        <v>431.68000000000029</v>
      </c>
    </row>
    <row r="58" spans="1:9">
      <c r="A58">
        <v>19</v>
      </c>
      <c r="B58">
        <v>2017</v>
      </c>
      <c r="C58" t="s">
        <v>1776</v>
      </c>
      <c r="D58">
        <v>15</v>
      </c>
      <c r="E58" s="1" t="s">
        <v>2292</v>
      </c>
      <c r="F58" s="583" t="s">
        <v>2292</v>
      </c>
      <c r="G58" s="583" t="s">
        <v>2292</v>
      </c>
      <c r="H58" s="583" t="s">
        <v>2292</v>
      </c>
      <c r="I58" s="610">
        <f>mass_filt!Y87-mass_filt!X87</f>
        <v>717.64999999999964</v>
      </c>
    </row>
    <row r="59" spans="1:9">
      <c r="A59">
        <v>19</v>
      </c>
      <c r="B59">
        <v>2017</v>
      </c>
      <c r="C59" t="s">
        <v>1776</v>
      </c>
      <c r="D59">
        <v>16</v>
      </c>
      <c r="E59" s="1" t="s">
        <v>2292</v>
      </c>
      <c r="F59" s="583" t="s">
        <v>2292</v>
      </c>
      <c r="G59" s="583" t="s">
        <v>2292</v>
      </c>
      <c r="H59" s="583" t="s">
        <v>2292</v>
      </c>
      <c r="I59" s="583">
        <f>mass_filt!Y90-mass_filt!X89</f>
        <v>604.22999999999956</v>
      </c>
    </row>
    <row r="60" spans="1:9">
      <c r="A60">
        <v>19</v>
      </c>
      <c r="B60">
        <v>2017</v>
      </c>
      <c r="C60" t="s">
        <v>1776</v>
      </c>
      <c r="D60">
        <v>17</v>
      </c>
      <c r="E60" s="1" t="s">
        <v>2292</v>
      </c>
      <c r="F60" s="583" t="s">
        <v>2292</v>
      </c>
      <c r="G60" s="583" t="s">
        <v>2292</v>
      </c>
      <c r="H60" s="583" t="s">
        <v>2292</v>
      </c>
      <c r="I60" s="583">
        <f>mass_filt!Y92-mass_filt!X92</f>
        <v>853.3700000000008</v>
      </c>
    </row>
    <row r="61" spans="1:9">
      <c r="A61">
        <v>19</v>
      </c>
      <c r="B61">
        <v>2017</v>
      </c>
      <c r="C61" t="s">
        <v>1776</v>
      </c>
      <c r="D61">
        <v>18</v>
      </c>
      <c r="E61" s="1" t="s">
        <v>2292</v>
      </c>
      <c r="F61" s="583" t="s">
        <v>2292</v>
      </c>
      <c r="G61" s="583" t="s">
        <v>2292</v>
      </c>
      <c r="H61" s="583" t="s">
        <v>2292</v>
      </c>
      <c r="I61" s="583">
        <f>mass_filt!Y95-mass_filt!X95</f>
        <v>657.68000000000029</v>
      </c>
    </row>
    <row r="62" spans="1:9">
      <c r="A62">
        <v>19</v>
      </c>
      <c r="B62">
        <v>2017</v>
      </c>
      <c r="C62" t="s">
        <v>1776</v>
      </c>
      <c r="D62">
        <v>19</v>
      </c>
      <c r="E62" s="1" t="s">
        <v>2292</v>
      </c>
      <c r="F62" s="583" t="s">
        <v>2292</v>
      </c>
      <c r="G62" s="583" t="s">
        <v>2292</v>
      </c>
      <c r="H62" s="583" t="s">
        <v>2292</v>
      </c>
      <c r="I62" s="583">
        <f>mass_filt!Y98-mass_filt!X98</f>
        <v>782.88999999999942</v>
      </c>
    </row>
    <row r="63" spans="1:9">
      <c r="A63">
        <v>19</v>
      </c>
      <c r="B63">
        <v>2017</v>
      </c>
      <c r="C63" t="s">
        <v>1776</v>
      </c>
      <c r="D63">
        <v>20</v>
      </c>
      <c r="E63" s="1" t="s">
        <v>2292</v>
      </c>
      <c r="F63" s="583" t="s">
        <v>2292</v>
      </c>
      <c r="G63" s="583" t="s">
        <v>2292</v>
      </c>
      <c r="H63" s="583" t="s">
        <v>2292</v>
      </c>
      <c r="I63" s="583">
        <f>mass_filt!Y101-mass_filt!X101</f>
        <v>1391.8100000000013</v>
      </c>
    </row>
    <row r="64" spans="1:9">
      <c r="A64">
        <v>19</v>
      </c>
      <c r="B64">
        <v>2017</v>
      </c>
      <c r="C64" t="s">
        <v>1776</v>
      </c>
      <c r="D64">
        <v>21</v>
      </c>
      <c r="E64" s="1" t="s">
        <v>2292</v>
      </c>
      <c r="F64" s="583" t="s">
        <v>2292</v>
      </c>
      <c r="G64" s="583" t="s">
        <v>2292</v>
      </c>
      <c r="H64" s="583" t="s">
        <v>2292</v>
      </c>
      <c r="I64" s="583">
        <f>mass_filt!Y105-mass_filt!X105</f>
        <v>402.64999999999964</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N17:N72"/>
  <sheetViews>
    <sheetView workbookViewId="0">
      <selection activeCell="N21" sqref="N21"/>
    </sheetView>
  </sheetViews>
  <sheetFormatPr defaultColWidth="11" defaultRowHeight="15.5"/>
  <sheetData>
    <row r="17" spans="14:14">
      <c r="N17" t="s">
        <v>2677</v>
      </c>
    </row>
    <row r="30" spans="14:14">
      <c r="N30" t="s">
        <v>2678</v>
      </c>
    </row>
    <row r="44" spans="14:14">
      <c r="N44" t="s">
        <v>2679</v>
      </c>
    </row>
    <row r="58" spans="14:14">
      <c r="N58" t="s">
        <v>2681</v>
      </c>
    </row>
    <row r="72" spans="14:14">
      <c r="N72" t="s">
        <v>2680</v>
      </c>
    </row>
  </sheetData>
  <pageMargins left="0.75" right="0.75" top="1" bottom="1" header="0.5" footer="0.5"/>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54"/>
  <sheetViews>
    <sheetView topLeftCell="A24" workbookViewId="0">
      <selection activeCell="I56" sqref="I56"/>
    </sheetView>
  </sheetViews>
  <sheetFormatPr defaultColWidth="11" defaultRowHeight="15.5"/>
  <cols>
    <col min="1" max="1" width="25.5" customWidth="1"/>
    <col min="2" max="2" width="20.5" customWidth="1"/>
    <col min="3" max="3" width="34.5" customWidth="1"/>
  </cols>
  <sheetData>
    <row r="1" spans="1:3" s="523" customFormat="1" ht="27" customHeight="1">
      <c r="A1" s="524" t="s">
        <v>2742</v>
      </c>
      <c r="B1" s="525"/>
      <c r="C1" s="525"/>
    </row>
    <row r="2" spans="1:3" s="523" customFormat="1">
      <c r="A2" s="526" t="s">
        <v>2743</v>
      </c>
    </row>
    <row r="3" spans="1:3" s="523" customFormat="1">
      <c r="A3" s="526"/>
      <c r="B3" s="526" t="s">
        <v>2744</v>
      </c>
    </row>
    <row r="4" spans="1:3" s="523" customFormat="1">
      <c r="A4" s="526"/>
      <c r="B4" s="526" t="s">
        <v>2745</v>
      </c>
    </row>
    <row r="5" spans="1:3" s="523" customFormat="1">
      <c r="A5" s="526"/>
      <c r="B5" s="526" t="s">
        <v>2746</v>
      </c>
    </row>
    <row r="6" spans="1:3" s="523" customFormat="1">
      <c r="A6" s="526"/>
      <c r="B6" s="526" t="s">
        <v>2747</v>
      </c>
    </row>
    <row r="7" spans="1:3" s="523" customFormat="1">
      <c r="A7" s="526"/>
      <c r="B7" s="526" t="s">
        <v>2748</v>
      </c>
    </row>
    <row r="8" spans="1:3" s="523" customFormat="1">
      <c r="A8" s="526"/>
      <c r="B8" s="526" t="s">
        <v>2749</v>
      </c>
    </row>
    <row r="9" spans="1:3" s="523" customFormat="1">
      <c r="A9" s="526"/>
      <c r="B9" s="526" t="s">
        <v>2750</v>
      </c>
    </row>
    <row r="10" spans="1:3" s="523" customFormat="1">
      <c r="A10" s="526"/>
      <c r="B10" s="526" t="s">
        <v>2751</v>
      </c>
    </row>
    <row r="11" spans="1:3" s="523" customFormat="1">
      <c r="A11" s="526"/>
      <c r="B11" s="526"/>
    </row>
    <row r="12" spans="1:3" s="523" customFormat="1">
      <c r="A12" s="526"/>
      <c r="B12" s="526" t="s">
        <v>2752</v>
      </c>
    </row>
    <row r="13" spans="1:3" s="523" customFormat="1">
      <c r="A13" s="526"/>
      <c r="B13" s="526" t="s">
        <v>2753</v>
      </c>
    </row>
    <row r="14" spans="1:3" s="523" customFormat="1">
      <c r="A14" s="526"/>
      <c r="B14" s="526" t="s">
        <v>2754</v>
      </c>
    </row>
    <row r="15" spans="1:3" s="523" customFormat="1">
      <c r="A15" s="526"/>
      <c r="B15" s="526" t="s">
        <v>2755</v>
      </c>
    </row>
    <row r="16" spans="1:3" s="523" customFormat="1"/>
    <row r="17" spans="1:4" s="523" customFormat="1" ht="17.5">
      <c r="A17" s="527" t="s">
        <v>2756</v>
      </c>
    </row>
    <row r="18" spans="1:4" s="523" customFormat="1">
      <c r="A18" s="528" t="s">
        <v>2757</v>
      </c>
      <c r="B18" s="528" t="s">
        <v>2758</v>
      </c>
      <c r="C18" s="528" t="s">
        <v>2759</v>
      </c>
      <c r="D18" s="528" t="s">
        <v>2760</v>
      </c>
    </row>
    <row r="19" spans="1:4" s="523" customFormat="1">
      <c r="A19" s="529">
        <v>0</v>
      </c>
      <c r="B19" s="530" t="s">
        <v>2761</v>
      </c>
      <c r="C19" s="530" t="s">
        <v>2762</v>
      </c>
      <c r="D19" s="530" t="s">
        <v>2763</v>
      </c>
    </row>
    <row r="20" spans="1:4" s="523" customFormat="1">
      <c r="A20" s="529">
        <v>1</v>
      </c>
      <c r="B20" s="530" t="s">
        <v>2764</v>
      </c>
      <c r="C20" s="530" t="s">
        <v>2765</v>
      </c>
      <c r="D20" s="530" t="s">
        <v>2766</v>
      </c>
    </row>
    <row r="21" spans="1:4" s="523" customFormat="1">
      <c r="A21" s="529">
        <v>2</v>
      </c>
      <c r="B21" s="530" t="s">
        <v>2767</v>
      </c>
      <c r="C21" s="530" t="s">
        <v>2768</v>
      </c>
      <c r="D21" s="530" t="s">
        <v>2762</v>
      </c>
    </row>
    <row r="22" spans="1:4" s="523" customFormat="1">
      <c r="A22" s="529">
        <v>3</v>
      </c>
      <c r="B22" s="530" t="s">
        <v>2769</v>
      </c>
      <c r="C22" s="530" t="s">
        <v>2770</v>
      </c>
      <c r="D22" s="530" t="s">
        <v>2771</v>
      </c>
    </row>
    <row r="23" spans="1:4" s="523" customFormat="1">
      <c r="A23" s="529">
        <v>4</v>
      </c>
      <c r="B23" s="530" t="s">
        <v>2772</v>
      </c>
      <c r="C23" s="530" t="s">
        <v>2762</v>
      </c>
      <c r="D23" s="530" t="s">
        <v>2762</v>
      </c>
    </row>
    <row r="24" spans="1:4" s="523" customFormat="1">
      <c r="A24" s="529" t="s">
        <v>2773</v>
      </c>
      <c r="B24" s="530" t="s">
        <v>2774</v>
      </c>
      <c r="C24" s="530" t="s">
        <v>2762</v>
      </c>
      <c r="D24" s="530" t="s">
        <v>2763</v>
      </c>
    </row>
    <row r="25" spans="1:4" s="523" customFormat="1">
      <c r="A25" s="529">
        <v>6</v>
      </c>
      <c r="B25" s="528" t="s">
        <v>2786</v>
      </c>
      <c r="C25" s="530" t="s">
        <v>2787</v>
      </c>
      <c r="D25" s="530" t="s">
        <v>2762</v>
      </c>
    </row>
    <row r="26" spans="1:4" s="523" customFormat="1">
      <c r="A26" s="529">
        <v>7</v>
      </c>
      <c r="B26" s="530" t="s">
        <v>2762</v>
      </c>
      <c r="C26" s="530" t="s">
        <v>2762</v>
      </c>
      <c r="D26" s="530" t="s">
        <v>2762</v>
      </c>
    </row>
    <row r="27" spans="1:4" s="523" customFormat="1">
      <c r="A27" s="529">
        <v>8</v>
      </c>
      <c r="B27" s="530" t="s">
        <v>2775</v>
      </c>
      <c r="C27" s="530" t="s">
        <v>2762</v>
      </c>
      <c r="D27" s="530" t="s">
        <v>2763</v>
      </c>
    </row>
    <row r="28" spans="1:4" s="523" customFormat="1">
      <c r="A28" s="529">
        <v>9</v>
      </c>
      <c r="B28" s="530" t="s">
        <v>2776</v>
      </c>
      <c r="C28" s="530" t="s">
        <v>2762</v>
      </c>
      <c r="D28" s="530" t="s">
        <v>2762</v>
      </c>
    </row>
    <row r="29" spans="1:4" s="523" customFormat="1">
      <c r="B29" s="530" t="s">
        <v>2777</v>
      </c>
    </row>
    <row r="30" spans="1:4" s="523" customFormat="1"/>
    <row r="31" spans="1:4" s="523" customFormat="1" ht="17.5">
      <c r="A31" s="527" t="s">
        <v>2778</v>
      </c>
    </row>
    <row r="32" spans="1:4" s="523" customFormat="1"/>
    <row r="33" spans="1:4" s="523" customFormat="1">
      <c r="A33" s="35" t="s">
        <v>2779</v>
      </c>
    </row>
    <row r="34" spans="1:4" s="523" customFormat="1">
      <c r="A34" s="35" t="s">
        <v>2780</v>
      </c>
    </row>
    <row r="35" spans="1:4" s="523" customFormat="1">
      <c r="A35" s="35" t="s">
        <v>2781</v>
      </c>
    </row>
    <row r="36" spans="1:4" s="523" customFormat="1">
      <c r="A36" s="35" t="s">
        <v>2782</v>
      </c>
    </row>
    <row r="37" spans="1:4" s="523" customFormat="1"/>
    <row r="38" spans="1:4" s="523" customFormat="1">
      <c r="A38" s="534" t="s">
        <v>2783</v>
      </c>
    </row>
    <row r="39" spans="1:4" s="523" customFormat="1">
      <c r="A39" s="531" t="s">
        <v>2784</v>
      </c>
    </row>
    <row r="40" spans="1:4" s="523" customFormat="1">
      <c r="A40" s="531"/>
    </row>
    <row r="41" spans="1:4" s="523" customFormat="1">
      <c r="A41" s="531" t="s">
        <v>2785</v>
      </c>
    </row>
    <row r="42" spans="1:4" s="523" customFormat="1"/>
    <row r="43" spans="1:4" ht="18.5">
      <c r="A43" s="533" t="s">
        <v>2788</v>
      </c>
      <c r="D43" s="531" t="s">
        <v>2789</v>
      </c>
    </row>
    <row r="44" spans="1:4">
      <c r="A44" s="531" t="s">
        <v>2793</v>
      </c>
    </row>
    <row r="45" spans="1:4" s="537" customFormat="1">
      <c r="A45" s="532" t="s">
        <v>2790</v>
      </c>
      <c r="B45" s="535" t="s">
        <v>2791</v>
      </c>
      <c r="C45" s="536" t="s">
        <v>2214</v>
      </c>
    </row>
    <row r="46" spans="1:4">
      <c r="A46" t="s">
        <v>2792</v>
      </c>
      <c r="B46" s="522">
        <v>1</v>
      </c>
      <c r="C46" t="s">
        <v>2794</v>
      </c>
    </row>
    <row r="47" spans="1:4">
      <c r="A47" t="s">
        <v>2161</v>
      </c>
      <c r="B47" s="522">
        <v>1</v>
      </c>
      <c r="C47" t="s">
        <v>2799</v>
      </c>
    </row>
    <row r="48" spans="1:4">
      <c r="A48" t="s">
        <v>2795</v>
      </c>
      <c r="B48" s="522">
        <v>1</v>
      </c>
      <c r="C48" t="s">
        <v>2797</v>
      </c>
    </row>
    <row r="49" spans="1:3">
      <c r="A49" s="523" t="s">
        <v>2796</v>
      </c>
      <c r="B49" s="522">
        <v>1</v>
      </c>
      <c r="C49" s="523" t="s">
        <v>2798</v>
      </c>
    </row>
    <row r="50" spans="1:3">
      <c r="A50" t="s">
        <v>2096</v>
      </c>
      <c r="B50" s="522">
        <v>1</v>
      </c>
      <c r="C50" t="s">
        <v>2805</v>
      </c>
    </row>
    <row r="51" spans="1:3">
      <c r="B51" s="522"/>
      <c r="C51" t="s">
        <v>2812</v>
      </c>
    </row>
    <row r="52" spans="1:3">
      <c r="B52" s="522"/>
      <c r="C52" t="s">
        <v>2813</v>
      </c>
    </row>
    <row r="53" spans="1:3">
      <c r="B53" s="522"/>
      <c r="C53" t="s">
        <v>2815</v>
      </c>
    </row>
    <row r="54" spans="1:3">
      <c r="B54" s="52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638"/>
  <sheetViews>
    <sheetView topLeftCell="A122" workbookViewId="0">
      <selection activeCell="G317" sqref="G317"/>
    </sheetView>
  </sheetViews>
  <sheetFormatPr defaultColWidth="11" defaultRowHeight="15.5"/>
  <cols>
    <col min="4" max="4" width="17.5" customWidth="1"/>
    <col min="10" max="10" width="16.5" customWidth="1"/>
    <col min="17" max="17" width="18" customWidth="1"/>
  </cols>
  <sheetData>
    <row r="1" spans="1:6">
      <c r="A1" t="s">
        <v>66</v>
      </c>
      <c r="B1" t="s">
        <v>67</v>
      </c>
    </row>
    <row r="2" spans="1:6">
      <c r="A2">
        <v>1000</v>
      </c>
      <c r="B2" s="170" t="s">
        <v>68</v>
      </c>
    </row>
    <row r="3" spans="1:6">
      <c r="A3">
        <v>2000</v>
      </c>
      <c r="B3" s="170" t="s">
        <v>69</v>
      </c>
    </row>
    <row r="4" spans="1:6">
      <c r="A4">
        <v>3800</v>
      </c>
      <c r="B4" s="170" t="s">
        <v>70</v>
      </c>
    </row>
    <row r="8" spans="1:6">
      <c r="A8" t="s">
        <v>71</v>
      </c>
      <c r="B8" t="s">
        <v>72</v>
      </c>
    </row>
    <row r="9" spans="1:6">
      <c r="A9" t="s">
        <v>73</v>
      </c>
    </row>
    <row r="11" spans="1:6">
      <c r="A11" t="s">
        <v>74</v>
      </c>
      <c r="F11" t="s">
        <v>75</v>
      </c>
    </row>
    <row r="12" spans="1:6">
      <c r="A12" t="s">
        <v>76</v>
      </c>
      <c r="F12" t="s">
        <v>77</v>
      </c>
    </row>
    <row r="13" spans="1:6">
      <c r="A13" t="s">
        <v>78</v>
      </c>
    </row>
    <row r="14" spans="1:6">
      <c r="A14" t="s">
        <v>79</v>
      </c>
    </row>
    <row r="15" spans="1:6">
      <c r="A15" t="s">
        <v>80</v>
      </c>
    </row>
    <row r="16" spans="1:6">
      <c r="A16" t="s">
        <v>81</v>
      </c>
    </row>
    <row r="17" spans="1:1">
      <c r="A17" t="s">
        <v>82</v>
      </c>
    </row>
    <row r="18" spans="1:1">
      <c r="A18" t="s">
        <v>83</v>
      </c>
    </row>
    <row r="19" spans="1:1">
      <c r="A19" t="s">
        <v>84</v>
      </c>
    </row>
    <row r="20" spans="1:1">
      <c r="A20" t="s">
        <v>85</v>
      </c>
    </row>
    <row r="21" spans="1:1">
      <c r="A21" t="s">
        <v>86</v>
      </c>
    </row>
    <row r="22" spans="1:1">
      <c r="A22" t="s">
        <v>87</v>
      </c>
    </row>
    <row r="23" spans="1:1">
      <c r="A23" t="s">
        <v>88</v>
      </c>
    </row>
    <row r="24" spans="1:1">
      <c r="A24" t="s">
        <v>89</v>
      </c>
    </row>
    <row r="25" spans="1:1">
      <c r="A25" t="s">
        <v>90</v>
      </c>
    </row>
    <row r="26" spans="1:1">
      <c r="A26" t="s">
        <v>91</v>
      </c>
    </row>
    <row r="27" spans="1:1">
      <c r="A27" t="s">
        <v>92</v>
      </c>
    </row>
    <row r="28" spans="1:1">
      <c r="A28" t="s">
        <v>93</v>
      </c>
    </row>
    <row r="29" spans="1:1">
      <c r="A29" t="s">
        <v>94</v>
      </c>
    </row>
    <row r="30" spans="1:1">
      <c r="A30" t="s">
        <v>95</v>
      </c>
    </row>
    <row r="31" spans="1:1">
      <c r="A31" t="s">
        <v>96</v>
      </c>
    </row>
    <row r="32" spans="1:1">
      <c r="A32" t="s">
        <v>97</v>
      </c>
    </row>
    <row r="34" spans="1:18">
      <c r="E34" s="117"/>
    </row>
    <row r="35" spans="1:18">
      <c r="A35" s="149" t="s">
        <v>98</v>
      </c>
      <c r="B35" s="150"/>
      <c r="C35" s="197" t="s">
        <v>99</v>
      </c>
      <c r="D35" s="151"/>
      <c r="E35" s="172"/>
      <c r="G35" s="153" t="s">
        <v>100</v>
      </c>
      <c r="H35" s="150"/>
      <c r="I35" s="197" t="s">
        <v>101</v>
      </c>
      <c r="J35" s="151"/>
      <c r="K35" s="152"/>
      <c r="L35" s="117"/>
      <c r="M35" s="117"/>
      <c r="N35" s="153" t="s">
        <v>100</v>
      </c>
      <c r="O35" s="150"/>
      <c r="P35" s="197" t="s">
        <v>102</v>
      </c>
      <c r="Q35" s="150"/>
      <c r="R35" s="154"/>
    </row>
    <row r="36" spans="1:18">
      <c r="A36" s="173" t="s">
        <v>103</v>
      </c>
      <c r="B36" s="156"/>
      <c r="C36" s="156"/>
      <c r="D36" s="157"/>
      <c r="E36" s="174" t="s">
        <v>104</v>
      </c>
      <c r="G36" s="155" t="s">
        <v>105</v>
      </c>
      <c r="H36" s="156"/>
      <c r="I36" s="156"/>
      <c r="J36" s="157"/>
      <c r="K36" s="171" t="s">
        <v>106</v>
      </c>
      <c r="L36" s="156"/>
      <c r="M36" s="156"/>
      <c r="N36" s="155" t="s">
        <v>107</v>
      </c>
      <c r="O36" s="156"/>
      <c r="P36" s="156"/>
      <c r="Q36" s="156"/>
      <c r="R36" s="174" t="s">
        <v>108</v>
      </c>
    </row>
    <row r="37" spans="1:18">
      <c r="A37" s="158" t="s">
        <v>109</v>
      </c>
      <c r="B37" s="117"/>
      <c r="C37" s="117"/>
      <c r="D37" s="74"/>
      <c r="E37" s="159">
        <v>42824</v>
      </c>
      <c r="G37" s="158" t="s">
        <v>110</v>
      </c>
      <c r="H37" s="117"/>
      <c r="I37" s="117"/>
      <c r="J37" s="117"/>
      <c r="K37" s="159">
        <v>42824</v>
      </c>
      <c r="M37" s="117"/>
      <c r="N37" s="175" t="s">
        <v>111</v>
      </c>
      <c r="O37" s="117"/>
      <c r="P37" s="117"/>
      <c r="Q37" s="117"/>
      <c r="R37" s="159">
        <v>42824</v>
      </c>
    </row>
    <row r="38" spans="1:18">
      <c r="A38" s="158" t="s">
        <v>112</v>
      </c>
      <c r="B38" s="117"/>
      <c r="C38" s="117"/>
      <c r="D38" s="74"/>
      <c r="E38" s="159">
        <v>42840</v>
      </c>
      <c r="G38" s="158" t="s">
        <v>113</v>
      </c>
      <c r="H38" s="117"/>
      <c r="I38" s="117"/>
      <c r="J38" s="117"/>
      <c r="K38" s="159">
        <v>42840</v>
      </c>
      <c r="L38" s="7"/>
      <c r="M38" s="160"/>
      <c r="N38" s="175" t="s">
        <v>114</v>
      </c>
      <c r="O38" s="119"/>
      <c r="P38" s="120"/>
      <c r="Q38" s="120"/>
      <c r="R38" s="159">
        <v>42840</v>
      </c>
    </row>
    <row r="39" spans="1:18">
      <c r="A39" s="158" t="s">
        <v>115</v>
      </c>
      <c r="B39" s="117"/>
      <c r="C39" s="117"/>
      <c r="D39" s="74"/>
      <c r="E39" s="159">
        <v>42856</v>
      </c>
      <c r="G39" s="158" t="s">
        <v>116</v>
      </c>
      <c r="H39" s="117"/>
      <c r="I39" s="117"/>
      <c r="J39" s="117"/>
      <c r="K39" s="159">
        <v>42856</v>
      </c>
      <c r="M39" s="160"/>
      <c r="N39" s="175" t="s">
        <v>117</v>
      </c>
      <c r="O39" s="119"/>
      <c r="P39" s="120"/>
      <c r="Q39" s="117"/>
      <c r="R39" s="159">
        <v>42856</v>
      </c>
    </row>
    <row r="40" spans="1:18">
      <c r="A40" s="158" t="s">
        <v>118</v>
      </c>
      <c r="B40" s="117"/>
      <c r="C40" s="117"/>
      <c r="D40" s="74"/>
      <c r="E40" s="159">
        <v>42872</v>
      </c>
      <c r="G40" s="158" t="s">
        <v>119</v>
      </c>
      <c r="H40" s="117"/>
      <c r="I40" s="117"/>
      <c r="J40" s="117"/>
      <c r="K40" s="159">
        <v>42872</v>
      </c>
      <c r="L40" s="161"/>
      <c r="M40" s="117"/>
      <c r="N40" s="175" t="s">
        <v>120</v>
      </c>
      <c r="O40" s="119"/>
      <c r="P40" s="120"/>
      <c r="Q40" s="117"/>
      <c r="R40" s="159">
        <v>42872</v>
      </c>
    </row>
    <row r="41" spans="1:18">
      <c r="A41" s="158" t="s">
        <v>121</v>
      </c>
      <c r="B41" s="117"/>
      <c r="C41" s="117"/>
      <c r="D41" s="74"/>
      <c r="E41" s="159">
        <v>42888</v>
      </c>
      <c r="G41" s="158" t="s">
        <v>122</v>
      </c>
      <c r="H41" s="117"/>
      <c r="I41" s="117"/>
      <c r="J41" s="117"/>
      <c r="K41" s="159">
        <v>42888</v>
      </c>
      <c r="L41" s="161"/>
      <c r="M41" s="117"/>
      <c r="N41" s="175" t="s">
        <v>123</v>
      </c>
      <c r="O41" s="119"/>
      <c r="P41" s="120"/>
      <c r="Q41" s="117"/>
      <c r="R41" s="159">
        <v>42888</v>
      </c>
    </row>
    <row r="42" spans="1:18">
      <c r="A42" s="158" t="s">
        <v>124</v>
      </c>
      <c r="B42" s="117"/>
      <c r="C42" s="117"/>
      <c r="D42" s="74"/>
      <c r="E42" s="159">
        <v>42904</v>
      </c>
      <c r="G42" s="158" t="s">
        <v>125</v>
      </c>
      <c r="H42" s="117"/>
      <c r="I42" s="117"/>
      <c r="J42" s="117"/>
      <c r="K42" s="159">
        <v>42904</v>
      </c>
      <c r="M42" s="117"/>
      <c r="N42" s="175" t="s">
        <v>126</v>
      </c>
      <c r="O42" s="119"/>
      <c r="P42" s="120"/>
      <c r="Q42" s="117"/>
      <c r="R42" s="159">
        <v>42904</v>
      </c>
    </row>
    <row r="43" spans="1:18">
      <c r="A43" s="158" t="s">
        <v>127</v>
      </c>
      <c r="B43" s="117"/>
      <c r="C43" s="117"/>
      <c r="D43" s="74"/>
      <c r="E43" s="159">
        <v>42920</v>
      </c>
      <c r="G43" s="158" t="s">
        <v>128</v>
      </c>
      <c r="H43" s="117"/>
      <c r="I43" s="117"/>
      <c r="J43" s="117"/>
      <c r="K43" s="159">
        <v>42920</v>
      </c>
      <c r="M43" s="119"/>
      <c r="N43" s="175" t="s">
        <v>129</v>
      </c>
      <c r="O43" s="119"/>
      <c r="P43" s="120"/>
      <c r="Q43" s="117"/>
      <c r="R43" s="159">
        <v>42920</v>
      </c>
    </row>
    <row r="44" spans="1:18">
      <c r="A44" s="158" t="s">
        <v>130</v>
      </c>
      <c r="B44" s="117"/>
      <c r="C44" s="117"/>
      <c r="D44" s="74"/>
      <c r="E44" s="159">
        <v>42936</v>
      </c>
      <c r="G44" s="158" t="s">
        <v>131</v>
      </c>
      <c r="H44" s="117"/>
      <c r="I44" s="117"/>
      <c r="J44" s="117"/>
      <c r="K44" s="159">
        <v>42936</v>
      </c>
      <c r="M44" s="117"/>
      <c r="N44" s="175" t="s">
        <v>132</v>
      </c>
      <c r="O44" s="119"/>
      <c r="P44" s="120"/>
      <c r="Q44" s="117"/>
      <c r="R44" s="159">
        <v>42936</v>
      </c>
    </row>
    <row r="45" spans="1:18">
      <c r="A45" s="158" t="s">
        <v>133</v>
      </c>
      <c r="B45" s="117"/>
      <c r="C45" s="117"/>
      <c r="D45" s="74"/>
      <c r="E45" s="159">
        <v>42952</v>
      </c>
      <c r="G45" s="158" t="s">
        <v>134</v>
      </c>
      <c r="H45" s="117"/>
      <c r="I45" s="117"/>
      <c r="J45" s="117"/>
      <c r="K45" s="159">
        <v>42952</v>
      </c>
      <c r="M45" s="117"/>
      <c r="N45" s="175" t="s">
        <v>135</v>
      </c>
      <c r="O45" s="119"/>
      <c r="P45" s="120"/>
      <c r="Q45" s="117"/>
      <c r="R45" s="159">
        <v>42952</v>
      </c>
    </row>
    <row r="46" spans="1:18">
      <c r="A46" s="158" t="s">
        <v>136</v>
      </c>
      <c r="B46" s="117"/>
      <c r="C46" s="117"/>
      <c r="D46" s="74"/>
      <c r="E46" s="159">
        <v>42968</v>
      </c>
      <c r="G46" s="158" t="s">
        <v>137</v>
      </c>
      <c r="H46" s="117"/>
      <c r="I46" s="117"/>
      <c r="J46" s="117"/>
      <c r="K46" s="159">
        <v>42968</v>
      </c>
      <c r="M46" s="117"/>
      <c r="N46" s="175" t="s">
        <v>138</v>
      </c>
      <c r="O46" s="119"/>
      <c r="P46" s="120"/>
      <c r="Q46" s="117"/>
      <c r="R46" s="159">
        <v>42968</v>
      </c>
    </row>
    <row r="47" spans="1:18">
      <c r="A47" s="158" t="s">
        <v>139</v>
      </c>
      <c r="B47" s="117"/>
      <c r="C47" s="117"/>
      <c r="D47" s="74"/>
      <c r="E47" s="159">
        <v>42984</v>
      </c>
      <c r="G47" s="158" t="s">
        <v>140</v>
      </c>
      <c r="H47" s="117"/>
      <c r="I47" s="117"/>
      <c r="J47" s="117"/>
      <c r="K47" s="159">
        <v>42984</v>
      </c>
      <c r="M47" s="117"/>
      <c r="N47" s="175" t="s">
        <v>141</v>
      </c>
      <c r="O47" s="119"/>
      <c r="P47" s="120"/>
      <c r="Q47" s="117"/>
      <c r="R47" s="159">
        <v>42984</v>
      </c>
    </row>
    <row r="48" spans="1:18">
      <c r="A48" s="158" t="s">
        <v>142</v>
      </c>
      <c r="B48" s="117"/>
      <c r="C48" s="117"/>
      <c r="D48" s="74"/>
      <c r="E48" s="159">
        <v>43000</v>
      </c>
      <c r="G48" s="158" t="s">
        <v>143</v>
      </c>
      <c r="H48" s="117"/>
      <c r="I48" s="117"/>
      <c r="J48" s="117"/>
      <c r="K48" s="159">
        <v>43000</v>
      </c>
      <c r="M48" s="117"/>
      <c r="N48" s="175" t="s">
        <v>144</v>
      </c>
      <c r="O48" s="119"/>
      <c r="P48" s="120"/>
      <c r="Q48" s="117"/>
      <c r="R48" s="159">
        <v>43000</v>
      </c>
    </row>
    <row r="49" spans="1:18">
      <c r="A49" s="158" t="s">
        <v>145</v>
      </c>
      <c r="B49" s="117"/>
      <c r="C49" s="117"/>
      <c r="D49" s="74"/>
      <c r="E49" s="159">
        <v>43016</v>
      </c>
      <c r="G49" s="158" t="s">
        <v>146</v>
      </c>
      <c r="H49" s="117"/>
      <c r="I49" s="117"/>
      <c r="J49" s="117"/>
      <c r="K49" s="159">
        <v>43016</v>
      </c>
      <c r="M49" s="117"/>
      <c r="N49" s="175" t="s">
        <v>147</v>
      </c>
      <c r="O49" s="119"/>
      <c r="P49" s="120"/>
      <c r="Q49" s="117"/>
      <c r="R49" s="159">
        <v>43016</v>
      </c>
    </row>
    <row r="50" spans="1:18">
      <c r="A50" s="158" t="s">
        <v>148</v>
      </c>
      <c r="B50" s="117"/>
      <c r="C50" s="117"/>
      <c r="D50" s="74"/>
      <c r="E50" s="159">
        <v>43032</v>
      </c>
      <c r="G50" s="158" t="s">
        <v>149</v>
      </c>
      <c r="H50" s="117"/>
      <c r="I50" s="117"/>
      <c r="J50" s="117"/>
      <c r="K50" s="159">
        <v>43032</v>
      </c>
      <c r="M50" s="117"/>
      <c r="N50" s="175" t="s">
        <v>150</v>
      </c>
      <c r="O50" s="119"/>
      <c r="P50" s="120"/>
      <c r="Q50" s="117"/>
      <c r="R50" s="159">
        <v>43032</v>
      </c>
    </row>
    <row r="51" spans="1:18">
      <c r="A51" s="158" t="s">
        <v>151</v>
      </c>
      <c r="B51" s="117"/>
      <c r="C51" s="117"/>
      <c r="D51" s="74"/>
      <c r="E51" s="159">
        <v>43048</v>
      </c>
      <c r="G51" s="158" t="s">
        <v>152</v>
      </c>
      <c r="H51" s="117"/>
      <c r="I51" s="117"/>
      <c r="J51" s="117"/>
      <c r="K51" s="159">
        <v>43048</v>
      </c>
      <c r="M51" s="117"/>
      <c r="N51" s="175" t="s">
        <v>153</v>
      </c>
      <c r="O51" s="119"/>
      <c r="P51" s="120"/>
      <c r="Q51" s="117"/>
      <c r="R51" s="159">
        <v>43048</v>
      </c>
    </row>
    <row r="52" spans="1:18">
      <c r="A52" s="158" t="s">
        <v>154</v>
      </c>
      <c r="B52" s="117"/>
      <c r="C52" s="117"/>
      <c r="D52" s="74"/>
      <c r="E52" s="159">
        <v>43064</v>
      </c>
      <c r="G52" s="158" t="s">
        <v>155</v>
      </c>
      <c r="H52" s="117"/>
      <c r="I52" s="117"/>
      <c r="J52" s="117"/>
      <c r="K52" s="159">
        <v>43064</v>
      </c>
      <c r="M52" s="117"/>
      <c r="N52" s="176" t="s">
        <v>156</v>
      </c>
      <c r="O52" s="119"/>
      <c r="P52" s="120"/>
      <c r="Q52" s="117"/>
      <c r="R52" s="159">
        <v>43064</v>
      </c>
    </row>
    <row r="53" spans="1:18">
      <c r="A53" s="158" t="s">
        <v>157</v>
      </c>
      <c r="B53" s="117"/>
      <c r="C53" s="117"/>
      <c r="D53" s="74"/>
      <c r="E53" s="159">
        <v>43080</v>
      </c>
      <c r="G53" s="158" t="s">
        <v>158</v>
      </c>
      <c r="H53" s="117"/>
      <c r="I53" s="117"/>
      <c r="J53" s="121"/>
      <c r="K53" s="159">
        <v>43080</v>
      </c>
      <c r="M53" s="117"/>
      <c r="N53" s="176" t="s">
        <v>159</v>
      </c>
      <c r="O53" s="119"/>
      <c r="P53" s="120"/>
      <c r="Q53" s="117"/>
      <c r="R53" s="159">
        <v>43080</v>
      </c>
    </row>
    <row r="54" spans="1:18">
      <c r="A54" s="158" t="s">
        <v>160</v>
      </c>
      <c r="B54" s="117"/>
      <c r="C54" s="117"/>
      <c r="D54" s="74"/>
      <c r="E54" s="159">
        <v>43096</v>
      </c>
      <c r="G54" s="158" t="s">
        <v>161</v>
      </c>
      <c r="H54" s="117"/>
      <c r="I54" s="117"/>
      <c r="J54" s="121"/>
      <c r="K54" s="159">
        <v>43096</v>
      </c>
      <c r="M54" s="117"/>
      <c r="N54" s="176" t="s">
        <v>162</v>
      </c>
      <c r="O54" s="119"/>
      <c r="P54" s="120"/>
      <c r="Q54" s="117"/>
      <c r="R54" s="159">
        <v>43096</v>
      </c>
    </row>
    <row r="55" spans="1:18">
      <c r="A55" s="158" t="s">
        <v>163</v>
      </c>
      <c r="B55" s="117"/>
      <c r="C55" s="117"/>
      <c r="D55" s="74"/>
      <c r="E55" s="159">
        <v>43112</v>
      </c>
      <c r="G55" s="158" t="s">
        <v>164</v>
      </c>
      <c r="H55" s="117"/>
      <c r="I55" s="117"/>
      <c r="J55" s="121"/>
      <c r="K55" s="159">
        <v>43112</v>
      </c>
      <c r="M55" s="117"/>
      <c r="N55" s="176" t="s">
        <v>165</v>
      </c>
      <c r="O55" s="119"/>
      <c r="P55" s="120"/>
      <c r="Q55" s="117"/>
      <c r="R55" s="159">
        <v>43112</v>
      </c>
    </row>
    <row r="56" spans="1:18">
      <c r="A56" s="158" t="s">
        <v>166</v>
      </c>
      <c r="B56" s="117"/>
      <c r="C56" s="117"/>
      <c r="D56" s="74"/>
      <c r="E56" s="159">
        <v>43128</v>
      </c>
      <c r="G56" s="158" t="s">
        <v>167</v>
      </c>
      <c r="H56" s="117"/>
      <c r="I56" s="117"/>
      <c r="J56" s="121"/>
      <c r="K56" s="159">
        <v>43128</v>
      </c>
      <c r="M56" s="117"/>
      <c r="N56" s="176" t="s">
        <v>168</v>
      </c>
      <c r="O56" s="119"/>
      <c r="P56" s="120"/>
      <c r="Q56" s="117"/>
      <c r="R56" s="159">
        <v>43128</v>
      </c>
    </row>
    <row r="57" spans="1:18">
      <c r="A57" s="158" t="s">
        <v>169</v>
      </c>
      <c r="B57" s="117"/>
      <c r="C57" s="117"/>
      <c r="D57" s="74"/>
      <c r="E57" s="159">
        <v>43144</v>
      </c>
      <c r="G57" s="158" t="s">
        <v>170</v>
      </c>
      <c r="H57" s="117"/>
      <c r="I57" s="117"/>
      <c r="J57" s="121"/>
      <c r="K57" s="159">
        <v>43144</v>
      </c>
      <c r="M57" s="117"/>
      <c r="N57" s="176" t="s">
        <v>171</v>
      </c>
      <c r="O57" s="119"/>
      <c r="P57" s="120"/>
      <c r="Q57" s="117"/>
      <c r="R57" s="159">
        <v>43144</v>
      </c>
    </row>
    <row r="58" spans="1:18">
      <c r="A58" s="162" t="s">
        <v>172</v>
      </c>
      <c r="B58" s="163"/>
      <c r="C58" s="163"/>
      <c r="D58" s="168"/>
      <c r="E58" s="165">
        <v>43160</v>
      </c>
      <c r="G58" s="162" t="s">
        <v>173</v>
      </c>
      <c r="H58" s="163"/>
      <c r="I58" s="163"/>
      <c r="J58" s="164"/>
      <c r="K58" s="165">
        <v>43160</v>
      </c>
      <c r="M58" s="117"/>
      <c r="N58" s="177" t="s">
        <v>174</v>
      </c>
      <c r="O58" s="178"/>
      <c r="P58" s="179"/>
      <c r="Q58" s="163"/>
      <c r="R58" s="165">
        <v>43160</v>
      </c>
    </row>
    <row r="59" spans="1:18">
      <c r="G59" s="117"/>
      <c r="H59" s="117"/>
      <c r="I59" s="117"/>
      <c r="J59" s="166"/>
      <c r="K59" s="167"/>
      <c r="L59" s="117"/>
      <c r="M59" s="117"/>
      <c r="N59" s="121"/>
      <c r="O59" s="117"/>
      <c r="P59" s="117"/>
      <c r="Q59" s="117"/>
      <c r="R59" s="117"/>
    </row>
    <row r="60" spans="1:18">
      <c r="A60" s="66" t="s">
        <v>175</v>
      </c>
      <c r="G60" s="66" t="s">
        <v>176</v>
      </c>
      <c r="H60" s="117"/>
      <c r="I60" s="117"/>
      <c r="J60" s="166"/>
      <c r="K60" s="167"/>
      <c r="L60" s="117"/>
      <c r="M60" s="117"/>
      <c r="N60" s="66" t="s">
        <v>177</v>
      </c>
      <c r="O60" s="117"/>
      <c r="P60" s="117"/>
      <c r="Q60" s="117"/>
      <c r="R60" s="117"/>
    </row>
    <row r="61" spans="1:18">
      <c r="A61" s="99" t="s">
        <v>178</v>
      </c>
      <c r="G61" s="99" t="s">
        <v>179</v>
      </c>
      <c r="H61" s="117"/>
      <c r="I61" s="117"/>
      <c r="J61" s="166"/>
      <c r="K61" s="167"/>
      <c r="L61" s="117"/>
      <c r="M61" s="117"/>
      <c r="N61" s="99" t="s">
        <v>180</v>
      </c>
      <c r="O61" s="117"/>
      <c r="P61" s="117"/>
      <c r="Q61" s="117"/>
      <c r="R61" s="117"/>
    </row>
    <row r="62" spans="1:18">
      <c r="A62" s="99" t="s">
        <v>181</v>
      </c>
      <c r="G62" s="99" t="s">
        <v>181</v>
      </c>
      <c r="H62" s="117"/>
      <c r="I62" s="117"/>
      <c r="J62" s="166"/>
      <c r="K62" s="167"/>
      <c r="L62" s="117"/>
      <c r="M62" s="117"/>
      <c r="N62" s="99" t="s">
        <v>181</v>
      </c>
      <c r="O62" s="117"/>
      <c r="P62" s="117"/>
      <c r="Q62" s="117"/>
      <c r="R62" s="117"/>
    </row>
    <row r="63" spans="1:18">
      <c r="A63" s="99" t="s">
        <v>182</v>
      </c>
      <c r="G63" s="99" t="s">
        <v>182</v>
      </c>
      <c r="H63" s="117"/>
      <c r="I63" s="117"/>
      <c r="J63" s="166"/>
      <c r="K63" s="167"/>
      <c r="L63" s="117"/>
      <c r="M63" s="117"/>
      <c r="N63" s="99" t="s">
        <v>182</v>
      </c>
      <c r="O63" s="117"/>
      <c r="P63" s="117"/>
      <c r="Q63" s="117"/>
      <c r="R63" s="117"/>
    </row>
    <row r="64" spans="1:18">
      <c r="A64" s="99" t="s">
        <v>183</v>
      </c>
      <c r="G64" s="99" t="s">
        <v>184</v>
      </c>
      <c r="H64" s="117"/>
      <c r="I64" s="117"/>
      <c r="J64" s="121"/>
      <c r="K64" s="167"/>
      <c r="L64" s="117"/>
      <c r="M64" s="117"/>
      <c r="N64" s="99" t="s">
        <v>185</v>
      </c>
      <c r="O64" s="117"/>
      <c r="P64" s="117"/>
      <c r="Q64" s="117"/>
      <c r="R64" s="117"/>
    </row>
    <row r="65" spans="1:24">
      <c r="A65" s="99" t="s">
        <v>186</v>
      </c>
      <c r="G65" s="99" t="s">
        <v>187</v>
      </c>
      <c r="H65" s="117"/>
      <c r="I65" s="117"/>
      <c r="J65" s="121"/>
      <c r="K65" s="167"/>
      <c r="L65" s="117"/>
      <c r="M65" s="117"/>
      <c r="N65" s="117"/>
      <c r="O65" s="117"/>
      <c r="P65" s="117"/>
      <c r="Q65" s="117"/>
      <c r="R65" s="117"/>
    </row>
    <row r="66" spans="1:24" ht="18">
      <c r="A66" s="169" t="s">
        <v>188</v>
      </c>
      <c r="G66" s="169" t="s">
        <v>188</v>
      </c>
      <c r="H66" s="117"/>
      <c r="I66" s="117"/>
      <c r="J66" s="121"/>
      <c r="K66" s="167"/>
      <c r="L66" s="117"/>
      <c r="M66" s="117"/>
      <c r="N66" s="169" t="s">
        <v>188</v>
      </c>
      <c r="O66" s="180" t="s">
        <v>189</v>
      </c>
      <c r="P66" s="117"/>
      <c r="Q66" s="121"/>
      <c r="R66" s="117"/>
      <c r="S66" s="117"/>
      <c r="T66" s="117"/>
      <c r="U66" s="117"/>
      <c r="V66" s="117"/>
      <c r="W66" s="117"/>
      <c r="X66" s="117"/>
    </row>
    <row r="67" spans="1:24">
      <c r="G67" s="117"/>
      <c r="H67" s="117"/>
      <c r="I67" s="117"/>
      <c r="J67" s="121"/>
      <c r="K67" s="167"/>
      <c r="L67" s="117"/>
      <c r="M67" s="117"/>
      <c r="N67" s="117"/>
      <c r="O67" s="117"/>
      <c r="P67" s="117"/>
      <c r="Q67" s="121"/>
      <c r="R67" s="117"/>
      <c r="S67" s="117"/>
      <c r="T67" s="117"/>
      <c r="U67" s="117"/>
      <c r="V67" s="117"/>
      <c r="W67" s="117"/>
      <c r="X67" s="117"/>
    </row>
    <row r="68" spans="1:24">
      <c r="A68" t="s">
        <v>190</v>
      </c>
      <c r="G68" s="77" t="s">
        <v>191</v>
      </c>
      <c r="H68" s="117"/>
      <c r="I68" s="117"/>
      <c r="J68" s="121"/>
      <c r="K68" s="167"/>
      <c r="L68" s="117"/>
      <c r="M68" s="117"/>
      <c r="N68" s="77" t="s">
        <v>192</v>
      </c>
      <c r="O68" s="117"/>
      <c r="P68" s="117"/>
      <c r="Q68" s="121"/>
      <c r="R68" s="117"/>
      <c r="S68" s="117"/>
      <c r="T68" s="117"/>
      <c r="U68" s="117"/>
      <c r="V68" s="117"/>
      <c r="W68" s="117"/>
      <c r="X68" s="117"/>
    </row>
    <row r="69" spans="1:24">
      <c r="A69" t="s">
        <v>193</v>
      </c>
      <c r="G69" t="s">
        <v>194</v>
      </c>
      <c r="N69" t="s">
        <v>195</v>
      </c>
    </row>
    <row r="70" spans="1:24">
      <c r="A70" t="s">
        <v>196</v>
      </c>
      <c r="G70" t="s">
        <v>197</v>
      </c>
      <c r="N70" t="s">
        <v>198</v>
      </c>
    </row>
    <row r="71" spans="1:24">
      <c r="A71" t="s">
        <v>196</v>
      </c>
      <c r="G71" t="s">
        <v>197</v>
      </c>
      <c r="N71" t="s">
        <v>198</v>
      </c>
    </row>
    <row r="72" spans="1:24">
      <c r="A72" t="s">
        <v>199</v>
      </c>
      <c r="G72" t="s">
        <v>200</v>
      </c>
      <c r="N72" t="s">
        <v>201</v>
      </c>
    </row>
    <row r="73" spans="1:24">
      <c r="A73" t="s">
        <v>202</v>
      </c>
      <c r="G73" t="s">
        <v>203</v>
      </c>
      <c r="N73" t="s">
        <v>204</v>
      </c>
    </row>
    <row r="74" spans="1:24">
      <c r="A74" t="s">
        <v>205</v>
      </c>
      <c r="G74" t="s">
        <v>206</v>
      </c>
      <c r="N74" t="s">
        <v>207</v>
      </c>
    </row>
    <row r="75" spans="1:24">
      <c r="A75" t="s">
        <v>208</v>
      </c>
      <c r="G75" t="s">
        <v>209</v>
      </c>
      <c r="N75" t="s">
        <v>210</v>
      </c>
    </row>
    <row r="76" spans="1:24">
      <c r="A76" t="s">
        <v>211</v>
      </c>
      <c r="G76" t="s">
        <v>212</v>
      </c>
      <c r="N76" t="s">
        <v>213</v>
      </c>
    </row>
    <row r="77" spans="1:24">
      <c r="A77" t="s">
        <v>214</v>
      </c>
      <c r="G77" t="s">
        <v>215</v>
      </c>
      <c r="N77" t="s">
        <v>216</v>
      </c>
    </row>
    <row r="78" spans="1:24">
      <c r="A78" t="s">
        <v>217</v>
      </c>
      <c r="G78" t="s">
        <v>218</v>
      </c>
      <c r="N78" t="s">
        <v>219</v>
      </c>
    </row>
    <row r="79" spans="1:24">
      <c r="A79" t="s">
        <v>220</v>
      </c>
      <c r="G79" t="s">
        <v>221</v>
      </c>
      <c r="N79" t="s">
        <v>222</v>
      </c>
    </row>
    <row r="80" spans="1:24">
      <c r="A80" t="s">
        <v>223</v>
      </c>
      <c r="G80" t="s">
        <v>224</v>
      </c>
      <c r="N80" t="s">
        <v>225</v>
      </c>
    </row>
    <row r="81" spans="1:14">
      <c r="A81" t="s">
        <v>226</v>
      </c>
      <c r="G81" t="s">
        <v>227</v>
      </c>
      <c r="N81" t="s">
        <v>228</v>
      </c>
    </row>
    <row r="82" spans="1:14">
      <c r="A82" t="s">
        <v>229</v>
      </c>
      <c r="G82" t="s">
        <v>230</v>
      </c>
      <c r="N82" t="s">
        <v>231</v>
      </c>
    </row>
    <row r="83" spans="1:14">
      <c r="A83" t="s">
        <v>232</v>
      </c>
      <c r="G83" t="s">
        <v>233</v>
      </c>
      <c r="N83" t="s">
        <v>234</v>
      </c>
    </row>
    <row r="84" spans="1:14">
      <c r="A84" t="s">
        <v>235</v>
      </c>
      <c r="G84" t="s">
        <v>236</v>
      </c>
      <c r="N84" t="s">
        <v>237</v>
      </c>
    </row>
    <row r="85" spans="1:14">
      <c r="A85" t="s">
        <v>238</v>
      </c>
      <c r="G85" t="s">
        <v>239</v>
      </c>
      <c r="N85" t="s">
        <v>240</v>
      </c>
    </row>
    <row r="86" spans="1:14">
      <c r="A86" t="s">
        <v>241</v>
      </c>
      <c r="G86" t="s">
        <v>242</v>
      </c>
      <c r="N86" t="s">
        <v>243</v>
      </c>
    </row>
    <row r="87" spans="1:14">
      <c r="A87" t="s">
        <v>244</v>
      </c>
      <c r="G87" t="s">
        <v>245</v>
      </c>
      <c r="N87" t="s">
        <v>246</v>
      </c>
    </row>
    <row r="88" spans="1:14">
      <c r="A88" t="s">
        <v>247</v>
      </c>
      <c r="G88" t="s">
        <v>248</v>
      </c>
      <c r="N88" t="s">
        <v>249</v>
      </c>
    </row>
    <row r="89" spans="1:14">
      <c r="A89" t="s">
        <v>250</v>
      </c>
      <c r="G89" t="s">
        <v>251</v>
      </c>
      <c r="N89" t="s">
        <v>252</v>
      </c>
    </row>
    <row r="90" spans="1:14">
      <c r="A90" t="s">
        <v>253</v>
      </c>
      <c r="G90" t="s">
        <v>254</v>
      </c>
      <c r="N90" t="s">
        <v>255</v>
      </c>
    </row>
    <row r="91" spans="1:14">
      <c r="A91" t="s">
        <v>256</v>
      </c>
      <c r="G91" t="s">
        <v>257</v>
      </c>
      <c r="N91" t="s">
        <v>258</v>
      </c>
    </row>
    <row r="92" spans="1:14">
      <c r="A92" t="s">
        <v>259</v>
      </c>
      <c r="G92" t="s">
        <v>260</v>
      </c>
      <c r="N92" t="s">
        <v>261</v>
      </c>
    </row>
    <row r="93" spans="1:14">
      <c r="A93" t="s">
        <v>262</v>
      </c>
      <c r="G93" t="s">
        <v>263</v>
      </c>
      <c r="N93" t="s">
        <v>264</v>
      </c>
    </row>
    <row r="94" spans="1:14">
      <c r="A94" t="s">
        <v>265</v>
      </c>
      <c r="G94" t="s">
        <v>266</v>
      </c>
      <c r="N94" t="s">
        <v>267</v>
      </c>
    </row>
    <row r="95" spans="1:14">
      <c r="A95" t="s">
        <v>268</v>
      </c>
      <c r="G95" t="s">
        <v>269</v>
      </c>
      <c r="N95" t="s">
        <v>270</v>
      </c>
    </row>
    <row r="96" spans="1:14">
      <c r="A96" t="s">
        <v>271</v>
      </c>
      <c r="G96" t="s">
        <v>272</v>
      </c>
      <c r="N96" t="s">
        <v>273</v>
      </c>
    </row>
    <row r="97" spans="1:14">
      <c r="A97" t="s">
        <v>274</v>
      </c>
      <c r="G97" t="s">
        <v>275</v>
      </c>
      <c r="N97" t="s">
        <v>276</v>
      </c>
    </row>
    <row r="98" spans="1:14">
      <c r="A98" t="s">
        <v>277</v>
      </c>
      <c r="G98" t="s">
        <v>278</v>
      </c>
      <c r="N98" t="s">
        <v>279</v>
      </c>
    </row>
    <row r="99" spans="1:14">
      <c r="A99" t="s">
        <v>280</v>
      </c>
      <c r="G99" t="s">
        <v>281</v>
      </c>
      <c r="N99" t="s">
        <v>282</v>
      </c>
    </row>
    <row r="100" spans="1:14">
      <c r="A100" t="s">
        <v>283</v>
      </c>
      <c r="G100" t="s">
        <v>284</v>
      </c>
      <c r="N100" t="s">
        <v>285</v>
      </c>
    </row>
    <row r="101" spans="1:14">
      <c r="A101" t="s">
        <v>286</v>
      </c>
      <c r="G101" t="s">
        <v>287</v>
      </c>
      <c r="N101" t="s">
        <v>288</v>
      </c>
    </row>
    <row r="102" spans="1:14">
      <c r="A102" t="s">
        <v>289</v>
      </c>
      <c r="G102" t="s">
        <v>290</v>
      </c>
      <c r="N102" t="s">
        <v>291</v>
      </c>
    </row>
    <row r="103" spans="1:14">
      <c r="A103" t="s">
        <v>292</v>
      </c>
      <c r="G103" t="s">
        <v>293</v>
      </c>
      <c r="N103" t="s">
        <v>294</v>
      </c>
    </row>
    <row r="104" spans="1:14">
      <c r="A104" t="s">
        <v>295</v>
      </c>
      <c r="G104" t="s">
        <v>296</v>
      </c>
      <c r="N104" t="s">
        <v>297</v>
      </c>
    </row>
    <row r="105" spans="1:14">
      <c r="A105" t="s">
        <v>298</v>
      </c>
      <c r="G105" t="s">
        <v>299</v>
      </c>
      <c r="N105" t="s">
        <v>300</v>
      </c>
    </row>
    <row r="106" spans="1:14">
      <c r="A106" t="s">
        <v>301</v>
      </c>
      <c r="G106" t="s">
        <v>302</v>
      </c>
      <c r="N106" t="s">
        <v>303</v>
      </c>
    </row>
    <row r="107" spans="1:14">
      <c r="A107" t="s">
        <v>304</v>
      </c>
      <c r="G107" t="s">
        <v>305</v>
      </c>
      <c r="N107" t="s">
        <v>306</v>
      </c>
    </row>
    <row r="108" spans="1:14">
      <c r="A108" t="s">
        <v>307</v>
      </c>
      <c r="G108" t="s">
        <v>308</v>
      </c>
      <c r="N108" t="s">
        <v>309</v>
      </c>
    </row>
    <row r="109" spans="1:14">
      <c r="A109" t="s">
        <v>310</v>
      </c>
      <c r="G109" t="s">
        <v>311</v>
      </c>
      <c r="N109" t="s">
        <v>312</v>
      </c>
    </row>
    <row r="110" spans="1:14">
      <c r="A110" t="s">
        <v>313</v>
      </c>
      <c r="G110" t="s">
        <v>314</v>
      </c>
      <c r="N110" t="s">
        <v>315</v>
      </c>
    </row>
    <row r="111" spans="1:14">
      <c r="A111" t="s">
        <v>316</v>
      </c>
      <c r="G111" t="s">
        <v>317</v>
      </c>
      <c r="N111" t="s">
        <v>318</v>
      </c>
    </row>
    <row r="112" spans="1:14">
      <c r="A112" t="s">
        <v>319</v>
      </c>
      <c r="G112" t="s">
        <v>320</v>
      </c>
      <c r="N112" t="s">
        <v>321</v>
      </c>
    </row>
    <row r="113" spans="1:14">
      <c r="A113" t="s">
        <v>322</v>
      </c>
      <c r="G113" t="s">
        <v>323</v>
      </c>
      <c r="N113" t="s">
        <v>324</v>
      </c>
    </row>
    <row r="114" spans="1:14">
      <c r="A114" t="s">
        <v>325</v>
      </c>
      <c r="G114" t="s">
        <v>326</v>
      </c>
      <c r="N114" t="s">
        <v>327</v>
      </c>
    </row>
    <row r="115" spans="1:14">
      <c r="A115" t="s">
        <v>328</v>
      </c>
      <c r="G115" t="s">
        <v>329</v>
      </c>
      <c r="N115" t="s">
        <v>330</v>
      </c>
    </row>
    <row r="116" spans="1:14">
      <c r="A116" t="s">
        <v>331</v>
      </c>
      <c r="G116" t="s">
        <v>332</v>
      </c>
      <c r="N116" t="s">
        <v>333</v>
      </c>
    </row>
    <row r="117" spans="1:14">
      <c r="A117" t="s">
        <v>334</v>
      </c>
      <c r="G117" t="s">
        <v>335</v>
      </c>
      <c r="N117" t="s">
        <v>336</v>
      </c>
    </row>
    <row r="118" spans="1:14">
      <c r="A118" t="s">
        <v>337</v>
      </c>
      <c r="G118" t="s">
        <v>338</v>
      </c>
      <c r="N118" t="s">
        <v>339</v>
      </c>
    </row>
    <row r="119" spans="1:14">
      <c r="A119" t="s">
        <v>340</v>
      </c>
      <c r="G119" t="s">
        <v>341</v>
      </c>
      <c r="N119" t="s">
        <v>342</v>
      </c>
    </row>
    <row r="120" spans="1:14">
      <c r="A120" t="s">
        <v>343</v>
      </c>
      <c r="G120" t="s">
        <v>344</v>
      </c>
      <c r="N120" t="s">
        <v>345</v>
      </c>
    </row>
    <row r="121" spans="1:14">
      <c r="A121" t="s">
        <v>346</v>
      </c>
      <c r="G121" t="s">
        <v>347</v>
      </c>
      <c r="N121" t="s">
        <v>348</v>
      </c>
    </row>
    <row r="122" spans="1:14">
      <c r="A122" t="s">
        <v>349</v>
      </c>
      <c r="G122" t="s">
        <v>350</v>
      </c>
      <c r="N122" t="s">
        <v>351</v>
      </c>
    </row>
    <row r="123" spans="1:14">
      <c r="A123" t="s">
        <v>352</v>
      </c>
      <c r="G123" t="s">
        <v>353</v>
      </c>
      <c r="N123" t="s">
        <v>354</v>
      </c>
    </row>
    <row r="124" spans="1:14">
      <c r="A124" t="s">
        <v>355</v>
      </c>
      <c r="G124" t="s">
        <v>356</v>
      </c>
      <c r="N124" t="s">
        <v>357</v>
      </c>
    </row>
    <row r="125" spans="1:14">
      <c r="A125" t="s">
        <v>358</v>
      </c>
      <c r="G125" t="s">
        <v>359</v>
      </c>
      <c r="N125" t="s">
        <v>360</v>
      </c>
    </row>
    <row r="126" spans="1:14">
      <c r="A126" t="s">
        <v>361</v>
      </c>
      <c r="G126" t="s">
        <v>362</v>
      </c>
      <c r="N126" t="s">
        <v>363</v>
      </c>
    </row>
    <row r="127" spans="1:14">
      <c r="A127" t="s">
        <v>364</v>
      </c>
      <c r="G127" t="s">
        <v>365</v>
      </c>
      <c r="N127" t="s">
        <v>366</v>
      </c>
    </row>
    <row r="128" spans="1:14">
      <c r="A128" t="s">
        <v>367</v>
      </c>
      <c r="G128" t="s">
        <v>368</v>
      </c>
      <c r="N128" t="s">
        <v>369</v>
      </c>
    </row>
    <row r="129" spans="1:14">
      <c r="A129" t="s">
        <v>370</v>
      </c>
      <c r="G129" t="s">
        <v>371</v>
      </c>
      <c r="N129" t="s">
        <v>372</v>
      </c>
    </row>
    <row r="130" spans="1:14">
      <c r="A130" t="s">
        <v>373</v>
      </c>
      <c r="G130" t="s">
        <v>374</v>
      </c>
      <c r="N130" t="s">
        <v>375</v>
      </c>
    </row>
    <row r="131" spans="1:14">
      <c r="A131" t="s">
        <v>376</v>
      </c>
      <c r="G131" t="s">
        <v>377</v>
      </c>
      <c r="N131" t="s">
        <v>378</v>
      </c>
    </row>
    <row r="132" spans="1:14">
      <c r="A132" t="s">
        <v>379</v>
      </c>
      <c r="G132" t="s">
        <v>380</v>
      </c>
      <c r="N132" t="s">
        <v>381</v>
      </c>
    </row>
    <row r="133" spans="1:14">
      <c r="A133" t="s">
        <v>382</v>
      </c>
      <c r="G133" t="s">
        <v>383</v>
      </c>
      <c r="N133" t="s">
        <v>384</v>
      </c>
    </row>
    <row r="134" spans="1:14">
      <c r="A134" t="s">
        <v>385</v>
      </c>
      <c r="G134" t="s">
        <v>386</v>
      </c>
      <c r="N134" t="s">
        <v>387</v>
      </c>
    </row>
    <row r="135" spans="1:14">
      <c r="A135" t="s">
        <v>388</v>
      </c>
      <c r="G135" t="s">
        <v>389</v>
      </c>
      <c r="N135" t="s">
        <v>390</v>
      </c>
    </row>
    <row r="136" spans="1:14">
      <c r="A136" t="s">
        <v>391</v>
      </c>
      <c r="G136" t="s">
        <v>392</v>
      </c>
      <c r="N136" t="s">
        <v>393</v>
      </c>
    </row>
    <row r="137" spans="1:14">
      <c r="A137" t="s">
        <v>394</v>
      </c>
      <c r="G137" t="s">
        <v>395</v>
      </c>
      <c r="N137" t="s">
        <v>396</v>
      </c>
    </row>
    <row r="138" spans="1:14">
      <c r="A138" t="s">
        <v>397</v>
      </c>
      <c r="G138" t="s">
        <v>398</v>
      </c>
      <c r="N138" t="s">
        <v>399</v>
      </c>
    </row>
    <row r="139" spans="1:14">
      <c r="A139" t="s">
        <v>400</v>
      </c>
      <c r="G139" t="s">
        <v>401</v>
      </c>
      <c r="N139" t="s">
        <v>402</v>
      </c>
    </row>
    <row r="140" spans="1:14">
      <c r="A140" t="s">
        <v>403</v>
      </c>
      <c r="G140" t="s">
        <v>404</v>
      </c>
      <c r="N140" t="s">
        <v>405</v>
      </c>
    </row>
    <row r="141" spans="1:14">
      <c r="A141" t="s">
        <v>406</v>
      </c>
      <c r="G141" t="s">
        <v>407</v>
      </c>
      <c r="N141" t="s">
        <v>408</v>
      </c>
    </row>
    <row r="142" spans="1:14">
      <c r="A142" t="s">
        <v>409</v>
      </c>
      <c r="G142" t="s">
        <v>410</v>
      </c>
      <c r="N142" t="s">
        <v>411</v>
      </c>
    </row>
    <row r="143" spans="1:14">
      <c r="A143" t="s">
        <v>412</v>
      </c>
      <c r="G143" t="s">
        <v>413</v>
      </c>
      <c r="N143" t="s">
        <v>414</v>
      </c>
    </row>
    <row r="144" spans="1:14">
      <c r="A144" t="s">
        <v>415</v>
      </c>
      <c r="G144" t="s">
        <v>416</v>
      </c>
      <c r="N144" t="s">
        <v>417</v>
      </c>
    </row>
    <row r="145" spans="1:14">
      <c r="A145" t="s">
        <v>418</v>
      </c>
      <c r="G145" t="s">
        <v>419</v>
      </c>
      <c r="N145" t="s">
        <v>420</v>
      </c>
    </row>
    <row r="146" spans="1:14">
      <c r="A146" t="s">
        <v>421</v>
      </c>
      <c r="G146" t="s">
        <v>422</v>
      </c>
      <c r="N146" t="s">
        <v>423</v>
      </c>
    </row>
    <row r="147" spans="1:14">
      <c r="A147" t="s">
        <v>424</v>
      </c>
      <c r="G147" t="s">
        <v>425</v>
      </c>
      <c r="N147" t="s">
        <v>426</v>
      </c>
    </row>
    <row r="148" spans="1:14">
      <c r="A148" t="s">
        <v>427</v>
      </c>
      <c r="G148" t="s">
        <v>428</v>
      </c>
      <c r="N148" t="s">
        <v>429</v>
      </c>
    </row>
    <row r="149" spans="1:14">
      <c r="A149" t="s">
        <v>430</v>
      </c>
      <c r="G149" t="s">
        <v>431</v>
      </c>
      <c r="N149" t="s">
        <v>432</v>
      </c>
    </row>
    <row r="150" spans="1:14">
      <c r="A150" t="s">
        <v>433</v>
      </c>
      <c r="G150" t="s">
        <v>434</v>
      </c>
      <c r="N150" t="s">
        <v>435</v>
      </c>
    </row>
    <row r="151" spans="1:14">
      <c r="A151" t="s">
        <v>436</v>
      </c>
      <c r="G151" t="s">
        <v>437</v>
      </c>
      <c r="N151" t="s">
        <v>438</v>
      </c>
    </row>
    <row r="152" spans="1:14">
      <c r="A152" t="s">
        <v>439</v>
      </c>
      <c r="G152" t="s">
        <v>440</v>
      </c>
      <c r="N152" t="s">
        <v>441</v>
      </c>
    </row>
    <row r="153" spans="1:14">
      <c r="A153" t="s">
        <v>442</v>
      </c>
      <c r="G153" t="s">
        <v>443</v>
      </c>
      <c r="N153" t="s">
        <v>444</v>
      </c>
    </row>
    <row r="154" spans="1:14">
      <c r="A154" t="s">
        <v>445</v>
      </c>
      <c r="G154" t="s">
        <v>446</v>
      </c>
      <c r="N154" t="s">
        <v>447</v>
      </c>
    </row>
    <row r="155" spans="1:14">
      <c r="A155" t="s">
        <v>448</v>
      </c>
      <c r="G155" t="s">
        <v>449</v>
      </c>
      <c r="N155" t="s">
        <v>450</v>
      </c>
    </row>
    <row r="156" spans="1:14">
      <c r="A156" t="s">
        <v>451</v>
      </c>
      <c r="G156" t="s">
        <v>452</v>
      </c>
      <c r="N156" t="s">
        <v>453</v>
      </c>
    </row>
    <row r="157" spans="1:14">
      <c r="A157" t="s">
        <v>454</v>
      </c>
      <c r="G157" t="s">
        <v>455</v>
      </c>
      <c r="N157" t="s">
        <v>456</v>
      </c>
    </row>
    <row r="158" spans="1:14">
      <c r="A158" t="s">
        <v>457</v>
      </c>
      <c r="G158" t="s">
        <v>458</v>
      </c>
      <c r="N158" t="s">
        <v>459</v>
      </c>
    </row>
    <row r="159" spans="1:14">
      <c r="A159" t="s">
        <v>460</v>
      </c>
      <c r="G159" t="s">
        <v>461</v>
      </c>
      <c r="N159" t="s">
        <v>462</v>
      </c>
    </row>
    <row r="160" spans="1:14">
      <c r="A160" t="s">
        <v>463</v>
      </c>
      <c r="G160" t="s">
        <v>464</v>
      </c>
      <c r="N160" t="s">
        <v>465</v>
      </c>
    </row>
    <row r="161" spans="1:14">
      <c r="A161" t="s">
        <v>466</v>
      </c>
      <c r="G161" t="s">
        <v>467</v>
      </c>
      <c r="N161" t="s">
        <v>468</v>
      </c>
    </row>
    <row r="162" spans="1:14">
      <c r="A162" t="s">
        <v>469</v>
      </c>
      <c r="G162" t="s">
        <v>470</v>
      </c>
      <c r="N162" t="s">
        <v>471</v>
      </c>
    </row>
    <row r="163" spans="1:14">
      <c r="A163" t="s">
        <v>472</v>
      </c>
      <c r="G163" t="s">
        <v>473</v>
      </c>
      <c r="N163" t="s">
        <v>474</v>
      </c>
    </row>
    <row r="164" spans="1:14">
      <c r="A164" t="s">
        <v>475</v>
      </c>
      <c r="G164" t="s">
        <v>476</v>
      </c>
      <c r="N164" t="s">
        <v>477</v>
      </c>
    </row>
    <row r="165" spans="1:14">
      <c r="A165" t="s">
        <v>478</v>
      </c>
      <c r="G165" t="s">
        <v>479</v>
      </c>
      <c r="N165" t="s">
        <v>480</v>
      </c>
    </row>
    <row r="166" spans="1:14">
      <c r="A166" t="s">
        <v>481</v>
      </c>
      <c r="G166" t="s">
        <v>482</v>
      </c>
      <c r="N166" t="s">
        <v>483</v>
      </c>
    </row>
    <row r="167" spans="1:14">
      <c r="A167" t="s">
        <v>484</v>
      </c>
      <c r="G167" t="s">
        <v>485</v>
      </c>
      <c r="N167" t="s">
        <v>486</v>
      </c>
    </row>
    <row r="168" spans="1:14">
      <c r="A168" t="s">
        <v>487</v>
      </c>
      <c r="G168" t="s">
        <v>488</v>
      </c>
      <c r="N168" t="s">
        <v>489</v>
      </c>
    </row>
    <row r="169" spans="1:14">
      <c r="A169" t="s">
        <v>490</v>
      </c>
      <c r="G169" t="s">
        <v>491</v>
      </c>
      <c r="N169" t="s">
        <v>492</v>
      </c>
    </row>
    <row r="170" spans="1:14">
      <c r="A170" t="s">
        <v>493</v>
      </c>
      <c r="G170" t="s">
        <v>494</v>
      </c>
      <c r="N170" t="s">
        <v>495</v>
      </c>
    </row>
    <row r="171" spans="1:14">
      <c r="A171" t="s">
        <v>496</v>
      </c>
      <c r="G171" t="s">
        <v>497</v>
      </c>
      <c r="N171" t="s">
        <v>498</v>
      </c>
    </row>
    <row r="172" spans="1:14">
      <c r="A172" t="s">
        <v>499</v>
      </c>
      <c r="G172" t="s">
        <v>500</v>
      </c>
      <c r="N172" t="s">
        <v>501</v>
      </c>
    </row>
    <row r="173" spans="1:14">
      <c r="A173" t="s">
        <v>502</v>
      </c>
      <c r="G173" t="s">
        <v>503</v>
      </c>
      <c r="N173" t="s">
        <v>504</v>
      </c>
    </row>
    <row r="174" spans="1:14">
      <c r="A174" t="s">
        <v>505</v>
      </c>
      <c r="G174" t="s">
        <v>506</v>
      </c>
      <c r="N174" t="s">
        <v>507</v>
      </c>
    </row>
    <row r="175" spans="1:14">
      <c r="A175" t="s">
        <v>508</v>
      </c>
      <c r="G175" t="s">
        <v>509</v>
      </c>
      <c r="N175" t="s">
        <v>510</v>
      </c>
    </row>
    <row r="176" spans="1:14">
      <c r="A176" t="s">
        <v>511</v>
      </c>
      <c r="G176" t="s">
        <v>512</v>
      </c>
      <c r="N176" t="s">
        <v>513</v>
      </c>
    </row>
    <row r="177" spans="1:14">
      <c r="A177" t="s">
        <v>514</v>
      </c>
      <c r="G177" t="s">
        <v>515</v>
      </c>
      <c r="N177" t="s">
        <v>516</v>
      </c>
    </row>
    <row r="178" spans="1:14">
      <c r="A178" t="s">
        <v>517</v>
      </c>
      <c r="G178" t="s">
        <v>518</v>
      </c>
      <c r="N178" t="s">
        <v>519</v>
      </c>
    </row>
    <row r="179" spans="1:14">
      <c r="A179" t="s">
        <v>520</v>
      </c>
      <c r="G179" t="s">
        <v>521</v>
      </c>
      <c r="N179" t="s">
        <v>522</v>
      </c>
    </row>
    <row r="180" spans="1:14">
      <c r="A180" t="s">
        <v>523</v>
      </c>
      <c r="G180" t="s">
        <v>524</v>
      </c>
      <c r="N180" t="s">
        <v>525</v>
      </c>
    </row>
    <row r="181" spans="1:14">
      <c r="A181" t="s">
        <v>526</v>
      </c>
      <c r="G181" t="s">
        <v>527</v>
      </c>
      <c r="N181" t="s">
        <v>528</v>
      </c>
    </row>
    <row r="182" spans="1:14">
      <c r="A182" t="s">
        <v>529</v>
      </c>
      <c r="G182" t="s">
        <v>530</v>
      </c>
      <c r="N182" t="s">
        <v>531</v>
      </c>
    </row>
    <row r="183" spans="1:14">
      <c r="A183" t="s">
        <v>532</v>
      </c>
      <c r="G183" t="s">
        <v>533</v>
      </c>
      <c r="N183" t="s">
        <v>534</v>
      </c>
    </row>
    <row r="184" spans="1:14">
      <c r="A184" t="s">
        <v>535</v>
      </c>
      <c r="G184" t="s">
        <v>536</v>
      </c>
      <c r="N184" t="s">
        <v>537</v>
      </c>
    </row>
    <row r="185" spans="1:14">
      <c r="A185" t="s">
        <v>538</v>
      </c>
      <c r="G185" t="s">
        <v>539</v>
      </c>
      <c r="N185" t="s">
        <v>540</v>
      </c>
    </row>
    <row r="186" spans="1:14">
      <c r="A186" t="s">
        <v>541</v>
      </c>
      <c r="G186" t="s">
        <v>542</v>
      </c>
      <c r="N186" t="s">
        <v>543</v>
      </c>
    </row>
    <row r="187" spans="1:14">
      <c r="A187" t="s">
        <v>544</v>
      </c>
      <c r="G187" t="s">
        <v>545</v>
      </c>
      <c r="N187" t="s">
        <v>546</v>
      </c>
    </row>
    <row r="188" spans="1:14">
      <c r="A188" t="s">
        <v>547</v>
      </c>
      <c r="G188" t="s">
        <v>548</v>
      </c>
      <c r="N188" t="s">
        <v>549</v>
      </c>
    </row>
    <row r="189" spans="1:14">
      <c r="A189" t="s">
        <v>550</v>
      </c>
      <c r="G189" t="s">
        <v>551</v>
      </c>
      <c r="N189" t="s">
        <v>552</v>
      </c>
    </row>
    <row r="190" spans="1:14">
      <c r="A190" t="s">
        <v>553</v>
      </c>
      <c r="G190" t="s">
        <v>554</v>
      </c>
      <c r="N190" t="s">
        <v>555</v>
      </c>
    </row>
    <row r="191" spans="1:14">
      <c r="A191" t="s">
        <v>556</v>
      </c>
      <c r="G191" t="s">
        <v>557</v>
      </c>
      <c r="N191" t="s">
        <v>558</v>
      </c>
    </row>
    <row r="192" spans="1:14">
      <c r="A192" t="s">
        <v>559</v>
      </c>
      <c r="G192" t="s">
        <v>560</v>
      </c>
      <c r="N192" t="s">
        <v>561</v>
      </c>
    </row>
    <row r="193" spans="1:14">
      <c r="A193" t="s">
        <v>562</v>
      </c>
      <c r="G193" t="s">
        <v>563</v>
      </c>
      <c r="N193" t="s">
        <v>564</v>
      </c>
    </row>
    <row r="194" spans="1:14">
      <c r="A194" t="s">
        <v>565</v>
      </c>
      <c r="G194" t="s">
        <v>566</v>
      </c>
      <c r="N194" t="s">
        <v>567</v>
      </c>
    </row>
    <row r="195" spans="1:14">
      <c r="A195" t="s">
        <v>568</v>
      </c>
      <c r="G195" t="s">
        <v>569</v>
      </c>
      <c r="N195" t="s">
        <v>570</v>
      </c>
    </row>
    <row r="196" spans="1:14">
      <c r="A196" t="s">
        <v>571</v>
      </c>
      <c r="G196" t="s">
        <v>572</v>
      </c>
      <c r="N196" t="s">
        <v>573</v>
      </c>
    </row>
    <row r="197" spans="1:14">
      <c r="A197" t="s">
        <v>574</v>
      </c>
      <c r="G197" t="s">
        <v>575</v>
      </c>
      <c r="N197" t="s">
        <v>576</v>
      </c>
    </row>
    <row r="198" spans="1:14">
      <c r="A198" t="s">
        <v>577</v>
      </c>
      <c r="G198" t="s">
        <v>578</v>
      </c>
      <c r="N198" t="s">
        <v>579</v>
      </c>
    </row>
    <row r="199" spans="1:14">
      <c r="A199" t="s">
        <v>580</v>
      </c>
      <c r="G199" t="s">
        <v>581</v>
      </c>
      <c r="N199" t="s">
        <v>582</v>
      </c>
    </row>
    <row r="200" spans="1:14">
      <c r="A200" t="s">
        <v>583</v>
      </c>
      <c r="G200" t="s">
        <v>584</v>
      </c>
      <c r="N200" t="s">
        <v>585</v>
      </c>
    </row>
    <row r="201" spans="1:14">
      <c r="A201" t="s">
        <v>586</v>
      </c>
      <c r="G201" t="s">
        <v>587</v>
      </c>
      <c r="N201" t="s">
        <v>588</v>
      </c>
    </row>
    <row r="202" spans="1:14">
      <c r="A202" t="s">
        <v>589</v>
      </c>
      <c r="G202" t="s">
        <v>590</v>
      </c>
      <c r="N202" t="s">
        <v>591</v>
      </c>
    </row>
    <row r="203" spans="1:14">
      <c r="A203" t="s">
        <v>592</v>
      </c>
      <c r="G203" t="s">
        <v>593</v>
      </c>
      <c r="N203" t="s">
        <v>594</v>
      </c>
    </row>
    <row r="204" spans="1:14">
      <c r="A204" t="s">
        <v>595</v>
      </c>
      <c r="G204" t="s">
        <v>596</v>
      </c>
      <c r="N204" t="s">
        <v>597</v>
      </c>
    </row>
    <row r="205" spans="1:14">
      <c r="A205" t="s">
        <v>598</v>
      </c>
      <c r="G205" t="s">
        <v>599</v>
      </c>
      <c r="N205" t="s">
        <v>600</v>
      </c>
    </row>
    <row r="206" spans="1:14">
      <c r="A206" t="s">
        <v>601</v>
      </c>
      <c r="G206" t="s">
        <v>602</v>
      </c>
      <c r="N206" t="s">
        <v>603</v>
      </c>
    </row>
    <row r="207" spans="1:14">
      <c r="A207" t="s">
        <v>604</v>
      </c>
      <c r="G207" t="s">
        <v>605</v>
      </c>
      <c r="N207" t="s">
        <v>606</v>
      </c>
    </row>
    <row r="208" spans="1:14">
      <c r="A208" t="s">
        <v>607</v>
      </c>
      <c r="G208" t="s">
        <v>608</v>
      </c>
      <c r="N208" t="s">
        <v>609</v>
      </c>
    </row>
    <row r="209" spans="1:14">
      <c r="A209" t="s">
        <v>610</v>
      </c>
      <c r="G209" t="s">
        <v>611</v>
      </c>
      <c r="N209" t="s">
        <v>612</v>
      </c>
    </row>
    <row r="210" spans="1:14">
      <c r="A210" t="s">
        <v>613</v>
      </c>
      <c r="G210" t="s">
        <v>614</v>
      </c>
      <c r="N210" t="s">
        <v>615</v>
      </c>
    </row>
    <row r="211" spans="1:14">
      <c r="A211" t="s">
        <v>616</v>
      </c>
      <c r="G211" t="s">
        <v>617</v>
      </c>
      <c r="N211" t="s">
        <v>618</v>
      </c>
    </row>
    <row r="212" spans="1:14">
      <c r="A212" t="s">
        <v>619</v>
      </c>
      <c r="G212" t="s">
        <v>620</v>
      </c>
      <c r="N212" t="s">
        <v>621</v>
      </c>
    </row>
    <row r="213" spans="1:14">
      <c r="A213" t="s">
        <v>622</v>
      </c>
      <c r="G213" t="s">
        <v>623</v>
      </c>
      <c r="N213" t="s">
        <v>624</v>
      </c>
    </row>
    <row r="214" spans="1:14">
      <c r="A214" t="s">
        <v>625</v>
      </c>
      <c r="G214" t="s">
        <v>626</v>
      </c>
      <c r="N214" t="s">
        <v>627</v>
      </c>
    </row>
    <row r="215" spans="1:14">
      <c r="A215" t="s">
        <v>628</v>
      </c>
      <c r="G215" t="s">
        <v>629</v>
      </c>
      <c r="N215" t="s">
        <v>630</v>
      </c>
    </row>
    <row r="216" spans="1:14">
      <c r="A216" t="s">
        <v>631</v>
      </c>
      <c r="G216" t="s">
        <v>632</v>
      </c>
      <c r="N216" t="s">
        <v>633</v>
      </c>
    </row>
    <row r="217" spans="1:14">
      <c r="A217" t="s">
        <v>634</v>
      </c>
      <c r="G217" t="s">
        <v>635</v>
      </c>
      <c r="N217" t="s">
        <v>636</v>
      </c>
    </row>
    <row r="218" spans="1:14">
      <c r="A218" t="s">
        <v>637</v>
      </c>
      <c r="G218" t="s">
        <v>638</v>
      </c>
      <c r="N218" t="s">
        <v>639</v>
      </c>
    </row>
    <row r="219" spans="1:14">
      <c r="A219" t="s">
        <v>640</v>
      </c>
      <c r="G219" t="s">
        <v>641</v>
      </c>
      <c r="N219" t="s">
        <v>642</v>
      </c>
    </row>
    <row r="220" spans="1:14">
      <c r="A220" t="s">
        <v>643</v>
      </c>
      <c r="G220" t="s">
        <v>644</v>
      </c>
      <c r="N220" t="s">
        <v>645</v>
      </c>
    </row>
    <row r="221" spans="1:14">
      <c r="A221" t="s">
        <v>646</v>
      </c>
      <c r="G221" t="s">
        <v>647</v>
      </c>
      <c r="N221" t="s">
        <v>648</v>
      </c>
    </row>
    <row r="222" spans="1:14">
      <c r="A222" t="s">
        <v>649</v>
      </c>
      <c r="G222" t="s">
        <v>650</v>
      </c>
      <c r="N222" t="s">
        <v>651</v>
      </c>
    </row>
    <row r="223" spans="1:14">
      <c r="A223" t="s">
        <v>652</v>
      </c>
      <c r="G223" t="s">
        <v>653</v>
      </c>
      <c r="N223" t="s">
        <v>654</v>
      </c>
    </row>
    <row r="224" spans="1:14">
      <c r="A224" t="s">
        <v>655</v>
      </c>
      <c r="G224" t="s">
        <v>656</v>
      </c>
      <c r="N224" t="s">
        <v>657</v>
      </c>
    </row>
    <row r="225" spans="1:14">
      <c r="A225" t="s">
        <v>658</v>
      </c>
      <c r="G225" t="s">
        <v>659</v>
      </c>
      <c r="N225" t="s">
        <v>660</v>
      </c>
    </row>
    <row r="226" spans="1:14">
      <c r="A226" t="s">
        <v>661</v>
      </c>
      <c r="G226" t="s">
        <v>662</v>
      </c>
      <c r="N226" t="s">
        <v>663</v>
      </c>
    </row>
    <row r="227" spans="1:14">
      <c r="A227" t="s">
        <v>664</v>
      </c>
      <c r="G227" t="s">
        <v>665</v>
      </c>
      <c r="N227" t="s">
        <v>666</v>
      </c>
    </row>
    <row r="228" spans="1:14">
      <c r="A228" t="s">
        <v>667</v>
      </c>
      <c r="G228" t="s">
        <v>668</v>
      </c>
      <c r="N228" t="s">
        <v>669</v>
      </c>
    </row>
    <row r="229" spans="1:14">
      <c r="A229" t="s">
        <v>670</v>
      </c>
      <c r="G229" t="s">
        <v>671</v>
      </c>
      <c r="N229" t="s">
        <v>672</v>
      </c>
    </row>
    <row r="230" spans="1:14">
      <c r="A230" t="s">
        <v>673</v>
      </c>
      <c r="G230" t="s">
        <v>674</v>
      </c>
      <c r="N230" t="s">
        <v>675</v>
      </c>
    </row>
    <row r="231" spans="1:14">
      <c r="A231" t="s">
        <v>676</v>
      </c>
      <c r="G231" t="s">
        <v>677</v>
      </c>
      <c r="N231" t="s">
        <v>678</v>
      </c>
    </row>
    <row r="232" spans="1:14">
      <c r="A232" t="s">
        <v>679</v>
      </c>
      <c r="G232" t="s">
        <v>680</v>
      </c>
      <c r="N232" t="s">
        <v>681</v>
      </c>
    </row>
    <row r="233" spans="1:14">
      <c r="A233" t="s">
        <v>682</v>
      </c>
      <c r="G233" t="s">
        <v>683</v>
      </c>
      <c r="N233" t="s">
        <v>684</v>
      </c>
    </row>
    <row r="234" spans="1:14">
      <c r="A234" t="s">
        <v>685</v>
      </c>
      <c r="G234" t="s">
        <v>686</v>
      </c>
      <c r="N234" t="s">
        <v>687</v>
      </c>
    </row>
    <row r="235" spans="1:14">
      <c r="A235" t="s">
        <v>688</v>
      </c>
      <c r="G235" t="s">
        <v>689</v>
      </c>
      <c r="N235" t="s">
        <v>690</v>
      </c>
    </row>
    <row r="236" spans="1:14">
      <c r="A236" t="s">
        <v>691</v>
      </c>
      <c r="G236" t="s">
        <v>692</v>
      </c>
      <c r="N236" t="s">
        <v>693</v>
      </c>
    </row>
    <row r="237" spans="1:14">
      <c r="A237" t="s">
        <v>694</v>
      </c>
      <c r="G237" t="s">
        <v>695</v>
      </c>
      <c r="N237" t="s">
        <v>696</v>
      </c>
    </row>
    <row r="238" spans="1:14">
      <c r="A238" t="s">
        <v>697</v>
      </c>
      <c r="G238" t="s">
        <v>698</v>
      </c>
      <c r="N238" t="s">
        <v>699</v>
      </c>
    </row>
    <row r="239" spans="1:14">
      <c r="A239" t="s">
        <v>700</v>
      </c>
      <c r="G239" t="s">
        <v>701</v>
      </c>
      <c r="N239" t="s">
        <v>702</v>
      </c>
    </row>
    <row r="240" spans="1:14">
      <c r="A240" t="s">
        <v>703</v>
      </c>
      <c r="G240" t="s">
        <v>704</v>
      </c>
      <c r="N240" t="s">
        <v>705</v>
      </c>
    </row>
    <row r="241" spans="1:14">
      <c r="A241" t="s">
        <v>706</v>
      </c>
      <c r="G241" t="s">
        <v>707</v>
      </c>
      <c r="N241" t="s">
        <v>708</v>
      </c>
    </row>
    <row r="242" spans="1:14">
      <c r="A242" t="s">
        <v>709</v>
      </c>
      <c r="G242" t="s">
        <v>710</v>
      </c>
      <c r="N242" t="s">
        <v>711</v>
      </c>
    </row>
    <row r="243" spans="1:14">
      <c r="A243" t="s">
        <v>712</v>
      </c>
      <c r="G243" t="s">
        <v>713</v>
      </c>
      <c r="N243" t="s">
        <v>714</v>
      </c>
    </row>
    <row r="244" spans="1:14">
      <c r="A244" t="s">
        <v>715</v>
      </c>
      <c r="G244" t="s">
        <v>716</v>
      </c>
      <c r="N244" t="s">
        <v>717</v>
      </c>
    </row>
    <row r="245" spans="1:14">
      <c r="A245" t="s">
        <v>718</v>
      </c>
      <c r="G245" t="s">
        <v>719</v>
      </c>
      <c r="N245" t="s">
        <v>720</v>
      </c>
    </row>
    <row r="246" spans="1:14">
      <c r="A246" t="s">
        <v>721</v>
      </c>
      <c r="G246" t="s">
        <v>722</v>
      </c>
      <c r="N246" t="s">
        <v>723</v>
      </c>
    </row>
    <row r="247" spans="1:14">
      <c r="A247" t="s">
        <v>724</v>
      </c>
      <c r="G247" t="s">
        <v>725</v>
      </c>
      <c r="N247" t="s">
        <v>726</v>
      </c>
    </row>
    <row r="248" spans="1:14">
      <c r="A248" t="s">
        <v>727</v>
      </c>
      <c r="G248" t="s">
        <v>728</v>
      </c>
      <c r="N248" t="s">
        <v>729</v>
      </c>
    </row>
    <row r="249" spans="1:14">
      <c r="A249" t="s">
        <v>730</v>
      </c>
      <c r="G249" t="s">
        <v>731</v>
      </c>
      <c r="N249" t="s">
        <v>732</v>
      </c>
    </row>
    <row r="250" spans="1:14">
      <c r="A250" t="s">
        <v>733</v>
      </c>
      <c r="G250" t="s">
        <v>734</v>
      </c>
      <c r="N250" t="s">
        <v>735</v>
      </c>
    </row>
    <row r="251" spans="1:14">
      <c r="A251" t="s">
        <v>736</v>
      </c>
      <c r="G251" t="s">
        <v>737</v>
      </c>
      <c r="N251" t="s">
        <v>738</v>
      </c>
    </row>
    <row r="252" spans="1:14">
      <c r="A252" t="s">
        <v>739</v>
      </c>
      <c r="G252" t="s">
        <v>740</v>
      </c>
      <c r="N252" t="s">
        <v>741</v>
      </c>
    </row>
    <row r="253" spans="1:14">
      <c r="A253" t="s">
        <v>742</v>
      </c>
      <c r="G253" t="s">
        <v>743</v>
      </c>
      <c r="N253" t="s">
        <v>744</v>
      </c>
    </row>
    <row r="254" spans="1:14">
      <c r="A254" t="s">
        <v>745</v>
      </c>
      <c r="G254" t="s">
        <v>746</v>
      </c>
      <c r="N254" t="s">
        <v>747</v>
      </c>
    </row>
    <row r="255" spans="1:14">
      <c r="A255" t="s">
        <v>748</v>
      </c>
      <c r="G255" t="s">
        <v>749</v>
      </c>
      <c r="N255" t="s">
        <v>750</v>
      </c>
    </row>
    <row r="256" spans="1:14">
      <c r="A256" t="s">
        <v>751</v>
      </c>
      <c r="G256" t="s">
        <v>752</v>
      </c>
      <c r="N256" t="s">
        <v>753</v>
      </c>
    </row>
    <row r="257" spans="1:14">
      <c r="A257" t="s">
        <v>754</v>
      </c>
      <c r="G257" t="s">
        <v>755</v>
      </c>
      <c r="N257" t="s">
        <v>756</v>
      </c>
    </row>
    <row r="258" spans="1:14">
      <c r="A258" t="s">
        <v>757</v>
      </c>
      <c r="G258" t="s">
        <v>758</v>
      </c>
      <c r="N258" t="s">
        <v>759</v>
      </c>
    </row>
    <row r="259" spans="1:14">
      <c r="A259" t="s">
        <v>760</v>
      </c>
      <c r="G259" t="s">
        <v>761</v>
      </c>
      <c r="N259" t="s">
        <v>762</v>
      </c>
    </row>
    <row r="260" spans="1:14">
      <c r="A260" t="s">
        <v>763</v>
      </c>
      <c r="G260" t="s">
        <v>764</v>
      </c>
      <c r="N260" t="s">
        <v>765</v>
      </c>
    </row>
    <row r="261" spans="1:14">
      <c r="A261" t="s">
        <v>766</v>
      </c>
      <c r="G261" t="s">
        <v>767</v>
      </c>
      <c r="N261" t="s">
        <v>768</v>
      </c>
    </row>
    <row r="262" spans="1:14">
      <c r="A262" t="s">
        <v>769</v>
      </c>
      <c r="G262" t="s">
        <v>770</v>
      </c>
      <c r="N262" t="s">
        <v>771</v>
      </c>
    </row>
    <row r="263" spans="1:14">
      <c r="A263" t="s">
        <v>772</v>
      </c>
      <c r="G263" t="s">
        <v>773</v>
      </c>
      <c r="N263" t="s">
        <v>774</v>
      </c>
    </row>
    <row r="264" spans="1:14">
      <c r="A264" t="s">
        <v>775</v>
      </c>
      <c r="G264" t="s">
        <v>776</v>
      </c>
      <c r="N264" t="s">
        <v>777</v>
      </c>
    </row>
    <row r="265" spans="1:14">
      <c r="A265" t="s">
        <v>778</v>
      </c>
      <c r="G265" t="s">
        <v>779</v>
      </c>
      <c r="N265" t="s">
        <v>780</v>
      </c>
    </row>
    <row r="266" spans="1:14">
      <c r="A266" t="s">
        <v>781</v>
      </c>
      <c r="G266" t="s">
        <v>782</v>
      </c>
      <c r="N266" t="s">
        <v>783</v>
      </c>
    </row>
    <row r="267" spans="1:14">
      <c r="A267" t="s">
        <v>784</v>
      </c>
      <c r="G267" t="s">
        <v>785</v>
      </c>
      <c r="N267" t="s">
        <v>786</v>
      </c>
    </row>
    <row r="268" spans="1:14">
      <c r="A268" t="s">
        <v>787</v>
      </c>
      <c r="G268" t="s">
        <v>788</v>
      </c>
      <c r="N268" t="s">
        <v>789</v>
      </c>
    </row>
    <row r="269" spans="1:14">
      <c r="A269" t="s">
        <v>790</v>
      </c>
      <c r="G269" t="s">
        <v>791</v>
      </c>
      <c r="N269" t="s">
        <v>792</v>
      </c>
    </row>
    <row r="270" spans="1:14">
      <c r="A270" t="s">
        <v>793</v>
      </c>
      <c r="G270" t="s">
        <v>794</v>
      </c>
      <c r="N270" t="s">
        <v>795</v>
      </c>
    </row>
    <row r="271" spans="1:14">
      <c r="A271" t="s">
        <v>796</v>
      </c>
      <c r="G271" t="s">
        <v>797</v>
      </c>
      <c r="N271" t="s">
        <v>798</v>
      </c>
    </row>
    <row r="272" spans="1:14">
      <c r="A272" t="s">
        <v>799</v>
      </c>
      <c r="G272" t="s">
        <v>800</v>
      </c>
      <c r="N272" t="s">
        <v>801</v>
      </c>
    </row>
    <row r="273" spans="1:14">
      <c r="A273" t="s">
        <v>802</v>
      </c>
      <c r="G273" t="s">
        <v>803</v>
      </c>
      <c r="N273" t="s">
        <v>804</v>
      </c>
    </row>
    <row r="274" spans="1:14">
      <c r="A274" t="s">
        <v>805</v>
      </c>
      <c r="G274" t="s">
        <v>806</v>
      </c>
      <c r="N274" t="s">
        <v>807</v>
      </c>
    </row>
    <row r="275" spans="1:14">
      <c r="A275" t="s">
        <v>808</v>
      </c>
      <c r="G275" t="s">
        <v>809</v>
      </c>
      <c r="N275" t="s">
        <v>810</v>
      </c>
    </row>
    <row r="276" spans="1:14">
      <c r="A276" t="s">
        <v>811</v>
      </c>
      <c r="G276" t="s">
        <v>812</v>
      </c>
      <c r="N276" t="s">
        <v>813</v>
      </c>
    </row>
    <row r="277" spans="1:14">
      <c r="A277" t="s">
        <v>814</v>
      </c>
      <c r="G277" t="s">
        <v>815</v>
      </c>
      <c r="N277" t="s">
        <v>816</v>
      </c>
    </row>
    <row r="278" spans="1:14">
      <c r="A278" t="s">
        <v>817</v>
      </c>
      <c r="G278" t="s">
        <v>818</v>
      </c>
      <c r="N278" t="s">
        <v>819</v>
      </c>
    </row>
    <row r="279" spans="1:14">
      <c r="A279" t="s">
        <v>820</v>
      </c>
      <c r="G279" t="s">
        <v>821</v>
      </c>
      <c r="N279" t="s">
        <v>822</v>
      </c>
    </row>
    <row r="280" spans="1:14">
      <c r="A280" t="s">
        <v>823</v>
      </c>
      <c r="G280" t="s">
        <v>824</v>
      </c>
      <c r="N280" t="s">
        <v>825</v>
      </c>
    </row>
    <row r="281" spans="1:14">
      <c r="A281" t="s">
        <v>826</v>
      </c>
      <c r="G281" t="s">
        <v>827</v>
      </c>
      <c r="N281" t="s">
        <v>828</v>
      </c>
    </row>
    <row r="282" spans="1:14">
      <c r="A282" t="s">
        <v>829</v>
      </c>
      <c r="G282" t="s">
        <v>830</v>
      </c>
      <c r="N282" t="s">
        <v>831</v>
      </c>
    </row>
    <row r="283" spans="1:14">
      <c r="A283" t="s">
        <v>832</v>
      </c>
      <c r="G283" t="s">
        <v>833</v>
      </c>
      <c r="N283" t="s">
        <v>834</v>
      </c>
    </row>
    <row r="284" spans="1:14">
      <c r="A284" t="s">
        <v>835</v>
      </c>
      <c r="G284" t="s">
        <v>836</v>
      </c>
      <c r="N284" t="s">
        <v>837</v>
      </c>
    </row>
    <row r="285" spans="1:14">
      <c r="A285" t="s">
        <v>838</v>
      </c>
      <c r="G285" t="s">
        <v>839</v>
      </c>
      <c r="N285" t="s">
        <v>840</v>
      </c>
    </row>
    <row r="286" spans="1:14">
      <c r="A286" t="s">
        <v>841</v>
      </c>
      <c r="G286" t="s">
        <v>842</v>
      </c>
      <c r="N286" t="s">
        <v>843</v>
      </c>
    </row>
    <row r="287" spans="1:14">
      <c r="A287" t="s">
        <v>844</v>
      </c>
      <c r="G287" t="s">
        <v>845</v>
      </c>
      <c r="N287" t="s">
        <v>846</v>
      </c>
    </row>
    <row r="288" spans="1:14">
      <c r="A288" t="s">
        <v>847</v>
      </c>
      <c r="G288" t="s">
        <v>848</v>
      </c>
      <c r="N288" t="s">
        <v>849</v>
      </c>
    </row>
    <row r="289" spans="1:14">
      <c r="A289" t="s">
        <v>850</v>
      </c>
      <c r="G289" t="s">
        <v>851</v>
      </c>
      <c r="N289" t="s">
        <v>852</v>
      </c>
    </row>
    <row r="290" spans="1:14">
      <c r="A290" t="s">
        <v>853</v>
      </c>
      <c r="G290" t="s">
        <v>854</v>
      </c>
      <c r="N290" t="s">
        <v>855</v>
      </c>
    </row>
    <row r="291" spans="1:14">
      <c r="A291" t="s">
        <v>856</v>
      </c>
      <c r="G291" t="s">
        <v>857</v>
      </c>
      <c r="N291" t="s">
        <v>858</v>
      </c>
    </row>
    <row r="292" spans="1:14">
      <c r="A292" t="s">
        <v>859</v>
      </c>
      <c r="G292" t="s">
        <v>860</v>
      </c>
      <c r="N292" t="s">
        <v>861</v>
      </c>
    </row>
    <row r="293" spans="1:14">
      <c r="A293" t="s">
        <v>862</v>
      </c>
      <c r="G293" t="s">
        <v>863</v>
      </c>
      <c r="N293" t="s">
        <v>864</v>
      </c>
    </row>
    <row r="294" spans="1:14">
      <c r="A294" t="s">
        <v>865</v>
      </c>
      <c r="G294" t="s">
        <v>866</v>
      </c>
      <c r="N294" t="s">
        <v>867</v>
      </c>
    </row>
    <row r="295" spans="1:14">
      <c r="A295" t="s">
        <v>868</v>
      </c>
      <c r="G295" t="s">
        <v>869</v>
      </c>
    </row>
    <row r="296" spans="1:14">
      <c r="A296" t="s">
        <v>870</v>
      </c>
      <c r="G296" t="s">
        <v>871</v>
      </c>
    </row>
    <row r="297" spans="1:14">
      <c r="A297" t="s">
        <v>872</v>
      </c>
      <c r="G297" t="s">
        <v>873</v>
      </c>
    </row>
    <row r="298" spans="1:14">
      <c r="A298" t="s">
        <v>874</v>
      </c>
      <c r="G298" t="s">
        <v>875</v>
      </c>
    </row>
    <row r="299" spans="1:14">
      <c r="A299" t="s">
        <v>876</v>
      </c>
      <c r="G299" t="s">
        <v>877</v>
      </c>
    </row>
    <row r="300" spans="1:14">
      <c r="A300" t="s">
        <v>878</v>
      </c>
      <c r="G300" t="s">
        <v>879</v>
      </c>
    </row>
    <row r="301" spans="1:14">
      <c r="A301" t="s">
        <v>880</v>
      </c>
      <c r="G301" t="s">
        <v>881</v>
      </c>
    </row>
    <row r="302" spans="1:14">
      <c r="A302" t="s">
        <v>882</v>
      </c>
      <c r="G302" t="s">
        <v>883</v>
      </c>
    </row>
    <row r="303" spans="1:14">
      <c r="A303" t="s">
        <v>884</v>
      </c>
      <c r="G303" t="s">
        <v>885</v>
      </c>
    </row>
    <row r="304" spans="1:14">
      <c r="A304" t="s">
        <v>886</v>
      </c>
      <c r="G304" t="s">
        <v>887</v>
      </c>
    </row>
    <row r="305" spans="1:10">
      <c r="A305" t="s">
        <v>888</v>
      </c>
      <c r="G305" t="s">
        <v>889</v>
      </c>
    </row>
    <row r="306" spans="1:10">
      <c r="A306" t="s">
        <v>890</v>
      </c>
      <c r="G306" t="s">
        <v>891</v>
      </c>
    </row>
    <row r="307" spans="1:10">
      <c r="A307" t="s">
        <v>892</v>
      </c>
      <c r="G307" t="s">
        <v>893</v>
      </c>
    </row>
    <row r="308" spans="1:10">
      <c r="A308" t="s">
        <v>894</v>
      </c>
      <c r="G308" t="s">
        <v>895</v>
      </c>
    </row>
    <row r="309" spans="1:10">
      <c r="A309" t="s">
        <v>896</v>
      </c>
      <c r="G309" t="s">
        <v>897</v>
      </c>
    </row>
    <row r="310" spans="1:10">
      <c r="A310" t="s">
        <v>898</v>
      </c>
      <c r="G310" t="s">
        <v>899</v>
      </c>
    </row>
    <row r="311" spans="1:10">
      <c r="A311" t="s">
        <v>900</v>
      </c>
      <c r="G311" t="s">
        <v>901</v>
      </c>
    </row>
    <row r="312" spans="1:10">
      <c r="A312" t="s">
        <v>902</v>
      </c>
      <c r="G312" t="s">
        <v>903</v>
      </c>
    </row>
    <row r="313" spans="1:10">
      <c r="A313" t="s">
        <v>904</v>
      </c>
      <c r="G313" t="s">
        <v>905</v>
      </c>
    </row>
    <row r="314" spans="1:10">
      <c r="A314" t="s">
        <v>906</v>
      </c>
      <c r="G314" t="s">
        <v>907</v>
      </c>
    </row>
    <row r="315" spans="1:10">
      <c r="A315" t="s">
        <v>908</v>
      </c>
      <c r="G315" t="s">
        <v>909</v>
      </c>
    </row>
    <row r="316" spans="1:10">
      <c r="A316" t="s">
        <v>910</v>
      </c>
      <c r="G316" t="s">
        <v>911</v>
      </c>
    </row>
    <row r="317" spans="1:10">
      <c r="A317" t="s">
        <v>912</v>
      </c>
      <c r="G317" t="s">
        <v>913</v>
      </c>
    </row>
    <row r="318" spans="1:10">
      <c r="A318" t="s">
        <v>914</v>
      </c>
      <c r="C318" s="133"/>
      <c r="D318" s="133"/>
      <c r="G318" t="s">
        <v>915</v>
      </c>
      <c r="I318" s="133"/>
      <c r="J318" s="133"/>
    </row>
    <row r="319" spans="1:10">
      <c r="A319" t="s">
        <v>916</v>
      </c>
      <c r="C319" s="133"/>
      <c r="D319" s="133"/>
      <c r="G319" t="s">
        <v>917</v>
      </c>
      <c r="I319" s="133"/>
      <c r="J319" s="133"/>
    </row>
    <row r="320" spans="1:10">
      <c r="A320" t="s">
        <v>918</v>
      </c>
      <c r="C320" s="133"/>
      <c r="D320" s="133"/>
      <c r="G320" t="s">
        <v>919</v>
      </c>
      <c r="I320" s="133"/>
      <c r="J320" s="133"/>
    </row>
    <row r="321" spans="1:10">
      <c r="A321" t="s">
        <v>920</v>
      </c>
      <c r="G321" t="s">
        <v>921</v>
      </c>
      <c r="I321" s="133"/>
      <c r="J321" s="133"/>
    </row>
    <row r="322" spans="1:10">
      <c r="A322" t="s">
        <v>922</v>
      </c>
      <c r="C322" s="133"/>
      <c r="D322" s="133"/>
      <c r="G322" t="s">
        <v>923</v>
      </c>
      <c r="I322" s="133"/>
      <c r="J322" s="133"/>
    </row>
    <row r="323" spans="1:10">
      <c r="A323" t="s">
        <v>924</v>
      </c>
      <c r="C323" s="133"/>
      <c r="D323" s="133"/>
      <c r="G323" t="s">
        <v>925</v>
      </c>
      <c r="I323" s="133"/>
      <c r="J323" s="133"/>
    </row>
    <row r="324" spans="1:10">
      <c r="A324" t="s">
        <v>926</v>
      </c>
      <c r="C324" s="133"/>
      <c r="D324" s="133"/>
      <c r="G324" t="s">
        <v>927</v>
      </c>
      <c r="I324" s="133"/>
      <c r="J324" s="133"/>
    </row>
    <row r="325" spans="1:10">
      <c r="A325" t="s">
        <v>928</v>
      </c>
      <c r="C325" s="133"/>
      <c r="D325" s="133"/>
      <c r="G325" t="s">
        <v>929</v>
      </c>
      <c r="I325" s="133"/>
      <c r="J325" s="133"/>
    </row>
    <row r="326" spans="1:10">
      <c r="A326" t="s">
        <v>930</v>
      </c>
      <c r="C326" s="133"/>
      <c r="D326" s="133"/>
      <c r="G326" t="s">
        <v>931</v>
      </c>
      <c r="I326" s="133"/>
      <c r="J326" s="133"/>
    </row>
    <row r="327" spans="1:10">
      <c r="A327" t="s">
        <v>932</v>
      </c>
      <c r="C327" s="133"/>
      <c r="D327" s="133"/>
      <c r="G327" t="s">
        <v>933</v>
      </c>
      <c r="I327" s="133"/>
      <c r="J327" s="133"/>
    </row>
    <row r="328" spans="1:10">
      <c r="A328" t="s">
        <v>934</v>
      </c>
      <c r="G328" t="s">
        <v>935</v>
      </c>
      <c r="I328" s="133"/>
      <c r="J328" s="133"/>
    </row>
    <row r="329" spans="1:10">
      <c r="A329" t="s">
        <v>936</v>
      </c>
      <c r="C329" s="133"/>
      <c r="D329" s="133"/>
      <c r="G329" t="s">
        <v>937</v>
      </c>
      <c r="I329" s="133"/>
      <c r="J329" s="133"/>
    </row>
    <row r="330" spans="1:10">
      <c r="A330" t="s">
        <v>938</v>
      </c>
      <c r="C330" s="133"/>
      <c r="D330" s="133"/>
      <c r="G330" t="s">
        <v>939</v>
      </c>
      <c r="I330" s="133"/>
      <c r="J330" s="133"/>
    </row>
    <row r="331" spans="1:10">
      <c r="A331" t="s">
        <v>940</v>
      </c>
      <c r="C331" s="133"/>
      <c r="D331" s="133"/>
      <c r="G331" t="s">
        <v>941</v>
      </c>
      <c r="I331" s="133"/>
      <c r="J331" s="133"/>
    </row>
    <row r="332" spans="1:10">
      <c r="A332" t="s">
        <v>942</v>
      </c>
      <c r="C332" s="133"/>
      <c r="D332" s="133"/>
      <c r="G332" t="s">
        <v>943</v>
      </c>
      <c r="I332" s="133"/>
      <c r="J332" s="133"/>
    </row>
    <row r="333" spans="1:10">
      <c r="A333" t="s">
        <v>944</v>
      </c>
      <c r="C333" s="133"/>
      <c r="D333" s="133"/>
      <c r="G333" t="s">
        <v>945</v>
      </c>
      <c r="I333" s="133"/>
      <c r="J333" s="133"/>
    </row>
    <row r="334" spans="1:10">
      <c r="A334" t="s">
        <v>946</v>
      </c>
      <c r="C334" s="133"/>
      <c r="D334" s="133"/>
      <c r="G334" t="s">
        <v>947</v>
      </c>
      <c r="I334" s="133"/>
      <c r="J334" s="133"/>
    </row>
    <row r="335" spans="1:10">
      <c r="A335" t="s">
        <v>948</v>
      </c>
      <c r="C335" s="133"/>
      <c r="D335" s="133"/>
      <c r="G335" t="s">
        <v>949</v>
      </c>
      <c r="I335" s="133"/>
      <c r="J335" s="133"/>
    </row>
    <row r="336" spans="1:10">
      <c r="A336" t="s">
        <v>950</v>
      </c>
      <c r="C336" s="133"/>
      <c r="D336" s="133"/>
      <c r="G336" t="s">
        <v>951</v>
      </c>
      <c r="I336" s="133"/>
      <c r="J336" s="133"/>
    </row>
    <row r="337" spans="1:10">
      <c r="A337" t="s">
        <v>952</v>
      </c>
      <c r="C337" s="133"/>
      <c r="D337" s="133"/>
      <c r="G337" t="s">
        <v>953</v>
      </c>
      <c r="I337" s="133"/>
      <c r="J337" s="133"/>
    </row>
    <row r="338" spans="1:10">
      <c r="A338" t="s">
        <v>954</v>
      </c>
      <c r="C338" s="133"/>
      <c r="D338" s="133"/>
      <c r="G338" t="s">
        <v>955</v>
      </c>
      <c r="I338" s="133"/>
      <c r="J338" s="133"/>
    </row>
    <row r="339" spans="1:10">
      <c r="A339" t="s">
        <v>956</v>
      </c>
      <c r="C339" s="133"/>
      <c r="D339" s="133"/>
      <c r="G339" t="s">
        <v>957</v>
      </c>
      <c r="I339" s="133"/>
      <c r="J339" s="133"/>
    </row>
    <row r="340" spans="1:10">
      <c r="A340" t="s">
        <v>958</v>
      </c>
      <c r="C340" s="133"/>
      <c r="D340" s="133"/>
      <c r="G340" t="s">
        <v>959</v>
      </c>
      <c r="I340" s="133"/>
      <c r="J340" s="133"/>
    </row>
    <row r="341" spans="1:10">
      <c r="A341" t="s">
        <v>960</v>
      </c>
      <c r="C341" s="133"/>
      <c r="D341" s="133"/>
      <c r="G341" t="s">
        <v>961</v>
      </c>
      <c r="I341" s="133"/>
      <c r="J341" s="133"/>
    </row>
    <row r="342" spans="1:10">
      <c r="A342" t="s">
        <v>962</v>
      </c>
      <c r="C342" s="133"/>
      <c r="D342" s="133"/>
      <c r="G342" t="s">
        <v>963</v>
      </c>
      <c r="I342" s="133"/>
      <c r="J342" s="133"/>
    </row>
    <row r="343" spans="1:10">
      <c r="A343" t="s">
        <v>964</v>
      </c>
      <c r="C343" s="133"/>
      <c r="D343" s="133"/>
      <c r="G343" t="s">
        <v>965</v>
      </c>
      <c r="I343" s="133"/>
      <c r="J343" s="133"/>
    </row>
    <row r="344" spans="1:10">
      <c r="A344" t="s">
        <v>966</v>
      </c>
      <c r="C344" s="133"/>
      <c r="D344" s="133"/>
      <c r="G344" t="s">
        <v>967</v>
      </c>
      <c r="I344" s="133"/>
      <c r="J344" s="133"/>
    </row>
    <row r="345" spans="1:10">
      <c r="A345" t="s">
        <v>968</v>
      </c>
      <c r="C345" s="133"/>
      <c r="D345" s="133"/>
      <c r="G345" t="s">
        <v>969</v>
      </c>
      <c r="I345" s="133"/>
      <c r="J345" s="133"/>
    </row>
    <row r="346" spans="1:10">
      <c r="A346" t="s">
        <v>970</v>
      </c>
      <c r="C346" s="133"/>
      <c r="D346" s="133"/>
      <c r="G346" t="s">
        <v>971</v>
      </c>
      <c r="I346" s="133"/>
      <c r="J346" s="133"/>
    </row>
    <row r="347" spans="1:10">
      <c r="A347" t="s">
        <v>972</v>
      </c>
      <c r="C347" s="133"/>
      <c r="D347" s="133"/>
      <c r="G347" t="s">
        <v>973</v>
      </c>
      <c r="I347" s="133"/>
      <c r="J347" s="133"/>
    </row>
    <row r="348" spans="1:10">
      <c r="A348" t="s">
        <v>974</v>
      </c>
      <c r="C348" s="133"/>
      <c r="D348" s="133"/>
      <c r="G348" t="s">
        <v>975</v>
      </c>
      <c r="I348" s="133"/>
      <c r="J348" s="133"/>
    </row>
    <row r="349" spans="1:10">
      <c r="A349" t="s">
        <v>976</v>
      </c>
      <c r="C349" s="133"/>
      <c r="D349" s="133"/>
      <c r="G349" t="s">
        <v>977</v>
      </c>
      <c r="I349" s="133"/>
      <c r="J349" s="133"/>
    </row>
    <row r="350" spans="1:10">
      <c r="A350" t="s">
        <v>978</v>
      </c>
      <c r="C350" s="133"/>
      <c r="D350" s="133"/>
      <c r="G350" t="s">
        <v>979</v>
      </c>
      <c r="I350" s="133"/>
      <c r="J350" s="133"/>
    </row>
    <row r="351" spans="1:10">
      <c r="A351" t="s">
        <v>980</v>
      </c>
      <c r="G351" t="s">
        <v>981</v>
      </c>
      <c r="I351" s="133"/>
      <c r="J351" s="133"/>
    </row>
    <row r="352" spans="1:10">
      <c r="A352" t="s">
        <v>982</v>
      </c>
      <c r="C352" s="133"/>
      <c r="D352" s="133"/>
      <c r="G352" t="s">
        <v>983</v>
      </c>
      <c r="I352" s="133"/>
      <c r="J352" s="133"/>
    </row>
    <row r="353" spans="1:10">
      <c r="A353" t="s">
        <v>984</v>
      </c>
      <c r="G353" t="s">
        <v>985</v>
      </c>
    </row>
    <row r="354" spans="1:10">
      <c r="A354" t="s">
        <v>986</v>
      </c>
      <c r="G354" t="s">
        <v>987</v>
      </c>
    </row>
    <row r="355" spans="1:10">
      <c r="A355" t="s">
        <v>988</v>
      </c>
      <c r="G355" t="s">
        <v>989</v>
      </c>
    </row>
    <row r="356" spans="1:10">
      <c r="A356" t="s">
        <v>990</v>
      </c>
      <c r="G356" t="s">
        <v>991</v>
      </c>
    </row>
    <row r="357" spans="1:10">
      <c r="A357" t="s">
        <v>992</v>
      </c>
      <c r="G357" t="s">
        <v>993</v>
      </c>
    </row>
    <row r="358" spans="1:10">
      <c r="A358" t="s">
        <v>994</v>
      </c>
      <c r="G358" t="s">
        <v>995</v>
      </c>
    </row>
    <row r="359" spans="1:10">
      <c r="A359" t="s">
        <v>996</v>
      </c>
      <c r="G359" t="s">
        <v>997</v>
      </c>
    </row>
    <row r="360" spans="1:10">
      <c r="A360" t="s">
        <v>998</v>
      </c>
      <c r="G360" t="s">
        <v>999</v>
      </c>
    </row>
    <row r="361" spans="1:10">
      <c r="A361" t="s">
        <v>1000</v>
      </c>
      <c r="G361" t="s">
        <v>1001</v>
      </c>
    </row>
    <row r="362" spans="1:10">
      <c r="A362" t="s">
        <v>1002</v>
      </c>
      <c r="G362" t="s">
        <v>1003</v>
      </c>
    </row>
    <row r="363" spans="1:10">
      <c r="A363" t="s">
        <v>1004</v>
      </c>
      <c r="G363" t="s">
        <v>1005</v>
      </c>
    </row>
    <row r="364" spans="1:10">
      <c r="A364" t="s">
        <v>1006</v>
      </c>
      <c r="G364" t="s">
        <v>1007</v>
      </c>
    </row>
    <row r="365" spans="1:10">
      <c r="A365" t="s">
        <v>1008</v>
      </c>
      <c r="G365" t="s">
        <v>1009</v>
      </c>
      <c r="I365" s="133"/>
      <c r="J365" s="133"/>
    </row>
    <row r="366" spans="1:10">
      <c r="A366" t="s">
        <v>1010</v>
      </c>
      <c r="G366" t="s">
        <v>1011</v>
      </c>
      <c r="I366" s="133"/>
      <c r="J366" s="133"/>
    </row>
    <row r="367" spans="1:10">
      <c r="A367" t="s">
        <v>1012</v>
      </c>
      <c r="G367" t="s">
        <v>1013</v>
      </c>
      <c r="I367" s="133"/>
      <c r="J367" s="133"/>
    </row>
    <row r="368" spans="1:10">
      <c r="A368" t="s">
        <v>1014</v>
      </c>
      <c r="G368" t="s">
        <v>1015</v>
      </c>
    </row>
    <row r="369" spans="1:10">
      <c r="A369" t="s">
        <v>1016</v>
      </c>
      <c r="G369" t="s">
        <v>1017</v>
      </c>
    </row>
    <row r="370" spans="1:10">
      <c r="A370" t="s">
        <v>1018</v>
      </c>
      <c r="G370" t="s">
        <v>1019</v>
      </c>
    </row>
    <row r="371" spans="1:10">
      <c r="A371" t="s">
        <v>1020</v>
      </c>
      <c r="G371" t="s">
        <v>1021</v>
      </c>
      <c r="I371" s="133"/>
      <c r="J371" s="133"/>
    </row>
    <row r="372" spans="1:10">
      <c r="A372" t="s">
        <v>1022</v>
      </c>
      <c r="G372" t="s">
        <v>1023</v>
      </c>
    </row>
    <row r="373" spans="1:10">
      <c r="A373" t="s">
        <v>1024</v>
      </c>
      <c r="G373" t="s">
        <v>1025</v>
      </c>
    </row>
    <row r="374" spans="1:10">
      <c r="A374" t="s">
        <v>1026</v>
      </c>
      <c r="G374" t="s">
        <v>1027</v>
      </c>
    </row>
    <row r="375" spans="1:10">
      <c r="A375" t="s">
        <v>1028</v>
      </c>
      <c r="G375" t="s">
        <v>1029</v>
      </c>
    </row>
    <row r="376" spans="1:10">
      <c r="A376" t="s">
        <v>1030</v>
      </c>
      <c r="G376" t="s">
        <v>1031</v>
      </c>
    </row>
    <row r="377" spans="1:10">
      <c r="A377" t="s">
        <v>1032</v>
      </c>
      <c r="G377" t="s">
        <v>1033</v>
      </c>
    </row>
    <row r="378" spans="1:10">
      <c r="A378" t="s">
        <v>1034</v>
      </c>
      <c r="G378" t="s">
        <v>1035</v>
      </c>
    </row>
    <row r="379" spans="1:10">
      <c r="A379" t="s">
        <v>1036</v>
      </c>
      <c r="G379" t="s">
        <v>1037</v>
      </c>
    </row>
    <row r="380" spans="1:10">
      <c r="A380" t="s">
        <v>1038</v>
      </c>
      <c r="G380" t="s">
        <v>1039</v>
      </c>
    </row>
    <row r="381" spans="1:10">
      <c r="A381" t="s">
        <v>1040</v>
      </c>
      <c r="G381" t="s">
        <v>1041</v>
      </c>
    </row>
    <row r="382" spans="1:10">
      <c r="A382" t="s">
        <v>1042</v>
      </c>
      <c r="G382" t="s">
        <v>1043</v>
      </c>
    </row>
    <row r="383" spans="1:10">
      <c r="A383" t="s">
        <v>1044</v>
      </c>
      <c r="G383" t="s">
        <v>1045</v>
      </c>
    </row>
    <row r="384" spans="1:10">
      <c r="A384" t="s">
        <v>1046</v>
      </c>
      <c r="G384" t="s">
        <v>1047</v>
      </c>
    </row>
    <row r="385" spans="1:10">
      <c r="A385" t="s">
        <v>1048</v>
      </c>
      <c r="G385" t="s">
        <v>1049</v>
      </c>
    </row>
    <row r="386" spans="1:10">
      <c r="A386" t="s">
        <v>1050</v>
      </c>
      <c r="G386" t="s">
        <v>1051</v>
      </c>
    </row>
    <row r="387" spans="1:10">
      <c r="A387" t="s">
        <v>1052</v>
      </c>
      <c r="G387" t="s">
        <v>1053</v>
      </c>
    </row>
    <row r="388" spans="1:10">
      <c r="A388" t="s">
        <v>1054</v>
      </c>
      <c r="G388" t="s">
        <v>1055</v>
      </c>
    </row>
    <row r="389" spans="1:10">
      <c r="A389" t="s">
        <v>1056</v>
      </c>
      <c r="C389" s="133"/>
      <c r="D389" s="133"/>
      <c r="G389" t="s">
        <v>1057</v>
      </c>
      <c r="I389" s="133"/>
      <c r="J389" s="133"/>
    </row>
    <row r="390" spans="1:10">
      <c r="A390" t="s">
        <v>1058</v>
      </c>
      <c r="C390" s="133"/>
      <c r="D390" s="133"/>
      <c r="G390" t="s">
        <v>1059</v>
      </c>
      <c r="I390" s="133"/>
      <c r="J390" s="133"/>
    </row>
    <row r="391" spans="1:10">
      <c r="A391" t="s">
        <v>1060</v>
      </c>
      <c r="C391" s="133"/>
      <c r="D391" s="133"/>
      <c r="G391" t="s">
        <v>1061</v>
      </c>
      <c r="I391" s="133"/>
      <c r="J391" s="133"/>
    </row>
    <row r="392" spans="1:10">
      <c r="A392" t="s">
        <v>1062</v>
      </c>
      <c r="C392" s="133"/>
      <c r="D392" s="133"/>
      <c r="G392" t="s">
        <v>1063</v>
      </c>
      <c r="I392" s="133"/>
      <c r="J392" s="133"/>
    </row>
    <row r="393" spans="1:10">
      <c r="A393" t="s">
        <v>1064</v>
      </c>
      <c r="C393" s="133"/>
      <c r="D393" s="133"/>
      <c r="G393" t="s">
        <v>1065</v>
      </c>
      <c r="I393" s="133"/>
      <c r="J393" s="133"/>
    </row>
    <row r="394" spans="1:10">
      <c r="A394" t="s">
        <v>1066</v>
      </c>
      <c r="C394" s="133"/>
      <c r="D394" s="133"/>
      <c r="G394" t="s">
        <v>1067</v>
      </c>
      <c r="I394" s="133"/>
      <c r="J394" s="133"/>
    </row>
    <row r="395" spans="1:10">
      <c r="A395" t="s">
        <v>1068</v>
      </c>
      <c r="C395" s="133"/>
      <c r="D395" s="133"/>
      <c r="G395" t="s">
        <v>1069</v>
      </c>
      <c r="I395" s="133"/>
      <c r="J395" s="133"/>
    </row>
    <row r="396" spans="1:10">
      <c r="A396" t="s">
        <v>1070</v>
      </c>
      <c r="C396" s="133"/>
      <c r="D396" s="133"/>
      <c r="G396" t="s">
        <v>1071</v>
      </c>
      <c r="I396" s="133"/>
      <c r="J396" s="133"/>
    </row>
    <row r="397" spans="1:10">
      <c r="A397" t="s">
        <v>1072</v>
      </c>
      <c r="C397" s="133"/>
      <c r="D397" s="133"/>
      <c r="G397" t="s">
        <v>1073</v>
      </c>
      <c r="I397" s="133"/>
      <c r="J397" s="133"/>
    </row>
    <row r="398" spans="1:10">
      <c r="A398" t="s">
        <v>1074</v>
      </c>
      <c r="C398" s="133"/>
      <c r="D398" s="133"/>
      <c r="G398" t="s">
        <v>1075</v>
      </c>
      <c r="I398" s="133"/>
      <c r="J398" s="133"/>
    </row>
    <row r="399" spans="1:10">
      <c r="A399" t="s">
        <v>1076</v>
      </c>
      <c r="C399" s="133"/>
      <c r="D399" s="133"/>
      <c r="G399" t="s">
        <v>1077</v>
      </c>
      <c r="I399" s="133"/>
      <c r="J399" s="133"/>
    </row>
    <row r="400" spans="1:10">
      <c r="A400" t="s">
        <v>1078</v>
      </c>
      <c r="G400" t="s">
        <v>1079</v>
      </c>
      <c r="I400" s="133"/>
      <c r="J400" s="133"/>
    </row>
    <row r="401" spans="1:10">
      <c r="A401" t="s">
        <v>1080</v>
      </c>
      <c r="C401" s="133"/>
      <c r="D401" s="133"/>
      <c r="G401" t="s">
        <v>1081</v>
      </c>
      <c r="I401" s="133"/>
      <c r="J401" s="133"/>
    </row>
    <row r="402" spans="1:10">
      <c r="A402" t="s">
        <v>1082</v>
      </c>
      <c r="C402" s="133"/>
      <c r="D402" s="133"/>
      <c r="G402" t="s">
        <v>1083</v>
      </c>
      <c r="I402" s="133"/>
      <c r="J402" s="133"/>
    </row>
    <row r="403" spans="1:10">
      <c r="A403" t="s">
        <v>1084</v>
      </c>
      <c r="C403" s="133"/>
      <c r="D403" s="133"/>
      <c r="G403" t="s">
        <v>1085</v>
      </c>
      <c r="I403" s="133"/>
      <c r="J403" s="133"/>
    </row>
    <row r="404" spans="1:10">
      <c r="A404" t="s">
        <v>1086</v>
      </c>
      <c r="C404" s="133"/>
      <c r="D404" s="133"/>
      <c r="G404" t="s">
        <v>1087</v>
      </c>
      <c r="I404" s="133"/>
      <c r="J404" s="133"/>
    </row>
    <row r="405" spans="1:10">
      <c r="A405" t="s">
        <v>1088</v>
      </c>
      <c r="C405" s="133"/>
      <c r="D405" s="133"/>
      <c r="G405" t="s">
        <v>1089</v>
      </c>
      <c r="I405" s="133"/>
      <c r="J405" s="133"/>
    </row>
    <row r="406" spans="1:10">
      <c r="A406" t="s">
        <v>1090</v>
      </c>
      <c r="C406" s="133"/>
      <c r="D406" s="133"/>
      <c r="G406" t="s">
        <v>1091</v>
      </c>
      <c r="I406" s="133"/>
      <c r="J406" s="133"/>
    </row>
    <row r="407" spans="1:10">
      <c r="A407" t="s">
        <v>1092</v>
      </c>
      <c r="C407" s="133"/>
      <c r="D407" s="133"/>
      <c r="G407" t="s">
        <v>1093</v>
      </c>
      <c r="I407" s="133"/>
      <c r="J407" s="133"/>
    </row>
    <row r="408" spans="1:10">
      <c r="A408" t="s">
        <v>1094</v>
      </c>
      <c r="C408" s="133"/>
      <c r="D408" s="133"/>
      <c r="G408" t="s">
        <v>1095</v>
      </c>
      <c r="I408" s="133"/>
      <c r="J408" s="133"/>
    </row>
    <row r="409" spans="1:10">
      <c r="A409" t="s">
        <v>1096</v>
      </c>
      <c r="C409" s="133"/>
      <c r="D409" s="133"/>
      <c r="G409" t="s">
        <v>1097</v>
      </c>
      <c r="I409" s="133"/>
      <c r="J409" s="133"/>
    </row>
    <row r="410" spans="1:10">
      <c r="A410" t="s">
        <v>1098</v>
      </c>
      <c r="C410" s="133"/>
      <c r="D410" s="133"/>
      <c r="G410" t="s">
        <v>1099</v>
      </c>
      <c r="I410" s="133"/>
      <c r="J410" s="133"/>
    </row>
    <row r="411" spans="1:10">
      <c r="A411" t="s">
        <v>1100</v>
      </c>
      <c r="C411" s="133"/>
      <c r="D411" s="133"/>
      <c r="G411" t="s">
        <v>1101</v>
      </c>
      <c r="I411" s="133"/>
      <c r="J411" s="133"/>
    </row>
    <row r="412" spans="1:10">
      <c r="A412" t="s">
        <v>1102</v>
      </c>
      <c r="C412" s="133"/>
      <c r="D412" s="133"/>
      <c r="G412" t="s">
        <v>1103</v>
      </c>
      <c r="I412" s="133"/>
      <c r="J412" s="133"/>
    </row>
    <row r="413" spans="1:10">
      <c r="A413" t="s">
        <v>1104</v>
      </c>
      <c r="C413" s="133"/>
      <c r="D413" s="133"/>
      <c r="G413" t="s">
        <v>1105</v>
      </c>
      <c r="I413" s="133"/>
      <c r="J413" s="133"/>
    </row>
    <row r="414" spans="1:10">
      <c r="A414" t="s">
        <v>1106</v>
      </c>
      <c r="C414" s="133"/>
      <c r="D414" s="133"/>
      <c r="G414" t="s">
        <v>1107</v>
      </c>
      <c r="I414" s="133"/>
      <c r="J414" s="133"/>
    </row>
    <row r="415" spans="1:10">
      <c r="A415" t="s">
        <v>1108</v>
      </c>
      <c r="C415" s="133"/>
      <c r="D415" s="133"/>
      <c r="G415" t="s">
        <v>1109</v>
      </c>
      <c r="I415" s="133"/>
      <c r="J415" s="133"/>
    </row>
    <row r="416" spans="1:10">
      <c r="A416" t="s">
        <v>1110</v>
      </c>
      <c r="C416" s="133"/>
      <c r="D416" s="133"/>
      <c r="G416" t="s">
        <v>1111</v>
      </c>
      <c r="I416" s="133"/>
      <c r="J416" s="133"/>
    </row>
    <row r="417" spans="1:10">
      <c r="A417" t="s">
        <v>1112</v>
      </c>
      <c r="G417" t="s">
        <v>1113</v>
      </c>
      <c r="I417" s="133"/>
      <c r="J417" s="133"/>
    </row>
    <row r="418" spans="1:10">
      <c r="A418" t="s">
        <v>1114</v>
      </c>
      <c r="G418" t="s">
        <v>1115</v>
      </c>
      <c r="I418" s="133"/>
      <c r="J418" s="133"/>
    </row>
    <row r="419" spans="1:10">
      <c r="A419" t="s">
        <v>1116</v>
      </c>
      <c r="G419" t="s">
        <v>1117</v>
      </c>
    </row>
    <row r="420" spans="1:10">
      <c r="A420" t="s">
        <v>1118</v>
      </c>
      <c r="G420" t="s">
        <v>1119</v>
      </c>
      <c r="I420" s="133"/>
      <c r="J420" s="133"/>
    </row>
    <row r="421" spans="1:10">
      <c r="A421" t="s">
        <v>1120</v>
      </c>
      <c r="G421" t="s">
        <v>1121</v>
      </c>
    </row>
    <row r="422" spans="1:10">
      <c r="A422" t="s">
        <v>1122</v>
      </c>
      <c r="G422" t="s">
        <v>1123</v>
      </c>
    </row>
    <row r="423" spans="1:10">
      <c r="A423" t="s">
        <v>1124</v>
      </c>
      <c r="C423" s="133"/>
      <c r="D423" s="133"/>
      <c r="G423" t="s">
        <v>1125</v>
      </c>
      <c r="I423" s="133"/>
      <c r="J423" s="133"/>
    </row>
    <row r="424" spans="1:10">
      <c r="A424" t="s">
        <v>1126</v>
      </c>
      <c r="C424" s="133"/>
      <c r="D424" s="133"/>
      <c r="G424" t="s">
        <v>1127</v>
      </c>
      <c r="I424" s="133"/>
      <c r="J424" s="133"/>
    </row>
    <row r="425" spans="1:10">
      <c r="A425" t="s">
        <v>1128</v>
      </c>
      <c r="C425" s="133"/>
      <c r="D425" s="133"/>
      <c r="G425" t="s">
        <v>1129</v>
      </c>
      <c r="I425" s="133"/>
      <c r="J425" s="133"/>
    </row>
    <row r="426" spans="1:10">
      <c r="A426" t="s">
        <v>1130</v>
      </c>
      <c r="C426" s="133"/>
      <c r="D426" s="133"/>
      <c r="G426" t="s">
        <v>1131</v>
      </c>
    </row>
    <row r="427" spans="1:10">
      <c r="A427" t="s">
        <v>1132</v>
      </c>
      <c r="C427" s="133"/>
      <c r="D427" s="133"/>
      <c r="G427" t="s">
        <v>1133</v>
      </c>
      <c r="I427" s="133"/>
      <c r="J427" s="133"/>
    </row>
    <row r="428" spans="1:10">
      <c r="A428" t="s">
        <v>1134</v>
      </c>
      <c r="G428" t="s">
        <v>1135</v>
      </c>
    </row>
    <row r="429" spans="1:10">
      <c r="A429" t="s">
        <v>1136</v>
      </c>
      <c r="G429" t="s">
        <v>1137</v>
      </c>
    </row>
    <row r="430" spans="1:10">
      <c r="A430" t="s">
        <v>1138</v>
      </c>
      <c r="C430" s="133"/>
      <c r="D430" s="133"/>
      <c r="G430" t="s">
        <v>1139</v>
      </c>
      <c r="I430" s="133"/>
      <c r="J430" s="133"/>
    </row>
    <row r="431" spans="1:10">
      <c r="A431" t="s">
        <v>1140</v>
      </c>
      <c r="C431" s="133"/>
      <c r="D431" s="133"/>
      <c r="G431" t="s">
        <v>1141</v>
      </c>
      <c r="I431" s="133"/>
      <c r="J431" s="133"/>
    </row>
    <row r="432" spans="1:10">
      <c r="A432" t="s">
        <v>1142</v>
      </c>
      <c r="C432" s="133"/>
      <c r="D432" s="133"/>
      <c r="G432" t="s">
        <v>1143</v>
      </c>
      <c r="I432" s="133"/>
      <c r="J432" s="133"/>
    </row>
    <row r="433" spans="1:10">
      <c r="A433" t="s">
        <v>1144</v>
      </c>
      <c r="C433" s="133"/>
      <c r="D433" s="133"/>
      <c r="G433" t="s">
        <v>1145</v>
      </c>
      <c r="I433" s="133"/>
      <c r="J433" s="133"/>
    </row>
    <row r="434" spans="1:10">
      <c r="A434" t="s">
        <v>1146</v>
      </c>
      <c r="C434" s="133"/>
      <c r="D434" s="133"/>
      <c r="G434" t="s">
        <v>1147</v>
      </c>
      <c r="I434" s="133"/>
      <c r="J434" s="133"/>
    </row>
    <row r="435" spans="1:10">
      <c r="A435" t="s">
        <v>1148</v>
      </c>
      <c r="C435" s="133"/>
      <c r="D435" s="133"/>
      <c r="G435" t="s">
        <v>1149</v>
      </c>
      <c r="I435" s="133"/>
      <c r="J435" s="133"/>
    </row>
    <row r="436" spans="1:10">
      <c r="A436" t="s">
        <v>1150</v>
      </c>
      <c r="C436" s="133"/>
      <c r="D436" s="133"/>
      <c r="G436" t="s">
        <v>1151</v>
      </c>
      <c r="I436" s="133"/>
      <c r="J436" s="133"/>
    </row>
    <row r="437" spans="1:10">
      <c r="A437" t="s">
        <v>1152</v>
      </c>
      <c r="C437" s="133"/>
      <c r="D437" s="133"/>
      <c r="G437" t="s">
        <v>1153</v>
      </c>
      <c r="I437" s="133"/>
      <c r="J437" s="133"/>
    </row>
    <row r="438" spans="1:10">
      <c r="A438" t="s">
        <v>1154</v>
      </c>
      <c r="C438" s="133"/>
      <c r="D438" s="133"/>
      <c r="G438" t="s">
        <v>1155</v>
      </c>
      <c r="I438" s="133"/>
      <c r="J438" s="133"/>
    </row>
    <row r="439" spans="1:10">
      <c r="A439" t="s">
        <v>1156</v>
      </c>
      <c r="C439" s="133"/>
      <c r="D439" s="133"/>
      <c r="G439" t="s">
        <v>1157</v>
      </c>
      <c r="I439" s="133"/>
      <c r="J439" s="133"/>
    </row>
    <row r="440" spans="1:10">
      <c r="A440" t="s">
        <v>1158</v>
      </c>
      <c r="G440" t="s">
        <v>1159</v>
      </c>
    </row>
    <row r="441" spans="1:10">
      <c r="A441" t="s">
        <v>1160</v>
      </c>
      <c r="G441" t="s">
        <v>1161</v>
      </c>
    </row>
    <row r="442" spans="1:10">
      <c r="A442" t="s">
        <v>1162</v>
      </c>
      <c r="G442" t="s">
        <v>1163</v>
      </c>
    </row>
    <row r="443" spans="1:10">
      <c r="A443" t="s">
        <v>1164</v>
      </c>
      <c r="G443" t="s">
        <v>1165</v>
      </c>
    </row>
    <row r="444" spans="1:10">
      <c r="A444" t="s">
        <v>1166</v>
      </c>
      <c r="G444" t="s">
        <v>1167</v>
      </c>
    </row>
    <row r="445" spans="1:10">
      <c r="A445" t="s">
        <v>1168</v>
      </c>
      <c r="G445" t="s">
        <v>1169</v>
      </c>
    </row>
    <row r="446" spans="1:10">
      <c r="A446" t="s">
        <v>1170</v>
      </c>
      <c r="G446" t="s">
        <v>1171</v>
      </c>
    </row>
    <row r="447" spans="1:10">
      <c r="A447" t="s">
        <v>1172</v>
      </c>
      <c r="G447" t="s">
        <v>1173</v>
      </c>
    </row>
    <row r="448" spans="1:10">
      <c r="A448" t="s">
        <v>1174</v>
      </c>
      <c r="G448" t="s">
        <v>1175</v>
      </c>
    </row>
    <row r="449" spans="1:10">
      <c r="A449" t="s">
        <v>1176</v>
      </c>
      <c r="G449" t="s">
        <v>1177</v>
      </c>
    </row>
    <row r="450" spans="1:10">
      <c r="A450" t="s">
        <v>1178</v>
      </c>
      <c r="G450" t="s">
        <v>1179</v>
      </c>
    </row>
    <row r="451" spans="1:10">
      <c r="A451" t="s">
        <v>1180</v>
      </c>
      <c r="G451" t="s">
        <v>1181</v>
      </c>
    </row>
    <row r="452" spans="1:10">
      <c r="A452" t="s">
        <v>1182</v>
      </c>
      <c r="G452" t="s">
        <v>1183</v>
      </c>
    </row>
    <row r="453" spans="1:10">
      <c r="A453" t="s">
        <v>1184</v>
      </c>
      <c r="G453" t="s">
        <v>1185</v>
      </c>
    </row>
    <row r="454" spans="1:10">
      <c r="A454" t="s">
        <v>1186</v>
      </c>
      <c r="G454" t="s">
        <v>1187</v>
      </c>
    </row>
    <row r="455" spans="1:10">
      <c r="A455" t="s">
        <v>1188</v>
      </c>
      <c r="G455" t="s">
        <v>1189</v>
      </c>
    </row>
    <row r="456" spans="1:10">
      <c r="A456" t="s">
        <v>1190</v>
      </c>
      <c r="G456" t="s">
        <v>1191</v>
      </c>
    </row>
    <row r="457" spans="1:10">
      <c r="A457" t="s">
        <v>1192</v>
      </c>
      <c r="G457" t="s">
        <v>1193</v>
      </c>
    </row>
    <row r="458" spans="1:10">
      <c r="A458" t="s">
        <v>1194</v>
      </c>
      <c r="G458" t="s">
        <v>1195</v>
      </c>
      <c r="I458" s="133"/>
      <c r="J458" s="133"/>
    </row>
    <row r="459" spans="1:10">
      <c r="A459" t="s">
        <v>1196</v>
      </c>
      <c r="G459" t="s">
        <v>1197</v>
      </c>
      <c r="I459" s="133"/>
      <c r="J459" s="133"/>
    </row>
    <row r="460" spans="1:10">
      <c r="A460" t="s">
        <v>1198</v>
      </c>
      <c r="G460" t="s">
        <v>1199</v>
      </c>
    </row>
    <row r="461" spans="1:10">
      <c r="A461" t="s">
        <v>1200</v>
      </c>
      <c r="G461" t="s">
        <v>1201</v>
      </c>
      <c r="I461" s="133"/>
      <c r="J461" s="133"/>
    </row>
    <row r="462" spans="1:10">
      <c r="A462" t="s">
        <v>1202</v>
      </c>
      <c r="G462" t="s">
        <v>1203</v>
      </c>
      <c r="I462" s="133"/>
      <c r="J462" s="133"/>
    </row>
    <row r="463" spans="1:10">
      <c r="A463" t="s">
        <v>1204</v>
      </c>
      <c r="G463" t="s">
        <v>1205</v>
      </c>
      <c r="I463" s="133"/>
      <c r="J463" s="133"/>
    </row>
    <row r="464" spans="1:10">
      <c r="A464" t="s">
        <v>1206</v>
      </c>
      <c r="G464" t="s">
        <v>1207</v>
      </c>
    </row>
    <row r="465" spans="1:10">
      <c r="A465" t="s">
        <v>1208</v>
      </c>
      <c r="G465" t="s">
        <v>1209</v>
      </c>
    </row>
    <row r="466" spans="1:10">
      <c r="A466" t="s">
        <v>1210</v>
      </c>
      <c r="G466" t="s">
        <v>1211</v>
      </c>
      <c r="I466" s="133"/>
      <c r="J466" s="133"/>
    </row>
    <row r="467" spans="1:10">
      <c r="A467" t="s">
        <v>1212</v>
      </c>
      <c r="G467" t="s">
        <v>1213</v>
      </c>
    </row>
    <row r="468" spans="1:10">
      <c r="A468" t="s">
        <v>1214</v>
      </c>
      <c r="G468" t="s">
        <v>1215</v>
      </c>
    </row>
    <row r="469" spans="1:10">
      <c r="A469" t="s">
        <v>1216</v>
      </c>
      <c r="G469" t="s">
        <v>1217</v>
      </c>
    </row>
    <row r="470" spans="1:10">
      <c r="A470" t="s">
        <v>1218</v>
      </c>
      <c r="G470" t="s">
        <v>1219</v>
      </c>
    </row>
    <row r="471" spans="1:10">
      <c r="A471" t="s">
        <v>1220</v>
      </c>
      <c r="G471" t="s">
        <v>1221</v>
      </c>
    </row>
    <row r="472" spans="1:10">
      <c r="A472" t="s">
        <v>1222</v>
      </c>
      <c r="G472" t="s">
        <v>1223</v>
      </c>
    </row>
    <row r="473" spans="1:10">
      <c r="A473" t="s">
        <v>1224</v>
      </c>
      <c r="G473" t="s">
        <v>1225</v>
      </c>
    </row>
    <row r="474" spans="1:10">
      <c r="A474" t="s">
        <v>1226</v>
      </c>
      <c r="G474" t="s">
        <v>1227</v>
      </c>
    </row>
    <row r="475" spans="1:10">
      <c r="A475" t="s">
        <v>1228</v>
      </c>
      <c r="G475" t="s">
        <v>1229</v>
      </c>
      <c r="I475" s="133"/>
      <c r="J475" s="133"/>
    </row>
    <row r="476" spans="1:10">
      <c r="A476" t="s">
        <v>1230</v>
      </c>
      <c r="G476" t="s">
        <v>1231</v>
      </c>
    </row>
    <row r="477" spans="1:10">
      <c r="A477" t="s">
        <v>1232</v>
      </c>
      <c r="C477" s="133"/>
      <c r="D477" s="133"/>
      <c r="G477" t="s">
        <v>1233</v>
      </c>
      <c r="I477" s="133"/>
      <c r="J477" s="133"/>
    </row>
    <row r="478" spans="1:10">
      <c r="A478" t="s">
        <v>1234</v>
      </c>
      <c r="C478" s="133"/>
      <c r="D478" s="133"/>
      <c r="G478" t="s">
        <v>1235</v>
      </c>
      <c r="I478" s="133"/>
      <c r="J478" s="133"/>
    </row>
    <row r="479" spans="1:10">
      <c r="A479" t="s">
        <v>1236</v>
      </c>
      <c r="G479" t="s">
        <v>1237</v>
      </c>
      <c r="I479" s="133"/>
      <c r="J479" s="133"/>
    </row>
    <row r="480" spans="1:10">
      <c r="A480" t="s">
        <v>1238</v>
      </c>
      <c r="C480" s="133"/>
      <c r="D480" s="133"/>
      <c r="G480" t="s">
        <v>1239</v>
      </c>
      <c r="I480" s="133"/>
      <c r="J480" s="133"/>
    </row>
    <row r="481" spans="1:10">
      <c r="A481" t="s">
        <v>1240</v>
      </c>
      <c r="C481" s="133"/>
      <c r="D481" s="133"/>
      <c r="G481" t="s">
        <v>1241</v>
      </c>
      <c r="I481" s="133"/>
      <c r="J481" s="133"/>
    </row>
    <row r="482" spans="1:10">
      <c r="A482" t="s">
        <v>1242</v>
      </c>
      <c r="G482" t="s">
        <v>1243</v>
      </c>
      <c r="I482" s="133"/>
      <c r="J482" s="133"/>
    </row>
    <row r="483" spans="1:10">
      <c r="A483" t="s">
        <v>1244</v>
      </c>
      <c r="C483" s="133"/>
      <c r="D483" s="133"/>
      <c r="G483" t="s">
        <v>1245</v>
      </c>
      <c r="I483" s="133"/>
      <c r="J483" s="133"/>
    </row>
    <row r="484" spans="1:10">
      <c r="A484" t="s">
        <v>1246</v>
      </c>
      <c r="C484" s="133"/>
      <c r="D484" s="133"/>
      <c r="G484" t="s">
        <v>1247</v>
      </c>
      <c r="I484" s="133"/>
      <c r="J484" s="133"/>
    </row>
    <row r="485" spans="1:10">
      <c r="A485" t="s">
        <v>1248</v>
      </c>
      <c r="C485" s="133"/>
      <c r="D485" s="133"/>
      <c r="G485" t="s">
        <v>1249</v>
      </c>
      <c r="I485" s="133"/>
      <c r="J485" s="133"/>
    </row>
    <row r="486" spans="1:10">
      <c r="A486" t="s">
        <v>1250</v>
      </c>
      <c r="C486" s="133"/>
      <c r="D486" s="133"/>
      <c r="G486" t="s">
        <v>1251</v>
      </c>
      <c r="I486" s="133"/>
      <c r="J486" s="133"/>
    </row>
    <row r="487" spans="1:10">
      <c r="A487" t="s">
        <v>1252</v>
      </c>
      <c r="C487" s="133"/>
      <c r="D487" s="133"/>
      <c r="G487" t="s">
        <v>1253</v>
      </c>
      <c r="I487" s="133"/>
      <c r="J487" s="133"/>
    </row>
    <row r="488" spans="1:10">
      <c r="A488" t="s">
        <v>1254</v>
      </c>
      <c r="G488" t="s">
        <v>1255</v>
      </c>
      <c r="I488" s="133"/>
      <c r="J488" s="133"/>
    </row>
    <row r="489" spans="1:10">
      <c r="A489" t="s">
        <v>1256</v>
      </c>
      <c r="C489" s="133"/>
      <c r="D489" s="133"/>
      <c r="G489" t="s">
        <v>1257</v>
      </c>
      <c r="I489" s="133"/>
      <c r="J489" s="133"/>
    </row>
    <row r="490" spans="1:10">
      <c r="A490" t="s">
        <v>1258</v>
      </c>
      <c r="C490" s="133"/>
      <c r="D490" s="133"/>
      <c r="G490" t="s">
        <v>1259</v>
      </c>
      <c r="I490" s="133"/>
      <c r="J490" s="133"/>
    </row>
    <row r="491" spans="1:10">
      <c r="A491" t="s">
        <v>1260</v>
      </c>
      <c r="C491" s="133"/>
      <c r="D491" s="133"/>
      <c r="G491" t="s">
        <v>1261</v>
      </c>
      <c r="I491" s="133"/>
      <c r="J491" s="133"/>
    </row>
    <row r="492" spans="1:10">
      <c r="A492" t="s">
        <v>1262</v>
      </c>
      <c r="C492" s="133"/>
      <c r="D492" s="133"/>
      <c r="G492" t="s">
        <v>1263</v>
      </c>
      <c r="I492" s="133"/>
      <c r="J492" s="133"/>
    </row>
    <row r="493" spans="1:10">
      <c r="A493" t="s">
        <v>1264</v>
      </c>
      <c r="C493" s="133"/>
      <c r="D493" s="133"/>
      <c r="G493" t="s">
        <v>1265</v>
      </c>
      <c r="I493" s="133"/>
      <c r="J493" s="133"/>
    </row>
    <row r="494" spans="1:10">
      <c r="A494" t="s">
        <v>1266</v>
      </c>
      <c r="C494" s="133"/>
      <c r="D494" s="133"/>
      <c r="G494" t="s">
        <v>1267</v>
      </c>
      <c r="I494" s="133"/>
      <c r="J494" s="133"/>
    </row>
    <row r="495" spans="1:10">
      <c r="A495" t="s">
        <v>1268</v>
      </c>
      <c r="C495" s="133"/>
      <c r="D495" s="133"/>
      <c r="G495" t="s">
        <v>1269</v>
      </c>
      <c r="I495" s="133"/>
      <c r="J495" s="133"/>
    </row>
    <row r="496" spans="1:10">
      <c r="A496" t="s">
        <v>1270</v>
      </c>
      <c r="C496" s="133"/>
      <c r="D496" s="133"/>
      <c r="G496" t="s">
        <v>1271</v>
      </c>
      <c r="I496" s="133"/>
      <c r="J496" s="133"/>
    </row>
    <row r="497" spans="1:10">
      <c r="A497" t="s">
        <v>1272</v>
      </c>
      <c r="C497" s="133"/>
      <c r="D497" s="133"/>
      <c r="G497" t="s">
        <v>1273</v>
      </c>
      <c r="I497" s="133"/>
      <c r="J497" s="133"/>
    </row>
    <row r="498" spans="1:10">
      <c r="A498" t="s">
        <v>1274</v>
      </c>
      <c r="C498" s="133"/>
      <c r="D498" s="133"/>
      <c r="G498" t="s">
        <v>1275</v>
      </c>
      <c r="I498" s="133"/>
      <c r="J498" s="133"/>
    </row>
    <row r="499" spans="1:10">
      <c r="A499" t="s">
        <v>1276</v>
      </c>
      <c r="C499" s="133"/>
      <c r="D499" s="133"/>
      <c r="G499" t="s">
        <v>1277</v>
      </c>
      <c r="I499" s="133"/>
      <c r="J499" s="133"/>
    </row>
    <row r="500" spans="1:10">
      <c r="A500" t="s">
        <v>1278</v>
      </c>
      <c r="C500" s="133"/>
      <c r="D500" s="133"/>
      <c r="G500" t="s">
        <v>1279</v>
      </c>
      <c r="I500" s="133"/>
      <c r="J500" s="133"/>
    </row>
    <row r="501" spans="1:10">
      <c r="A501" t="s">
        <v>1280</v>
      </c>
      <c r="C501" s="133"/>
      <c r="D501" s="133"/>
      <c r="G501" t="s">
        <v>1281</v>
      </c>
      <c r="I501" s="133"/>
      <c r="J501" s="133"/>
    </row>
    <row r="502" spans="1:10">
      <c r="A502" t="s">
        <v>1282</v>
      </c>
      <c r="C502" s="133"/>
      <c r="D502" s="133"/>
      <c r="G502" t="s">
        <v>1283</v>
      </c>
      <c r="I502" s="133"/>
      <c r="J502" s="133"/>
    </row>
    <row r="503" spans="1:10">
      <c r="A503" t="s">
        <v>1284</v>
      </c>
      <c r="C503" s="133"/>
      <c r="D503" s="133"/>
      <c r="G503" t="s">
        <v>1285</v>
      </c>
      <c r="I503" s="133"/>
      <c r="J503" s="133"/>
    </row>
    <row r="504" spans="1:10">
      <c r="A504" t="s">
        <v>1286</v>
      </c>
      <c r="C504" s="133"/>
      <c r="D504" s="133"/>
      <c r="G504" t="s">
        <v>1287</v>
      </c>
      <c r="I504" s="133"/>
      <c r="J504" s="133"/>
    </row>
    <row r="505" spans="1:10">
      <c r="A505" t="s">
        <v>1288</v>
      </c>
      <c r="C505" s="133"/>
      <c r="D505" s="133"/>
      <c r="G505" t="s">
        <v>1289</v>
      </c>
      <c r="I505" s="133"/>
      <c r="J505" s="133"/>
    </row>
    <row r="506" spans="1:10">
      <c r="A506" t="s">
        <v>1290</v>
      </c>
      <c r="C506" s="133"/>
      <c r="D506" s="133"/>
      <c r="G506" t="s">
        <v>1291</v>
      </c>
      <c r="I506" s="133"/>
      <c r="J506" s="133"/>
    </row>
    <row r="507" spans="1:10">
      <c r="A507" t="s">
        <v>1292</v>
      </c>
      <c r="G507" t="s">
        <v>1293</v>
      </c>
    </row>
    <row r="508" spans="1:10">
      <c r="A508" t="s">
        <v>1294</v>
      </c>
      <c r="G508" t="s">
        <v>1295</v>
      </c>
    </row>
    <row r="509" spans="1:10">
      <c r="A509" t="s">
        <v>1296</v>
      </c>
      <c r="G509" t="s">
        <v>1297</v>
      </c>
    </row>
    <row r="510" spans="1:10">
      <c r="A510" t="s">
        <v>1298</v>
      </c>
      <c r="G510" t="s">
        <v>1299</v>
      </c>
    </row>
    <row r="511" spans="1:10">
      <c r="A511" t="s">
        <v>1300</v>
      </c>
      <c r="G511" t="s">
        <v>1301</v>
      </c>
    </row>
    <row r="512" spans="1:10">
      <c r="A512" t="s">
        <v>1302</v>
      </c>
      <c r="G512" t="s">
        <v>1303</v>
      </c>
    </row>
    <row r="513" spans="1:7">
      <c r="A513" t="s">
        <v>1304</v>
      </c>
      <c r="G513" t="s">
        <v>1305</v>
      </c>
    </row>
    <row r="514" spans="1:7">
      <c r="A514" t="s">
        <v>1306</v>
      </c>
      <c r="G514" t="s">
        <v>1307</v>
      </c>
    </row>
    <row r="515" spans="1:7">
      <c r="A515" t="s">
        <v>1308</v>
      </c>
      <c r="G515" t="s">
        <v>1309</v>
      </c>
    </row>
    <row r="516" spans="1:7">
      <c r="A516" t="s">
        <v>1310</v>
      </c>
      <c r="G516" t="s">
        <v>1311</v>
      </c>
    </row>
    <row r="517" spans="1:7">
      <c r="A517" t="s">
        <v>1312</v>
      </c>
      <c r="G517" t="s">
        <v>1313</v>
      </c>
    </row>
    <row r="518" spans="1:7">
      <c r="A518" t="s">
        <v>1314</v>
      </c>
      <c r="G518" t="s">
        <v>1315</v>
      </c>
    </row>
    <row r="519" spans="1:7">
      <c r="A519" t="s">
        <v>1316</v>
      </c>
      <c r="G519" t="s">
        <v>1317</v>
      </c>
    </row>
    <row r="520" spans="1:7">
      <c r="A520" t="s">
        <v>1318</v>
      </c>
      <c r="G520" t="s">
        <v>1319</v>
      </c>
    </row>
    <row r="521" spans="1:7">
      <c r="A521" t="s">
        <v>1320</v>
      </c>
      <c r="G521" t="s">
        <v>1321</v>
      </c>
    </row>
    <row r="522" spans="1:7">
      <c r="A522" t="s">
        <v>1322</v>
      </c>
      <c r="G522" t="s">
        <v>1323</v>
      </c>
    </row>
    <row r="523" spans="1:7">
      <c r="A523" t="s">
        <v>1324</v>
      </c>
      <c r="G523" t="s">
        <v>1325</v>
      </c>
    </row>
    <row r="524" spans="1:7">
      <c r="A524" t="s">
        <v>1326</v>
      </c>
      <c r="G524" t="s">
        <v>1327</v>
      </c>
    </row>
    <row r="525" spans="1:7">
      <c r="A525" t="s">
        <v>1328</v>
      </c>
      <c r="G525" t="s">
        <v>1329</v>
      </c>
    </row>
    <row r="526" spans="1:7">
      <c r="A526" t="s">
        <v>1330</v>
      </c>
      <c r="G526" t="s">
        <v>1331</v>
      </c>
    </row>
    <row r="527" spans="1:7">
      <c r="A527" t="s">
        <v>1332</v>
      </c>
      <c r="G527" t="s">
        <v>1333</v>
      </c>
    </row>
    <row r="528" spans="1:7">
      <c r="A528" t="s">
        <v>1334</v>
      </c>
      <c r="G528" t="s">
        <v>1335</v>
      </c>
    </row>
    <row r="529" spans="1:7">
      <c r="A529" t="s">
        <v>1336</v>
      </c>
      <c r="G529" t="s">
        <v>1337</v>
      </c>
    </row>
    <row r="530" spans="1:7">
      <c r="A530" t="s">
        <v>1338</v>
      </c>
      <c r="G530" t="s">
        <v>1339</v>
      </c>
    </row>
    <row r="531" spans="1:7">
      <c r="A531" t="s">
        <v>1340</v>
      </c>
      <c r="G531" t="s">
        <v>1341</v>
      </c>
    </row>
    <row r="532" spans="1:7">
      <c r="A532" t="s">
        <v>1342</v>
      </c>
      <c r="G532" t="s">
        <v>1343</v>
      </c>
    </row>
    <row r="533" spans="1:7">
      <c r="A533" t="s">
        <v>1344</v>
      </c>
      <c r="G533" t="s">
        <v>1345</v>
      </c>
    </row>
    <row r="534" spans="1:7">
      <c r="A534" t="s">
        <v>1346</v>
      </c>
      <c r="G534" t="s">
        <v>1347</v>
      </c>
    </row>
    <row r="535" spans="1:7">
      <c r="A535" t="s">
        <v>1348</v>
      </c>
      <c r="G535" t="s">
        <v>1349</v>
      </c>
    </row>
    <row r="536" spans="1:7">
      <c r="A536" t="s">
        <v>1350</v>
      </c>
      <c r="G536" t="s">
        <v>1351</v>
      </c>
    </row>
    <row r="537" spans="1:7">
      <c r="A537" t="s">
        <v>1352</v>
      </c>
      <c r="G537" t="s">
        <v>1353</v>
      </c>
    </row>
    <row r="538" spans="1:7">
      <c r="A538" t="s">
        <v>1354</v>
      </c>
      <c r="G538" t="s">
        <v>1355</v>
      </c>
    </row>
    <row r="539" spans="1:7">
      <c r="A539" t="s">
        <v>1356</v>
      </c>
      <c r="G539" t="s">
        <v>1357</v>
      </c>
    </row>
    <row r="540" spans="1:7">
      <c r="A540" t="s">
        <v>1358</v>
      </c>
      <c r="G540" t="s">
        <v>1359</v>
      </c>
    </row>
    <row r="541" spans="1:7">
      <c r="A541" t="s">
        <v>1360</v>
      </c>
      <c r="G541" t="s">
        <v>1361</v>
      </c>
    </row>
    <row r="542" spans="1:7">
      <c r="A542" t="s">
        <v>1362</v>
      </c>
      <c r="G542" t="s">
        <v>1363</v>
      </c>
    </row>
    <row r="543" spans="1:7">
      <c r="A543" t="s">
        <v>1364</v>
      </c>
      <c r="G543" t="s">
        <v>1365</v>
      </c>
    </row>
    <row r="544" spans="1:7">
      <c r="A544" t="s">
        <v>1366</v>
      </c>
      <c r="G544" t="s">
        <v>1367</v>
      </c>
    </row>
    <row r="545" spans="1:7">
      <c r="A545" t="s">
        <v>1368</v>
      </c>
      <c r="G545" t="s">
        <v>1369</v>
      </c>
    </row>
    <row r="546" spans="1:7">
      <c r="A546" t="s">
        <v>1370</v>
      </c>
      <c r="G546" t="s">
        <v>1371</v>
      </c>
    </row>
    <row r="547" spans="1:7">
      <c r="A547" t="s">
        <v>1372</v>
      </c>
      <c r="G547" t="s">
        <v>1373</v>
      </c>
    </row>
    <row r="548" spans="1:7">
      <c r="A548" t="s">
        <v>1374</v>
      </c>
      <c r="G548" t="s">
        <v>1375</v>
      </c>
    </row>
    <row r="549" spans="1:7">
      <c r="A549" t="s">
        <v>1376</v>
      </c>
      <c r="G549" t="s">
        <v>1377</v>
      </c>
    </row>
    <row r="550" spans="1:7">
      <c r="A550" t="s">
        <v>1378</v>
      </c>
      <c r="G550" t="s">
        <v>1379</v>
      </c>
    </row>
    <row r="551" spans="1:7">
      <c r="A551" t="s">
        <v>1380</v>
      </c>
      <c r="G551" t="s">
        <v>1381</v>
      </c>
    </row>
    <row r="552" spans="1:7">
      <c r="A552" t="s">
        <v>1382</v>
      </c>
      <c r="G552" t="s">
        <v>1383</v>
      </c>
    </row>
    <row r="553" spans="1:7">
      <c r="A553" t="s">
        <v>1384</v>
      </c>
      <c r="G553" t="s">
        <v>1385</v>
      </c>
    </row>
    <row r="554" spans="1:7">
      <c r="A554" t="s">
        <v>1386</v>
      </c>
      <c r="G554" t="s">
        <v>1387</v>
      </c>
    </row>
    <row r="555" spans="1:7">
      <c r="A555" t="s">
        <v>1388</v>
      </c>
      <c r="G555" t="s">
        <v>1389</v>
      </c>
    </row>
    <row r="556" spans="1:7">
      <c r="A556" t="s">
        <v>1390</v>
      </c>
      <c r="G556" t="s">
        <v>1391</v>
      </c>
    </row>
    <row r="557" spans="1:7">
      <c r="A557" t="s">
        <v>1392</v>
      </c>
      <c r="G557" t="s">
        <v>1393</v>
      </c>
    </row>
    <row r="558" spans="1:7">
      <c r="A558" t="s">
        <v>1394</v>
      </c>
      <c r="G558" t="s">
        <v>1395</v>
      </c>
    </row>
    <row r="559" spans="1:7">
      <c r="A559" t="s">
        <v>1396</v>
      </c>
      <c r="G559" t="s">
        <v>1397</v>
      </c>
    </row>
    <row r="560" spans="1:7">
      <c r="A560" t="s">
        <v>1398</v>
      </c>
      <c r="G560" t="s">
        <v>1399</v>
      </c>
    </row>
    <row r="561" spans="1:10">
      <c r="A561" t="s">
        <v>1400</v>
      </c>
      <c r="G561" t="s">
        <v>1401</v>
      </c>
    </row>
    <row r="562" spans="1:10">
      <c r="A562" t="s">
        <v>1402</v>
      </c>
      <c r="G562" t="s">
        <v>1403</v>
      </c>
      <c r="I562" s="133"/>
      <c r="J562" s="133"/>
    </row>
    <row r="563" spans="1:10">
      <c r="A563" t="s">
        <v>1404</v>
      </c>
      <c r="G563" t="s">
        <v>1405</v>
      </c>
    </row>
    <row r="564" spans="1:10">
      <c r="A564" t="s">
        <v>1406</v>
      </c>
      <c r="G564" t="s">
        <v>1407</v>
      </c>
    </row>
    <row r="565" spans="1:10">
      <c r="A565" t="s">
        <v>1408</v>
      </c>
      <c r="G565" t="s">
        <v>1409</v>
      </c>
    </row>
    <row r="566" spans="1:10">
      <c r="A566" t="s">
        <v>1410</v>
      </c>
      <c r="G566" t="s">
        <v>1411</v>
      </c>
    </row>
    <row r="567" spans="1:10">
      <c r="A567" t="s">
        <v>1412</v>
      </c>
      <c r="G567" t="s">
        <v>1413</v>
      </c>
    </row>
    <row r="568" spans="1:10">
      <c r="A568" t="s">
        <v>1414</v>
      </c>
      <c r="G568" t="s">
        <v>1415</v>
      </c>
    </row>
    <row r="569" spans="1:10">
      <c r="A569" t="s">
        <v>1416</v>
      </c>
      <c r="G569" t="s">
        <v>1417</v>
      </c>
    </row>
    <row r="570" spans="1:10">
      <c r="A570" t="s">
        <v>1418</v>
      </c>
      <c r="G570" t="s">
        <v>1419</v>
      </c>
    </row>
    <row r="571" spans="1:10">
      <c r="A571" t="s">
        <v>1420</v>
      </c>
      <c r="G571" t="s">
        <v>1421</v>
      </c>
    </row>
    <row r="572" spans="1:10">
      <c r="A572" t="s">
        <v>1422</v>
      </c>
      <c r="G572" t="s">
        <v>1423</v>
      </c>
    </row>
    <row r="573" spans="1:10">
      <c r="A573" t="s">
        <v>1424</v>
      </c>
      <c r="G573" t="s">
        <v>1425</v>
      </c>
    </row>
    <row r="574" spans="1:10">
      <c r="A574" t="s">
        <v>1426</v>
      </c>
      <c r="G574" t="s">
        <v>1427</v>
      </c>
    </row>
    <row r="575" spans="1:10">
      <c r="A575" t="s">
        <v>1428</v>
      </c>
      <c r="G575" t="s">
        <v>1429</v>
      </c>
    </row>
    <row r="576" spans="1:10">
      <c r="A576" t="s">
        <v>1430</v>
      </c>
      <c r="G576" t="s">
        <v>1431</v>
      </c>
    </row>
    <row r="577" spans="1:7">
      <c r="A577" t="s">
        <v>1432</v>
      </c>
      <c r="G577" t="s">
        <v>1433</v>
      </c>
    </row>
    <row r="578" spans="1:7">
      <c r="A578" t="s">
        <v>1434</v>
      </c>
      <c r="G578" t="s">
        <v>1435</v>
      </c>
    </row>
    <row r="579" spans="1:7">
      <c r="A579" t="s">
        <v>1436</v>
      </c>
      <c r="G579" t="s">
        <v>1437</v>
      </c>
    </row>
    <row r="580" spans="1:7">
      <c r="A580" t="s">
        <v>1438</v>
      </c>
      <c r="G580" t="s">
        <v>1439</v>
      </c>
    </row>
    <row r="581" spans="1:7">
      <c r="A581" t="s">
        <v>1440</v>
      </c>
      <c r="G581" t="s">
        <v>1441</v>
      </c>
    </row>
    <row r="582" spans="1:7">
      <c r="A582" t="s">
        <v>1442</v>
      </c>
      <c r="G582" t="s">
        <v>1443</v>
      </c>
    </row>
    <row r="583" spans="1:7">
      <c r="A583" t="s">
        <v>1444</v>
      </c>
      <c r="G583" t="s">
        <v>1445</v>
      </c>
    </row>
    <row r="584" spans="1:7">
      <c r="A584" t="s">
        <v>1446</v>
      </c>
      <c r="G584" t="s">
        <v>1447</v>
      </c>
    </row>
    <row r="585" spans="1:7">
      <c r="A585" t="s">
        <v>1448</v>
      </c>
      <c r="G585" t="s">
        <v>1449</v>
      </c>
    </row>
    <row r="586" spans="1:7">
      <c r="A586" t="s">
        <v>1450</v>
      </c>
      <c r="G586" t="s">
        <v>1451</v>
      </c>
    </row>
    <row r="587" spans="1:7">
      <c r="A587" t="s">
        <v>1452</v>
      </c>
      <c r="G587" t="s">
        <v>1453</v>
      </c>
    </row>
    <row r="588" spans="1:7">
      <c r="A588" t="s">
        <v>1454</v>
      </c>
      <c r="G588" t="s">
        <v>1455</v>
      </c>
    </row>
    <row r="589" spans="1:7">
      <c r="A589" t="s">
        <v>1456</v>
      </c>
      <c r="G589" t="s">
        <v>1457</v>
      </c>
    </row>
    <row r="590" spans="1:7">
      <c r="A590" t="s">
        <v>1458</v>
      </c>
      <c r="G590" t="s">
        <v>1459</v>
      </c>
    </row>
    <row r="591" spans="1:7">
      <c r="A591" t="s">
        <v>1460</v>
      </c>
      <c r="G591" t="s">
        <v>1461</v>
      </c>
    </row>
    <row r="592" spans="1:7">
      <c r="A592" t="s">
        <v>1462</v>
      </c>
      <c r="G592" t="s">
        <v>1463</v>
      </c>
    </row>
    <row r="593" spans="1:10">
      <c r="A593" t="s">
        <v>1464</v>
      </c>
      <c r="G593" t="s">
        <v>1465</v>
      </c>
    </row>
    <row r="594" spans="1:10">
      <c r="A594" t="s">
        <v>1466</v>
      </c>
      <c r="G594" t="s">
        <v>1467</v>
      </c>
    </row>
    <row r="595" spans="1:10">
      <c r="A595" t="s">
        <v>1468</v>
      </c>
      <c r="G595" t="s">
        <v>1469</v>
      </c>
    </row>
    <row r="596" spans="1:10">
      <c r="A596" t="s">
        <v>1470</v>
      </c>
      <c r="G596" t="s">
        <v>1471</v>
      </c>
    </row>
    <row r="597" spans="1:10">
      <c r="A597" t="s">
        <v>1472</v>
      </c>
      <c r="G597" t="s">
        <v>1473</v>
      </c>
    </row>
    <row r="598" spans="1:10">
      <c r="A598" t="s">
        <v>1474</v>
      </c>
      <c r="G598" t="s">
        <v>1475</v>
      </c>
    </row>
    <row r="599" spans="1:10">
      <c r="A599" t="s">
        <v>1476</v>
      </c>
      <c r="G599" t="s">
        <v>1477</v>
      </c>
    </row>
    <row r="600" spans="1:10">
      <c r="A600" t="s">
        <v>1478</v>
      </c>
      <c r="G600" t="s">
        <v>1479</v>
      </c>
    </row>
    <row r="601" spans="1:10">
      <c r="A601" t="s">
        <v>1480</v>
      </c>
      <c r="G601" t="s">
        <v>1481</v>
      </c>
    </row>
    <row r="602" spans="1:10">
      <c r="A602" t="s">
        <v>1482</v>
      </c>
      <c r="G602" t="s">
        <v>1483</v>
      </c>
    </row>
    <row r="603" spans="1:10">
      <c r="A603" t="s">
        <v>1484</v>
      </c>
      <c r="G603" t="s">
        <v>1485</v>
      </c>
    </row>
    <row r="604" spans="1:10">
      <c r="A604" t="s">
        <v>1486</v>
      </c>
      <c r="G604" t="s">
        <v>1487</v>
      </c>
    </row>
    <row r="605" spans="1:10">
      <c r="A605" t="s">
        <v>1488</v>
      </c>
      <c r="G605" t="s">
        <v>1489</v>
      </c>
    </row>
    <row r="606" spans="1:10">
      <c r="A606" t="s">
        <v>1490</v>
      </c>
      <c r="G606" t="s">
        <v>1491</v>
      </c>
      <c r="I606" s="133"/>
      <c r="J606" s="133"/>
    </row>
    <row r="607" spans="1:10">
      <c r="A607" t="s">
        <v>1492</v>
      </c>
      <c r="G607" t="s">
        <v>1493</v>
      </c>
    </row>
    <row r="608" spans="1:10">
      <c r="A608" t="s">
        <v>1494</v>
      </c>
      <c r="G608" t="s">
        <v>1495</v>
      </c>
      <c r="I608" s="133"/>
      <c r="J608" s="133"/>
    </row>
    <row r="609" spans="1:10">
      <c r="A609" t="s">
        <v>1496</v>
      </c>
      <c r="G609" t="s">
        <v>1497</v>
      </c>
      <c r="I609" s="133"/>
      <c r="J609" s="133"/>
    </row>
    <row r="610" spans="1:10">
      <c r="A610" t="s">
        <v>1498</v>
      </c>
      <c r="G610" t="s">
        <v>1499</v>
      </c>
    </row>
    <row r="611" spans="1:10">
      <c r="A611" t="s">
        <v>1500</v>
      </c>
      <c r="G611" t="s">
        <v>1501</v>
      </c>
    </row>
    <row r="612" spans="1:10">
      <c r="A612" t="s">
        <v>1502</v>
      </c>
      <c r="G612" t="s">
        <v>1503</v>
      </c>
    </row>
    <row r="613" spans="1:10">
      <c r="A613" t="s">
        <v>1504</v>
      </c>
      <c r="G613" t="s">
        <v>1505</v>
      </c>
    </row>
    <row r="614" spans="1:10">
      <c r="A614" t="s">
        <v>1506</v>
      </c>
      <c r="G614" t="s">
        <v>1507</v>
      </c>
      <c r="I614" s="133"/>
      <c r="J614" s="133"/>
    </row>
    <row r="615" spans="1:10">
      <c r="A615" t="s">
        <v>1508</v>
      </c>
      <c r="G615" t="s">
        <v>1509</v>
      </c>
      <c r="I615" s="133"/>
      <c r="J615" s="133"/>
    </row>
    <row r="616" spans="1:10">
      <c r="A616" t="s">
        <v>1510</v>
      </c>
      <c r="G616" t="s">
        <v>1511</v>
      </c>
    </row>
    <row r="617" spans="1:10">
      <c r="A617" t="s">
        <v>1512</v>
      </c>
      <c r="G617" t="s">
        <v>1513</v>
      </c>
      <c r="I617" s="133"/>
      <c r="J617" s="133"/>
    </row>
    <row r="618" spans="1:10">
      <c r="A618" t="s">
        <v>1514</v>
      </c>
      <c r="G618" t="s">
        <v>1515</v>
      </c>
    </row>
    <row r="619" spans="1:10">
      <c r="A619" t="s">
        <v>1516</v>
      </c>
      <c r="C619" s="133"/>
      <c r="D619" s="133"/>
      <c r="G619" t="s">
        <v>1517</v>
      </c>
      <c r="I619" s="133"/>
      <c r="J619" s="133"/>
    </row>
    <row r="620" spans="1:10">
      <c r="A620" t="s">
        <v>1518</v>
      </c>
      <c r="C620" s="133"/>
      <c r="D620" s="133"/>
      <c r="G620" t="s">
        <v>1519</v>
      </c>
      <c r="I620" s="133"/>
      <c r="J620" s="133"/>
    </row>
    <row r="621" spans="1:10">
      <c r="A621" t="s">
        <v>1520</v>
      </c>
      <c r="C621" s="133"/>
      <c r="D621" s="133"/>
      <c r="G621" t="s">
        <v>1521</v>
      </c>
      <c r="I621" s="133"/>
      <c r="J621" s="133"/>
    </row>
    <row r="622" spans="1:10">
      <c r="A622" t="s">
        <v>1522</v>
      </c>
      <c r="C622" s="133"/>
      <c r="D622" s="133"/>
      <c r="G622" t="s">
        <v>1523</v>
      </c>
      <c r="I622" s="133"/>
      <c r="J622" s="133"/>
    </row>
    <row r="623" spans="1:10">
      <c r="A623" t="s">
        <v>1524</v>
      </c>
      <c r="G623" t="s">
        <v>1525</v>
      </c>
      <c r="I623" s="133"/>
      <c r="J623" s="133"/>
    </row>
    <row r="624" spans="1:10">
      <c r="A624" t="s">
        <v>1526</v>
      </c>
      <c r="C624" s="133"/>
      <c r="D624" s="133"/>
      <c r="G624" t="s">
        <v>1527</v>
      </c>
      <c r="I624" s="133"/>
      <c r="J624" s="133"/>
    </row>
    <row r="625" spans="1:10">
      <c r="A625" t="s">
        <v>1528</v>
      </c>
      <c r="C625" s="133"/>
      <c r="D625" s="133"/>
      <c r="G625" t="s">
        <v>1529</v>
      </c>
      <c r="I625" s="133"/>
      <c r="J625" s="133"/>
    </row>
    <row r="626" spans="1:10">
      <c r="A626" t="s">
        <v>1530</v>
      </c>
      <c r="C626" s="133"/>
      <c r="D626" s="133"/>
      <c r="G626" t="s">
        <v>1531</v>
      </c>
      <c r="I626" s="133"/>
      <c r="J626" s="133"/>
    </row>
    <row r="627" spans="1:10">
      <c r="A627" t="s">
        <v>1532</v>
      </c>
      <c r="C627" s="133"/>
      <c r="D627" s="133"/>
      <c r="G627" t="s">
        <v>1533</v>
      </c>
      <c r="I627" s="133"/>
      <c r="J627" s="133"/>
    </row>
    <row r="628" spans="1:10">
      <c r="A628" t="s">
        <v>1534</v>
      </c>
      <c r="C628" s="133"/>
      <c r="D628" s="133"/>
      <c r="G628" t="s">
        <v>1535</v>
      </c>
      <c r="I628" s="133"/>
      <c r="J628" s="133"/>
    </row>
    <row r="629" spans="1:10">
      <c r="A629" t="s">
        <v>1536</v>
      </c>
      <c r="C629" s="133"/>
      <c r="D629" s="133"/>
      <c r="G629" t="s">
        <v>1537</v>
      </c>
      <c r="I629" s="133"/>
      <c r="J629" s="133"/>
    </row>
    <row r="630" spans="1:10">
      <c r="A630" t="s">
        <v>1538</v>
      </c>
      <c r="C630" s="133"/>
      <c r="D630" s="133"/>
      <c r="G630" t="s">
        <v>1539</v>
      </c>
      <c r="I630" s="133"/>
      <c r="J630" s="133"/>
    </row>
    <row r="631" spans="1:10">
      <c r="A631" t="s">
        <v>1540</v>
      </c>
      <c r="C631" s="133"/>
      <c r="D631" s="133"/>
      <c r="G631" t="s">
        <v>1541</v>
      </c>
      <c r="I631" s="133"/>
      <c r="J631" s="133"/>
    </row>
    <row r="632" spans="1:10">
      <c r="A632" t="s">
        <v>1542</v>
      </c>
      <c r="C632" s="133"/>
      <c r="D632" s="133"/>
      <c r="G632" t="s">
        <v>1543</v>
      </c>
      <c r="I632" s="133"/>
      <c r="J632" s="133"/>
    </row>
    <row r="633" spans="1:10">
      <c r="A633" t="s">
        <v>1544</v>
      </c>
      <c r="C633" s="133"/>
      <c r="D633" s="133"/>
      <c r="G633" t="s">
        <v>1545</v>
      </c>
      <c r="I633" s="133"/>
      <c r="J633" s="133"/>
    </row>
    <row r="634" spans="1:10">
      <c r="A634" t="s">
        <v>1546</v>
      </c>
      <c r="C634" s="133"/>
      <c r="D634" s="133"/>
      <c r="G634" t="s">
        <v>1547</v>
      </c>
      <c r="I634" s="133"/>
      <c r="J634" s="133"/>
    </row>
    <row r="635" spans="1:10">
      <c r="A635" t="s">
        <v>1548</v>
      </c>
      <c r="G635" t="s">
        <v>1549</v>
      </c>
    </row>
    <row r="636" spans="1:10">
      <c r="A636" t="s">
        <v>1550</v>
      </c>
      <c r="G636" t="s">
        <v>1551</v>
      </c>
    </row>
    <row r="637" spans="1:10">
      <c r="A637" t="s">
        <v>1552</v>
      </c>
      <c r="G637" t="s">
        <v>1553</v>
      </c>
    </row>
    <row r="638" spans="1:10">
      <c r="A638" t="s">
        <v>1554</v>
      </c>
      <c r="G638" t="s">
        <v>1555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
  <sheetViews>
    <sheetView workbookViewId="0">
      <selection activeCell="H31" sqref="H31"/>
    </sheetView>
  </sheetViews>
  <sheetFormatPr defaultColWidth="8.83203125" defaultRowHeight="15.5"/>
  <cols>
    <col min="5" max="5" width="14" bestFit="1" customWidth="1"/>
    <col min="8" max="9" width="17.5" bestFit="1" customWidth="1"/>
  </cols>
  <sheetData>
    <row r="1" spans="1:9">
      <c r="A1" s="332" t="s">
        <v>2561</v>
      </c>
      <c r="G1" s="71"/>
    </row>
    <row r="2" spans="1:9">
      <c r="A2" t="s">
        <v>2560</v>
      </c>
      <c r="E2" t="s">
        <v>2557</v>
      </c>
      <c r="G2" s="71"/>
      <c r="H2" t="s">
        <v>2558</v>
      </c>
      <c r="I2" t="s">
        <v>2559</v>
      </c>
    </row>
    <row r="3" spans="1:9">
      <c r="G3" s="71"/>
    </row>
    <row r="4" spans="1:9">
      <c r="A4" t="s">
        <v>2703</v>
      </c>
      <c r="C4" s="426"/>
      <c r="D4" s="426"/>
      <c r="G4" s="71"/>
    </row>
    <row r="5" spans="1:9">
      <c r="G5" s="71"/>
    </row>
    <row r="6" spans="1:9">
      <c r="A6" s="495" t="s">
        <v>2704</v>
      </c>
      <c r="G6" s="71"/>
    </row>
    <row r="7" spans="1:9">
      <c r="A7" s="495"/>
    </row>
    <row r="8" spans="1:9">
      <c r="A8" s="495" t="s">
        <v>2705</v>
      </c>
    </row>
    <row r="9" spans="1:9">
      <c r="A9" s="495" t="s">
        <v>2706</v>
      </c>
    </row>
    <row r="10" spans="1:9">
      <c r="A10" s="495"/>
    </row>
    <row r="11" spans="1:9">
      <c r="A11" s="495" t="s">
        <v>2707</v>
      </c>
    </row>
    <row r="12" spans="1:9">
      <c r="A12" s="495" t="s">
        <v>2708</v>
      </c>
    </row>
    <row r="13" spans="1:9">
      <c r="A13" s="495"/>
    </row>
    <row r="14" spans="1:9">
      <c r="A14" s="495" t="s">
        <v>2709</v>
      </c>
    </row>
    <row r="15" spans="1:9">
      <c r="A15" s="495" t="s">
        <v>2710</v>
      </c>
    </row>
    <row r="16" spans="1:9">
      <c r="A16" s="495"/>
    </row>
    <row r="17" spans="1:1">
      <c r="A17" s="495" t="s">
        <v>2711</v>
      </c>
    </row>
    <row r="18" spans="1:1">
      <c r="A18" s="495" t="s">
        <v>2712</v>
      </c>
    </row>
    <row r="19" spans="1:1">
      <c r="A19" s="495"/>
    </row>
    <row r="20" spans="1:1">
      <c r="A20" s="495" t="s">
        <v>2713</v>
      </c>
    </row>
    <row r="21" spans="1:1">
      <c r="A21" s="495" t="s">
        <v>2714</v>
      </c>
    </row>
    <row r="22" spans="1:1">
      <c r="A22" s="495"/>
    </row>
    <row r="23" spans="1:1">
      <c r="A23" s="495"/>
    </row>
    <row r="24" spans="1:1" ht="16.5">
      <c r="A24" s="495" t="s">
        <v>2715</v>
      </c>
    </row>
    <row r="25" spans="1:1">
      <c r="A25" s="495"/>
    </row>
    <row r="26" spans="1:1">
      <c r="A26" s="495" t="s">
        <v>2716</v>
      </c>
    </row>
    <row r="27" spans="1:1">
      <c r="A27" s="495" t="s">
        <v>2717</v>
      </c>
    </row>
    <row r="28" spans="1:1">
      <c r="A28" s="495" t="s">
        <v>2718</v>
      </c>
    </row>
    <row r="29" spans="1:1">
      <c r="A29" s="495" t="s">
        <v>2719</v>
      </c>
    </row>
    <row r="30" spans="1:1">
      <c r="A30" s="495"/>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64"/>
  <sheetViews>
    <sheetView view="pageLayout" workbookViewId="0"/>
  </sheetViews>
  <sheetFormatPr defaultColWidth="8" defaultRowHeight="14"/>
  <cols>
    <col min="1" max="1" width="10.5" style="48" customWidth="1"/>
    <col min="2" max="2" width="8.5" style="48" customWidth="1"/>
    <col min="3" max="3" width="7" style="51" customWidth="1"/>
    <col min="4" max="4" width="10.83203125" style="48" customWidth="1"/>
    <col min="5" max="5" width="11.5" style="48" customWidth="1"/>
    <col min="6" max="6" width="9.5" style="48" customWidth="1"/>
    <col min="7" max="7" width="7" style="51" customWidth="1"/>
    <col min="8" max="8" width="12.83203125" style="48" customWidth="1"/>
    <col min="9" max="9" width="12.33203125" style="48" customWidth="1"/>
    <col min="10" max="10" width="7.83203125" style="48" bestFit="1" customWidth="1"/>
    <col min="11" max="11" width="6.5" style="51" customWidth="1"/>
    <col min="12" max="12" width="8" style="48" customWidth="1"/>
    <col min="13" max="13" width="12" style="48" customWidth="1"/>
    <col min="14" max="14" width="10" style="48" customWidth="1"/>
    <col min="15" max="15" width="4" style="48" customWidth="1"/>
    <col min="16" max="16" width="13.5" style="48" customWidth="1"/>
    <col min="17" max="16384" width="8" style="48"/>
  </cols>
  <sheetData>
    <row r="1" spans="1:16" ht="39.75" customHeight="1">
      <c r="A1" s="43" t="s">
        <v>1556</v>
      </c>
      <c r="B1" s="44" t="s">
        <v>1557</v>
      </c>
      <c r="C1" s="45" t="s">
        <v>1558</v>
      </c>
      <c r="D1" s="46" t="s">
        <v>1559</v>
      </c>
      <c r="E1" s="43" t="s">
        <v>1560</v>
      </c>
      <c r="F1" s="47" t="s">
        <v>1561</v>
      </c>
      <c r="G1" s="45" t="s">
        <v>1558</v>
      </c>
      <c r="H1" s="46" t="s">
        <v>1559</v>
      </c>
      <c r="I1" s="43" t="s">
        <v>1560</v>
      </c>
      <c r="J1" s="47" t="s">
        <v>1562</v>
      </c>
      <c r="K1" s="45" t="s">
        <v>1558</v>
      </c>
      <c r="L1" s="46" t="s">
        <v>1559</v>
      </c>
      <c r="M1" s="43"/>
      <c r="N1" s="47"/>
      <c r="O1" s="47"/>
      <c r="P1" s="47"/>
    </row>
    <row r="2" spans="1:16" ht="39.75" customHeight="1">
      <c r="A2" s="43" t="s">
        <v>1556</v>
      </c>
      <c r="B2" s="44" t="s">
        <v>1557</v>
      </c>
      <c r="C2" s="45" t="s">
        <v>1563</v>
      </c>
      <c r="D2" s="46" t="s">
        <v>1559</v>
      </c>
      <c r="E2" s="43" t="s">
        <v>1560</v>
      </c>
      <c r="F2" s="47" t="s">
        <v>1561</v>
      </c>
      <c r="G2" s="45" t="s">
        <v>1563</v>
      </c>
      <c r="H2" s="46" t="s">
        <v>1559</v>
      </c>
      <c r="I2" s="43" t="s">
        <v>1560</v>
      </c>
      <c r="J2" s="47" t="s">
        <v>1562</v>
      </c>
      <c r="K2" s="45" t="s">
        <v>1563</v>
      </c>
      <c r="L2" s="46" t="s">
        <v>1559</v>
      </c>
      <c r="M2" s="49"/>
    </row>
    <row r="3" spans="1:16" ht="39.75" customHeight="1">
      <c r="A3" s="43" t="s">
        <v>1556</v>
      </c>
      <c r="B3" s="44" t="s">
        <v>1557</v>
      </c>
      <c r="C3" s="45" t="s">
        <v>1564</v>
      </c>
      <c r="D3" s="46" t="s">
        <v>1559</v>
      </c>
      <c r="E3" s="43" t="s">
        <v>1560</v>
      </c>
      <c r="F3" s="47" t="s">
        <v>1561</v>
      </c>
      <c r="G3" s="45" t="s">
        <v>1564</v>
      </c>
      <c r="H3" s="46" t="s">
        <v>1559</v>
      </c>
      <c r="I3" s="43" t="s">
        <v>1560</v>
      </c>
      <c r="J3" s="47" t="s">
        <v>1562</v>
      </c>
      <c r="K3" s="45" t="s">
        <v>1564</v>
      </c>
      <c r="L3" s="46" t="s">
        <v>1559</v>
      </c>
      <c r="M3" s="49"/>
    </row>
    <row r="4" spans="1:16" ht="39.75" customHeight="1">
      <c r="A4" s="43" t="s">
        <v>1556</v>
      </c>
      <c r="B4" s="44" t="s">
        <v>1557</v>
      </c>
      <c r="C4" s="45" t="s">
        <v>1565</v>
      </c>
      <c r="D4" s="46" t="s">
        <v>1559</v>
      </c>
      <c r="E4" s="43" t="s">
        <v>1560</v>
      </c>
      <c r="F4" s="47" t="s">
        <v>1561</v>
      </c>
      <c r="G4" s="45" t="s">
        <v>1565</v>
      </c>
      <c r="H4" s="46" t="s">
        <v>1559</v>
      </c>
      <c r="I4" s="43" t="s">
        <v>1560</v>
      </c>
      <c r="J4" s="47" t="s">
        <v>1562</v>
      </c>
      <c r="K4" s="45" t="s">
        <v>1565</v>
      </c>
      <c r="L4" s="46" t="s">
        <v>1559</v>
      </c>
      <c r="M4" s="49"/>
    </row>
    <row r="5" spans="1:16" ht="39.75" customHeight="1">
      <c r="A5" s="43" t="s">
        <v>1556</v>
      </c>
      <c r="B5" s="44" t="s">
        <v>1557</v>
      </c>
      <c r="C5" s="45" t="s">
        <v>1566</v>
      </c>
      <c r="D5" s="46" t="s">
        <v>1559</v>
      </c>
      <c r="E5" s="43" t="s">
        <v>1560</v>
      </c>
      <c r="F5" s="47" t="s">
        <v>1561</v>
      </c>
      <c r="G5" s="45" t="s">
        <v>1566</v>
      </c>
      <c r="H5" s="46" t="s">
        <v>1559</v>
      </c>
      <c r="I5" s="43" t="s">
        <v>1560</v>
      </c>
      <c r="J5" s="47" t="s">
        <v>1562</v>
      </c>
      <c r="K5" s="45" t="s">
        <v>1566</v>
      </c>
      <c r="L5" s="46" t="s">
        <v>1559</v>
      </c>
      <c r="M5" s="49"/>
    </row>
    <row r="6" spans="1:16" ht="39.75" customHeight="1">
      <c r="A6" s="43" t="s">
        <v>1556</v>
      </c>
      <c r="B6" s="44" t="s">
        <v>1557</v>
      </c>
      <c r="C6" s="45" t="s">
        <v>1567</v>
      </c>
      <c r="D6" s="46" t="s">
        <v>1559</v>
      </c>
      <c r="E6" s="43" t="s">
        <v>1560</v>
      </c>
      <c r="F6" s="47" t="s">
        <v>1561</v>
      </c>
      <c r="G6" s="45" t="s">
        <v>1567</v>
      </c>
      <c r="H6" s="46" t="s">
        <v>1559</v>
      </c>
      <c r="I6" s="43" t="s">
        <v>1560</v>
      </c>
      <c r="J6" s="47" t="s">
        <v>1562</v>
      </c>
      <c r="K6" s="45" t="s">
        <v>1567</v>
      </c>
      <c r="L6" s="46" t="s">
        <v>1559</v>
      </c>
      <c r="M6" s="49"/>
    </row>
    <row r="7" spans="1:16" ht="39.75" customHeight="1">
      <c r="A7" s="43" t="s">
        <v>1556</v>
      </c>
      <c r="B7" s="44" t="s">
        <v>1557</v>
      </c>
      <c r="C7" s="45" t="s">
        <v>1568</v>
      </c>
      <c r="D7" s="46" t="s">
        <v>1559</v>
      </c>
      <c r="E7" s="43" t="s">
        <v>1560</v>
      </c>
      <c r="F7" s="47" t="s">
        <v>1561</v>
      </c>
      <c r="G7" s="45" t="s">
        <v>1568</v>
      </c>
      <c r="H7" s="46" t="s">
        <v>1559</v>
      </c>
      <c r="I7" s="43" t="s">
        <v>1560</v>
      </c>
      <c r="J7" s="47" t="s">
        <v>1562</v>
      </c>
      <c r="K7" s="45" t="s">
        <v>1568</v>
      </c>
      <c r="L7" s="46" t="s">
        <v>1559</v>
      </c>
      <c r="M7" s="49"/>
    </row>
    <row r="8" spans="1:16" ht="39.75" customHeight="1">
      <c r="A8" s="43" t="s">
        <v>1556</v>
      </c>
      <c r="B8" s="44" t="s">
        <v>1557</v>
      </c>
      <c r="C8" s="45" t="s">
        <v>1569</v>
      </c>
      <c r="D8" s="46" t="s">
        <v>1559</v>
      </c>
      <c r="E8" s="43" t="s">
        <v>1560</v>
      </c>
      <c r="F8" s="47" t="s">
        <v>1561</v>
      </c>
      <c r="G8" s="45" t="s">
        <v>1569</v>
      </c>
      <c r="H8" s="46" t="s">
        <v>1559</v>
      </c>
      <c r="I8" s="43" t="s">
        <v>1560</v>
      </c>
      <c r="J8" s="47" t="s">
        <v>1562</v>
      </c>
      <c r="K8" s="45" t="s">
        <v>1569</v>
      </c>
      <c r="L8" s="46" t="s">
        <v>1559</v>
      </c>
      <c r="M8" s="49"/>
    </row>
    <row r="9" spans="1:16" ht="39.75" customHeight="1">
      <c r="A9" s="43" t="s">
        <v>1556</v>
      </c>
      <c r="B9" s="44" t="s">
        <v>1557</v>
      </c>
      <c r="C9" s="45" t="s">
        <v>1570</v>
      </c>
      <c r="D9" s="46" t="s">
        <v>1559</v>
      </c>
      <c r="E9" s="43" t="s">
        <v>1560</v>
      </c>
      <c r="F9" s="47" t="s">
        <v>1561</v>
      </c>
      <c r="G9" s="45" t="s">
        <v>1570</v>
      </c>
      <c r="H9" s="46" t="s">
        <v>1559</v>
      </c>
      <c r="I9" s="43" t="s">
        <v>1560</v>
      </c>
      <c r="J9" s="47" t="s">
        <v>1562</v>
      </c>
      <c r="K9" s="45" t="s">
        <v>1570</v>
      </c>
      <c r="L9" s="46" t="s">
        <v>1559</v>
      </c>
      <c r="M9" s="49"/>
    </row>
    <row r="10" spans="1:16" ht="39.75" customHeight="1">
      <c r="A10" s="43" t="s">
        <v>1556</v>
      </c>
      <c r="B10" s="44" t="s">
        <v>1557</v>
      </c>
      <c r="C10" s="45" t="s">
        <v>1571</v>
      </c>
      <c r="D10" s="46" t="s">
        <v>1559</v>
      </c>
      <c r="E10" s="43" t="s">
        <v>1560</v>
      </c>
      <c r="F10" s="47" t="s">
        <v>1561</v>
      </c>
      <c r="G10" s="45" t="s">
        <v>1571</v>
      </c>
      <c r="H10" s="46" t="s">
        <v>1559</v>
      </c>
      <c r="I10" s="43" t="s">
        <v>1560</v>
      </c>
      <c r="J10" s="47" t="s">
        <v>1562</v>
      </c>
      <c r="K10" s="45" t="s">
        <v>1571</v>
      </c>
      <c r="L10" s="46" t="s">
        <v>1559</v>
      </c>
      <c r="M10" s="49"/>
    </row>
    <row r="11" spans="1:16" ht="39.75" customHeight="1">
      <c r="A11" s="43" t="s">
        <v>1556</v>
      </c>
      <c r="B11" s="44" t="s">
        <v>1557</v>
      </c>
      <c r="C11" s="45" t="s">
        <v>1572</v>
      </c>
      <c r="D11" s="46" t="s">
        <v>1559</v>
      </c>
      <c r="E11" s="43" t="s">
        <v>1560</v>
      </c>
      <c r="F11" s="47" t="s">
        <v>1561</v>
      </c>
      <c r="G11" s="45" t="s">
        <v>1572</v>
      </c>
      <c r="H11" s="46" t="s">
        <v>1559</v>
      </c>
      <c r="I11" s="43" t="s">
        <v>1560</v>
      </c>
      <c r="J11" s="47" t="s">
        <v>1562</v>
      </c>
      <c r="K11" s="45" t="s">
        <v>1572</v>
      </c>
      <c r="L11" s="46" t="s">
        <v>1559</v>
      </c>
      <c r="M11" s="49"/>
    </row>
    <row r="12" spans="1:16" ht="39.75" customHeight="1">
      <c r="A12" s="43" t="s">
        <v>1556</v>
      </c>
      <c r="B12" s="44" t="s">
        <v>1557</v>
      </c>
      <c r="C12" s="45" t="s">
        <v>1573</v>
      </c>
      <c r="D12" s="46" t="s">
        <v>1559</v>
      </c>
      <c r="E12" s="43" t="s">
        <v>1560</v>
      </c>
      <c r="F12" s="47" t="s">
        <v>1561</v>
      </c>
      <c r="G12" s="45" t="s">
        <v>1573</v>
      </c>
      <c r="H12" s="46" t="s">
        <v>1559</v>
      </c>
      <c r="I12" s="43" t="s">
        <v>1560</v>
      </c>
      <c r="J12" s="47" t="s">
        <v>1562</v>
      </c>
      <c r="K12" s="45" t="s">
        <v>1573</v>
      </c>
      <c r="L12" s="46" t="s">
        <v>1559</v>
      </c>
      <c r="M12" s="49"/>
    </row>
    <row r="13" spans="1:16" ht="39.75" customHeight="1">
      <c r="A13" s="43" t="s">
        <v>1556</v>
      </c>
      <c r="B13" s="44" t="s">
        <v>1557</v>
      </c>
      <c r="C13" s="45" t="s">
        <v>1574</v>
      </c>
      <c r="D13" s="46" t="s">
        <v>1559</v>
      </c>
      <c r="E13" s="43" t="s">
        <v>1560</v>
      </c>
      <c r="F13" s="47" t="s">
        <v>1561</v>
      </c>
      <c r="G13" s="45" t="s">
        <v>1574</v>
      </c>
      <c r="H13" s="46" t="s">
        <v>1559</v>
      </c>
      <c r="I13" s="43" t="s">
        <v>1560</v>
      </c>
      <c r="J13" s="47" t="s">
        <v>1562</v>
      </c>
      <c r="K13" s="45" t="s">
        <v>1574</v>
      </c>
      <c r="L13" s="46" t="s">
        <v>1559</v>
      </c>
      <c r="M13" s="49"/>
    </row>
    <row r="14" spans="1:16" ht="39.75" customHeight="1">
      <c r="A14" s="43" t="s">
        <v>1556</v>
      </c>
      <c r="B14" s="44" t="s">
        <v>1557</v>
      </c>
      <c r="C14" s="45" t="s">
        <v>1575</v>
      </c>
      <c r="D14" s="46" t="s">
        <v>1559</v>
      </c>
      <c r="E14" s="43" t="s">
        <v>1560</v>
      </c>
      <c r="F14" s="47" t="s">
        <v>1561</v>
      </c>
      <c r="G14" s="45" t="s">
        <v>1575</v>
      </c>
      <c r="H14" s="46" t="s">
        <v>1559</v>
      </c>
      <c r="I14" s="43" t="s">
        <v>1560</v>
      </c>
      <c r="J14" s="47" t="s">
        <v>1562</v>
      </c>
      <c r="K14" s="45" t="s">
        <v>1575</v>
      </c>
      <c r="L14" s="46" t="s">
        <v>1559</v>
      </c>
      <c r="M14" s="49"/>
    </row>
    <row r="15" spans="1:16" ht="39.75" customHeight="1">
      <c r="A15" s="43" t="s">
        <v>1556</v>
      </c>
      <c r="B15" s="44" t="s">
        <v>1557</v>
      </c>
      <c r="C15" s="45" t="s">
        <v>1576</v>
      </c>
      <c r="D15" s="46" t="s">
        <v>1559</v>
      </c>
      <c r="E15" s="43" t="s">
        <v>1560</v>
      </c>
      <c r="F15" s="47" t="s">
        <v>1561</v>
      </c>
      <c r="G15" s="45" t="s">
        <v>1576</v>
      </c>
      <c r="H15" s="46" t="s">
        <v>1559</v>
      </c>
      <c r="I15" s="43" t="s">
        <v>1560</v>
      </c>
      <c r="J15" s="47" t="s">
        <v>1562</v>
      </c>
      <c r="K15" s="45" t="s">
        <v>1576</v>
      </c>
      <c r="L15" s="46" t="s">
        <v>1559</v>
      </c>
      <c r="M15" s="49"/>
    </row>
    <row r="16" spans="1:16" ht="39.75" customHeight="1">
      <c r="A16" s="43" t="s">
        <v>1556</v>
      </c>
      <c r="B16" s="44" t="s">
        <v>1557</v>
      </c>
      <c r="C16" s="45" t="s">
        <v>1577</v>
      </c>
      <c r="D16" s="46" t="s">
        <v>1559</v>
      </c>
      <c r="E16" s="43" t="s">
        <v>1560</v>
      </c>
      <c r="F16" s="47" t="s">
        <v>1561</v>
      </c>
      <c r="G16" s="45" t="s">
        <v>1577</v>
      </c>
      <c r="H16" s="46" t="s">
        <v>1559</v>
      </c>
      <c r="I16" s="43" t="s">
        <v>1560</v>
      </c>
      <c r="J16" s="47" t="s">
        <v>1562</v>
      </c>
      <c r="K16" s="45" t="s">
        <v>1577</v>
      </c>
      <c r="L16" s="46" t="s">
        <v>1559</v>
      </c>
      <c r="M16" s="49"/>
    </row>
    <row r="17" spans="1:13" ht="39.75" customHeight="1">
      <c r="A17" s="43" t="s">
        <v>1556</v>
      </c>
      <c r="B17" s="44" t="s">
        <v>1557</v>
      </c>
      <c r="C17" s="45" t="s">
        <v>1578</v>
      </c>
      <c r="D17" s="46" t="s">
        <v>1559</v>
      </c>
      <c r="E17" s="43" t="s">
        <v>1560</v>
      </c>
      <c r="F17" s="47" t="s">
        <v>1561</v>
      </c>
      <c r="G17" s="45" t="s">
        <v>1578</v>
      </c>
      <c r="H17" s="46" t="s">
        <v>1559</v>
      </c>
      <c r="I17" s="43" t="s">
        <v>1560</v>
      </c>
      <c r="J17" s="47" t="s">
        <v>1562</v>
      </c>
      <c r="K17" s="45" t="s">
        <v>1578</v>
      </c>
      <c r="L17" s="46" t="s">
        <v>1559</v>
      </c>
      <c r="M17" s="49"/>
    </row>
    <row r="18" spans="1:13" ht="39.75" customHeight="1">
      <c r="A18" s="43" t="s">
        <v>1556</v>
      </c>
      <c r="B18" s="44" t="s">
        <v>1557</v>
      </c>
      <c r="C18" s="45" t="s">
        <v>1579</v>
      </c>
      <c r="D18" s="46" t="s">
        <v>1559</v>
      </c>
      <c r="E18" s="43" t="s">
        <v>1560</v>
      </c>
      <c r="F18" s="47" t="s">
        <v>1561</v>
      </c>
      <c r="G18" s="45" t="s">
        <v>1579</v>
      </c>
      <c r="H18" s="46" t="s">
        <v>1559</v>
      </c>
      <c r="I18" s="43" t="s">
        <v>1560</v>
      </c>
      <c r="J18" s="47" t="s">
        <v>1562</v>
      </c>
      <c r="K18" s="45" t="s">
        <v>1579</v>
      </c>
      <c r="L18" s="46" t="s">
        <v>1559</v>
      </c>
      <c r="M18" s="49"/>
    </row>
    <row r="19" spans="1:13" ht="39.75" customHeight="1">
      <c r="A19" s="43" t="s">
        <v>1556</v>
      </c>
      <c r="B19" s="44" t="s">
        <v>1557</v>
      </c>
      <c r="C19" s="45" t="s">
        <v>1580</v>
      </c>
      <c r="D19" s="46" t="s">
        <v>1559</v>
      </c>
      <c r="E19" s="43" t="s">
        <v>1560</v>
      </c>
      <c r="F19" s="47" t="s">
        <v>1561</v>
      </c>
      <c r="G19" s="45" t="s">
        <v>1580</v>
      </c>
      <c r="H19" s="46" t="s">
        <v>1559</v>
      </c>
      <c r="I19" s="43" t="s">
        <v>1560</v>
      </c>
      <c r="J19" s="47" t="s">
        <v>1562</v>
      </c>
      <c r="K19" s="45" t="s">
        <v>1580</v>
      </c>
      <c r="L19" s="46" t="s">
        <v>1559</v>
      </c>
      <c r="M19" s="49"/>
    </row>
    <row r="20" spans="1:13" ht="39.75" customHeight="1">
      <c r="A20" s="43" t="s">
        <v>1556</v>
      </c>
      <c r="B20" s="44" t="s">
        <v>1557</v>
      </c>
      <c r="C20" s="45" t="s">
        <v>1581</v>
      </c>
      <c r="D20" s="46" t="s">
        <v>1559</v>
      </c>
      <c r="E20" s="43" t="s">
        <v>1560</v>
      </c>
      <c r="F20" s="47" t="s">
        <v>1561</v>
      </c>
      <c r="G20" s="45" t="s">
        <v>1581</v>
      </c>
      <c r="H20" s="46" t="s">
        <v>1559</v>
      </c>
      <c r="I20" s="43" t="s">
        <v>1560</v>
      </c>
      <c r="J20" s="47" t="s">
        <v>1562</v>
      </c>
      <c r="K20" s="45" t="s">
        <v>1581</v>
      </c>
      <c r="L20" s="46" t="s">
        <v>1559</v>
      </c>
      <c r="M20" s="49"/>
    </row>
    <row r="21" spans="1:13" ht="39.75" customHeight="1">
      <c r="A21" s="43" t="s">
        <v>1556</v>
      </c>
      <c r="B21" s="44" t="s">
        <v>1557</v>
      </c>
      <c r="C21" s="45" t="s">
        <v>1582</v>
      </c>
      <c r="D21" s="46" t="s">
        <v>1559</v>
      </c>
      <c r="E21" s="43" t="s">
        <v>1560</v>
      </c>
      <c r="F21" s="47" t="s">
        <v>1561</v>
      </c>
      <c r="G21" s="45" t="s">
        <v>1582</v>
      </c>
      <c r="H21" s="46" t="s">
        <v>1559</v>
      </c>
      <c r="I21" s="43" t="s">
        <v>1560</v>
      </c>
      <c r="J21" s="47" t="s">
        <v>1562</v>
      </c>
      <c r="K21" s="45" t="s">
        <v>1582</v>
      </c>
      <c r="L21" s="46" t="s">
        <v>1559</v>
      </c>
      <c r="M21" s="49"/>
    </row>
    <row r="22" spans="1:13" ht="39.75" customHeight="1">
      <c r="A22" s="43" t="s">
        <v>1556</v>
      </c>
      <c r="B22" s="44" t="s">
        <v>1557</v>
      </c>
      <c r="C22" s="45" t="s">
        <v>1583</v>
      </c>
      <c r="D22" s="46" t="s">
        <v>1559</v>
      </c>
      <c r="E22" s="43" t="s">
        <v>1560</v>
      </c>
      <c r="F22" s="47" t="s">
        <v>1561</v>
      </c>
      <c r="G22" s="45" t="s">
        <v>1583</v>
      </c>
      <c r="H22" s="46" t="s">
        <v>1559</v>
      </c>
      <c r="I22" s="43" t="s">
        <v>1560</v>
      </c>
      <c r="J22" s="47" t="s">
        <v>1562</v>
      </c>
      <c r="K22" s="45" t="s">
        <v>1583</v>
      </c>
      <c r="L22" s="46" t="s">
        <v>1559</v>
      </c>
      <c r="M22" s="49"/>
    </row>
    <row r="23" spans="1:13" ht="39.75" customHeight="1">
      <c r="A23" s="43" t="s">
        <v>1556</v>
      </c>
      <c r="B23" s="44" t="s">
        <v>1557</v>
      </c>
      <c r="C23" s="45" t="s">
        <v>1584</v>
      </c>
      <c r="D23" s="46" t="s">
        <v>1559</v>
      </c>
      <c r="E23" s="43" t="s">
        <v>1560</v>
      </c>
      <c r="F23" s="47" t="s">
        <v>1561</v>
      </c>
      <c r="G23" s="45" t="s">
        <v>1584</v>
      </c>
      <c r="H23" s="46" t="s">
        <v>1559</v>
      </c>
      <c r="I23" s="43" t="s">
        <v>1560</v>
      </c>
      <c r="J23" s="47" t="s">
        <v>1562</v>
      </c>
      <c r="K23" s="45" t="s">
        <v>1584</v>
      </c>
      <c r="L23" s="46" t="s">
        <v>1559</v>
      </c>
      <c r="M23" s="49"/>
    </row>
    <row r="24" spans="1:13" ht="39.75" customHeight="1">
      <c r="A24" s="43" t="s">
        <v>1556</v>
      </c>
      <c r="B24" s="44" t="s">
        <v>1557</v>
      </c>
      <c r="C24" s="45" t="s">
        <v>1585</v>
      </c>
      <c r="D24" s="46" t="s">
        <v>1559</v>
      </c>
      <c r="E24" s="43" t="s">
        <v>1560</v>
      </c>
      <c r="F24" s="47" t="s">
        <v>1561</v>
      </c>
      <c r="G24" s="45" t="s">
        <v>1585</v>
      </c>
      <c r="H24" s="46" t="s">
        <v>1559</v>
      </c>
      <c r="I24" s="43" t="s">
        <v>1560</v>
      </c>
      <c r="J24" s="47" t="s">
        <v>1562</v>
      </c>
      <c r="K24" s="45" t="s">
        <v>1585</v>
      </c>
      <c r="L24" s="46" t="s">
        <v>1559</v>
      </c>
      <c r="M24" s="49"/>
    </row>
    <row r="25" spans="1:13" ht="39.75" customHeight="1">
      <c r="A25" s="43" t="s">
        <v>1556</v>
      </c>
      <c r="B25" s="44" t="s">
        <v>1557</v>
      </c>
      <c r="C25" s="45" t="s">
        <v>1586</v>
      </c>
      <c r="D25" s="46" t="s">
        <v>1559</v>
      </c>
      <c r="E25" s="43" t="s">
        <v>1560</v>
      </c>
      <c r="F25" s="47" t="s">
        <v>1561</v>
      </c>
      <c r="G25" s="45" t="s">
        <v>1586</v>
      </c>
      <c r="H25" s="46" t="s">
        <v>1559</v>
      </c>
      <c r="I25" s="43" t="s">
        <v>1560</v>
      </c>
      <c r="J25" s="47" t="s">
        <v>1562</v>
      </c>
      <c r="K25" s="45" t="s">
        <v>1586</v>
      </c>
      <c r="L25" s="46" t="s">
        <v>1559</v>
      </c>
      <c r="M25" s="49"/>
    </row>
    <row r="26" spans="1:13" ht="39.75" customHeight="1">
      <c r="A26" s="43" t="s">
        <v>1556</v>
      </c>
      <c r="B26" s="44" t="s">
        <v>1557</v>
      </c>
      <c r="C26" s="45" t="s">
        <v>1587</v>
      </c>
      <c r="D26" s="46" t="s">
        <v>1559</v>
      </c>
      <c r="E26" s="43" t="s">
        <v>1560</v>
      </c>
      <c r="F26" s="47" t="s">
        <v>1561</v>
      </c>
      <c r="G26" s="45" t="s">
        <v>1587</v>
      </c>
      <c r="H26" s="46" t="s">
        <v>1559</v>
      </c>
      <c r="I26" s="43" t="s">
        <v>1560</v>
      </c>
      <c r="J26" s="47" t="s">
        <v>1562</v>
      </c>
      <c r="K26" s="45" t="s">
        <v>1587</v>
      </c>
      <c r="L26" s="46" t="s">
        <v>1559</v>
      </c>
      <c r="M26" s="49"/>
    </row>
    <row r="27" spans="1:13" ht="39.75" customHeight="1">
      <c r="A27" s="43" t="s">
        <v>1556</v>
      </c>
      <c r="B27" s="44" t="s">
        <v>1557</v>
      </c>
      <c r="C27" s="45" t="s">
        <v>1588</v>
      </c>
      <c r="D27" s="46" t="s">
        <v>1559</v>
      </c>
      <c r="E27" s="43" t="s">
        <v>1560</v>
      </c>
      <c r="F27" s="47" t="s">
        <v>1561</v>
      </c>
      <c r="G27" s="45" t="s">
        <v>1588</v>
      </c>
      <c r="H27" s="46" t="s">
        <v>1559</v>
      </c>
      <c r="I27" s="43" t="s">
        <v>1560</v>
      </c>
      <c r="J27" s="47" t="s">
        <v>1562</v>
      </c>
      <c r="K27" s="45" t="s">
        <v>1588</v>
      </c>
      <c r="L27" s="46" t="s">
        <v>1559</v>
      </c>
      <c r="M27" s="49"/>
    </row>
    <row r="28" spans="1:13" ht="39.75" customHeight="1">
      <c r="A28" s="43" t="s">
        <v>1556</v>
      </c>
      <c r="B28" s="44" t="s">
        <v>1557</v>
      </c>
      <c r="C28" s="45" t="s">
        <v>1589</v>
      </c>
      <c r="D28" s="46" t="s">
        <v>1559</v>
      </c>
      <c r="E28" s="43" t="s">
        <v>1560</v>
      </c>
      <c r="F28" s="47" t="s">
        <v>1561</v>
      </c>
      <c r="G28" s="45" t="s">
        <v>1589</v>
      </c>
      <c r="H28" s="46" t="s">
        <v>1559</v>
      </c>
      <c r="I28" s="43" t="s">
        <v>1560</v>
      </c>
      <c r="J28" s="47" t="s">
        <v>1562</v>
      </c>
      <c r="K28" s="45" t="s">
        <v>1589</v>
      </c>
      <c r="L28" s="46" t="s">
        <v>1559</v>
      </c>
      <c r="M28" s="49"/>
    </row>
    <row r="29" spans="1:13" ht="39.75" customHeight="1">
      <c r="A29" s="43" t="s">
        <v>1556</v>
      </c>
      <c r="B29" s="44" t="s">
        <v>1557</v>
      </c>
      <c r="C29" s="45" t="s">
        <v>1590</v>
      </c>
      <c r="D29" s="46" t="s">
        <v>1559</v>
      </c>
      <c r="E29" s="43" t="s">
        <v>1560</v>
      </c>
      <c r="F29" s="47" t="s">
        <v>1561</v>
      </c>
      <c r="G29" s="45" t="s">
        <v>1590</v>
      </c>
      <c r="H29" s="46" t="s">
        <v>1559</v>
      </c>
      <c r="I29" s="43" t="s">
        <v>1560</v>
      </c>
      <c r="J29" s="47" t="s">
        <v>1562</v>
      </c>
      <c r="K29" s="45" t="s">
        <v>1590</v>
      </c>
      <c r="L29" s="46" t="s">
        <v>1559</v>
      </c>
      <c r="M29" s="49"/>
    </row>
    <row r="30" spans="1:13" ht="39.75" customHeight="1">
      <c r="A30" s="43" t="s">
        <v>1556</v>
      </c>
      <c r="B30" s="44" t="s">
        <v>1557</v>
      </c>
      <c r="C30" s="45" t="s">
        <v>1591</v>
      </c>
      <c r="D30" s="46" t="s">
        <v>1559</v>
      </c>
      <c r="E30" s="43" t="s">
        <v>1560</v>
      </c>
      <c r="F30" s="47" t="s">
        <v>1561</v>
      </c>
      <c r="G30" s="45" t="s">
        <v>1591</v>
      </c>
      <c r="H30" s="46" t="s">
        <v>1559</v>
      </c>
      <c r="I30" s="43" t="s">
        <v>1560</v>
      </c>
      <c r="J30" s="47" t="s">
        <v>1562</v>
      </c>
      <c r="K30" s="45" t="s">
        <v>1591</v>
      </c>
      <c r="L30" s="46" t="s">
        <v>1559</v>
      </c>
      <c r="M30" s="49"/>
    </row>
    <row r="31" spans="1:13" ht="39.75" customHeight="1">
      <c r="A31" s="43" t="s">
        <v>1556</v>
      </c>
      <c r="B31" s="44" t="s">
        <v>1557</v>
      </c>
      <c r="C31" s="45" t="s">
        <v>1592</v>
      </c>
      <c r="D31" s="46" t="s">
        <v>1559</v>
      </c>
      <c r="E31" s="43" t="s">
        <v>1560</v>
      </c>
      <c r="F31" s="47" t="s">
        <v>1561</v>
      </c>
      <c r="G31" s="45" t="s">
        <v>1592</v>
      </c>
      <c r="H31" s="46" t="s">
        <v>1559</v>
      </c>
      <c r="I31" s="43" t="s">
        <v>1560</v>
      </c>
      <c r="J31" s="47" t="s">
        <v>1562</v>
      </c>
      <c r="K31" s="45" t="s">
        <v>1592</v>
      </c>
      <c r="L31" s="46" t="s">
        <v>1559</v>
      </c>
      <c r="M31" s="49"/>
    </row>
    <row r="32" spans="1:13" ht="39.75" customHeight="1">
      <c r="A32" s="43" t="s">
        <v>1556</v>
      </c>
      <c r="B32" s="44" t="s">
        <v>1557</v>
      </c>
      <c r="C32" s="45" t="s">
        <v>1593</v>
      </c>
      <c r="D32" s="46" t="s">
        <v>1559</v>
      </c>
      <c r="E32" s="43" t="s">
        <v>1560</v>
      </c>
      <c r="F32" s="47" t="s">
        <v>1561</v>
      </c>
      <c r="G32" s="45" t="s">
        <v>1593</v>
      </c>
      <c r="H32" s="46" t="s">
        <v>1559</v>
      </c>
      <c r="I32" s="43" t="s">
        <v>1560</v>
      </c>
      <c r="J32" s="47" t="s">
        <v>1562</v>
      </c>
      <c r="K32" s="45" t="s">
        <v>1593</v>
      </c>
      <c r="L32" s="46" t="s">
        <v>1559</v>
      </c>
      <c r="M32" s="49"/>
    </row>
    <row r="33" spans="1:13" ht="39.75" customHeight="1">
      <c r="A33" s="43" t="s">
        <v>1556</v>
      </c>
      <c r="B33" s="44" t="s">
        <v>1557</v>
      </c>
      <c r="C33" s="45" t="s">
        <v>1594</v>
      </c>
      <c r="D33" s="46" t="s">
        <v>1559</v>
      </c>
      <c r="E33" s="43" t="s">
        <v>1560</v>
      </c>
      <c r="F33" s="47" t="s">
        <v>1561</v>
      </c>
      <c r="G33" s="45" t="s">
        <v>1594</v>
      </c>
      <c r="H33" s="46" t="s">
        <v>1559</v>
      </c>
      <c r="I33" s="43" t="s">
        <v>1560</v>
      </c>
      <c r="J33" s="47" t="s">
        <v>1562</v>
      </c>
      <c r="K33" s="45" t="s">
        <v>1594</v>
      </c>
      <c r="L33" s="46" t="s">
        <v>1559</v>
      </c>
      <c r="M33" s="49"/>
    </row>
    <row r="34" spans="1:13" ht="39.75" customHeight="1">
      <c r="A34" s="43" t="s">
        <v>1556</v>
      </c>
      <c r="B34" s="44" t="s">
        <v>1557</v>
      </c>
      <c r="C34" s="45" t="s">
        <v>1595</v>
      </c>
      <c r="D34" s="46" t="s">
        <v>1559</v>
      </c>
      <c r="E34" s="43" t="s">
        <v>1560</v>
      </c>
      <c r="F34" s="47" t="s">
        <v>1561</v>
      </c>
      <c r="G34" s="45" t="s">
        <v>1595</v>
      </c>
      <c r="H34" s="46" t="s">
        <v>1559</v>
      </c>
      <c r="I34" s="43" t="s">
        <v>1560</v>
      </c>
      <c r="J34" s="47" t="s">
        <v>1562</v>
      </c>
      <c r="K34" s="45" t="s">
        <v>1595</v>
      </c>
      <c r="L34" s="46" t="s">
        <v>1559</v>
      </c>
      <c r="M34" s="49"/>
    </row>
    <row r="35" spans="1:13" ht="39.75" customHeight="1">
      <c r="A35" s="43" t="s">
        <v>1556</v>
      </c>
      <c r="B35" s="44" t="s">
        <v>1557</v>
      </c>
      <c r="C35" s="45" t="s">
        <v>1596</v>
      </c>
      <c r="D35" s="46" t="s">
        <v>1559</v>
      </c>
      <c r="E35" s="43" t="s">
        <v>1560</v>
      </c>
      <c r="F35" s="47" t="s">
        <v>1561</v>
      </c>
      <c r="G35" s="45" t="s">
        <v>1596</v>
      </c>
      <c r="H35" s="46" t="s">
        <v>1559</v>
      </c>
      <c r="I35" s="43" t="s">
        <v>1560</v>
      </c>
      <c r="J35" s="47" t="s">
        <v>1562</v>
      </c>
      <c r="K35" s="45" t="s">
        <v>1596</v>
      </c>
      <c r="L35" s="46" t="s">
        <v>1559</v>
      </c>
      <c r="M35" s="49"/>
    </row>
    <row r="36" spans="1:13" ht="39.75" customHeight="1">
      <c r="A36" s="43" t="s">
        <v>1556</v>
      </c>
      <c r="B36" s="44" t="s">
        <v>1557</v>
      </c>
      <c r="C36" s="45" t="s">
        <v>1597</v>
      </c>
      <c r="D36" s="46" t="s">
        <v>1559</v>
      </c>
      <c r="E36" s="43" t="s">
        <v>1560</v>
      </c>
      <c r="F36" s="47" t="s">
        <v>1561</v>
      </c>
      <c r="G36" s="45" t="s">
        <v>1597</v>
      </c>
      <c r="H36" s="46" t="s">
        <v>1559</v>
      </c>
      <c r="I36" s="43" t="s">
        <v>1560</v>
      </c>
      <c r="J36" s="47" t="s">
        <v>1562</v>
      </c>
      <c r="K36" s="45" t="s">
        <v>1597</v>
      </c>
      <c r="L36" s="46" t="s">
        <v>1559</v>
      </c>
      <c r="M36" s="49"/>
    </row>
    <row r="37" spans="1:13" ht="39.75" customHeight="1">
      <c r="A37" s="43" t="s">
        <v>1556</v>
      </c>
      <c r="B37" s="44" t="s">
        <v>1557</v>
      </c>
      <c r="C37" s="45" t="s">
        <v>1598</v>
      </c>
      <c r="D37" s="46" t="s">
        <v>1559</v>
      </c>
      <c r="E37" s="43" t="s">
        <v>1560</v>
      </c>
      <c r="F37" s="47" t="s">
        <v>1561</v>
      </c>
      <c r="G37" s="45" t="s">
        <v>1598</v>
      </c>
      <c r="H37" s="46" t="s">
        <v>1559</v>
      </c>
      <c r="I37" s="43" t="s">
        <v>1560</v>
      </c>
      <c r="J37" s="47" t="s">
        <v>1562</v>
      </c>
      <c r="K37" s="45" t="s">
        <v>1598</v>
      </c>
      <c r="L37" s="46" t="s">
        <v>1559</v>
      </c>
      <c r="M37" s="49"/>
    </row>
    <row r="38" spans="1:13" ht="39.75" customHeight="1">
      <c r="A38" s="43" t="s">
        <v>1556</v>
      </c>
      <c r="B38" s="44" t="s">
        <v>1557</v>
      </c>
      <c r="C38" s="45" t="s">
        <v>1599</v>
      </c>
      <c r="D38" s="46" t="s">
        <v>1559</v>
      </c>
      <c r="E38" s="43" t="s">
        <v>1560</v>
      </c>
      <c r="F38" s="47" t="s">
        <v>1561</v>
      </c>
      <c r="G38" s="45" t="s">
        <v>1599</v>
      </c>
      <c r="H38" s="46" t="s">
        <v>1559</v>
      </c>
      <c r="I38" s="43" t="s">
        <v>1560</v>
      </c>
      <c r="J38" s="47" t="s">
        <v>1562</v>
      </c>
      <c r="K38" s="45" t="s">
        <v>1599</v>
      </c>
      <c r="L38" s="46" t="s">
        <v>1559</v>
      </c>
      <c r="M38" s="49"/>
    </row>
    <row r="39" spans="1:13" ht="39.75" customHeight="1">
      <c r="A39" s="43" t="s">
        <v>1556</v>
      </c>
      <c r="B39" s="44" t="s">
        <v>1557</v>
      </c>
      <c r="C39" s="45" t="s">
        <v>1600</v>
      </c>
      <c r="D39" s="46" t="s">
        <v>1559</v>
      </c>
      <c r="E39" s="43" t="s">
        <v>1560</v>
      </c>
      <c r="F39" s="47" t="s">
        <v>1561</v>
      </c>
      <c r="G39" s="45" t="s">
        <v>1600</v>
      </c>
      <c r="H39" s="46" t="s">
        <v>1559</v>
      </c>
      <c r="I39" s="43" t="s">
        <v>1560</v>
      </c>
      <c r="J39" s="47" t="s">
        <v>1562</v>
      </c>
      <c r="K39" s="45" t="s">
        <v>1600</v>
      </c>
      <c r="L39" s="46" t="s">
        <v>1559</v>
      </c>
      <c r="M39" s="49"/>
    </row>
    <row r="40" spans="1:13" ht="39.75" customHeight="1">
      <c r="A40" s="43" t="s">
        <v>1556</v>
      </c>
      <c r="B40" s="44" t="s">
        <v>1557</v>
      </c>
      <c r="C40" s="45" t="s">
        <v>1601</v>
      </c>
      <c r="D40" s="46" t="s">
        <v>1559</v>
      </c>
      <c r="E40" s="43" t="s">
        <v>1560</v>
      </c>
      <c r="F40" s="47" t="s">
        <v>1561</v>
      </c>
      <c r="G40" s="45" t="s">
        <v>1601</v>
      </c>
      <c r="H40" s="46" t="s">
        <v>1559</v>
      </c>
      <c r="I40" s="43" t="s">
        <v>1560</v>
      </c>
      <c r="J40" s="47" t="s">
        <v>1562</v>
      </c>
      <c r="K40" s="45" t="s">
        <v>1601</v>
      </c>
      <c r="L40" s="46" t="s">
        <v>1559</v>
      </c>
      <c r="M40" s="49"/>
    </row>
    <row r="41" spans="1:13" ht="39.75" customHeight="1">
      <c r="A41" s="43" t="s">
        <v>1556</v>
      </c>
      <c r="B41" s="44" t="s">
        <v>1557</v>
      </c>
      <c r="C41" s="45" t="s">
        <v>1602</v>
      </c>
      <c r="D41" s="46" t="s">
        <v>1559</v>
      </c>
      <c r="E41" s="43" t="s">
        <v>1560</v>
      </c>
      <c r="F41" s="47" t="s">
        <v>1561</v>
      </c>
      <c r="G41" s="45" t="s">
        <v>1602</v>
      </c>
      <c r="H41" s="46" t="s">
        <v>1559</v>
      </c>
      <c r="I41" s="43" t="s">
        <v>1560</v>
      </c>
      <c r="J41" s="47" t="s">
        <v>1562</v>
      </c>
      <c r="K41" s="45" t="s">
        <v>1602</v>
      </c>
      <c r="L41" s="46" t="s">
        <v>1559</v>
      </c>
      <c r="M41" s="49"/>
    </row>
    <row r="42" spans="1:13" ht="39.75" customHeight="1">
      <c r="A42" s="43" t="s">
        <v>1556</v>
      </c>
      <c r="B42" s="44" t="s">
        <v>1557</v>
      </c>
      <c r="C42" s="45" t="s">
        <v>1603</v>
      </c>
      <c r="D42" s="46" t="s">
        <v>1559</v>
      </c>
      <c r="E42" s="43" t="s">
        <v>1560</v>
      </c>
      <c r="F42" s="47" t="s">
        <v>1561</v>
      </c>
      <c r="G42" s="45" t="s">
        <v>1603</v>
      </c>
      <c r="H42" s="46" t="s">
        <v>1559</v>
      </c>
      <c r="I42" s="43" t="s">
        <v>1560</v>
      </c>
      <c r="J42" s="47" t="s">
        <v>1562</v>
      </c>
      <c r="K42" s="45" t="s">
        <v>1603</v>
      </c>
      <c r="L42" s="46" t="s">
        <v>1559</v>
      </c>
      <c r="M42" s="49"/>
    </row>
    <row r="43" spans="1:13" ht="39.75" customHeight="1">
      <c r="A43" s="43"/>
      <c r="B43" s="44"/>
      <c r="C43" s="45"/>
      <c r="D43" s="46"/>
      <c r="E43" s="43"/>
      <c r="F43" s="47"/>
      <c r="G43" s="45"/>
      <c r="H43" s="46"/>
      <c r="I43" s="43"/>
      <c r="J43" s="47"/>
      <c r="K43" s="45"/>
      <c r="L43" s="46"/>
      <c r="M43" s="49"/>
    </row>
    <row r="44" spans="1:13">
      <c r="B44" s="50"/>
    </row>
    <row r="45" spans="1:13">
      <c r="B45" s="50"/>
    </row>
    <row r="46" spans="1:13">
      <c r="B46" s="50"/>
    </row>
    <row r="47" spans="1:13">
      <c r="B47" s="50"/>
    </row>
    <row r="48" spans="1:13">
      <c r="B48" s="50"/>
    </row>
    <row r="49" spans="1:3">
      <c r="B49" s="50"/>
    </row>
    <row r="50" spans="1:3">
      <c r="B50" s="50"/>
    </row>
    <row r="51" spans="1:3">
      <c r="B51" s="50"/>
    </row>
    <row r="52" spans="1:3">
      <c r="B52" s="50"/>
    </row>
    <row r="53" spans="1:3">
      <c r="B53" s="50"/>
    </row>
    <row r="54" spans="1:3">
      <c r="A54" s="52"/>
      <c r="B54" s="50"/>
      <c r="C54" s="48"/>
    </row>
    <row r="55" spans="1:3">
      <c r="A55" s="52"/>
      <c r="B55" s="50"/>
      <c r="C55" s="48"/>
    </row>
    <row r="56" spans="1:3">
      <c r="C56" s="48"/>
    </row>
    <row r="57" spans="1:3">
      <c r="C57" s="48"/>
    </row>
    <row r="58" spans="1:3">
      <c r="C58" s="48"/>
    </row>
    <row r="59" spans="1:3">
      <c r="C59" s="48"/>
    </row>
    <row r="60" spans="1:3">
      <c r="C60" s="48"/>
    </row>
    <row r="61" spans="1:3">
      <c r="C61" s="48"/>
    </row>
    <row r="62" spans="1:3">
      <c r="C62" s="48"/>
    </row>
    <row r="63" spans="1:3">
      <c r="C63" s="48"/>
    </row>
    <row r="64" spans="1:3">
      <c r="C64" s="48"/>
    </row>
  </sheetData>
  <phoneticPr fontId="5" type="noConversion"/>
  <pageMargins left="0.7" right="0.7" top="0.75" bottom="0.75" header="0.3" footer="0.3"/>
  <pageSetup paperSize="9" orientation="portrait"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30"/>
  <sheetViews>
    <sheetView workbookViewId="0">
      <selection activeCell="AI1" sqref="AI1:AI21"/>
    </sheetView>
  </sheetViews>
  <sheetFormatPr defaultColWidth="8.83203125" defaultRowHeight="15.5"/>
  <cols>
    <col min="1" max="1" width="12" customWidth="1"/>
    <col min="2" max="2" width="1" customWidth="1"/>
    <col min="3" max="3" width="12" customWidth="1"/>
    <col min="4" max="4" width="1" customWidth="1"/>
    <col min="5" max="5" width="12" customWidth="1"/>
    <col min="6" max="6" width="1" customWidth="1"/>
    <col min="7" max="7" width="12" customWidth="1"/>
    <col min="8" max="8" width="1" customWidth="1"/>
    <col min="9" max="9" width="12" customWidth="1"/>
    <col min="10" max="10" width="1" customWidth="1"/>
    <col min="11" max="11" width="12" customWidth="1"/>
    <col min="12" max="12" width="1" customWidth="1"/>
    <col min="13" max="13" width="12" customWidth="1"/>
    <col min="14" max="14" width="4" customWidth="1"/>
    <col min="15" max="17" width="18.5" bestFit="1" customWidth="1"/>
    <col min="25" max="32" width="11.5" bestFit="1" customWidth="1"/>
    <col min="34" max="34" width="12.5" bestFit="1" customWidth="1"/>
  </cols>
  <sheetData>
    <row r="1" spans="1:35" ht="22.5" customHeight="1">
      <c r="A1" s="195" t="str">
        <f>CONCATENATE(O1,N1,AF1)</f>
        <v>SAZ19_2017-47-1000-1- &lt;1mm_8/10</v>
      </c>
      <c r="B1" s="195"/>
      <c r="C1" s="195" t="str">
        <f>CONCATENATE(Q1,N1,AG1)</f>
        <v>SAZ19_2017-47-3800-1- &lt;1mm_9/10</v>
      </c>
      <c r="D1" s="195"/>
      <c r="E1" s="195" t="str">
        <f>CONCATENATE(Q1,N1,AH1)</f>
        <v>SAZ19_2017-47-3800-1- &lt;1mm_10/10</v>
      </c>
      <c r="F1" s="195"/>
      <c r="G1" s="195" t="str">
        <f>CONCATENATE(Q1,N1,Z1)</f>
        <v>SAZ19_2017-47-3800-1- &lt;1mm_2/10</v>
      </c>
      <c r="H1" s="195"/>
      <c r="I1" s="195" t="str">
        <f>CONCATENATE(Q1,N1,AA1)</f>
        <v>SAZ19_2017-47-3800-1- &lt;1mm_3/10</v>
      </c>
      <c r="J1" s="195"/>
      <c r="K1" s="195" t="str">
        <f>CONCATENATE(Q1,N1,AB1)</f>
        <v>SAZ19_2017-47-3800-1- &lt;1mm_4/10</v>
      </c>
      <c r="L1" s="195"/>
      <c r="M1" s="195" t="str">
        <f>CONCATENATE(Q1,N1,AC1)</f>
        <v>SAZ19_2017-47-3800-1- &lt;1mm_5/10</v>
      </c>
      <c r="N1" s="181">
        <v>1</v>
      </c>
      <c r="O1" t="s">
        <v>1604</v>
      </c>
      <c r="P1" t="s">
        <v>1605</v>
      </c>
      <c r="Q1" t="s">
        <v>1606</v>
      </c>
      <c r="R1" s="82" t="s">
        <v>1607</v>
      </c>
      <c r="S1" s="82" t="s">
        <v>1608</v>
      </c>
      <c r="T1" s="82" t="s">
        <v>1609</v>
      </c>
      <c r="U1" s="82" t="s">
        <v>1610</v>
      </c>
      <c r="V1" s="82" t="s">
        <v>1611</v>
      </c>
      <c r="W1" s="82" t="s">
        <v>1612</v>
      </c>
      <c r="X1" s="82" t="s">
        <v>1613</v>
      </c>
      <c r="Y1" s="82" t="s">
        <v>1614</v>
      </c>
      <c r="Z1" s="82" t="s">
        <v>1615</v>
      </c>
      <c r="AA1" s="82" t="s">
        <v>1616</v>
      </c>
      <c r="AB1" s="82" t="s">
        <v>1617</v>
      </c>
      <c r="AC1" s="82" t="s">
        <v>1618</v>
      </c>
      <c r="AD1" s="82" t="s">
        <v>1619</v>
      </c>
      <c r="AE1" s="82" t="s">
        <v>1620</v>
      </c>
      <c r="AF1" s="82" t="s">
        <v>1621</v>
      </c>
      <c r="AG1" s="82" t="s">
        <v>1622</v>
      </c>
      <c r="AH1" s="82" t="s">
        <v>1623</v>
      </c>
      <c r="AI1" s="82" t="s">
        <v>1624</v>
      </c>
    </row>
    <row r="2" spans="1:35" ht="22.5" customHeight="1">
      <c r="A2" s="195" t="str">
        <f t="shared" ref="A2:A21" si="0">CONCATENATE(Q2,N2,AF2)</f>
        <v>SAZ19_2017-47-3800-2- &lt;1mm_8/10</v>
      </c>
      <c r="B2" s="195"/>
      <c r="C2" s="195" t="str">
        <f t="shared" ref="C2:C21" si="1">CONCATENATE(Q2,N2,AG2)</f>
        <v>SAZ19_2017-47-3800-2- &lt;1mm_9/10</v>
      </c>
      <c r="D2" s="195"/>
      <c r="E2" s="195" t="str">
        <f t="shared" ref="E2:E21" si="2">CONCATENATE(Q2,N2,AH2)</f>
        <v>SAZ19_2017-47-3800-2- &lt;1mm_10/10</v>
      </c>
      <c r="F2" s="195"/>
      <c r="G2" s="195" t="str">
        <f t="shared" ref="G2:G21" si="3">CONCATENATE(Q2,N2,Z2)</f>
        <v>SAZ19_2017-47-3800-2- &lt;1mm_2/10</v>
      </c>
      <c r="H2" s="195"/>
      <c r="I2" s="195" t="str">
        <f t="shared" ref="I2:I21" si="4">CONCATENATE(Q2,N2,AA2)</f>
        <v>SAZ19_2017-47-3800-2- &lt;1mm_3/10</v>
      </c>
      <c r="J2" s="195"/>
      <c r="K2" s="195" t="str">
        <f t="shared" ref="K2:K21" si="5">CONCATENATE(Q2,N2,AB2)</f>
        <v>SAZ19_2017-47-3800-2- &lt;1mm_4/10</v>
      </c>
      <c r="L2" s="195"/>
      <c r="M2" s="195" t="str">
        <f t="shared" ref="M2:M21" si="6">CONCATENATE(Q2,N2,AC2)</f>
        <v>SAZ19_2017-47-3800-2- &lt;1mm_5/10</v>
      </c>
      <c r="N2" s="181">
        <v>2</v>
      </c>
      <c r="O2" t="s">
        <v>1604</v>
      </c>
      <c r="P2" t="s">
        <v>1605</v>
      </c>
      <c r="Q2" t="s">
        <v>1606</v>
      </c>
      <c r="R2" s="82" t="s">
        <v>1607</v>
      </c>
      <c r="S2" s="82" t="s">
        <v>1608</v>
      </c>
      <c r="T2" s="82" t="s">
        <v>1609</v>
      </c>
      <c r="U2" s="82" t="s">
        <v>1610</v>
      </c>
      <c r="V2" s="82" t="s">
        <v>1611</v>
      </c>
      <c r="W2" s="82" t="s">
        <v>1612</v>
      </c>
      <c r="X2" s="82" t="s">
        <v>1613</v>
      </c>
      <c r="Y2" s="82" t="s">
        <v>1614</v>
      </c>
      <c r="Z2" s="82" t="s">
        <v>1615</v>
      </c>
      <c r="AA2" s="82" t="s">
        <v>1616</v>
      </c>
      <c r="AB2" s="82" t="s">
        <v>1617</v>
      </c>
      <c r="AC2" s="82" t="s">
        <v>1618</v>
      </c>
      <c r="AD2" s="82" t="s">
        <v>1619</v>
      </c>
      <c r="AE2" s="82" t="s">
        <v>1620</v>
      </c>
      <c r="AF2" s="82" t="s">
        <v>1621</v>
      </c>
      <c r="AG2" s="82" t="s">
        <v>1622</v>
      </c>
      <c r="AH2" s="82" t="s">
        <v>1623</v>
      </c>
      <c r="AI2" s="82" t="s">
        <v>1624</v>
      </c>
    </row>
    <row r="3" spans="1:35" ht="22.5" customHeight="1">
      <c r="A3" s="195" t="str">
        <f t="shared" si="0"/>
        <v>SAZ19_2017-47-3800-3- &lt;1mm_8/10</v>
      </c>
      <c r="B3" s="195"/>
      <c r="C3" s="195" t="str">
        <f t="shared" si="1"/>
        <v>SAZ19_2017-47-3800-3- &lt;1mm_9/10</v>
      </c>
      <c r="D3" s="195"/>
      <c r="E3" s="195" t="str">
        <f t="shared" si="2"/>
        <v>SAZ19_2017-47-3800-3- &lt;1mm_10/10</v>
      </c>
      <c r="F3" s="195"/>
      <c r="G3" s="195" t="str">
        <f t="shared" si="3"/>
        <v>SAZ19_2017-47-3800-3- &lt;1mm_2/10</v>
      </c>
      <c r="H3" s="195"/>
      <c r="I3" s="195" t="str">
        <f t="shared" si="4"/>
        <v>SAZ19_2017-47-3800-3- &lt;1mm_3/10</v>
      </c>
      <c r="J3" s="195"/>
      <c r="K3" s="195" t="str">
        <f t="shared" si="5"/>
        <v>SAZ19_2017-47-3800-3- &lt;1mm_4/10</v>
      </c>
      <c r="L3" s="195"/>
      <c r="M3" s="195" t="str">
        <f t="shared" si="6"/>
        <v>SAZ19_2017-47-3800-3- &lt;1mm_5/10</v>
      </c>
      <c r="N3" s="181">
        <v>3</v>
      </c>
      <c r="O3" t="s">
        <v>1604</v>
      </c>
      <c r="P3" t="s">
        <v>1605</v>
      </c>
      <c r="Q3" t="s">
        <v>1606</v>
      </c>
      <c r="R3" s="82" t="s">
        <v>1607</v>
      </c>
      <c r="S3" s="82" t="s">
        <v>1608</v>
      </c>
      <c r="T3" s="82" t="s">
        <v>1609</v>
      </c>
      <c r="U3" s="82" t="s">
        <v>1610</v>
      </c>
      <c r="V3" s="82" t="s">
        <v>1611</v>
      </c>
      <c r="W3" s="82" t="s">
        <v>1612</v>
      </c>
      <c r="X3" s="82" t="s">
        <v>1613</v>
      </c>
      <c r="Y3" s="82" t="s">
        <v>1614</v>
      </c>
      <c r="Z3" s="82" t="s">
        <v>1615</v>
      </c>
      <c r="AA3" s="82" t="s">
        <v>1616</v>
      </c>
      <c r="AB3" s="82" t="s">
        <v>1617</v>
      </c>
      <c r="AC3" s="82" t="s">
        <v>1618</v>
      </c>
      <c r="AD3" s="82" t="s">
        <v>1619</v>
      </c>
      <c r="AE3" s="82" t="s">
        <v>1620</v>
      </c>
      <c r="AF3" s="82" t="s">
        <v>1621</v>
      </c>
      <c r="AG3" s="82" t="s">
        <v>1622</v>
      </c>
      <c r="AH3" s="82" t="s">
        <v>1623</v>
      </c>
      <c r="AI3" s="82" t="s">
        <v>1624</v>
      </c>
    </row>
    <row r="4" spans="1:35" ht="22.5" customHeight="1">
      <c r="A4" s="195" t="str">
        <f t="shared" si="0"/>
        <v>SAZ19_2017-47-3800-4- &lt;1mm_8/10</v>
      </c>
      <c r="B4" s="195"/>
      <c r="C4" s="195" t="str">
        <f t="shared" si="1"/>
        <v>SAZ19_2017-47-3800-4- &lt;1mm_9/10</v>
      </c>
      <c r="D4" s="195"/>
      <c r="E4" s="195" t="str">
        <f t="shared" si="2"/>
        <v>SAZ19_2017-47-3800-4- &lt;1mm_10/10</v>
      </c>
      <c r="F4" s="195"/>
      <c r="G4" s="195" t="str">
        <f t="shared" si="3"/>
        <v>SAZ19_2017-47-3800-4- &lt;1mm_2/10</v>
      </c>
      <c r="H4" s="195"/>
      <c r="I4" s="195" t="str">
        <f t="shared" si="4"/>
        <v>SAZ19_2017-47-3800-4- &lt;1mm_3/10</v>
      </c>
      <c r="J4" s="195"/>
      <c r="K4" s="195" t="str">
        <f t="shared" si="5"/>
        <v>SAZ19_2017-47-3800-4- &lt;1mm_4/10</v>
      </c>
      <c r="L4" s="195"/>
      <c r="M4" s="195" t="str">
        <f t="shared" si="6"/>
        <v>SAZ19_2017-47-3800-4- &lt;1mm_5/10</v>
      </c>
      <c r="N4" s="181">
        <v>4</v>
      </c>
      <c r="O4" t="s">
        <v>1604</v>
      </c>
      <c r="P4" t="s">
        <v>1605</v>
      </c>
      <c r="Q4" t="s">
        <v>1606</v>
      </c>
      <c r="R4" s="82" t="s">
        <v>1607</v>
      </c>
      <c r="S4" s="82" t="s">
        <v>1608</v>
      </c>
      <c r="T4" s="82" t="s">
        <v>1609</v>
      </c>
      <c r="U4" s="82" t="s">
        <v>1610</v>
      </c>
      <c r="V4" s="82" t="s">
        <v>1611</v>
      </c>
      <c r="W4" s="82" t="s">
        <v>1612</v>
      </c>
      <c r="X4" s="82" t="s">
        <v>1613</v>
      </c>
      <c r="Y4" s="82" t="s">
        <v>1614</v>
      </c>
      <c r="Z4" s="82" t="s">
        <v>1615</v>
      </c>
      <c r="AA4" s="82" t="s">
        <v>1616</v>
      </c>
      <c r="AB4" s="82" t="s">
        <v>1617</v>
      </c>
      <c r="AC4" s="82" t="s">
        <v>1618</v>
      </c>
      <c r="AD4" s="82" t="s">
        <v>1619</v>
      </c>
      <c r="AE4" s="82" t="s">
        <v>1620</v>
      </c>
      <c r="AF4" s="82" t="s">
        <v>1621</v>
      </c>
      <c r="AG4" s="82" t="s">
        <v>1622</v>
      </c>
      <c r="AH4" s="82" t="s">
        <v>1623</v>
      </c>
      <c r="AI4" s="82" t="s">
        <v>1624</v>
      </c>
    </row>
    <row r="5" spans="1:35" ht="22.5" customHeight="1">
      <c r="A5" s="195" t="str">
        <f t="shared" si="0"/>
        <v>SAZ19_2017-47-3800-5- &lt;1mm_8/10</v>
      </c>
      <c r="B5" s="195"/>
      <c r="C5" s="195" t="str">
        <f t="shared" si="1"/>
        <v>SAZ19_2017-47-3800-5- &lt;1mm_9/10</v>
      </c>
      <c r="D5" s="195"/>
      <c r="E5" s="195" t="str">
        <f t="shared" si="2"/>
        <v>SAZ19_2017-47-3800-5- &lt;1mm_10/10</v>
      </c>
      <c r="F5" s="195"/>
      <c r="G5" s="195" t="str">
        <f t="shared" si="3"/>
        <v>SAZ19_2017-47-3800-5- &lt;1mm_2/10</v>
      </c>
      <c r="H5" s="195"/>
      <c r="I5" s="195" t="str">
        <f t="shared" si="4"/>
        <v>SAZ19_2017-47-3800-5- &lt;1mm_3/10</v>
      </c>
      <c r="J5" s="195"/>
      <c r="K5" s="195" t="str">
        <f t="shared" si="5"/>
        <v>SAZ19_2017-47-3800-5- &lt;1mm_4/10</v>
      </c>
      <c r="L5" s="195"/>
      <c r="M5" s="195" t="str">
        <f t="shared" si="6"/>
        <v>SAZ19_2017-47-3800-5- &lt;1mm_5/10</v>
      </c>
      <c r="N5" s="181">
        <v>5</v>
      </c>
      <c r="O5" t="s">
        <v>1604</v>
      </c>
      <c r="P5" t="s">
        <v>1605</v>
      </c>
      <c r="Q5" t="s">
        <v>1606</v>
      </c>
      <c r="R5" s="82" t="s">
        <v>1607</v>
      </c>
      <c r="S5" s="82" t="s">
        <v>1608</v>
      </c>
      <c r="T5" s="82" t="s">
        <v>1609</v>
      </c>
      <c r="U5" s="82" t="s">
        <v>1610</v>
      </c>
      <c r="V5" s="82" t="s">
        <v>1611</v>
      </c>
      <c r="W5" s="82" t="s">
        <v>1612</v>
      </c>
      <c r="X5" s="82" t="s">
        <v>1613</v>
      </c>
      <c r="Y5" s="82" t="s">
        <v>1614</v>
      </c>
      <c r="Z5" s="82" t="s">
        <v>1615</v>
      </c>
      <c r="AA5" s="82" t="s">
        <v>1616</v>
      </c>
      <c r="AB5" s="82" t="s">
        <v>1617</v>
      </c>
      <c r="AC5" s="82" t="s">
        <v>1618</v>
      </c>
      <c r="AD5" s="82" t="s">
        <v>1619</v>
      </c>
      <c r="AE5" s="82" t="s">
        <v>1620</v>
      </c>
      <c r="AF5" s="82" t="s">
        <v>1621</v>
      </c>
      <c r="AG5" s="82" t="s">
        <v>1622</v>
      </c>
      <c r="AH5" s="82" t="s">
        <v>1623</v>
      </c>
      <c r="AI5" s="82" t="s">
        <v>1624</v>
      </c>
    </row>
    <row r="6" spans="1:35" ht="22.5" customHeight="1">
      <c r="A6" s="195" t="str">
        <f t="shared" si="0"/>
        <v>SAZ19_2017-47-3800-6- &lt;1mm_8/10</v>
      </c>
      <c r="B6" s="195"/>
      <c r="C6" s="195" t="str">
        <f t="shared" si="1"/>
        <v>SAZ19_2017-47-3800-6- &lt;1mm_9/10</v>
      </c>
      <c r="D6" s="195"/>
      <c r="E6" s="195" t="str">
        <f t="shared" si="2"/>
        <v>SAZ19_2017-47-3800-6- &lt;1mm_10/10</v>
      </c>
      <c r="F6" s="195"/>
      <c r="G6" s="195" t="str">
        <f t="shared" si="3"/>
        <v>SAZ19_2017-47-3800-6- &lt;1mm_2/10</v>
      </c>
      <c r="H6" s="195"/>
      <c r="I6" s="195" t="str">
        <f t="shared" si="4"/>
        <v>SAZ19_2017-47-3800-6- &lt;1mm_3/10</v>
      </c>
      <c r="J6" s="195"/>
      <c r="K6" s="195" t="str">
        <f t="shared" si="5"/>
        <v>SAZ19_2017-47-3800-6- &lt;1mm_4/10</v>
      </c>
      <c r="L6" s="195"/>
      <c r="M6" s="195" t="str">
        <f t="shared" si="6"/>
        <v>SAZ19_2017-47-3800-6- &lt;1mm_5/10</v>
      </c>
      <c r="N6" s="181">
        <v>6</v>
      </c>
      <c r="O6" t="s">
        <v>1604</v>
      </c>
      <c r="P6" t="s">
        <v>1605</v>
      </c>
      <c r="Q6" t="s">
        <v>1606</v>
      </c>
      <c r="R6" s="82" t="s">
        <v>1607</v>
      </c>
      <c r="S6" s="82" t="s">
        <v>1608</v>
      </c>
      <c r="T6" s="82" t="s">
        <v>1609</v>
      </c>
      <c r="U6" s="82" t="s">
        <v>1610</v>
      </c>
      <c r="V6" s="82" t="s">
        <v>1611</v>
      </c>
      <c r="W6" s="82" t="s">
        <v>1612</v>
      </c>
      <c r="X6" s="82" t="s">
        <v>1613</v>
      </c>
      <c r="Y6" s="82" t="s">
        <v>1614</v>
      </c>
      <c r="Z6" s="82" t="s">
        <v>1615</v>
      </c>
      <c r="AA6" s="82" t="s">
        <v>1616</v>
      </c>
      <c r="AB6" s="82" t="s">
        <v>1617</v>
      </c>
      <c r="AC6" s="82" t="s">
        <v>1618</v>
      </c>
      <c r="AD6" s="82" t="s">
        <v>1619</v>
      </c>
      <c r="AE6" s="82" t="s">
        <v>1620</v>
      </c>
      <c r="AF6" s="82" t="s">
        <v>1621</v>
      </c>
      <c r="AG6" s="82" t="s">
        <v>1622</v>
      </c>
      <c r="AH6" s="82" t="s">
        <v>1623</v>
      </c>
      <c r="AI6" s="82" t="s">
        <v>1624</v>
      </c>
    </row>
    <row r="7" spans="1:35" ht="22.5" customHeight="1">
      <c r="A7" s="195" t="str">
        <f t="shared" si="0"/>
        <v>SAZ19_2017-47-3800-7- &lt;1mm_8/10</v>
      </c>
      <c r="B7" s="195"/>
      <c r="C7" s="195" t="str">
        <f t="shared" si="1"/>
        <v>SAZ19_2017-47-3800-7- &lt;1mm_9/10</v>
      </c>
      <c r="D7" s="195"/>
      <c r="E7" s="195" t="str">
        <f t="shared" si="2"/>
        <v>SAZ19_2017-47-3800-7- &lt;1mm_10/10</v>
      </c>
      <c r="F7" s="195"/>
      <c r="G7" s="195" t="str">
        <f t="shared" si="3"/>
        <v>SAZ19_2017-47-3800-7- &lt;1mm_2/10</v>
      </c>
      <c r="H7" s="195"/>
      <c r="I7" s="195" t="str">
        <f t="shared" si="4"/>
        <v>SAZ19_2017-47-3800-7- &lt;1mm_3/10</v>
      </c>
      <c r="J7" s="195"/>
      <c r="K7" s="195" t="str">
        <f t="shared" si="5"/>
        <v>SAZ19_2017-47-3800-7- &lt;1mm_4/10</v>
      </c>
      <c r="L7" s="195"/>
      <c r="M7" s="195" t="str">
        <f t="shared" si="6"/>
        <v>SAZ19_2017-47-3800-7- &lt;1mm_5/10</v>
      </c>
      <c r="N7" s="181">
        <v>7</v>
      </c>
      <c r="O7" t="s">
        <v>1604</v>
      </c>
      <c r="P7" t="s">
        <v>1605</v>
      </c>
      <c r="Q7" t="s">
        <v>1606</v>
      </c>
      <c r="R7" s="82" t="s">
        <v>1607</v>
      </c>
      <c r="S7" s="82" t="s">
        <v>1608</v>
      </c>
      <c r="T7" s="82" t="s">
        <v>1609</v>
      </c>
      <c r="U7" s="82" t="s">
        <v>1610</v>
      </c>
      <c r="V7" s="82" t="s">
        <v>1611</v>
      </c>
      <c r="W7" s="82" t="s">
        <v>1612</v>
      </c>
      <c r="X7" s="82" t="s">
        <v>1613</v>
      </c>
      <c r="Y7" s="82" t="s">
        <v>1614</v>
      </c>
      <c r="Z7" s="82" t="s">
        <v>1615</v>
      </c>
      <c r="AA7" s="82" t="s">
        <v>1616</v>
      </c>
      <c r="AB7" s="82" t="s">
        <v>1617</v>
      </c>
      <c r="AC7" s="82" t="s">
        <v>1618</v>
      </c>
      <c r="AD7" s="82" t="s">
        <v>1619</v>
      </c>
      <c r="AE7" s="82" t="s">
        <v>1620</v>
      </c>
      <c r="AF7" s="82" t="s">
        <v>1621</v>
      </c>
      <c r="AG7" s="82" t="s">
        <v>1622</v>
      </c>
      <c r="AH7" s="82" t="s">
        <v>1623</v>
      </c>
      <c r="AI7" s="82" t="s">
        <v>1624</v>
      </c>
    </row>
    <row r="8" spans="1:35" ht="22.5" customHeight="1">
      <c r="A8" s="195" t="str">
        <f t="shared" si="0"/>
        <v>SAZ19_2017-47-3800-8- &lt;1mm_8/10</v>
      </c>
      <c r="B8" s="195"/>
      <c r="C8" s="195" t="str">
        <f t="shared" si="1"/>
        <v>SAZ19_2017-47-3800-8- &lt;1mm_9/10</v>
      </c>
      <c r="D8" s="195"/>
      <c r="E8" s="195" t="str">
        <f t="shared" si="2"/>
        <v>SAZ19_2017-47-3800-8- &lt;1mm_10/10</v>
      </c>
      <c r="F8" s="195"/>
      <c r="G8" s="195" t="str">
        <f t="shared" si="3"/>
        <v>SAZ19_2017-47-3800-8- &lt;1mm_2/10</v>
      </c>
      <c r="H8" s="195"/>
      <c r="I8" s="195" t="str">
        <f t="shared" si="4"/>
        <v>SAZ19_2017-47-3800-8- &lt;1mm_3/10</v>
      </c>
      <c r="J8" s="195"/>
      <c r="K8" s="195" t="str">
        <f t="shared" si="5"/>
        <v>SAZ19_2017-47-3800-8- &lt;1mm_4/10</v>
      </c>
      <c r="L8" s="195"/>
      <c r="M8" s="195" t="str">
        <f t="shared" si="6"/>
        <v>SAZ19_2017-47-3800-8- &lt;1mm_5/10</v>
      </c>
      <c r="N8" s="181">
        <v>8</v>
      </c>
      <c r="O8" t="s">
        <v>1604</v>
      </c>
      <c r="P8" t="s">
        <v>1605</v>
      </c>
      <c r="Q8" t="s">
        <v>1606</v>
      </c>
      <c r="R8" s="82" t="s">
        <v>1607</v>
      </c>
      <c r="S8" s="82" t="s">
        <v>1608</v>
      </c>
      <c r="T8" s="82" t="s">
        <v>1609</v>
      </c>
      <c r="U8" s="82" t="s">
        <v>1610</v>
      </c>
      <c r="V8" s="82" t="s">
        <v>1611</v>
      </c>
      <c r="W8" s="82" t="s">
        <v>1612</v>
      </c>
      <c r="X8" s="82" t="s">
        <v>1613</v>
      </c>
      <c r="Y8" s="82" t="s">
        <v>1614</v>
      </c>
      <c r="Z8" s="82" t="s">
        <v>1615</v>
      </c>
      <c r="AA8" s="82" t="s">
        <v>1616</v>
      </c>
      <c r="AB8" s="82" t="s">
        <v>1617</v>
      </c>
      <c r="AC8" s="82" t="s">
        <v>1618</v>
      </c>
      <c r="AD8" s="82" t="s">
        <v>1619</v>
      </c>
      <c r="AE8" s="82" t="s">
        <v>1620</v>
      </c>
      <c r="AF8" s="82" t="s">
        <v>1621</v>
      </c>
      <c r="AG8" s="82" t="s">
        <v>1622</v>
      </c>
      <c r="AH8" s="82" t="s">
        <v>1623</v>
      </c>
      <c r="AI8" s="82" t="s">
        <v>1624</v>
      </c>
    </row>
    <row r="9" spans="1:35" ht="22.5" customHeight="1">
      <c r="A9" s="195" t="str">
        <f t="shared" si="0"/>
        <v>SAZ19_2017-47-3800-9- &lt;1mm_8/10</v>
      </c>
      <c r="B9" s="195"/>
      <c r="C9" s="195" t="str">
        <f t="shared" si="1"/>
        <v>SAZ19_2017-47-3800-9- &lt;1mm_9/10</v>
      </c>
      <c r="D9" s="195"/>
      <c r="E9" s="195" t="str">
        <f t="shared" si="2"/>
        <v>SAZ19_2017-47-3800-9- &lt;1mm_10/10</v>
      </c>
      <c r="F9" s="195"/>
      <c r="G9" s="195" t="str">
        <f t="shared" si="3"/>
        <v>SAZ19_2017-47-3800-9- &lt;1mm_2/10</v>
      </c>
      <c r="H9" s="195"/>
      <c r="I9" s="195" t="str">
        <f t="shared" si="4"/>
        <v>SAZ19_2017-47-3800-9- &lt;1mm_3/10</v>
      </c>
      <c r="J9" s="195"/>
      <c r="K9" s="195" t="str">
        <f t="shared" si="5"/>
        <v>SAZ19_2017-47-3800-9- &lt;1mm_4/10</v>
      </c>
      <c r="L9" s="195"/>
      <c r="M9" s="195" t="str">
        <f t="shared" si="6"/>
        <v>SAZ19_2017-47-3800-9- &lt;1mm_5/10</v>
      </c>
      <c r="N9" s="181">
        <v>9</v>
      </c>
      <c r="O9" t="s">
        <v>1604</v>
      </c>
      <c r="P9" t="s">
        <v>1605</v>
      </c>
      <c r="Q9" t="s">
        <v>1606</v>
      </c>
      <c r="R9" s="82" t="s">
        <v>1607</v>
      </c>
      <c r="S9" s="82" t="s">
        <v>1608</v>
      </c>
      <c r="T9" s="82" t="s">
        <v>1609</v>
      </c>
      <c r="U9" s="82" t="s">
        <v>1610</v>
      </c>
      <c r="V9" s="82" t="s">
        <v>1611</v>
      </c>
      <c r="W9" s="82" t="s">
        <v>1612</v>
      </c>
      <c r="X9" s="82" t="s">
        <v>1613</v>
      </c>
      <c r="Y9" s="82" t="s">
        <v>1614</v>
      </c>
      <c r="Z9" s="82" t="s">
        <v>1615</v>
      </c>
      <c r="AA9" s="82" t="s">
        <v>1616</v>
      </c>
      <c r="AB9" s="82" t="s">
        <v>1617</v>
      </c>
      <c r="AC9" s="82" t="s">
        <v>1618</v>
      </c>
      <c r="AD9" s="82" t="s">
        <v>1619</v>
      </c>
      <c r="AE9" s="82" t="s">
        <v>1620</v>
      </c>
      <c r="AF9" s="82" t="s">
        <v>1621</v>
      </c>
      <c r="AG9" s="82" t="s">
        <v>1622</v>
      </c>
      <c r="AH9" s="82" t="s">
        <v>1623</v>
      </c>
      <c r="AI9" s="82" t="s">
        <v>1624</v>
      </c>
    </row>
    <row r="10" spans="1:35" ht="22.5" customHeight="1">
      <c r="A10" s="195" t="str">
        <f t="shared" si="0"/>
        <v>SAZ19_2017-47-3800-10- &lt;1mm_8/10</v>
      </c>
      <c r="B10" s="195"/>
      <c r="C10" s="195" t="str">
        <f t="shared" si="1"/>
        <v>SAZ19_2017-47-3800-10- &lt;1mm_9/10</v>
      </c>
      <c r="D10" s="195"/>
      <c r="E10" s="195" t="str">
        <f t="shared" si="2"/>
        <v>SAZ19_2017-47-3800-10- &lt;1mm_10/10</v>
      </c>
      <c r="F10" s="195"/>
      <c r="G10" s="195" t="str">
        <f t="shared" si="3"/>
        <v>SAZ19_2017-47-3800-10- &lt;1mm_2/10</v>
      </c>
      <c r="H10" s="195"/>
      <c r="I10" s="195" t="str">
        <f t="shared" si="4"/>
        <v>SAZ19_2017-47-3800-10- &lt;1mm_3/10</v>
      </c>
      <c r="J10" s="195"/>
      <c r="K10" s="195" t="str">
        <f t="shared" si="5"/>
        <v>SAZ19_2017-47-3800-10- &lt;1mm_4/10</v>
      </c>
      <c r="L10" s="195"/>
      <c r="M10" s="195" t="str">
        <f t="shared" si="6"/>
        <v>SAZ19_2017-47-3800-10- &lt;1mm_5/10</v>
      </c>
      <c r="N10" s="181">
        <v>10</v>
      </c>
      <c r="O10" t="s">
        <v>1604</v>
      </c>
      <c r="P10" t="s">
        <v>1605</v>
      </c>
      <c r="Q10" t="s">
        <v>1606</v>
      </c>
      <c r="R10" s="82" t="s">
        <v>1607</v>
      </c>
      <c r="S10" s="82" t="s">
        <v>1608</v>
      </c>
      <c r="T10" s="82" t="s">
        <v>1609</v>
      </c>
      <c r="U10" s="82" t="s">
        <v>1610</v>
      </c>
      <c r="V10" s="82" t="s">
        <v>1611</v>
      </c>
      <c r="W10" s="82" t="s">
        <v>1612</v>
      </c>
      <c r="X10" s="82" t="s">
        <v>1613</v>
      </c>
      <c r="Y10" s="82" t="s">
        <v>1614</v>
      </c>
      <c r="Z10" s="82" t="s">
        <v>1615</v>
      </c>
      <c r="AA10" s="82" t="s">
        <v>1616</v>
      </c>
      <c r="AB10" s="82" t="s">
        <v>1617</v>
      </c>
      <c r="AC10" s="82" t="s">
        <v>1618</v>
      </c>
      <c r="AD10" s="82" t="s">
        <v>1619</v>
      </c>
      <c r="AE10" s="82" t="s">
        <v>1620</v>
      </c>
      <c r="AF10" s="82" t="s">
        <v>1621</v>
      </c>
      <c r="AG10" s="82" t="s">
        <v>1622</v>
      </c>
      <c r="AH10" s="82" t="s">
        <v>1623</v>
      </c>
      <c r="AI10" s="82" t="s">
        <v>1624</v>
      </c>
    </row>
    <row r="11" spans="1:35" ht="22.5" customHeight="1">
      <c r="A11" s="195" t="str">
        <f t="shared" si="0"/>
        <v>SAZ19_2017-47-3800-11- &lt;1mm_8/10</v>
      </c>
      <c r="B11" s="195"/>
      <c r="C11" s="195" t="str">
        <f t="shared" si="1"/>
        <v>SAZ19_2017-47-3800-11- &lt;1mm_9/10</v>
      </c>
      <c r="D11" s="195"/>
      <c r="E11" s="195" t="str">
        <f t="shared" si="2"/>
        <v>SAZ19_2017-47-3800-11- &lt;1mm_10/10</v>
      </c>
      <c r="F11" s="195"/>
      <c r="G11" s="195" t="str">
        <f t="shared" si="3"/>
        <v>SAZ19_2017-47-3800-11- &lt;1mm_2/10</v>
      </c>
      <c r="H11" s="195"/>
      <c r="I11" s="195" t="str">
        <f t="shared" si="4"/>
        <v>SAZ19_2017-47-3800-11- &lt;1mm_3/10</v>
      </c>
      <c r="J11" s="195"/>
      <c r="K11" s="195" t="str">
        <f t="shared" si="5"/>
        <v>SAZ19_2017-47-3800-11- &lt;1mm_4/10</v>
      </c>
      <c r="L11" s="195"/>
      <c r="M11" s="195" t="str">
        <f t="shared" si="6"/>
        <v>SAZ19_2017-47-3800-11- &lt;1mm_5/10</v>
      </c>
      <c r="N11" s="181">
        <v>11</v>
      </c>
      <c r="O11" t="s">
        <v>1604</v>
      </c>
      <c r="P11" t="s">
        <v>1605</v>
      </c>
      <c r="Q11" t="s">
        <v>1606</v>
      </c>
      <c r="R11" s="82" t="s">
        <v>1607</v>
      </c>
      <c r="S11" s="82" t="s">
        <v>1608</v>
      </c>
      <c r="T11" s="82" t="s">
        <v>1609</v>
      </c>
      <c r="U11" s="82" t="s">
        <v>1610</v>
      </c>
      <c r="V11" s="82" t="s">
        <v>1611</v>
      </c>
      <c r="W11" s="82" t="s">
        <v>1612</v>
      </c>
      <c r="X11" s="82" t="s">
        <v>1613</v>
      </c>
      <c r="Y11" s="82" t="s">
        <v>1614</v>
      </c>
      <c r="Z11" s="82" t="s">
        <v>1615</v>
      </c>
      <c r="AA11" s="82" t="s">
        <v>1616</v>
      </c>
      <c r="AB11" s="82" t="s">
        <v>1617</v>
      </c>
      <c r="AC11" s="82" t="s">
        <v>1618</v>
      </c>
      <c r="AD11" s="82" t="s">
        <v>1619</v>
      </c>
      <c r="AE11" s="82" t="s">
        <v>1620</v>
      </c>
      <c r="AF11" s="82" t="s">
        <v>1621</v>
      </c>
      <c r="AG11" s="82" t="s">
        <v>1622</v>
      </c>
      <c r="AH11" s="82" t="s">
        <v>1623</v>
      </c>
      <c r="AI11" s="82" t="s">
        <v>1624</v>
      </c>
    </row>
    <row r="12" spans="1:35" ht="22.5" customHeight="1">
      <c r="A12" s="195" t="str">
        <f t="shared" si="0"/>
        <v>SAZ19_2017-47-3800-12- &lt;1mm_8/10</v>
      </c>
      <c r="B12" s="195"/>
      <c r="C12" s="195" t="str">
        <f t="shared" si="1"/>
        <v>SAZ19_2017-47-3800-12- &lt;1mm_9/10</v>
      </c>
      <c r="D12" s="195"/>
      <c r="E12" s="195" t="str">
        <f t="shared" si="2"/>
        <v>SAZ19_2017-47-3800-12- &lt;1mm_10/10</v>
      </c>
      <c r="F12" s="195"/>
      <c r="G12" s="195" t="str">
        <f t="shared" si="3"/>
        <v>SAZ19_2017-47-3800-12- &lt;1mm_2/10</v>
      </c>
      <c r="H12" s="195"/>
      <c r="I12" s="195" t="str">
        <f t="shared" si="4"/>
        <v>SAZ19_2017-47-3800-12- &lt;1mm_3/10</v>
      </c>
      <c r="J12" s="195"/>
      <c r="K12" s="195" t="str">
        <f t="shared" si="5"/>
        <v>SAZ19_2017-47-3800-12- &lt;1mm_4/10</v>
      </c>
      <c r="L12" s="195"/>
      <c r="M12" s="195" t="str">
        <f t="shared" si="6"/>
        <v>SAZ19_2017-47-3800-12- &lt;1mm_5/10</v>
      </c>
      <c r="N12" s="181">
        <v>12</v>
      </c>
      <c r="O12" t="s">
        <v>1604</v>
      </c>
      <c r="P12" t="s">
        <v>1605</v>
      </c>
      <c r="Q12" t="s">
        <v>1606</v>
      </c>
      <c r="R12" s="82" t="s">
        <v>1607</v>
      </c>
      <c r="S12" s="82" t="s">
        <v>1608</v>
      </c>
      <c r="T12" s="82" t="s">
        <v>1609</v>
      </c>
      <c r="U12" s="82" t="s">
        <v>1610</v>
      </c>
      <c r="V12" s="82" t="s">
        <v>1611</v>
      </c>
      <c r="W12" s="82" t="s">
        <v>1612</v>
      </c>
      <c r="X12" s="82" t="s">
        <v>1613</v>
      </c>
      <c r="Y12" s="82" t="s">
        <v>1614</v>
      </c>
      <c r="Z12" s="82" t="s">
        <v>1615</v>
      </c>
      <c r="AA12" s="82" t="s">
        <v>1616</v>
      </c>
      <c r="AB12" s="82" t="s">
        <v>1617</v>
      </c>
      <c r="AC12" s="82" t="s">
        <v>1618</v>
      </c>
      <c r="AD12" s="82" t="s">
        <v>1619</v>
      </c>
      <c r="AE12" s="82" t="s">
        <v>1620</v>
      </c>
      <c r="AF12" s="82" t="s">
        <v>1621</v>
      </c>
      <c r="AG12" s="82" t="s">
        <v>1622</v>
      </c>
      <c r="AH12" s="82" t="s">
        <v>1623</v>
      </c>
      <c r="AI12" s="82" t="s">
        <v>1624</v>
      </c>
    </row>
    <row r="13" spans="1:35" ht="22.5" customHeight="1">
      <c r="A13" s="195" t="str">
        <f t="shared" si="0"/>
        <v>SAZ19_2017-47-3800-13- &lt;1mm_8/10</v>
      </c>
      <c r="B13" s="195"/>
      <c r="C13" s="195" t="str">
        <f t="shared" si="1"/>
        <v>SAZ19_2017-47-3800-13- &lt;1mm_9/10</v>
      </c>
      <c r="D13" s="195"/>
      <c r="E13" s="195" t="str">
        <f t="shared" si="2"/>
        <v>SAZ19_2017-47-3800-13- &lt;1mm_10/10</v>
      </c>
      <c r="F13" s="195"/>
      <c r="G13" s="195" t="str">
        <f t="shared" si="3"/>
        <v>SAZ19_2017-47-3800-13- &lt;1mm_2/10</v>
      </c>
      <c r="H13" s="195"/>
      <c r="I13" s="195" t="str">
        <f t="shared" si="4"/>
        <v>SAZ19_2017-47-3800-13- &lt;1mm_3/10</v>
      </c>
      <c r="J13" s="195"/>
      <c r="K13" s="195" t="str">
        <f t="shared" si="5"/>
        <v>SAZ19_2017-47-3800-13- &lt;1mm_4/10</v>
      </c>
      <c r="L13" s="195"/>
      <c r="M13" s="195" t="str">
        <f t="shared" si="6"/>
        <v>SAZ19_2017-47-3800-13- &lt;1mm_5/10</v>
      </c>
      <c r="N13" s="181">
        <v>13</v>
      </c>
      <c r="O13" t="s">
        <v>1604</v>
      </c>
      <c r="P13" t="s">
        <v>1605</v>
      </c>
      <c r="Q13" t="s">
        <v>1606</v>
      </c>
      <c r="R13" s="82" t="s">
        <v>1607</v>
      </c>
      <c r="S13" s="82" t="s">
        <v>1608</v>
      </c>
      <c r="T13" s="82" t="s">
        <v>1609</v>
      </c>
      <c r="U13" s="82" t="s">
        <v>1610</v>
      </c>
      <c r="V13" s="82" t="s">
        <v>1611</v>
      </c>
      <c r="W13" s="82" t="s">
        <v>1612</v>
      </c>
      <c r="X13" s="82" t="s">
        <v>1613</v>
      </c>
      <c r="Y13" s="82" t="s">
        <v>1614</v>
      </c>
      <c r="Z13" s="82" t="s">
        <v>1615</v>
      </c>
      <c r="AA13" s="82" t="s">
        <v>1616</v>
      </c>
      <c r="AB13" s="82" t="s">
        <v>1617</v>
      </c>
      <c r="AC13" s="82" t="s">
        <v>1618</v>
      </c>
      <c r="AD13" s="82" t="s">
        <v>1619</v>
      </c>
      <c r="AE13" s="82" t="s">
        <v>1620</v>
      </c>
      <c r="AF13" s="82" t="s">
        <v>1621</v>
      </c>
      <c r="AG13" s="82" t="s">
        <v>1622</v>
      </c>
      <c r="AH13" s="82" t="s">
        <v>1623</v>
      </c>
      <c r="AI13" s="82" t="s">
        <v>1624</v>
      </c>
    </row>
    <row r="14" spans="1:35" ht="22.5" customHeight="1">
      <c r="A14" s="195" t="str">
        <f t="shared" si="0"/>
        <v>SAZ19_2017-47-3800-14- &lt;1mm_8/10</v>
      </c>
      <c r="B14" s="195"/>
      <c r="C14" s="195" t="str">
        <f t="shared" si="1"/>
        <v>SAZ19_2017-47-3800-14- &lt;1mm_9/10</v>
      </c>
      <c r="D14" s="195"/>
      <c r="E14" s="195" t="str">
        <f t="shared" si="2"/>
        <v>SAZ19_2017-47-3800-14- &lt;1mm_10/10</v>
      </c>
      <c r="F14" s="195"/>
      <c r="G14" s="195" t="str">
        <f t="shared" si="3"/>
        <v>SAZ19_2017-47-3800-14- &lt;1mm_2/10</v>
      </c>
      <c r="H14" s="195"/>
      <c r="I14" s="195" t="str">
        <f t="shared" si="4"/>
        <v>SAZ19_2017-47-3800-14- &lt;1mm_3/10</v>
      </c>
      <c r="J14" s="195"/>
      <c r="K14" s="195" t="str">
        <f t="shared" si="5"/>
        <v>SAZ19_2017-47-3800-14- &lt;1mm_4/10</v>
      </c>
      <c r="L14" s="195"/>
      <c r="M14" s="195" t="str">
        <f t="shared" si="6"/>
        <v>SAZ19_2017-47-3800-14- &lt;1mm_5/10</v>
      </c>
      <c r="N14" s="181">
        <v>14</v>
      </c>
      <c r="O14" t="s">
        <v>1604</v>
      </c>
      <c r="P14" t="s">
        <v>1605</v>
      </c>
      <c r="Q14" t="s">
        <v>1606</v>
      </c>
      <c r="R14" s="82" t="s">
        <v>1607</v>
      </c>
      <c r="S14" s="82" t="s">
        <v>1608</v>
      </c>
      <c r="T14" s="82" t="s">
        <v>1609</v>
      </c>
      <c r="U14" s="82" t="s">
        <v>1610</v>
      </c>
      <c r="V14" s="82" t="s">
        <v>1611</v>
      </c>
      <c r="W14" s="82" t="s">
        <v>1612</v>
      </c>
      <c r="X14" s="82" t="s">
        <v>1613</v>
      </c>
      <c r="Y14" s="82" t="s">
        <v>1614</v>
      </c>
      <c r="Z14" s="82" t="s">
        <v>1615</v>
      </c>
      <c r="AA14" s="82" t="s">
        <v>1616</v>
      </c>
      <c r="AB14" s="82" t="s">
        <v>1617</v>
      </c>
      <c r="AC14" s="82" t="s">
        <v>1618</v>
      </c>
      <c r="AD14" s="82" t="s">
        <v>1619</v>
      </c>
      <c r="AE14" s="82" t="s">
        <v>1620</v>
      </c>
      <c r="AF14" s="82" t="s">
        <v>1621</v>
      </c>
      <c r="AG14" s="82" t="s">
        <v>1622</v>
      </c>
      <c r="AH14" s="82" t="s">
        <v>1623</v>
      </c>
      <c r="AI14" s="82" t="s">
        <v>1624</v>
      </c>
    </row>
    <row r="15" spans="1:35" ht="22.5" customHeight="1">
      <c r="A15" s="195" t="str">
        <f t="shared" si="0"/>
        <v>SAZ19_2017-47-3800-15- &lt;1mm_8/10</v>
      </c>
      <c r="B15" s="195"/>
      <c r="C15" s="195" t="str">
        <f t="shared" si="1"/>
        <v>SAZ19_2017-47-3800-15- &lt;1mm_9/10</v>
      </c>
      <c r="D15" s="195"/>
      <c r="E15" s="195" t="str">
        <f t="shared" si="2"/>
        <v>SAZ19_2017-47-3800-15- &lt;1mm_10/10</v>
      </c>
      <c r="F15" s="195"/>
      <c r="G15" s="195" t="str">
        <f t="shared" si="3"/>
        <v>SAZ19_2017-47-3800-15- &lt;1mm_2/10</v>
      </c>
      <c r="H15" s="195"/>
      <c r="I15" s="195" t="str">
        <f t="shared" si="4"/>
        <v>SAZ19_2017-47-3800-15- &lt;1mm_3/10</v>
      </c>
      <c r="J15" s="195"/>
      <c r="K15" s="195" t="str">
        <f t="shared" si="5"/>
        <v>SAZ19_2017-47-3800-15- &lt;1mm_4/10</v>
      </c>
      <c r="L15" s="195"/>
      <c r="M15" s="195" t="str">
        <f t="shared" si="6"/>
        <v>SAZ19_2017-47-3800-15- &lt;1mm_5/10</v>
      </c>
      <c r="N15" s="181">
        <v>15</v>
      </c>
      <c r="O15" t="s">
        <v>1604</v>
      </c>
      <c r="P15" t="s">
        <v>1605</v>
      </c>
      <c r="Q15" t="s">
        <v>1606</v>
      </c>
      <c r="R15" s="82" t="s">
        <v>1607</v>
      </c>
      <c r="S15" s="82" t="s">
        <v>1608</v>
      </c>
      <c r="T15" s="82" t="s">
        <v>1609</v>
      </c>
      <c r="U15" s="82" t="s">
        <v>1610</v>
      </c>
      <c r="V15" s="82" t="s">
        <v>1611</v>
      </c>
      <c r="W15" s="82" t="s">
        <v>1612</v>
      </c>
      <c r="X15" s="82" t="s">
        <v>1613</v>
      </c>
      <c r="Y15" s="82" t="s">
        <v>1614</v>
      </c>
      <c r="Z15" s="82" t="s">
        <v>1615</v>
      </c>
      <c r="AA15" s="82" t="s">
        <v>1616</v>
      </c>
      <c r="AB15" s="82" t="s">
        <v>1617</v>
      </c>
      <c r="AC15" s="82" t="s">
        <v>1618</v>
      </c>
      <c r="AD15" s="82" t="s">
        <v>1619</v>
      </c>
      <c r="AE15" s="82" t="s">
        <v>1620</v>
      </c>
      <c r="AF15" s="82" t="s">
        <v>1621</v>
      </c>
      <c r="AG15" s="82" t="s">
        <v>1622</v>
      </c>
      <c r="AH15" s="82" t="s">
        <v>1623</v>
      </c>
      <c r="AI15" s="82" t="s">
        <v>1624</v>
      </c>
    </row>
    <row r="16" spans="1:35" ht="22.5" customHeight="1">
      <c r="A16" s="195" t="str">
        <f t="shared" si="0"/>
        <v>SAZ19_2017-47-3800-16- &lt;1mm_8/10</v>
      </c>
      <c r="B16" s="195"/>
      <c r="C16" s="195" t="str">
        <f t="shared" si="1"/>
        <v>SAZ19_2017-47-3800-16- &lt;1mm_9/10</v>
      </c>
      <c r="D16" s="195"/>
      <c r="E16" s="195" t="str">
        <f t="shared" si="2"/>
        <v>SAZ19_2017-47-3800-16- &lt;1mm_10/10</v>
      </c>
      <c r="F16" s="195"/>
      <c r="G16" s="195" t="str">
        <f t="shared" si="3"/>
        <v>SAZ19_2017-47-3800-16- &lt;1mm_2/10</v>
      </c>
      <c r="H16" s="195"/>
      <c r="I16" s="195" t="str">
        <f t="shared" si="4"/>
        <v>SAZ19_2017-47-3800-16- &lt;1mm_3/10</v>
      </c>
      <c r="J16" s="195"/>
      <c r="K16" s="195" t="str">
        <f t="shared" si="5"/>
        <v>SAZ19_2017-47-3800-16- &lt;1mm_4/10</v>
      </c>
      <c r="L16" s="195"/>
      <c r="M16" s="195" t="str">
        <f t="shared" si="6"/>
        <v>SAZ19_2017-47-3800-16- &lt;1mm_5/10</v>
      </c>
      <c r="N16" s="181">
        <v>16</v>
      </c>
      <c r="O16" t="s">
        <v>1604</v>
      </c>
      <c r="P16" t="s">
        <v>1605</v>
      </c>
      <c r="Q16" t="s">
        <v>1606</v>
      </c>
      <c r="R16" s="82" t="s">
        <v>1607</v>
      </c>
      <c r="S16" s="82" t="s">
        <v>1608</v>
      </c>
      <c r="T16" s="82" t="s">
        <v>1609</v>
      </c>
      <c r="U16" s="82" t="s">
        <v>1610</v>
      </c>
      <c r="V16" s="82" t="s">
        <v>1611</v>
      </c>
      <c r="W16" s="82" t="s">
        <v>1612</v>
      </c>
      <c r="X16" s="82" t="s">
        <v>1613</v>
      </c>
      <c r="Y16" s="82" t="s">
        <v>1614</v>
      </c>
      <c r="Z16" s="82" t="s">
        <v>1615</v>
      </c>
      <c r="AA16" s="82" t="s">
        <v>1616</v>
      </c>
      <c r="AB16" s="82" t="s">
        <v>1617</v>
      </c>
      <c r="AC16" s="82" t="s">
        <v>1618</v>
      </c>
      <c r="AD16" s="82" t="s">
        <v>1619</v>
      </c>
      <c r="AE16" s="82" t="s">
        <v>1620</v>
      </c>
      <c r="AF16" s="82" t="s">
        <v>1621</v>
      </c>
      <c r="AG16" s="82" t="s">
        <v>1622</v>
      </c>
      <c r="AH16" s="82" t="s">
        <v>1623</v>
      </c>
      <c r="AI16" s="82" t="s">
        <v>1624</v>
      </c>
    </row>
    <row r="17" spans="1:35" ht="22.5" customHeight="1">
      <c r="A17" s="195" t="str">
        <f t="shared" si="0"/>
        <v>SAZ19_2017-47-3800-17- &lt;1mm_8/10</v>
      </c>
      <c r="B17" s="195"/>
      <c r="C17" s="195" t="str">
        <f t="shared" si="1"/>
        <v>SAZ19_2017-47-3800-17- &lt;1mm_9/10</v>
      </c>
      <c r="D17" s="195"/>
      <c r="E17" s="195" t="str">
        <f t="shared" si="2"/>
        <v>SAZ19_2017-47-3800-17- &lt;1mm_10/10</v>
      </c>
      <c r="F17" s="195"/>
      <c r="G17" s="195" t="str">
        <f t="shared" si="3"/>
        <v>SAZ19_2017-47-3800-17- &lt;1mm_2/10</v>
      </c>
      <c r="H17" s="195"/>
      <c r="I17" s="195" t="str">
        <f t="shared" si="4"/>
        <v>SAZ19_2017-47-3800-17- &lt;1mm_3/10</v>
      </c>
      <c r="J17" s="195"/>
      <c r="K17" s="195" t="str">
        <f t="shared" si="5"/>
        <v>SAZ19_2017-47-3800-17- &lt;1mm_4/10</v>
      </c>
      <c r="L17" s="195"/>
      <c r="M17" s="195" t="str">
        <f t="shared" si="6"/>
        <v>SAZ19_2017-47-3800-17- &lt;1mm_5/10</v>
      </c>
      <c r="N17" s="181">
        <v>17</v>
      </c>
      <c r="O17" t="s">
        <v>1604</v>
      </c>
      <c r="P17" t="s">
        <v>1605</v>
      </c>
      <c r="Q17" t="s">
        <v>1606</v>
      </c>
      <c r="R17" s="82" t="s">
        <v>1607</v>
      </c>
      <c r="S17" s="82" t="s">
        <v>1608</v>
      </c>
      <c r="T17" s="82" t="s">
        <v>1609</v>
      </c>
      <c r="U17" s="82" t="s">
        <v>1610</v>
      </c>
      <c r="V17" s="82" t="s">
        <v>1611</v>
      </c>
      <c r="W17" s="82" t="s">
        <v>1612</v>
      </c>
      <c r="X17" s="82" t="s">
        <v>1613</v>
      </c>
      <c r="Y17" s="82" t="s">
        <v>1614</v>
      </c>
      <c r="Z17" s="82" t="s">
        <v>1615</v>
      </c>
      <c r="AA17" s="82" t="s">
        <v>1616</v>
      </c>
      <c r="AB17" s="82" t="s">
        <v>1617</v>
      </c>
      <c r="AC17" s="82" t="s">
        <v>1618</v>
      </c>
      <c r="AD17" s="82" t="s">
        <v>1619</v>
      </c>
      <c r="AE17" s="82" t="s">
        <v>1620</v>
      </c>
      <c r="AF17" s="82" t="s">
        <v>1621</v>
      </c>
      <c r="AG17" s="82" t="s">
        <v>1622</v>
      </c>
      <c r="AH17" s="82" t="s">
        <v>1623</v>
      </c>
      <c r="AI17" s="82" t="s">
        <v>1624</v>
      </c>
    </row>
    <row r="18" spans="1:35" ht="22.5" customHeight="1">
      <c r="A18" s="195" t="str">
        <f t="shared" si="0"/>
        <v>SAZ19_2017-47-3800-18- &lt;1mm_8/10</v>
      </c>
      <c r="B18" s="195"/>
      <c r="C18" s="195" t="str">
        <f t="shared" si="1"/>
        <v>SAZ19_2017-47-3800-18- &lt;1mm_9/10</v>
      </c>
      <c r="D18" s="195"/>
      <c r="E18" s="195" t="str">
        <f t="shared" si="2"/>
        <v>SAZ19_2017-47-3800-18- &lt;1mm_10/10</v>
      </c>
      <c r="F18" s="195"/>
      <c r="G18" s="195" t="str">
        <f t="shared" si="3"/>
        <v>SAZ19_2017-47-3800-18- &lt;1mm_2/10</v>
      </c>
      <c r="H18" s="195"/>
      <c r="I18" s="195" t="str">
        <f t="shared" si="4"/>
        <v>SAZ19_2017-47-3800-18- &lt;1mm_3/10</v>
      </c>
      <c r="J18" s="195"/>
      <c r="K18" s="195" t="str">
        <f t="shared" si="5"/>
        <v>SAZ19_2017-47-3800-18- &lt;1mm_4/10</v>
      </c>
      <c r="L18" s="195"/>
      <c r="M18" s="195" t="str">
        <f t="shared" si="6"/>
        <v>SAZ19_2017-47-3800-18- &lt;1mm_5/10</v>
      </c>
      <c r="N18" s="181">
        <v>18</v>
      </c>
      <c r="O18" t="s">
        <v>1604</v>
      </c>
      <c r="P18" t="s">
        <v>1605</v>
      </c>
      <c r="Q18" t="s">
        <v>1606</v>
      </c>
      <c r="R18" s="82" t="s">
        <v>1607</v>
      </c>
      <c r="S18" s="82" t="s">
        <v>1608</v>
      </c>
      <c r="T18" s="82" t="s">
        <v>1609</v>
      </c>
      <c r="U18" s="82" t="s">
        <v>1610</v>
      </c>
      <c r="V18" s="82" t="s">
        <v>1611</v>
      </c>
      <c r="W18" s="82" t="s">
        <v>1612</v>
      </c>
      <c r="X18" s="82" t="s">
        <v>1613</v>
      </c>
      <c r="Y18" s="82" t="s">
        <v>1614</v>
      </c>
      <c r="Z18" s="82" t="s">
        <v>1615</v>
      </c>
      <c r="AA18" s="82" t="s">
        <v>1616</v>
      </c>
      <c r="AB18" s="82" t="s">
        <v>1617</v>
      </c>
      <c r="AC18" s="82" t="s">
        <v>1618</v>
      </c>
      <c r="AD18" s="82" t="s">
        <v>1619</v>
      </c>
      <c r="AE18" s="82" t="s">
        <v>1620</v>
      </c>
      <c r="AF18" s="82" t="s">
        <v>1621</v>
      </c>
      <c r="AG18" s="82" t="s">
        <v>1622</v>
      </c>
      <c r="AH18" s="82" t="s">
        <v>1623</v>
      </c>
      <c r="AI18" s="82" t="s">
        <v>1624</v>
      </c>
    </row>
    <row r="19" spans="1:35" ht="22.5" customHeight="1">
      <c r="A19" s="195" t="str">
        <f t="shared" si="0"/>
        <v>SAZ19_2017-47-3800-19- &lt;1mm_8/10</v>
      </c>
      <c r="B19" s="195"/>
      <c r="C19" s="195" t="str">
        <f t="shared" si="1"/>
        <v>SAZ19_2017-47-3800-19- &lt;1mm_9/10</v>
      </c>
      <c r="D19" s="195"/>
      <c r="E19" s="195" t="str">
        <f t="shared" si="2"/>
        <v>SAZ19_2017-47-3800-19- &lt;1mm_10/10</v>
      </c>
      <c r="F19" s="195"/>
      <c r="G19" s="195" t="str">
        <f t="shared" si="3"/>
        <v>SAZ19_2017-47-3800-19- &lt;1mm_2/10</v>
      </c>
      <c r="H19" s="195"/>
      <c r="I19" s="195" t="str">
        <f t="shared" si="4"/>
        <v>SAZ19_2017-47-3800-19- &lt;1mm_3/10</v>
      </c>
      <c r="J19" s="195"/>
      <c r="K19" s="195" t="str">
        <f t="shared" si="5"/>
        <v>SAZ19_2017-47-3800-19- &lt;1mm_4/10</v>
      </c>
      <c r="L19" s="195"/>
      <c r="M19" s="195" t="str">
        <f t="shared" si="6"/>
        <v>SAZ19_2017-47-3800-19- &lt;1mm_5/10</v>
      </c>
      <c r="N19" s="181">
        <v>19</v>
      </c>
      <c r="O19" t="s">
        <v>1604</v>
      </c>
      <c r="P19" t="s">
        <v>1605</v>
      </c>
      <c r="Q19" t="s">
        <v>1606</v>
      </c>
      <c r="R19" s="82" t="s">
        <v>1607</v>
      </c>
      <c r="S19" s="82" t="s">
        <v>1608</v>
      </c>
      <c r="T19" s="82" t="s">
        <v>1609</v>
      </c>
      <c r="U19" s="82" t="s">
        <v>1610</v>
      </c>
      <c r="V19" s="82" t="s">
        <v>1611</v>
      </c>
      <c r="W19" s="82" t="s">
        <v>1612</v>
      </c>
      <c r="X19" s="82" t="s">
        <v>1613</v>
      </c>
      <c r="Y19" s="82" t="s">
        <v>1614</v>
      </c>
      <c r="Z19" s="82" t="s">
        <v>1615</v>
      </c>
      <c r="AA19" s="82" t="s">
        <v>1616</v>
      </c>
      <c r="AB19" s="82" t="s">
        <v>1617</v>
      </c>
      <c r="AC19" s="82" t="s">
        <v>1618</v>
      </c>
      <c r="AD19" s="82" t="s">
        <v>1619</v>
      </c>
      <c r="AE19" s="82" t="s">
        <v>1620</v>
      </c>
      <c r="AF19" s="82" t="s">
        <v>1621</v>
      </c>
      <c r="AG19" s="82" t="s">
        <v>1622</v>
      </c>
      <c r="AH19" s="82" t="s">
        <v>1623</v>
      </c>
      <c r="AI19" s="82" t="s">
        <v>1624</v>
      </c>
    </row>
    <row r="20" spans="1:35" ht="22.5" customHeight="1">
      <c r="A20" s="195" t="str">
        <f t="shared" si="0"/>
        <v>SAZ19_2017-47-3800-20- &lt;1mm_8/10</v>
      </c>
      <c r="B20" s="195"/>
      <c r="C20" s="195" t="str">
        <f t="shared" si="1"/>
        <v>SAZ19_2017-47-3800-20- &lt;1mm_9/10</v>
      </c>
      <c r="D20" s="195"/>
      <c r="E20" s="195" t="str">
        <f t="shared" si="2"/>
        <v>SAZ19_2017-47-3800-20- &lt;1mm_10/10</v>
      </c>
      <c r="F20" s="195"/>
      <c r="G20" s="195" t="str">
        <f t="shared" si="3"/>
        <v>SAZ19_2017-47-3800-20- &lt;1mm_2/10</v>
      </c>
      <c r="H20" s="195"/>
      <c r="I20" s="195" t="str">
        <f t="shared" si="4"/>
        <v>SAZ19_2017-47-3800-20- &lt;1mm_3/10</v>
      </c>
      <c r="J20" s="195"/>
      <c r="K20" s="195" t="str">
        <f t="shared" si="5"/>
        <v>SAZ19_2017-47-3800-20- &lt;1mm_4/10</v>
      </c>
      <c r="L20" s="195"/>
      <c r="M20" s="195" t="str">
        <f t="shared" si="6"/>
        <v>SAZ19_2017-47-3800-20- &lt;1mm_5/10</v>
      </c>
      <c r="N20" s="181">
        <v>20</v>
      </c>
      <c r="O20" t="s">
        <v>1604</v>
      </c>
      <c r="P20" t="s">
        <v>1605</v>
      </c>
      <c r="Q20" t="s">
        <v>1606</v>
      </c>
      <c r="R20" s="82" t="s">
        <v>1607</v>
      </c>
      <c r="S20" s="82" t="s">
        <v>1608</v>
      </c>
      <c r="T20" s="82" t="s">
        <v>1609</v>
      </c>
      <c r="U20" s="82" t="s">
        <v>1610</v>
      </c>
      <c r="V20" s="82" t="s">
        <v>1611</v>
      </c>
      <c r="W20" s="82" t="s">
        <v>1612</v>
      </c>
      <c r="X20" s="82" t="s">
        <v>1613</v>
      </c>
      <c r="Y20" s="82" t="s">
        <v>1614</v>
      </c>
      <c r="Z20" s="82" t="s">
        <v>1615</v>
      </c>
      <c r="AA20" s="82" t="s">
        <v>1616</v>
      </c>
      <c r="AB20" s="82" t="s">
        <v>1617</v>
      </c>
      <c r="AC20" s="82" t="s">
        <v>1618</v>
      </c>
      <c r="AD20" s="82" t="s">
        <v>1619</v>
      </c>
      <c r="AE20" s="82" t="s">
        <v>1620</v>
      </c>
      <c r="AF20" s="82" t="s">
        <v>1621</v>
      </c>
      <c r="AG20" s="82" t="s">
        <v>1622</v>
      </c>
      <c r="AH20" s="82" t="s">
        <v>1623</v>
      </c>
      <c r="AI20" s="82" t="s">
        <v>1624</v>
      </c>
    </row>
    <row r="21" spans="1:35" ht="22.5" customHeight="1">
      <c r="A21" s="195" t="str">
        <f t="shared" si="0"/>
        <v>SAZ19_2017-47-3800-21- &lt;1mm_8/10</v>
      </c>
      <c r="B21" s="195"/>
      <c r="C21" s="195" t="str">
        <f t="shared" si="1"/>
        <v>SAZ19_2017-47-3800-21- &lt;1mm_9/10</v>
      </c>
      <c r="D21" s="195"/>
      <c r="E21" s="195" t="str">
        <f t="shared" si="2"/>
        <v>SAZ19_2017-47-3800-21- &lt;1mm_10/10</v>
      </c>
      <c r="F21" s="195"/>
      <c r="G21" s="195" t="str">
        <f t="shared" si="3"/>
        <v>SAZ19_2017-47-3800-21- &lt;1mm_2/10</v>
      </c>
      <c r="H21" s="195"/>
      <c r="I21" s="195" t="str">
        <f t="shared" si="4"/>
        <v>SAZ19_2017-47-3800-21- &lt;1mm_3/10</v>
      </c>
      <c r="J21" s="195"/>
      <c r="K21" s="195" t="str">
        <f t="shared" si="5"/>
        <v>SAZ19_2017-47-3800-21- &lt;1mm_4/10</v>
      </c>
      <c r="L21" s="195"/>
      <c r="M21" s="195" t="str">
        <f t="shared" si="6"/>
        <v>SAZ19_2017-47-3800-21- &lt;1mm_5/10</v>
      </c>
      <c r="N21" s="181">
        <v>21</v>
      </c>
      <c r="O21" t="s">
        <v>1604</v>
      </c>
      <c r="P21" t="s">
        <v>1605</v>
      </c>
      <c r="Q21" t="s">
        <v>1606</v>
      </c>
      <c r="R21" s="82" t="s">
        <v>1607</v>
      </c>
      <c r="S21" s="82" t="s">
        <v>1608</v>
      </c>
      <c r="T21" s="82" t="s">
        <v>1609</v>
      </c>
      <c r="U21" s="82" t="s">
        <v>1610</v>
      </c>
      <c r="V21" s="82" t="s">
        <v>1611</v>
      </c>
      <c r="W21" s="82" t="s">
        <v>1612</v>
      </c>
      <c r="X21" s="82" t="s">
        <v>1613</v>
      </c>
      <c r="Y21" s="82" t="s">
        <v>1614</v>
      </c>
      <c r="Z21" s="82" t="s">
        <v>1615</v>
      </c>
      <c r="AA21" s="82" t="s">
        <v>1616</v>
      </c>
      <c r="AB21" s="82" t="s">
        <v>1617</v>
      </c>
      <c r="AC21" s="82" t="s">
        <v>1618</v>
      </c>
      <c r="AD21" s="82" t="s">
        <v>1619</v>
      </c>
      <c r="AE21" s="82" t="s">
        <v>1620</v>
      </c>
      <c r="AF21" s="82" t="s">
        <v>1621</v>
      </c>
      <c r="AG21" s="82" t="s">
        <v>1622</v>
      </c>
      <c r="AH21" s="82" t="s">
        <v>1623</v>
      </c>
      <c r="AI21" s="82" t="s">
        <v>1624</v>
      </c>
    </row>
    <row r="22" spans="1:35" ht="22.5" customHeight="1">
      <c r="A22" s="195" t="str">
        <f>CONCATENATE(Q1,N1,AD1)</f>
        <v>SAZ19_2017-47-3800-1- &lt;1mm_6/10</v>
      </c>
      <c r="B22" s="195"/>
      <c r="C22" s="195" t="str">
        <f>CONCATENATE(Q7,N7,AD7)</f>
        <v>SAZ19_2017-47-3800-7- &lt;1mm_6/10</v>
      </c>
      <c r="D22" s="195"/>
      <c r="E22" s="195" t="str">
        <f>CONCATENATE(Q13,N13,AD13)</f>
        <v>SAZ19_2017-47-3800-13- &lt;1mm_6/10</v>
      </c>
      <c r="F22" s="195"/>
      <c r="G22" s="195" t="str">
        <f>CONCATENATE(Q19,N19,AD19)</f>
        <v>SAZ19_2017-47-3800-19- &lt;1mm_6/10</v>
      </c>
      <c r="H22" s="195"/>
      <c r="I22" s="195" t="str">
        <f>CONCATENATE(Q4,N4,AE4)</f>
        <v>SAZ19_2017-47-3800-4- &lt;1mm_7/10</v>
      </c>
      <c r="J22" s="195"/>
      <c r="K22" s="195" t="str">
        <f>CONCATENATE(Q10,N10,AE10)</f>
        <v>SAZ19_2017-47-3800-10- &lt;1mm_7/10</v>
      </c>
      <c r="L22" s="195"/>
      <c r="M22" s="195" t="str">
        <f>CONCATENATE(Q16,N16,AE16)</f>
        <v>SAZ19_2017-47-3800-16- &lt;1mm_7/10</v>
      </c>
      <c r="N22" s="181"/>
    </row>
    <row r="23" spans="1:35" ht="22.5" customHeight="1">
      <c r="A23" s="195" t="str">
        <f t="shared" ref="A23:A27" si="7">CONCATENATE(Q2,N2,AD2)</f>
        <v>SAZ19_2017-47-3800-2- &lt;1mm_6/10</v>
      </c>
      <c r="B23" s="195"/>
      <c r="C23" s="195" t="str">
        <f t="shared" ref="C23:C27" si="8">CONCATENATE(Q8,N8,AD8)</f>
        <v>SAZ19_2017-47-3800-8- &lt;1mm_6/10</v>
      </c>
      <c r="D23" s="195"/>
      <c r="E23" s="195" t="str">
        <f t="shared" ref="E23:E27" si="9">CONCATENATE(Q14,N14,AD14)</f>
        <v>SAZ19_2017-47-3800-14- &lt;1mm_6/10</v>
      </c>
      <c r="F23" s="195"/>
      <c r="G23" s="195" t="str">
        <f t="shared" ref="G23:G24" si="10">CONCATENATE(Q20,N20,AD20)</f>
        <v>SAZ19_2017-47-3800-20- &lt;1mm_6/10</v>
      </c>
      <c r="H23" s="195"/>
      <c r="I23" s="195" t="str">
        <f t="shared" ref="I23:I27" si="11">CONCATENATE(Q5,N5,AE5)</f>
        <v>SAZ19_2017-47-3800-5- &lt;1mm_7/10</v>
      </c>
      <c r="J23" s="195"/>
      <c r="K23" s="195" t="str">
        <f t="shared" ref="K23:K27" si="12">CONCATENATE(Q11,N11,AE11)</f>
        <v>SAZ19_2017-47-3800-11- &lt;1mm_7/10</v>
      </c>
      <c r="L23" s="195"/>
      <c r="M23" s="195" t="str">
        <f t="shared" ref="M23:M27" si="13">CONCATENATE(Q17,N17,AE17)</f>
        <v>SAZ19_2017-47-3800-17- &lt;1mm_7/10</v>
      </c>
      <c r="N23" s="181"/>
    </row>
    <row r="24" spans="1:35" ht="22.5" customHeight="1">
      <c r="A24" s="195" t="str">
        <f t="shared" si="7"/>
        <v>SAZ19_2017-47-3800-3- &lt;1mm_6/10</v>
      </c>
      <c r="B24" s="195"/>
      <c r="C24" s="195" t="str">
        <f t="shared" si="8"/>
        <v>SAZ19_2017-47-3800-9- &lt;1mm_6/10</v>
      </c>
      <c r="D24" s="195"/>
      <c r="E24" s="195" t="str">
        <f t="shared" si="9"/>
        <v>SAZ19_2017-47-3800-15- &lt;1mm_6/10</v>
      </c>
      <c r="F24" s="195"/>
      <c r="G24" s="195" t="str">
        <f t="shared" si="10"/>
        <v>SAZ19_2017-47-3800-21- &lt;1mm_6/10</v>
      </c>
      <c r="H24" s="195"/>
      <c r="I24" s="195" t="str">
        <f t="shared" si="11"/>
        <v>SAZ19_2017-47-3800-6- &lt;1mm_7/10</v>
      </c>
      <c r="J24" s="195"/>
      <c r="K24" s="195" t="str">
        <f t="shared" si="12"/>
        <v>SAZ19_2017-47-3800-12- &lt;1mm_7/10</v>
      </c>
      <c r="L24" s="195"/>
      <c r="M24" s="195" t="str">
        <f t="shared" si="13"/>
        <v>SAZ19_2017-47-3800-18- &lt;1mm_7/10</v>
      </c>
      <c r="N24" s="181"/>
    </row>
    <row r="25" spans="1:35" ht="22.5" customHeight="1">
      <c r="A25" s="195" t="str">
        <f t="shared" si="7"/>
        <v>SAZ19_2017-47-3800-4- &lt;1mm_6/10</v>
      </c>
      <c r="B25" s="195"/>
      <c r="C25" s="195" t="str">
        <f t="shared" si="8"/>
        <v>SAZ19_2017-47-3800-10- &lt;1mm_6/10</v>
      </c>
      <c r="D25" s="195"/>
      <c r="E25" s="195" t="str">
        <f t="shared" si="9"/>
        <v>SAZ19_2017-47-3800-16- &lt;1mm_6/10</v>
      </c>
      <c r="F25" s="195"/>
      <c r="G25" s="195" t="str">
        <f>CONCATENATE(Q1,N1,AE1)</f>
        <v>SAZ19_2017-47-3800-1- &lt;1mm_7/10</v>
      </c>
      <c r="H25" s="195"/>
      <c r="I25" s="195" t="str">
        <f t="shared" si="11"/>
        <v>SAZ19_2017-47-3800-7- &lt;1mm_7/10</v>
      </c>
      <c r="J25" s="195"/>
      <c r="K25" s="195" t="str">
        <f t="shared" si="12"/>
        <v>SAZ19_2017-47-3800-13- &lt;1mm_7/10</v>
      </c>
      <c r="L25" s="195"/>
      <c r="M25" s="195" t="str">
        <f t="shared" si="13"/>
        <v>SAZ19_2017-47-3800-19- &lt;1mm_7/10</v>
      </c>
      <c r="N25" s="181"/>
    </row>
    <row r="26" spans="1:35" ht="22.5" customHeight="1">
      <c r="A26" s="195" t="str">
        <f t="shared" si="7"/>
        <v>SAZ19_2017-47-3800-5- &lt;1mm_6/10</v>
      </c>
      <c r="B26" s="195"/>
      <c r="C26" s="195" t="str">
        <f t="shared" si="8"/>
        <v>SAZ19_2017-47-3800-11- &lt;1mm_6/10</v>
      </c>
      <c r="D26" s="195"/>
      <c r="E26" s="195" t="str">
        <f t="shared" si="9"/>
        <v>SAZ19_2017-47-3800-17- &lt;1mm_6/10</v>
      </c>
      <c r="F26" s="195"/>
      <c r="G26" s="195" t="str">
        <f t="shared" ref="G26:G27" si="14">CONCATENATE(Q2,N2,AE2)</f>
        <v>SAZ19_2017-47-3800-2- &lt;1mm_7/10</v>
      </c>
      <c r="H26" s="195"/>
      <c r="I26" s="195" t="str">
        <f t="shared" si="11"/>
        <v>SAZ19_2017-47-3800-8- &lt;1mm_7/10</v>
      </c>
      <c r="J26" s="195"/>
      <c r="K26" s="195" t="str">
        <f t="shared" si="12"/>
        <v>SAZ19_2017-47-3800-14- &lt;1mm_7/10</v>
      </c>
      <c r="L26" s="195"/>
      <c r="M26" s="195" t="str">
        <f t="shared" si="13"/>
        <v>SAZ19_2017-47-3800-20- &lt;1mm_7/10</v>
      </c>
      <c r="N26" s="181"/>
    </row>
    <row r="27" spans="1:35" ht="22.5" customHeight="1">
      <c r="A27" s="195" t="str">
        <f t="shared" si="7"/>
        <v>SAZ19_2017-47-3800-6- &lt;1mm_6/10</v>
      </c>
      <c r="B27" s="195"/>
      <c r="C27" s="195" t="str">
        <f t="shared" si="8"/>
        <v>SAZ19_2017-47-3800-12- &lt;1mm_6/10</v>
      </c>
      <c r="D27" s="195"/>
      <c r="E27" s="195" t="str">
        <f t="shared" si="9"/>
        <v>SAZ19_2017-47-3800-18- &lt;1mm_6/10</v>
      </c>
      <c r="F27" s="195"/>
      <c r="G27" s="195" t="str">
        <f t="shared" si="14"/>
        <v>SAZ19_2017-47-3800-3- &lt;1mm_7/10</v>
      </c>
      <c r="H27" s="195"/>
      <c r="I27" s="195" t="str">
        <f t="shared" si="11"/>
        <v>SAZ19_2017-47-3800-9- &lt;1mm_7/10</v>
      </c>
      <c r="J27" s="195"/>
      <c r="K27" s="195" t="str">
        <f t="shared" si="12"/>
        <v>SAZ19_2017-47-3800-15- &lt;1mm_7/10</v>
      </c>
      <c r="L27" s="195"/>
      <c r="M27" s="195" t="str">
        <f t="shared" si="13"/>
        <v>SAZ19_2017-47-3800-21- &lt;1mm_7/10</v>
      </c>
      <c r="N27" s="181"/>
    </row>
    <row r="28" spans="1:35">
      <c r="A28" s="182"/>
      <c r="B28" s="181"/>
      <c r="C28" s="183"/>
      <c r="D28" s="181"/>
      <c r="E28" s="184"/>
      <c r="F28" s="181"/>
      <c r="G28" s="181"/>
      <c r="H28" s="181"/>
      <c r="I28" s="185"/>
      <c r="J28" s="185"/>
      <c r="K28" s="185"/>
      <c r="L28" s="185"/>
      <c r="M28" s="185"/>
      <c r="N28" s="181"/>
    </row>
    <row r="29" spans="1:35" ht="18.5">
      <c r="A29" s="186" t="s">
        <v>1625</v>
      </c>
      <c r="C29" s="187"/>
      <c r="E29" s="17"/>
      <c r="I29" s="188"/>
      <c r="J29" s="188"/>
      <c r="K29" s="188"/>
      <c r="L29" s="188"/>
      <c r="M29" s="188"/>
    </row>
    <row r="30" spans="1:35">
      <c r="A30" s="189" t="s">
        <v>1626</v>
      </c>
      <c r="C30" s="187"/>
      <c r="E30" s="17"/>
      <c r="I30" s="188"/>
      <c r="J30" s="188"/>
      <c r="K30" s="188"/>
      <c r="L30" s="188"/>
      <c r="M30" s="188"/>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H166"/>
  <sheetViews>
    <sheetView workbookViewId="0">
      <pane ySplit="960" topLeftCell="A120" activePane="bottomLeft"/>
      <selection activeCell="Q18" sqref="Q18"/>
      <selection pane="bottomLeft" activeCell="H135" sqref="H135"/>
    </sheetView>
  </sheetViews>
  <sheetFormatPr defaultColWidth="8.83203125" defaultRowHeight="15.5"/>
  <cols>
    <col min="6" max="6" width="9.33203125" bestFit="1" customWidth="1"/>
    <col min="7" max="7" width="38.33203125" customWidth="1"/>
    <col min="8" max="8" width="13.83203125" customWidth="1"/>
    <col min="9" max="9" width="9" style="8" customWidth="1"/>
    <col min="10" max="10" width="12" bestFit="1" customWidth="1"/>
    <col min="11" max="11" width="9.33203125" bestFit="1" customWidth="1"/>
    <col min="12" max="12" width="11" bestFit="1" customWidth="1"/>
    <col min="14" max="14" width="9.5" customWidth="1"/>
    <col min="19" max="20" width="34.83203125" bestFit="1" customWidth="1"/>
  </cols>
  <sheetData>
    <row r="1" spans="1:34" s="135" customFormat="1">
      <c r="A1" s="135" t="s">
        <v>1627</v>
      </c>
      <c r="B1" s="135" t="s">
        <v>1628</v>
      </c>
      <c r="C1" s="135" t="s">
        <v>1629</v>
      </c>
      <c r="D1" s="136" t="s">
        <v>1630</v>
      </c>
      <c r="E1" s="136" t="s">
        <v>1631</v>
      </c>
      <c r="F1" s="136" t="s">
        <v>1632</v>
      </c>
      <c r="G1" s="137" t="s">
        <v>1630</v>
      </c>
      <c r="H1" s="138" t="s">
        <v>1633</v>
      </c>
      <c r="I1" s="213" t="s">
        <v>1634</v>
      </c>
      <c r="J1" s="138" t="s">
        <v>1633</v>
      </c>
      <c r="K1" s="139" t="s">
        <v>1634</v>
      </c>
      <c r="L1" s="136" t="s">
        <v>1634</v>
      </c>
      <c r="M1" s="138" t="s">
        <v>1633</v>
      </c>
      <c r="O1" s="137" t="s">
        <v>1630</v>
      </c>
      <c r="P1" s="137" t="s">
        <v>1634</v>
      </c>
      <c r="Q1" s="140"/>
      <c r="R1" s="138" t="s">
        <v>1635</v>
      </c>
      <c r="S1" s="135" t="s">
        <v>1636</v>
      </c>
      <c r="T1" s="137" t="s">
        <v>1637</v>
      </c>
      <c r="U1" s="137"/>
      <c r="V1" s="137"/>
      <c r="W1" s="137"/>
      <c r="X1" s="137"/>
      <c r="Y1" s="137"/>
      <c r="Z1" s="137"/>
      <c r="AA1" s="137"/>
      <c r="AB1" s="137"/>
      <c r="AC1" s="136"/>
      <c r="AD1" s="137"/>
      <c r="AE1" s="137"/>
      <c r="AF1" s="137"/>
      <c r="AG1" s="137"/>
      <c r="AH1" s="141"/>
    </row>
    <row r="2" spans="1:34" s="135" customFormat="1">
      <c r="B2" s="135" t="s">
        <v>1638</v>
      </c>
      <c r="D2" s="136"/>
      <c r="E2" s="142" t="s">
        <v>1639</v>
      </c>
      <c r="F2" s="142"/>
      <c r="G2" s="137" t="s">
        <v>1640</v>
      </c>
      <c r="H2" s="142" t="s">
        <v>1639</v>
      </c>
      <c r="I2" s="214"/>
      <c r="J2" s="142" t="s">
        <v>1639</v>
      </c>
      <c r="K2" s="140" t="s">
        <v>1641</v>
      </c>
      <c r="L2" s="136" t="s">
        <v>1640</v>
      </c>
      <c r="M2" s="142" t="s">
        <v>1639</v>
      </c>
      <c r="O2" s="137" t="s">
        <v>1642</v>
      </c>
      <c r="P2" s="137" t="s">
        <v>1642</v>
      </c>
      <c r="Q2" s="140"/>
      <c r="R2" s="138"/>
      <c r="W2" s="137"/>
      <c r="X2" s="137"/>
      <c r="Y2" s="137"/>
      <c r="Z2" s="143"/>
      <c r="AA2" s="143"/>
      <c r="AB2" s="137"/>
      <c r="AC2" s="136"/>
      <c r="AD2" s="137"/>
      <c r="AE2" s="137"/>
      <c r="AF2" s="137"/>
      <c r="AG2" s="137"/>
      <c r="AH2" s="141"/>
    </row>
    <row r="3" spans="1:34" s="225" customFormat="1">
      <c r="A3" s="225">
        <v>2017</v>
      </c>
      <c r="B3" s="225">
        <v>1000</v>
      </c>
      <c r="C3" s="225">
        <v>1</v>
      </c>
      <c r="D3" s="226">
        <v>35.72</v>
      </c>
      <c r="E3" s="227">
        <v>22</v>
      </c>
      <c r="F3" s="228">
        <v>43229</v>
      </c>
      <c r="G3" s="227"/>
      <c r="I3" s="229"/>
      <c r="K3" s="226"/>
      <c r="L3" s="227"/>
      <c r="M3" s="227"/>
      <c r="N3" s="227"/>
      <c r="P3" s="228"/>
      <c r="Q3" s="228"/>
      <c r="R3" s="230" t="s">
        <v>1643</v>
      </c>
      <c r="T3" s="231"/>
      <c r="U3" s="232"/>
      <c r="V3" s="233"/>
      <c r="AC3" s="234"/>
      <c r="AH3" s="235"/>
    </row>
    <row r="4" spans="1:34" s="236" customFormat="1">
      <c r="A4" s="225">
        <v>2017</v>
      </c>
      <c r="B4" s="225">
        <v>1000</v>
      </c>
      <c r="C4" s="236">
        <v>2</v>
      </c>
      <c r="D4" s="236">
        <v>34.590000000000003</v>
      </c>
      <c r="E4" s="236">
        <v>21.7</v>
      </c>
      <c r="F4" s="228">
        <v>43229</v>
      </c>
      <c r="I4" s="237"/>
      <c r="W4" s="238"/>
    </row>
    <row r="5" spans="1:34" s="236" customFormat="1">
      <c r="A5" s="225">
        <v>2017</v>
      </c>
      <c r="B5" s="225">
        <v>1000</v>
      </c>
      <c r="C5" s="236">
        <v>3</v>
      </c>
      <c r="D5" s="236">
        <v>34.69</v>
      </c>
      <c r="E5" s="236">
        <v>21.6</v>
      </c>
      <c r="F5" s="228">
        <v>43229</v>
      </c>
      <c r="I5" s="237"/>
    </row>
    <row r="6" spans="1:34" s="236" customFormat="1">
      <c r="A6" s="225">
        <v>2017</v>
      </c>
      <c r="B6" s="225">
        <v>1000</v>
      </c>
      <c r="C6" s="236">
        <v>4</v>
      </c>
      <c r="D6" s="236">
        <v>34.67</v>
      </c>
      <c r="E6" s="236">
        <v>21.7</v>
      </c>
      <c r="F6" s="228">
        <v>43229</v>
      </c>
      <c r="I6" s="237"/>
    </row>
    <row r="7" spans="1:34" s="236" customFormat="1">
      <c r="A7" s="225">
        <v>2017</v>
      </c>
      <c r="B7" s="225">
        <v>1000</v>
      </c>
      <c r="C7" s="236">
        <v>5</v>
      </c>
      <c r="D7" s="236">
        <v>37.14</v>
      </c>
      <c r="E7" s="236">
        <v>21.6</v>
      </c>
      <c r="F7" s="228">
        <v>43229</v>
      </c>
      <c r="I7" s="237"/>
      <c r="S7" s="236" t="s">
        <v>1644</v>
      </c>
    </row>
    <row r="8" spans="1:34" s="236" customFormat="1">
      <c r="A8" s="225">
        <v>2017</v>
      </c>
      <c r="B8" s="225">
        <v>1000</v>
      </c>
      <c r="C8" s="225">
        <v>6</v>
      </c>
      <c r="D8" s="225">
        <v>34.840000000000003</v>
      </c>
      <c r="E8" s="236">
        <v>21.5</v>
      </c>
      <c r="F8" s="228">
        <v>43229</v>
      </c>
      <c r="I8" s="237"/>
      <c r="S8" s="236" t="s">
        <v>1644</v>
      </c>
    </row>
    <row r="9" spans="1:34" s="236" customFormat="1">
      <c r="A9" s="225">
        <v>2017</v>
      </c>
      <c r="B9" s="225">
        <v>1000</v>
      </c>
      <c r="C9" s="236">
        <v>7</v>
      </c>
      <c r="D9" s="236">
        <v>34.64</v>
      </c>
      <c r="E9" s="236">
        <v>21.5</v>
      </c>
      <c r="F9" s="228">
        <v>43229</v>
      </c>
      <c r="I9" s="237"/>
    </row>
    <row r="10" spans="1:34" s="236" customFormat="1">
      <c r="A10" s="225">
        <v>2017</v>
      </c>
      <c r="B10" s="225">
        <v>1000</v>
      </c>
      <c r="C10" s="236">
        <v>8</v>
      </c>
      <c r="D10" s="236">
        <v>34.700000000000003</v>
      </c>
      <c r="E10" s="236">
        <v>21.6</v>
      </c>
      <c r="F10" s="228">
        <v>43229</v>
      </c>
      <c r="I10" s="237"/>
    </row>
    <row r="11" spans="1:34" s="236" customFormat="1">
      <c r="A11" s="225">
        <v>2017</v>
      </c>
      <c r="B11" s="225">
        <v>1000</v>
      </c>
      <c r="C11" s="236">
        <v>9</v>
      </c>
      <c r="D11" s="236">
        <v>34.68</v>
      </c>
      <c r="E11" s="236">
        <v>21.6</v>
      </c>
      <c r="F11" s="228">
        <v>43229</v>
      </c>
      <c r="I11" s="237"/>
    </row>
    <row r="12" spans="1:34" s="236" customFormat="1">
      <c r="A12" s="225">
        <v>2017</v>
      </c>
      <c r="B12" s="225">
        <v>1000</v>
      </c>
      <c r="C12" s="236">
        <v>10</v>
      </c>
      <c r="D12" s="236">
        <v>36.85</v>
      </c>
      <c r="E12" s="236">
        <v>21.6</v>
      </c>
      <c r="F12" s="228">
        <v>43229</v>
      </c>
      <c r="G12" s="236">
        <v>36.89</v>
      </c>
      <c r="H12" s="236">
        <v>21.7</v>
      </c>
      <c r="I12" s="237"/>
      <c r="O12" s="236">
        <f>G12-D12</f>
        <v>3.9999999999999147E-2</v>
      </c>
      <c r="S12" s="236" t="s">
        <v>1644</v>
      </c>
      <c r="T12" s="225" t="s">
        <v>1645</v>
      </c>
    </row>
    <row r="13" spans="1:34" s="236" customFormat="1">
      <c r="A13" s="225">
        <v>2017</v>
      </c>
      <c r="B13" s="225">
        <v>1000</v>
      </c>
      <c r="C13" s="225">
        <v>11</v>
      </c>
      <c r="D13" s="225">
        <v>36.39</v>
      </c>
      <c r="E13" s="236">
        <v>21.6</v>
      </c>
      <c r="F13" s="228">
        <v>43229</v>
      </c>
      <c r="I13" s="237"/>
      <c r="T13" s="227" t="s">
        <v>1646</v>
      </c>
    </row>
    <row r="14" spans="1:34" s="236" customFormat="1">
      <c r="A14" s="225">
        <v>2017</v>
      </c>
      <c r="B14" s="225">
        <v>1000</v>
      </c>
      <c r="C14" s="236">
        <v>12</v>
      </c>
      <c r="D14" s="236">
        <v>35.380000000000003</v>
      </c>
      <c r="E14" s="236">
        <v>21.6</v>
      </c>
      <c r="F14" s="228">
        <v>43229</v>
      </c>
      <c r="I14" s="237"/>
      <c r="T14" s="225"/>
      <c r="U14" s="225" t="s">
        <v>1647</v>
      </c>
      <c r="W14" s="225" t="s">
        <v>1648</v>
      </c>
    </row>
    <row r="15" spans="1:34" s="236" customFormat="1">
      <c r="A15" s="225">
        <v>2017</v>
      </c>
      <c r="B15" s="225">
        <v>1000</v>
      </c>
      <c r="C15" s="236">
        <v>13</v>
      </c>
      <c r="D15" s="236">
        <v>34.67</v>
      </c>
      <c r="E15" s="236">
        <v>21.6</v>
      </c>
      <c r="F15" s="228">
        <v>43229</v>
      </c>
      <c r="I15" s="237"/>
      <c r="T15" s="225" t="s">
        <v>1649</v>
      </c>
      <c r="V15" s="239" t="s">
        <v>1650</v>
      </c>
      <c r="W15" s="236">
        <v>21.5</v>
      </c>
    </row>
    <row r="16" spans="1:34" s="236" customFormat="1">
      <c r="A16" s="225">
        <v>2017</v>
      </c>
      <c r="B16" s="225">
        <v>1000</v>
      </c>
      <c r="C16" s="236">
        <v>14</v>
      </c>
      <c r="D16" s="236">
        <v>35.659999999999997</v>
      </c>
      <c r="E16" s="236">
        <v>21.7</v>
      </c>
      <c r="F16" s="228">
        <v>43229</v>
      </c>
      <c r="I16" s="237"/>
      <c r="S16" s="236" t="s">
        <v>1644</v>
      </c>
      <c r="T16" s="225" t="s">
        <v>1651</v>
      </c>
      <c r="U16" s="236">
        <v>34.67</v>
      </c>
      <c r="V16" s="225" t="s">
        <v>1652</v>
      </c>
      <c r="W16" s="225">
        <v>21.8</v>
      </c>
    </row>
    <row r="17" spans="1:25" s="236" customFormat="1">
      <c r="A17" s="225">
        <v>2017</v>
      </c>
      <c r="B17" s="225">
        <v>1000</v>
      </c>
      <c r="C17" s="236">
        <v>15</v>
      </c>
      <c r="D17" s="236">
        <v>36.47</v>
      </c>
      <c r="E17" s="236">
        <v>21.5</v>
      </c>
      <c r="F17" s="228">
        <v>43229</v>
      </c>
      <c r="I17" s="237"/>
      <c r="S17" s="236" t="s">
        <v>1644</v>
      </c>
      <c r="T17" s="225" t="s">
        <v>1653</v>
      </c>
      <c r="U17" s="236">
        <v>1437</v>
      </c>
      <c r="V17" s="225" t="s">
        <v>1652</v>
      </c>
      <c r="W17" s="236">
        <v>21.5</v>
      </c>
    </row>
    <row r="18" spans="1:25" s="236" customFormat="1">
      <c r="A18" s="225">
        <v>2017</v>
      </c>
      <c r="B18" s="225">
        <v>1000</v>
      </c>
      <c r="C18" s="225">
        <v>16</v>
      </c>
      <c r="D18" s="225">
        <v>36.270000000000003</v>
      </c>
      <c r="E18" s="236">
        <v>21.6</v>
      </c>
      <c r="F18" s="228">
        <v>43229</v>
      </c>
      <c r="I18" s="237"/>
      <c r="S18" s="236" t="s">
        <v>1644</v>
      </c>
    </row>
    <row r="19" spans="1:25" s="236" customFormat="1">
      <c r="A19" s="225">
        <v>2017</v>
      </c>
      <c r="B19" s="225">
        <v>1000</v>
      </c>
      <c r="C19" s="236">
        <v>17</v>
      </c>
      <c r="D19" s="236">
        <v>36.53</v>
      </c>
      <c r="E19" s="236">
        <v>21.5</v>
      </c>
      <c r="F19" s="228">
        <v>43229</v>
      </c>
      <c r="G19" s="236">
        <v>36.46</v>
      </c>
      <c r="H19" s="236">
        <v>21.7</v>
      </c>
      <c r="I19" s="237"/>
      <c r="O19" s="236">
        <f>G19-D19</f>
        <v>-7.0000000000000284E-2</v>
      </c>
      <c r="S19" s="236" t="s">
        <v>1644</v>
      </c>
      <c r="T19" s="225" t="s">
        <v>1654</v>
      </c>
    </row>
    <row r="20" spans="1:25" s="236" customFormat="1">
      <c r="A20" s="225">
        <v>2017</v>
      </c>
      <c r="B20" s="225">
        <v>1000</v>
      </c>
      <c r="C20" s="236">
        <v>18</v>
      </c>
      <c r="D20" s="236">
        <v>35.78</v>
      </c>
      <c r="E20" s="236">
        <v>21.6</v>
      </c>
      <c r="F20" s="228">
        <v>43229</v>
      </c>
      <c r="G20" s="228"/>
      <c r="I20" s="237"/>
      <c r="S20" s="236" t="s">
        <v>1644</v>
      </c>
      <c r="T20" s="225" t="s">
        <v>1645</v>
      </c>
      <c r="U20" s="225" t="s">
        <v>1647</v>
      </c>
      <c r="W20" s="225" t="s">
        <v>1648</v>
      </c>
    </row>
    <row r="21" spans="1:25" s="236" customFormat="1">
      <c r="A21" s="225">
        <v>2017</v>
      </c>
      <c r="B21" s="225">
        <v>1000</v>
      </c>
      <c r="C21" s="236">
        <v>19</v>
      </c>
      <c r="D21" s="236">
        <v>35.6</v>
      </c>
      <c r="E21" s="236">
        <v>21.6</v>
      </c>
      <c r="F21" s="228">
        <v>43229</v>
      </c>
      <c r="G21" s="228"/>
      <c r="I21" s="237"/>
      <c r="S21" s="236" t="s">
        <v>1644</v>
      </c>
      <c r="T21" s="225" t="s">
        <v>1649</v>
      </c>
      <c r="V21" s="239" t="s">
        <v>1650</v>
      </c>
    </row>
    <row r="22" spans="1:25" s="236" customFormat="1">
      <c r="A22" s="225">
        <v>2017</v>
      </c>
      <c r="B22" s="225">
        <v>1000</v>
      </c>
      <c r="C22" s="236">
        <v>20</v>
      </c>
      <c r="D22" s="236">
        <v>34.9</v>
      </c>
      <c r="E22" s="236">
        <v>21.6</v>
      </c>
      <c r="F22" s="228">
        <v>43229</v>
      </c>
      <c r="G22" s="228"/>
      <c r="I22" s="237"/>
      <c r="T22" s="225" t="s">
        <v>1651</v>
      </c>
      <c r="U22" s="236">
        <v>34.840000000000003</v>
      </c>
      <c r="V22" s="225" t="s">
        <v>1652</v>
      </c>
      <c r="W22" s="236">
        <v>21.9</v>
      </c>
    </row>
    <row r="23" spans="1:25" s="241" customFormat="1">
      <c r="A23" s="240">
        <v>2017</v>
      </c>
      <c r="B23" s="240">
        <v>1000</v>
      </c>
      <c r="C23" s="240">
        <v>21</v>
      </c>
      <c r="D23" s="241">
        <v>34.75</v>
      </c>
      <c r="E23" s="241">
        <v>21.6</v>
      </c>
      <c r="F23" s="228">
        <v>43229</v>
      </c>
      <c r="G23" s="228"/>
      <c r="I23" s="242"/>
      <c r="T23" s="240" t="s">
        <v>1653</v>
      </c>
      <c r="U23" s="241">
        <v>1432</v>
      </c>
      <c r="V23" s="240" t="s">
        <v>1652</v>
      </c>
      <c r="W23" s="241">
        <v>21.8</v>
      </c>
    </row>
    <row r="24" spans="1:25">
      <c r="A24" s="66" t="s">
        <v>1655</v>
      </c>
      <c r="B24" s="99"/>
      <c r="C24" s="99"/>
      <c r="F24" s="134"/>
      <c r="G24" s="134"/>
      <c r="I24" s="193" t="s">
        <v>1656</v>
      </c>
      <c r="T24" s="223" t="s">
        <v>1657</v>
      </c>
      <c r="U24" s="7">
        <v>4.01</v>
      </c>
      <c r="V24" s="81">
        <v>7.01</v>
      </c>
      <c r="W24" s="99">
        <v>9.18</v>
      </c>
      <c r="X24">
        <v>10.01</v>
      </c>
    </row>
    <row r="25" spans="1:25">
      <c r="A25" s="99">
        <v>2017</v>
      </c>
      <c r="B25" s="99">
        <v>1000</v>
      </c>
      <c r="C25" s="99">
        <v>1</v>
      </c>
      <c r="D25" s="99">
        <v>35.83</v>
      </c>
      <c r="E25" s="99">
        <v>25.2</v>
      </c>
      <c r="F25" s="134">
        <v>43251</v>
      </c>
      <c r="G25" s="134"/>
      <c r="I25" s="247">
        <v>8.2949999999999999</v>
      </c>
      <c r="J25" s="221">
        <v>26.1</v>
      </c>
      <c r="K25" s="248">
        <v>43251</v>
      </c>
      <c r="L25" s="221"/>
      <c r="M25" s="221"/>
      <c r="N25" s="221"/>
      <c r="O25" s="221"/>
      <c r="P25" s="221"/>
      <c r="S25" s="99"/>
      <c r="T25" s="1" t="s">
        <v>1658</v>
      </c>
      <c r="V25">
        <v>7.016</v>
      </c>
      <c r="W25" s="144">
        <v>9.1940000000000008</v>
      </c>
    </row>
    <row r="26" spans="1:25">
      <c r="A26" s="99">
        <v>2017</v>
      </c>
      <c r="B26" s="99">
        <v>1000</v>
      </c>
      <c r="C26">
        <v>2</v>
      </c>
      <c r="D26">
        <v>34.549999999999997</v>
      </c>
      <c r="E26">
        <v>25.1</v>
      </c>
      <c r="F26" s="134">
        <v>43251</v>
      </c>
      <c r="G26" s="134"/>
      <c r="I26" s="247">
        <v>7.9329999999999998</v>
      </c>
      <c r="J26" s="221">
        <v>26.4</v>
      </c>
      <c r="K26" s="248">
        <v>43251</v>
      </c>
      <c r="L26" s="221"/>
      <c r="M26" s="221"/>
      <c r="N26" s="221"/>
      <c r="O26" s="221"/>
      <c r="P26" s="221"/>
      <c r="V26">
        <v>26.1</v>
      </c>
      <c r="W26">
        <v>26.1</v>
      </c>
      <c r="Y26" t="s">
        <v>1631</v>
      </c>
    </row>
    <row r="27" spans="1:25">
      <c r="A27" s="99">
        <v>2017</v>
      </c>
      <c r="B27" s="99">
        <v>1000</v>
      </c>
      <c r="C27">
        <v>3</v>
      </c>
      <c r="D27">
        <v>34.67</v>
      </c>
      <c r="E27">
        <v>25</v>
      </c>
      <c r="F27" s="134">
        <v>43251</v>
      </c>
      <c r="G27" s="134"/>
      <c r="I27" s="247">
        <v>8.0790000000000006</v>
      </c>
      <c r="J27" s="221">
        <v>26</v>
      </c>
      <c r="K27" s="248">
        <v>43251</v>
      </c>
      <c r="L27" s="221"/>
      <c r="M27" s="221"/>
      <c r="N27" s="221"/>
      <c r="O27" s="221"/>
      <c r="P27" s="221"/>
      <c r="T27" t="s">
        <v>1659</v>
      </c>
    </row>
    <row r="28" spans="1:25">
      <c r="A28" s="99">
        <v>2017</v>
      </c>
      <c r="B28" s="99">
        <v>1000</v>
      </c>
      <c r="C28">
        <v>4</v>
      </c>
      <c r="D28">
        <v>34.54</v>
      </c>
      <c r="E28">
        <v>26.6</v>
      </c>
      <c r="F28" s="134">
        <v>43251</v>
      </c>
      <c r="G28" s="134"/>
      <c r="I28" s="247">
        <v>8.0749999999999993</v>
      </c>
      <c r="J28" s="221">
        <v>25.9</v>
      </c>
      <c r="K28" s="248">
        <v>43251</v>
      </c>
      <c r="L28" s="221"/>
      <c r="M28" s="221"/>
      <c r="N28" s="221"/>
      <c r="O28" s="221"/>
      <c r="P28" s="221"/>
    </row>
    <row r="29" spans="1:25">
      <c r="A29" s="99">
        <v>2017</v>
      </c>
      <c r="B29" s="99">
        <v>1000</v>
      </c>
      <c r="C29">
        <v>5</v>
      </c>
      <c r="D29">
        <v>37.020000000000003</v>
      </c>
      <c r="E29">
        <v>25.1</v>
      </c>
      <c r="F29" s="134">
        <v>43251</v>
      </c>
      <c r="G29" s="134"/>
      <c r="I29" s="247">
        <v>7.94</v>
      </c>
      <c r="J29" s="221">
        <v>26.1</v>
      </c>
      <c r="K29" s="248">
        <v>43251</v>
      </c>
      <c r="L29" s="221"/>
      <c r="M29" s="221"/>
      <c r="N29" s="221"/>
      <c r="O29" s="221"/>
      <c r="P29" s="221"/>
      <c r="S29" t="s">
        <v>1644</v>
      </c>
      <c r="T29" t="s">
        <v>1634</v>
      </c>
      <c r="U29" s="81">
        <v>7.01</v>
      </c>
      <c r="V29" s="99">
        <v>9.18</v>
      </c>
    </row>
    <row r="30" spans="1:25">
      <c r="A30" s="99">
        <v>2017</v>
      </c>
      <c r="B30" s="99">
        <v>1000</v>
      </c>
      <c r="C30" s="99">
        <v>6</v>
      </c>
      <c r="D30" s="99">
        <v>34.71</v>
      </c>
      <c r="E30" s="99">
        <v>25</v>
      </c>
      <c r="F30" s="134">
        <v>43251</v>
      </c>
      <c r="G30" s="134"/>
      <c r="I30" s="247">
        <v>7.6150000000000002</v>
      </c>
      <c r="J30" s="221">
        <v>26.2</v>
      </c>
      <c r="K30" s="248">
        <v>43251</v>
      </c>
      <c r="L30" s="221"/>
      <c r="M30" s="221"/>
      <c r="N30" s="221"/>
      <c r="O30" s="221"/>
      <c r="P30" s="221"/>
      <c r="S30" t="s">
        <v>1644</v>
      </c>
      <c r="U30">
        <v>7.0860000000000003</v>
      </c>
      <c r="V30">
        <v>9.359</v>
      </c>
      <c r="W30" t="s">
        <v>1631</v>
      </c>
    </row>
    <row r="31" spans="1:25">
      <c r="A31" s="99">
        <v>2017</v>
      </c>
      <c r="B31" s="99">
        <v>1000</v>
      </c>
      <c r="C31">
        <v>7</v>
      </c>
      <c r="D31">
        <v>34.53</v>
      </c>
      <c r="E31">
        <v>26.5</v>
      </c>
      <c r="F31" s="134">
        <v>43251</v>
      </c>
      <c r="G31" s="134"/>
      <c r="I31" s="247">
        <v>8.1010000000000009</v>
      </c>
      <c r="J31" s="221">
        <v>26.1</v>
      </c>
      <c r="K31" s="248">
        <v>43251</v>
      </c>
      <c r="L31" s="221"/>
      <c r="M31" s="221"/>
      <c r="N31" s="221"/>
      <c r="O31" s="221"/>
      <c r="P31" s="221"/>
      <c r="U31">
        <v>26</v>
      </c>
      <c r="V31">
        <v>26</v>
      </c>
    </row>
    <row r="32" spans="1:25">
      <c r="A32" s="99">
        <v>2017</v>
      </c>
      <c r="B32" s="99">
        <v>1000</v>
      </c>
      <c r="C32">
        <v>8</v>
      </c>
      <c r="D32">
        <v>34.53</v>
      </c>
      <c r="E32">
        <v>25.1</v>
      </c>
      <c r="F32" s="134">
        <v>43251</v>
      </c>
      <c r="G32" s="134"/>
      <c r="I32" s="247">
        <v>8.1750000000000007</v>
      </c>
      <c r="J32" s="221">
        <v>26</v>
      </c>
      <c r="K32" s="248">
        <v>43251</v>
      </c>
      <c r="L32" s="221"/>
      <c r="M32" s="221"/>
      <c r="N32" s="221"/>
      <c r="O32" s="221"/>
      <c r="P32" s="221"/>
    </row>
    <row r="33" spans="1:25">
      <c r="A33" s="99">
        <v>2017</v>
      </c>
      <c r="B33" s="99">
        <v>1000</v>
      </c>
      <c r="C33">
        <v>9</v>
      </c>
      <c r="D33">
        <v>34.53</v>
      </c>
      <c r="E33">
        <v>25.1</v>
      </c>
      <c r="F33" s="134">
        <v>43251</v>
      </c>
      <c r="G33" s="134"/>
      <c r="I33" s="247">
        <v>8.1150000000000002</v>
      </c>
      <c r="J33" s="221">
        <v>26.3</v>
      </c>
      <c r="K33" s="248">
        <v>43251</v>
      </c>
      <c r="L33" s="221"/>
      <c r="M33" s="221"/>
      <c r="N33" s="221"/>
      <c r="O33" s="221"/>
      <c r="P33" s="221"/>
      <c r="T33" s="77" t="s">
        <v>1645</v>
      </c>
    </row>
    <row r="34" spans="1:25">
      <c r="A34" s="99">
        <v>2017</v>
      </c>
      <c r="B34" s="99">
        <v>1000</v>
      </c>
      <c r="C34">
        <v>10</v>
      </c>
      <c r="D34" s="99">
        <v>36.67</v>
      </c>
      <c r="E34" s="99">
        <v>25.2</v>
      </c>
      <c r="F34" s="134">
        <v>43251</v>
      </c>
      <c r="G34" s="62">
        <v>36.659999999999997</v>
      </c>
      <c r="H34">
        <v>26.5</v>
      </c>
      <c r="I34" s="247">
        <v>8.2880000000000003</v>
      </c>
      <c r="J34" s="221">
        <v>26.1</v>
      </c>
      <c r="K34" s="248">
        <v>43251</v>
      </c>
      <c r="L34" s="221">
        <v>8.3000000000000007</v>
      </c>
      <c r="M34" s="221">
        <v>26.2</v>
      </c>
      <c r="N34" s="221"/>
      <c r="O34" s="252">
        <f>G34-D34</f>
        <v>-1.0000000000005116E-2</v>
      </c>
      <c r="P34" s="252">
        <f>L34-I34</f>
        <v>1.2000000000000455E-2</v>
      </c>
      <c r="S34" t="s">
        <v>1644</v>
      </c>
      <c r="T34" s="126" t="s">
        <v>1660</v>
      </c>
      <c r="Y34" t="s">
        <v>1661</v>
      </c>
    </row>
    <row r="35" spans="1:25">
      <c r="A35" s="99">
        <v>2017</v>
      </c>
      <c r="B35" s="99">
        <v>1000</v>
      </c>
      <c r="C35" s="99">
        <v>11</v>
      </c>
      <c r="D35">
        <v>36.33</v>
      </c>
      <c r="E35" s="99">
        <v>26.2</v>
      </c>
      <c r="F35" s="134">
        <v>43251</v>
      </c>
      <c r="G35" s="134"/>
      <c r="I35" s="247">
        <v>8.2729999999999997</v>
      </c>
      <c r="J35" s="221">
        <v>26.1</v>
      </c>
      <c r="K35" s="248">
        <v>43251</v>
      </c>
      <c r="L35" s="221"/>
      <c r="M35" s="221"/>
      <c r="N35" s="221" t="s">
        <v>1662</v>
      </c>
      <c r="O35" s="252">
        <f>ABS(O34/AVERAGE(D34,G34)*100)</f>
        <v>2.7273966998513886E-2</v>
      </c>
      <c r="P35" s="252">
        <f>ABS(P34/AVERAGE(I34,L34)*100)</f>
        <v>0.14468290330359843</v>
      </c>
      <c r="T35" s="1" t="s">
        <v>1663</v>
      </c>
      <c r="U35" s="77" t="s">
        <v>1647</v>
      </c>
      <c r="W35" s="77" t="s">
        <v>1648</v>
      </c>
    </row>
    <row r="36" spans="1:25">
      <c r="A36" s="99">
        <v>2017</v>
      </c>
      <c r="B36" s="99">
        <v>1000</v>
      </c>
      <c r="C36">
        <v>12</v>
      </c>
      <c r="D36">
        <v>35.26</v>
      </c>
      <c r="E36">
        <v>25.1</v>
      </c>
      <c r="F36" s="134">
        <v>43251</v>
      </c>
      <c r="G36" s="134"/>
      <c r="I36" s="247">
        <v>8.1890000000000001</v>
      </c>
      <c r="J36" s="221">
        <v>26.2</v>
      </c>
      <c r="K36" s="248">
        <v>43251</v>
      </c>
      <c r="L36" s="221"/>
      <c r="M36" s="221"/>
      <c r="N36" s="221"/>
      <c r="O36" s="253"/>
      <c r="P36" s="221"/>
      <c r="T36" s="77" t="s">
        <v>1664</v>
      </c>
      <c r="U36" s="221">
        <v>1415</v>
      </c>
      <c r="V36" s="145" t="s">
        <v>1650</v>
      </c>
      <c r="W36">
        <v>25.1</v>
      </c>
    </row>
    <row r="37" spans="1:25">
      <c r="A37" s="99">
        <v>2017</v>
      </c>
      <c r="B37" s="99">
        <v>1000</v>
      </c>
      <c r="C37">
        <v>13</v>
      </c>
      <c r="D37">
        <v>34.520000000000003</v>
      </c>
      <c r="E37">
        <v>25.2</v>
      </c>
      <c r="F37" s="134">
        <v>43251</v>
      </c>
      <c r="G37" s="134"/>
      <c r="I37" s="247">
        <v>7.9960000000000004</v>
      </c>
      <c r="J37" s="221">
        <v>25.9</v>
      </c>
      <c r="K37" s="248">
        <v>43251</v>
      </c>
      <c r="L37" s="221"/>
      <c r="M37" s="221"/>
      <c r="N37" s="221"/>
      <c r="O37" s="221"/>
      <c r="P37" s="221"/>
      <c r="T37" s="77" t="s">
        <v>1665</v>
      </c>
      <c r="U37">
        <v>12.99</v>
      </c>
      <c r="V37" s="77" t="s">
        <v>2833</v>
      </c>
      <c r="W37" s="77">
        <v>24.6</v>
      </c>
    </row>
    <row r="38" spans="1:25">
      <c r="A38" s="99">
        <v>2017</v>
      </c>
      <c r="B38" s="99">
        <v>1000</v>
      </c>
      <c r="C38">
        <v>14</v>
      </c>
      <c r="D38">
        <v>35.57</v>
      </c>
      <c r="E38">
        <v>26.5</v>
      </c>
      <c r="F38" s="134">
        <v>43251</v>
      </c>
      <c r="G38" s="134"/>
      <c r="I38" s="247">
        <v>8.0969999999999995</v>
      </c>
      <c r="J38" s="221">
        <v>26.2</v>
      </c>
      <c r="K38" s="248">
        <v>43251</v>
      </c>
      <c r="L38" s="221"/>
      <c r="M38" s="221"/>
      <c r="N38" s="221"/>
      <c r="O38" s="221"/>
      <c r="P38" s="221"/>
      <c r="S38" t="s">
        <v>1644</v>
      </c>
      <c r="T38" s="77"/>
      <c r="V38" s="77"/>
    </row>
    <row r="39" spans="1:25">
      <c r="A39" s="99">
        <v>2017</v>
      </c>
      <c r="B39" s="99">
        <v>1000</v>
      </c>
      <c r="C39">
        <v>15</v>
      </c>
      <c r="D39" s="99">
        <v>36.29</v>
      </c>
      <c r="E39" s="99">
        <v>25.2</v>
      </c>
      <c r="F39" s="134">
        <v>43251</v>
      </c>
      <c r="G39" s="134"/>
      <c r="I39" s="247">
        <v>7.9710000000000001</v>
      </c>
      <c r="J39" s="221">
        <v>26.1</v>
      </c>
      <c r="K39" s="248">
        <v>43251</v>
      </c>
      <c r="L39" s="221"/>
      <c r="M39" s="221"/>
      <c r="N39" s="221"/>
      <c r="O39" s="221"/>
      <c r="P39" s="221"/>
      <c r="S39" t="s">
        <v>1644</v>
      </c>
    </row>
    <row r="40" spans="1:25">
      <c r="A40" s="99">
        <v>2017</v>
      </c>
      <c r="B40" s="99">
        <v>1000</v>
      </c>
      <c r="C40" s="99">
        <v>16</v>
      </c>
      <c r="D40">
        <v>36.03</v>
      </c>
      <c r="E40" s="99">
        <v>26.7</v>
      </c>
      <c r="F40" s="134">
        <v>43251</v>
      </c>
      <c r="G40" s="134"/>
      <c r="I40" s="247">
        <v>7.9210000000000003</v>
      </c>
      <c r="J40" s="221">
        <v>26.1</v>
      </c>
      <c r="K40" s="248">
        <v>43251</v>
      </c>
      <c r="L40" s="221"/>
      <c r="M40" s="221"/>
      <c r="N40" s="221"/>
      <c r="O40" s="221"/>
      <c r="P40" s="221"/>
      <c r="S40" t="s">
        <v>1644</v>
      </c>
      <c r="T40" s="77" t="s">
        <v>1654</v>
      </c>
    </row>
    <row r="41" spans="1:25">
      <c r="A41" s="99">
        <v>2017</v>
      </c>
      <c r="B41" s="99">
        <v>1000</v>
      </c>
      <c r="C41">
        <v>17</v>
      </c>
      <c r="D41">
        <v>36.35</v>
      </c>
      <c r="E41">
        <v>25.1</v>
      </c>
      <c r="F41" s="134">
        <v>43251</v>
      </c>
      <c r="G41" s="62">
        <v>36.36</v>
      </c>
      <c r="H41">
        <v>26.5</v>
      </c>
      <c r="I41" s="247">
        <v>8.0879999999999992</v>
      </c>
      <c r="J41" s="221">
        <v>26.2</v>
      </c>
      <c r="K41" s="248">
        <v>43251</v>
      </c>
      <c r="L41" s="221">
        <v>8.0920000000000005</v>
      </c>
      <c r="M41" s="221">
        <v>26.1</v>
      </c>
      <c r="N41" s="221"/>
      <c r="O41" s="252">
        <f>G41-D41</f>
        <v>9.9999999999980105E-3</v>
      </c>
      <c r="P41" s="252">
        <f>L41-I41</f>
        <v>4.0000000000013358E-3</v>
      </c>
      <c r="S41" t="s">
        <v>1644</v>
      </c>
      <c r="T41" s="77" t="s">
        <v>1645</v>
      </c>
      <c r="U41" s="77" t="s">
        <v>1647</v>
      </c>
      <c r="W41" s="77" t="s">
        <v>1648</v>
      </c>
    </row>
    <row r="42" spans="1:25">
      <c r="A42" s="99">
        <v>2017</v>
      </c>
      <c r="B42" s="99">
        <v>1000</v>
      </c>
      <c r="C42">
        <v>18</v>
      </c>
      <c r="D42">
        <v>35.619999999999997</v>
      </c>
      <c r="E42">
        <v>26.2</v>
      </c>
      <c r="F42" s="134">
        <v>43251</v>
      </c>
      <c r="G42" s="134"/>
      <c r="I42" s="247">
        <v>7.9320000000000004</v>
      </c>
      <c r="J42" s="221">
        <v>26</v>
      </c>
      <c r="K42" s="248">
        <v>43251</v>
      </c>
      <c r="L42" s="221"/>
      <c r="M42" s="221"/>
      <c r="N42" s="221" t="s">
        <v>1662</v>
      </c>
      <c r="O42" s="252">
        <f>ABS(O41/AVERAGE(D41,G41)*100)</f>
        <v>2.7506532801534887E-2</v>
      </c>
      <c r="P42" s="252">
        <f>ABS(P41/AVERAGE(I41,L41)*100)</f>
        <v>4.9443757725603658E-2</v>
      </c>
      <c r="S42" t="s">
        <v>1644</v>
      </c>
      <c r="T42" s="77" t="s">
        <v>1664</v>
      </c>
      <c r="V42" s="145" t="s">
        <v>1650</v>
      </c>
    </row>
    <row r="43" spans="1:25">
      <c r="A43" s="99">
        <v>2017</v>
      </c>
      <c r="B43" s="99">
        <v>1000</v>
      </c>
      <c r="C43">
        <v>19</v>
      </c>
      <c r="D43">
        <v>35.409999999999997</v>
      </c>
      <c r="E43">
        <v>25.4</v>
      </c>
      <c r="F43" s="134">
        <v>43251</v>
      </c>
      <c r="G43" s="134"/>
      <c r="I43" s="247">
        <v>8.06</v>
      </c>
      <c r="J43" s="221">
        <v>26.3</v>
      </c>
      <c r="K43" s="248">
        <v>43251</v>
      </c>
      <c r="L43" s="221"/>
      <c r="M43" s="221"/>
      <c r="N43" s="221"/>
      <c r="O43" s="221"/>
      <c r="P43" s="221"/>
      <c r="S43" t="s">
        <v>1644</v>
      </c>
      <c r="T43" s="77" t="s">
        <v>1665</v>
      </c>
      <c r="U43">
        <v>12.87</v>
      </c>
      <c r="V43" s="77" t="s">
        <v>2833</v>
      </c>
      <c r="W43">
        <v>26.1</v>
      </c>
    </row>
    <row r="44" spans="1:25">
      <c r="A44" s="99">
        <v>2017</v>
      </c>
      <c r="B44" s="99">
        <v>1000</v>
      </c>
      <c r="C44">
        <v>20</v>
      </c>
      <c r="D44">
        <v>34.69</v>
      </c>
      <c r="E44">
        <v>26.5</v>
      </c>
      <c r="F44" s="134">
        <v>43251</v>
      </c>
      <c r="G44" s="134"/>
      <c r="I44" s="247">
        <v>8.0760000000000005</v>
      </c>
      <c r="J44" s="221">
        <v>26.1</v>
      </c>
      <c r="K44" s="248">
        <v>43251</v>
      </c>
      <c r="L44" s="221"/>
      <c r="M44" s="221"/>
      <c r="N44" s="221"/>
      <c r="O44" s="221"/>
      <c r="P44" s="221"/>
      <c r="T44" s="77"/>
      <c r="U44" s="147"/>
      <c r="V44" s="148"/>
      <c r="W44" s="147"/>
    </row>
    <row r="45" spans="1:25" s="147" customFormat="1">
      <c r="A45" s="146">
        <v>2017</v>
      </c>
      <c r="B45" s="146">
        <v>1000</v>
      </c>
      <c r="C45" s="146">
        <v>21</v>
      </c>
      <c r="D45" s="147">
        <v>34.64</v>
      </c>
      <c r="E45" s="147">
        <v>26.4</v>
      </c>
      <c r="F45" s="222">
        <v>43251</v>
      </c>
      <c r="G45" s="222"/>
      <c r="I45" s="249">
        <v>7.8949999999999996</v>
      </c>
      <c r="J45" s="250">
        <v>26.3</v>
      </c>
      <c r="K45" s="251">
        <v>43251</v>
      </c>
      <c r="L45" s="250"/>
      <c r="M45" s="250"/>
      <c r="N45" s="250"/>
      <c r="O45" s="250"/>
      <c r="P45" s="250"/>
      <c r="T45" s="148"/>
      <c r="V45" s="148"/>
    </row>
    <row r="46" spans="1:25">
      <c r="A46" s="66" t="s">
        <v>1666</v>
      </c>
      <c r="B46" s="99"/>
      <c r="C46" s="99"/>
      <c r="F46" s="134"/>
      <c r="G46" s="134"/>
      <c r="I46" s="237"/>
      <c r="J46" s="236"/>
      <c r="K46" s="228"/>
      <c r="T46" s="223" t="s">
        <v>1657</v>
      </c>
      <c r="U46" s="7"/>
      <c r="V46" s="81">
        <v>7.01</v>
      </c>
      <c r="W46" s="99">
        <v>9.18</v>
      </c>
      <c r="X46">
        <v>10.01</v>
      </c>
      <c r="Y46" t="s">
        <v>1667</v>
      </c>
    </row>
    <row r="47" spans="1:25">
      <c r="A47" s="99">
        <v>2017</v>
      </c>
      <c r="B47" s="99">
        <v>1000</v>
      </c>
      <c r="C47" s="99">
        <v>1</v>
      </c>
      <c r="F47" s="134"/>
      <c r="G47" s="134"/>
      <c r="I47" s="247">
        <v>8.2270000000000003</v>
      </c>
      <c r="J47" s="221">
        <v>26.6</v>
      </c>
      <c r="K47" s="248">
        <v>43255</v>
      </c>
      <c r="L47" s="221"/>
      <c r="M47" s="221"/>
      <c r="N47" s="221"/>
      <c r="O47" s="221"/>
      <c r="P47" s="221"/>
      <c r="Q47" s="221"/>
      <c r="R47" s="221"/>
      <c r="S47" s="99"/>
      <c r="T47" s="1" t="s">
        <v>1658</v>
      </c>
      <c r="V47">
        <v>7.0119999999999996</v>
      </c>
      <c r="W47" s="144">
        <v>9.1920000000000002</v>
      </c>
    </row>
    <row r="48" spans="1:25">
      <c r="A48" s="99">
        <v>2017</v>
      </c>
      <c r="B48" s="99">
        <v>1000</v>
      </c>
      <c r="C48">
        <v>2</v>
      </c>
      <c r="F48" s="134"/>
      <c r="G48" s="134"/>
      <c r="I48" s="247">
        <v>7.923</v>
      </c>
      <c r="J48" s="221">
        <v>26.6</v>
      </c>
      <c r="K48" s="248">
        <v>43255</v>
      </c>
      <c r="L48" s="221"/>
      <c r="M48" s="221"/>
      <c r="N48" s="221"/>
      <c r="O48" s="221"/>
      <c r="P48" s="221"/>
      <c r="Q48" s="221"/>
      <c r="R48" s="221"/>
      <c r="V48">
        <v>26.5</v>
      </c>
      <c r="W48">
        <v>26.4</v>
      </c>
      <c r="Y48" t="s">
        <v>1631</v>
      </c>
    </row>
    <row r="49" spans="1:23">
      <c r="A49" s="99">
        <v>2017</v>
      </c>
      <c r="B49" s="99">
        <v>1000</v>
      </c>
      <c r="C49">
        <v>3</v>
      </c>
      <c r="F49" s="134"/>
      <c r="G49" s="134"/>
      <c r="I49" s="247">
        <v>8.0670000000000002</v>
      </c>
      <c r="J49" s="221">
        <v>26.7</v>
      </c>
      <c r="K49" s="248">
        <v>43255</v>
      </c>
      <c r="L49" s="221"/>
      <c r="M49" s="221"/>
      <c r="N49" s="221"/>
      <c r="O49" s="221"/>
      <c r="P49" s="221"/>
      <c r="Q49" s="221"/>
      <c r="R49" s="221"/>
      <c r="T49" t="s">
        <v>1659</v>
      </c>
    </row>
    <row r="50" spans="1:23">
      <c r="A50" s="99">
        <v>2017</v>
      </c>
      <c r="B50" s="99">
        <v>1000</v>
      </c>
      <c r="C50">
        <v>4</v>
      </c>
      <c r="F50" s="134"/>
      <c r="G50" s="134"/>
      <c r="I50" s="247">
        <v>8.0250000000000004</v>
      </c>
      <c r="J50" s="221">
        <v>26.6</v>
      </c>
      <c r="K50" s="248">
        <v>43255</v>
      </c>
      <c r="L50" s="221"/>
      <c r="M50" s="221"/>
      <c r="N50" s="221"/>
      <c r="O50" s="221"/>
      <c r="P50" s="221"/>
      <c r="Q50" s="221"/>
      <c r="R50" s="221"/>
    </row>
    <row r="51" spans="1:23">
      <c r="A51" s="99">
        <v>2017</v>
      </c>
      <c r="B51" s="99">
        <v>1000</v>
      </c>
      <c r="C51">
        <v>5</v>
      </c>
      <c r="F51" s="134"/>
      <c r="G51" s="134"/>
      <c r="I51" s="247">
        <v>7.9119999999999999</v>
      </c>
      <c r="J51" s="221">
        <v>26.6</v>
      </c>
      <c r="K51" s="248">
        <v>43255</v>
      </c>
      <c r="L51" s="221"/>
      <c r="M51" s="221"/>
      <c r="N51" s="221"/>
      <c r="O51" s="221"/>
      <c r="P51" s="221"/>
      <c r="Q51" s="221"/>
      <c r="R51" s="221"/>
      <c r="S51" t="s">
        <v>1644</v>
      </c>
      <c r="T51" t="s">
        <v>1634</v>
      </c>
      <c r="U51" s="81">
        <v>7.01</v>
      </c>
      <c r="V51" s="99">
        <v>9.18</v>
      </c>
    </row>
    <row r="52" spans="1:23">
      <c r="A52" s="99">
        <v>2017</v>
      </c>
      <c r="B52" s="99">
        <v>1000</v>
      </c>
      <c r="C52" s="99">
        <v>6</v>
      </c>
      <c r="F52" s="134"/>
      <c r="G52" s="134"/>
      <c r="I52" s="247">
        <v>7.673</v>
      </c>
      <c r="J52" s="221">
        <v>26.6</v>
      </c>
      <c r="K52" s="248">
        <v>43255</v>
      </c>
      <c r="L52" s="221"/>
      <c r="M52" s="221"/>
      <c r="N52" s="221"/>
      <c r="O52" s="221"/>
      <c r="P52" s="221"/>
      <c r="Q52" s="221"/>
      <c r="R52" s="221"/>
      <c r="S52" t="s">
        <v>1644</v>
      </c>
      <c r="U52">
        <v>7.056</v>
      </c>
      <c r="V52">
        <v>9.25</v>
      </c>
      <c r="W52" t="s">
        <v>1631</v>
      </c>
    </row>
    <row r="53" spans="1:23">
      <c r="A53" s="99">
        <v>2017</v>
      </c>
      <c r="B53" s="99">
        <v>1000</v>
      </c>
      <c r="C53">
        <v>7</v>
      </c>
      <c r="F53" s="134"/>
      <c r="G53" s="134"/>
      <c r="I53" s="247">
        <v>8.0500000000000007</v>
      </c>
      <c r="J53" s="221">
        <v>26.6</v>
      </c>
      <c r="K53" s="248">
        <v>43255</v>
      </c>
      <c r="L53" s="221"/>
      <c r="M53" s="221"/>
      <c r="N53" s="221"/>
      <c r="O53" s="221"/>
      <c r="P53" s="221"/>
      <c r="Q53" s="221"/>
      <c r="R53" s="221"/>
      <c r="U53">
        <v>26.6</v>
      </c>
      <c r="V53">
        <v>26.6</v>
      </c>
    </row>
    <row r="54" spans="1:23">
      <c r="A54" s="99">
        <v>2017</v>
      </c>
      <c r="B54" s="99">
        <v>1000</v>
      </c>
      <c r="C54">
        <v>8</v>
      </c>
      <c r="F54" s="134"/>
      <c r="G54" s="134"/>
      <c r="I54" s="247">
        <v>8.1649999999999991</v>
      </c>
      <c r="J54" s="221">
        <v>26.6</v>
      </c>
      <c r="K54" s="248">
        <v>43255</v>
      </c>
      <c r="L54" s="221"/>
      <c r="M54" s="221"/>
      <c r="N54" s="221"/>
      <c r="O54" s="221"/>
      <c r="P54" s="221"/>
      <c r="Q54" s="221"/>
      <c r="R54" s="221"/>
    </row>
    <row r="55" spans="1:23">
      <c r="A55" s="99">
        <v>2017</v>
      </c>
      <c r="B55" s="99">
        <v>1000</v>
      </c>
      <c r="C55">
        <v>9</v>
      </c>
      <c r="F55" s="134"/>
      <c r="G55" s="134"/>
      <c r="I55" s="247">
        <v>8.0850000000000009</v>
      </c>
      <c r="J55" s="221">
        <v>26.5</v>
      </c>
      <c r="K55" s="248">
        <v>43255</v>
      </c>
      <c r="L55" s="221"/>
      <c r="M55" s="221"/>
      <c r="N55" s="221"/>
      <c r="O55" s="221"/>
      <c r="P55" s="221"/>
      <c r="Q55" s="221"/>
      <c r="R55" s="221"/>
      <c r="T55" s="77"/>
      <c r="V55" s="77"/>
    </row>
    <row r="56" spans="1:23">
      <c r="A56" s="99">
        <v>2017</v>
      </c>
      <c r="B56" s="99">
        <v>1000</v>
      </c>
      <c r="C56">
        <v>10</v>
      </c>
      <c r="F56" s="134"/>
      <c r="G56" s="134"/>
      <c r="I56" s="247">
        <v>8.2690000000000001</v>
      </c>
      <c r="J56" s="221">
        <v>26.5</v>
      </c>
      <c r="K56" s="248">
        <v>43255</v>
      </c>
      <c r="L56" s="221">
        <v>8.2759999999999998</v>
      </c>
      <c r="M56" s="221">
        <v>26.7</v>
      </c>
      <c r="N56" s="221"/>
      <c r="O56" s="252"/>
      <c r="P56" s="252">
        <f>L56-I56</f>
        <v>6.9999999999996732E-3</v>
      </c>
      <c r="Q56" s="221"/>
      <c r="R56" s="221"/>
      <c r="S56" t="s">
        <v>1644</v>
      </c>
      <c r="T56" s="77"/>
      <c r="V56" s="77"/>
    </row>
    <row r="57" spans="1:23">
      <c r="A57" s="99">
        <v>2017</v>
      </c>
      <c r="B57" s="99">
        <v>1000</v>
      </c>
      <c r="C57" s="99">
        <v>11</v>
      </c>
      <c r="F57" s="134"/>
      <c r="G57" s="134"/>
      <c r="I57" s="247">
        <v>8.24</v>
      </c>
      <c r="J57" s="221">
        <v>26.5</v>
      </c>
      <c r="K57" s="248">
        <v>43255</v>
      </c>
      <c r="L57" s="221"/>
      <c r="M57" s="221"/>
      <c r="N57" s="221" t="s">
        <v>1662</v>
      </c>
      <c r="O57" s="252"/>
      <c r="P57" s="252">
        <f>ABS(P56/AVERAGE(I56,L56)*100)</f>
        <v>8.4617709277723455E-2</v>
      </c>
      <c r="Q57" s="221"/>
      <c r="R57" s="221"/>
      <c r="T57" s="77"/>
      <c r="V57" s="77"/>
    </row>
    <row r="58" spans="1:23">
      <c r="A58" s="99">
        <v>2017</v>
      </c>
      <c r="B58" s="99">
        <v>1000</v>
      </c>
      <c r="C58">
        <v>12</v>
      </c>
      <c r="F58" s="134"/>
      <c r="G58" s="134"/>
      <c r="I58" s="247">
        <v>8.1769999999999996</v>
      </c>
      <c r="J58" s="221">
        <v>26.5</v>
      </c>
      <c r="K58" s="248">
        <v>43255</v>
      </c>
      <c r="L58" s="221"/>
      <c r="M58" s="221"/>
      <c r="N58" s="221"/>
      <c r="O58" s="221"/>
      <c r="P58" s="221"/>
      <c r="Q58" s="221"/>
      <c r="R58" s="221"/>
      <c r="T58" s="77"/>
      <c r="V58" s="77"/>
    </row>
    <row r="59" spans="1:23">
      <c r="A59" s="99">
        <v>2017</v>
      </c>
      <c r="B59" s="99">
        <v>1000</v>
      </c>
      <c r="C59">
        <v>13</v>
      </c>
      <c r="F59" s="134"/>
      <c r="G59" s="134"/>
      <c r="I59" s="247">
        <v>7.9859999999999998</v>
      </c>
      <c r="J59" s="221">
        <v>26.5</v>
      </c>
      <c r="K59" s="248">
        <v>43255</v>
      </c>
      <c r="L59" s="221"/>
      <c r="M59" s="221"/>
      <c r="N59" s="221"/>
      <c r="O59" s="221"/>
      <c r="P59" s="221"/>
      <c r="Q59" s="221"/>
      <c r="R59" s="221"/>
      <c r="T59" s="77"/>
      <c r="V59" s="77"/>
    </row>
    <row r="60" spans="1:23">
      <c r="A60" s="99">
        <v>2017</v>
      </c>
      <c r="B60" s="99">
        <v>1000</v>
      </c>
      <c r="C60">
        <v>14</v>
      </c>
      <c r="F60" s="134"/>
      <c r="G60" s="134"/>
      <c r="I60" s="247">
        <v>8.0609999999999999</v>
      </c>
      <c r="J60" s="221">
        <v>26.5</v>
      </c>
      <c r="K60" s="248">
        <v>43255</v>
      </c>
      <c r="L60" s="221"/>
      <c r="M60" s="221"/>
      <c r="N60" s="221"/>
      <c r="O60" s="221"/>
      <c r="P60" s="221"/>
      <c r="Q60" s="221"/>
      <c r="R60" s="221"/>
      <c r="S60" t="s">
        <v>1644</v>
      </c>
      <c r="T60" s="77"/>
      <c r="V60" s="77"/>
    </row>
    <row r="61" spans="1:23">
      <c r="A61" s="99">
        <v>2017</v>
      </c>
      <c r="B61" s="99">
        <v>1000</v>
      </c>
      <c r="C61">
        <v>15</v>
      </c>
      <c r="F61" s="134"/>
      <c r="G61" s="134"/>
      <c r="I61" s="247">
        <v>7.9640000000000004</v>
      </c>
      <c r="J61" s="221">
        <v>26.5</v>
      </c>
      <c r="K61" s="248">
        <v>43255</v>
      </c>
      <c r="L61" s="221"/>
      <c r="M61" s="221"/>
      <c r="N61" s="221"/>
      <c r="O61" s="221"/>
      <c r="P61" s="221"/>
      <c r="Q61" s="221"/>
      <c r="R61" s="221"/>
      <c r="S61" t="s">
        <v>1644</v>
      </c>
      <c r="T61" s="77"/>
      <c r="V61" s="77"/>
    </row>
    <row r="62" spans="1:23">
      <c r="A62" s="99">
        <v>2017</v>
      </c>
      <c r="B62" s="99">
        <v>1000</v>
      </c>
      <c r="C62" s="99">
        <v>16</v>
      </c>
      <c r="F62" s="134"/>
      <c r="G62" s="134"/>
      <c r="I62" s="247">
        <v>7.9089999999999998</v>
      </c>
      <c r="J62" s="221">
        <v>26.5</v>
      </c>
      <c r="K62" s="248">
        <v>43255</v>
      </c>
      <c r="L62" s="221"/>
      <c r="M62" s="221"/>
      <c r="N62" s="221"/>
      <c r="O62" s="221"/>
      <c r="P62" s="221"/>
      <c r="Q62" s="221"/>
      <c r="R62" s="221"/>
      <c r="S62" t="s">
        <v>1644</v>
      </c>
      <c r="T62" s="77"/>
      <c r="V62" s="77"/>
    </row>
    <row r="63" spans="1:23">
      <c r="A63" s="99">
        <v>2017</v>
      </c>
      <c r="B63" s="99">
        <v>1000</v>
      </c>
      <c r="C63">
        <v>17</v>
      </c>
      <c r="F63" s="134"/>
      <c r="G63" s="134"/>
      <c r="I63" s="247">
        <v>8.0690000000000008</v>
      </c>
      <c r="J63" s="221">
        <v>26.7</v>
      </c>
      <c r="K63" s="248">
        <v>43255</v>
      </c>
      <c r="L63" s="221">
        <v>8.0709999999999997</v>
      </c>
      <c r="M63" s="221">
        <v>26.7</v>
      </c>
      <c r="N63" s="221"/>
      <c r="O63" s="252"/>
      <c r="P63" s="252">
        <f>L63-I63</f>
        <v>1.9999999999988916E-3</v>
      </c>
      <c r="Q63" s="221"/>
      <c r="R63" s="221"/>
      <c r="S63" t="s">
        <v>1644</v>
      </c>
      <c r="T63" s="77"/>
      <c r="V63" s="77"/>
    </row>
    <row r="64" spans="1:23">
      <c r="A64" s="99">
        <v>2017</v>
      </c>
      <c r="B64" s="99">
        <v>1000</v>
      </c>
      <c r="C64">
        <v>18</v>
      </c>
      <c r="F64" s="134"/>
      <c r="G64" s="134"/>
      <c r="I64" s="247">
        <v>7.9059999999999997</v>
      </c>
      <c r="J64" s="221">
        <v>26.7</v>
      </c>
      <c r="K64" s="248">
        <v>43255</v>
      </c>
      <c r="L64" s="221"/>
      <c r="M64" s="221"/>
      <c r="N64" s="221" t="s">
        <v>1662</v>
      </c>
      <c r="O64" s="252"/>
      <c r="P64" s="252">
        <f>ABS(P63/AVERAGE(I63,L63)*100)</f>
        <v>2.4783147459713651E-2</v>
      </c>
      <c r="Q64" s="221"/>
      <c r="R64" s="221"/>
      <c r="S64" t="s">
        <v>1644</v>
      </c>
      <c r="T64" s="77"/>
      <c r="V64" s="77"/>
    </row>
    <row r="65" spans="1:25">
      <c r="A65" s="99">
        <v>2017</v>
      </c>
      <c r="B65" s="99">
        <v>1000</v>
      </c>
      <c r="C65">
        <v>19</v>
      </c>
      <c r="F65" s="134"/>
      <c r="G65" s="134"/>
      <c r="I65" s="247">
        <v>8.032</v>
      </c>
      <c r="J65" s="221">
        <v>26.8</v>
      </c>
      <c r="K65" s="248">
        <v>43255</v>
      </c>
      <c r="L65" s="221"/>
      <c r="M65" s="221"/>
      <c r="N65" s="221"/>
      <c r="O65" s="221"/>
      <c r="P65" s="221"/>
      <c r="Q65" s="221"/>
      <c r="R65" s="221"/>
      <c r="S65" t="s">
        <v>1644</v>
      </c>
      <c r="T65" s="77"/>
      <c r="V65" s="77"/>
    </row>
    <row r="66" spans="1:25">
      <c r="A66" s="99">
        <v>2017</v>
      </c>
      <c r="B66" s="99">
        <v>1000</v>
      </c>
      <c r="C66">
        <v>20</v>
      </c>
      <c r="F66" s="134"/>
      <c r="G66" s="134"/>
      <c r="I66" s="247">
        <v>8.0690000000000008</v>
      </c>
      <c r="J66" s="221">
        <v>26.8</v>
      </c>
      <c r="K66" s="248">
        <v>43255</v>
      </c>
      <c r="L66" s="221"/>
      <c r="M66" s="221"/>
      <c r="N66" s="221"/>
      <c r="O66" s="221"/>
      <c r="P66" s="221"/>
      <c r="Q66" s="221"/>
      <c r="R66" s="221"/>
      <c r="T66" s="77"/>
      <c r="V66" s="77"/>
    </row>
    <row r="67" spans="1:25" s="147" customFormat="1">
      <c r="A67" s="146">
        <v>2017</v>
      </c>
      <c r="B67" s="146">
        <v>1000</v>
      </c>
      <c r="C67" s="146">
        <v>21</v>
      </c>
      <c r="F67" s="222"/>
      <c r="G67" s="222"/>
      <c r="I67" s="249">
        <v>7.9009999999999998</v>
      </c>
      <c r="J67" s="250">
        <v>26.7</v>
      </c>
      <c r="K67" s="251">
        <v>43255</v>
      </c>
      <c r="L67" s="250"/>
      <c r="M67" s="250"/>
      <c r="N67" s="250"/>
      <c r="O67" s="250"/>
      <c r="P67" s="250"/>
      <c r="Q67" s="250"/>
      <c r="R67" s="250"/>
      <c r="T67" s="148"/>
      <c r="V67" s="148"/>
    </row>
    <row r="68" spans="1:25">
      <c r="A68" s="99">
        <v>2017</v>
      </c>
      <c r="B68" s="99">
        <v>2000</v>
      </c>
      <c r="C68" s="99">
        <v>1</v>
      </c>
      <c r="D68" s="99">
        <v>37.89</v>
      </c>
      <c r="E68" s="99">
        <v>26.2</v>
      </c>
      <c r="F68" s="161">
        <v>43252</v>
      </c>
      <c r="I68" s="8">
        <v>8.6020000000000003</v>
      </c>
      <c r="J68">
        <v>26.2</v>
      </c>
      <c r="K68" s="161">
        <v>43252</v>
      </c>
      <c r="T68" s="223" t="s">
        <v>1657</v>
      </c>
      <c r="U68" s="7">
        <v>4.01</v>
      </c>
      <c r="V68" s="81">
        <v>7.01</v>
      </c>
      <c r="W68" s="99">
        <v>9.18</v>
      </c>
      <c r="X68">
        <v>10.01</v>
      </c>
      <c r="Y68" t="s">
        <v>1668</v>
      </c>
    </row>
    <row r="69" spans="1:25">
      <c r="A69" s="99">
        <v>2017</v>
      </c>
      <c r="B69" s="99">
        <v>2000</v>
      </c>
      <c r="C69">
        <v>2</v>
      </c>
      <c r="D69">
        <v>37.78</v>
      </c>
      <c r="E69">
        <v>26.4</v>
      </c>
      <c r="F69" s="161">
        <v>43252</v>
      </c>
      <c r="I69" s="8">
        <v>8.3230000000000004</v>
      </c>
      <c r="J69">
        <v>26.5</v>
      </c>
      <c r="K69" s="161">
        <v>43252</v>
      </c>
      <c r="T69" s="1" t="s">
        <v>1658</v>
      </c>
      <c r="V69">
        <v>7.0359999999999996</v>
      </c>
      <c r="W69" s="144">
        <v>9.2089999999999996</v>
      </c>
    </row>
    <row r="70" spans="1:25">
      <c r="A70" s="99">
        <v>2017</v>
      </c>
      <c r="B70" s="99">
        <v>2000</v>
      </c>
      <c r="C70">
        <v>3</v>
      </c>
      <c r="D70">
        <v>36.81</v>
      </c>
      <c r="E70">
        <v>26.5</v>
      </c>
      <c r="F70" s="161">
        <v>43252</v>
      </c>
      <c r="I70" s="8">
        <v>8.4830000000000005</v>
      </c>
      <c r="J70">
        <v>26.5</v>
      </c>
      <c r="K70" s="161">
        <v>43252</v>
      </c>
      <c r="V70">
        <v>26.6</v>
      </c>
      <c r="W70">
        <v>26.6</v>
      </c>
      <c r="Y70" t="s">
        <v>1631</v>
      </c>
    </row>
    <row r="71" spans="1:25">
      <c r="A71" s="99">
        <v>2017</v>
      </c>
      <c r="B71" s="99">
        <v>2000</v>
      </c>
      <c r="C71">
        <v>4</v>
      </c>
      <c r="D71">
        <v>37.39</v>
      </c>
      <c r="E71">
        <v>26.5</v>
      </c>
      <c r="F71" s="161">
        <v>43252</v>
      </c>
      <c r="I71" s="8">
        <v>8.6020000000000003</v>
      </c>
      <c r="J71">
        <v>26.5</v>
      </c>
      <c r="K71" s="161">
        <v>43252</v>
      </c>
      <c r="T71" t="s">
        <v>1659</v>
      </c>
    </row>
    <row r="72" spans="1:25">
      <c r="A72" s="99">
        <v>2017</v>
      </c>
      <c r="B72" s="99">
        <v>2000</v>
      </c>
      <c r="C72">
        <v>5</v>
      </c>
      <c r="D72">
        <v>37.33</v>
      </c>
      <c r="E72">
        <v>26.5</v>
      </c>
      <c r="F72" s="161">
        <v>43252</v>
      </c>
      <c r="I72" s="8">
        <v>8.39</v>
      </c>
      <c r="J72">
        <v>26.5</v>
      </c>
      <c r="K72" s="161">
        <v>43252</v>
      </c>
      <c r="U72" s="672" t="s">
        <v>1669</v>
      </c>
      <c r="V72" s="672"/>
    </row>
    <row r="73" spans="1:25">
      <c r="A73" s="99">
        <v>2017</v>
      </c>
      <c r="B73" s="99">
        <v>2000</v>
      </c>
      <c r="C73" s="99">
        <v>6</v>
      </c>
      <c r="D73" s="99">
        <v>37.31</v>
      </c>
      <c r="E73" s="99">
        <v>26.4</v>
      </c>
      <c r="F73" s="161">
        <v>43252</v>
      </c>
      <c r="I73" s="8">
        <v>8.4120000000000008</v>
      </c>
      <c r="J73">
        <v>26.6</v>
      </c>
      <c r="K73" s="161">
        <v>43252</v>
      </c>
      <c r="T73" t="s">
        <v>1634</v>
      </c>
      <c r="U73" s="81">
        <v>7.01</v>
      </c>
      <c r="V73" s="99">
        <v>9.18</v>
      </c>
    </row>
    <row r="74" spans="1:25">
      <c r="A74" s="99">
        <v>2017</v>
      </c>
      <c r="B74" s="99">
        <v>2000</v>
      </c>
      <c r="C74">
        <v>7</v>
      </c>
      <c r="D74">
        <v>36.270000000000003</v>
      </c>
      <c r="E74">
        <v>26.4</v>
      </c>
      <c r="F74" s="161">
        <v>43252</v>
      </c>
      <c r="I74" s="8">
        <v>8.4570000000000007</v>
      </c>
      <c r="J74">
        <v>26.6</v>
      </c>
      <c r="K74" s="161">
        <v>43252</v>
      </c>
      <c r="U74">
        <v>7.0789999999999997</v>
      </c>
      <c r="V74">
        <v>9.234</v>
      </c>
      <c r="W74" t="s">
        <v>1631</v>
      </c>
    </row>
    <row r="75" spans="1:25">
      <c r="A75" s="99">
        <v>2017</v>
      </c>
      <c r="B75" s="99">
        <v>2000</v>
      </c>
      <c r="C75">
        <v>8</v>
      </c>
      <c r="D75">
        <v>37.35</v>
      </c>
      <c r="E75">
        <v>26.5</v>
      </c>
      <c r="F75" s="161">
        <v>43252</v>
      </c>
      <c r="I75" s="8">
        <v>8.327</v>
      </c>
      <c r="J75">
        <v>26.5</v>
      </c>
      <c r="K75" s="161">
        <v>43252</v>
      </c>
      <c r="U75">
        <v>26.4</v>
      </c>
      <c r="V75">
        <v>26.7</v>
      </c>
    </row>
    <row r="76" spans="1:25">
      <c r="A76" s="99">
        <v>2017</v>
      </c>
      <c r="B76" s="99">
        <v>2000</v>
      </c>
      <c r="C76">
        <v>9</v>
      </c>
      <c r="D76">
        <v>37.36</v>
      </c>
      <c r="E76">
        <v>26.3</v>
      </c>
      <c r="F76" s="161">
        <v>43252</v>
      </c>
      <c r="I76" s="8">
        <v>8.5969999999999995</v>
      </c>
      <c r="J76">
        <v>26.5</v>
      </c>
      <c r="K76" s="161">
        <v>43252</v>
      </c>
    </row>
    <row r="77" spans="1:25">
      <c r="A77" s="99">
        <v>2017</v>
      </c>
      <c r="B77" s="99">
        <v>2000</v>
      </c>
      <c r="C77">
        <v>10</v>
      </c>
      <c r="D77">
        <v>37.840000000000003</v>
      </c>
      <c r="E77">
        <v>26.5</v>
      </c>
      <c r="F77" s="161">
        <v>43252</v>
      </c>
      <c r="G77">
        <v>37.840000000000003</v>
      </c>
      <c r="H77">
        <v>26.4</v>
      </c>
      <c r="I77" s="8">
        <v>8.6289999999999996</v>
      </c>
      <c r="J77">
        <v>26.5</v>
      </c>
      <c r="K77" s="161">
        <v>43252</v>
      </c>
      <c r="L77">
        <v>8.6340000000000003</v>
      </c>
      <c r="M77">
        <v>26.4</v>
      </c>
      <c r="O77" s="224">
        <f>G77-D77</f>
        <v>0</v>
      </c>
      <c r="P77" s="224">
        <f>L77-I77</f>
        <v>5.0000000000007816E-3</v>
      </c>
      <c r="T77" s="77" t="s">
        <v>1645</v>
      </c>
    </row>
    <row r="78" spans="1:25">
      <c r="A78" s="99">
        <v>2017</v>
      </c>
      <c r="B78" s="99">
        <v>2000</v>
      </c>
      <c r="C78" s="99">
        <v>11</v>
      </c>
      <c r="D78" s="99">
        <v>37.090000000000003</v>
      </c>
      <c r="E78" s="99">
        <v>26.5</v>
      </c>
      <c r="F78" s="161">
        <v>43252</v>
      </c>
      <c r="I78" s="8">
        <v>8.5869999999999997</v>
      </c>
      <c r="J78">
        <v>26.5</v>
      </c>
      <c r="K78" s="161">
        <v>43252</v>
      </c>
      <c r="N78" t="s">
        <v>1662</v>
      </c>
      <c r="O78" s="224">
        <f>ABS(O77/AVERAGE(D77,G77)*100)</f>
        <v>0</v>
      </c>
      <c r="P78" s="224">
        <f>ABS(P77/AVERAGE(I77,L77)*100)</f>
        <v>5.7927359091708069E-2</v>
      </c>
      <c r="T78" s="126" t="s">
        <v>1660</v>
      </c>
      <c r="Y78" t="s">
        <v>1661</v>
      </c>
    </row>
    <row r="79" spans="1:25">
      <c r="A79" s="99">
        <v>2017</v>
      </c>
      <c r="B79" s="99">
        <v>2000</v>
      </c>
      <c r="C79">
        <v>12</v>
      </c>
      <c r="D79">
        <v>37.049999999999997</v>
      </c>
      <c r="E79">
        <v>26.4</v>
      </c>
      <c r="F79" s="161">
        <v>43252</v>
      </c>
      <c r="I79" s="8">
        <v>8.5250000000000004</v>
      </c>
      <c r="J79">
        <v>26.4</v>
      </c>
      <c r="K79" s="161">
        <v>43252</v>
      </c>
      <c r="T79" s="1" t="s">
        <v>1670</v>
      </c>
      <c r="U79" s="77" t="s">
        <v>1647</v>
      </c>
      <c r="W79" s="77" t="s">
        <v>1648</v>
      </c>
    </row>
    <row r="80" spans="1:25">
      <c r="A80" s="99">
        <v>2017</v>
      </c>
      <c r="B80" s="99">
        <v>2000</v>
      </c>
      <c r="C80">
        <v>13</v>
      </c>
      <c r="D80">
        <v>37.42</v>
      </c>
      <c r="E80">
        <v>26.4</v>
      </c>
      <c r="F80" s="161">
        <v>43252</v>
      </c>
      <c r="I80" s="8">
        <v>8.6050000000000004</v>
      </c>
      <c r="J80">
        <v>26.3</v>
      </c>
      <c r="K80" s="161">
        <v>43252</v>
      </c>
      <c r="T80" s="77" t="s">
        <v>1664</v>
      </c>
      <c r="U80" s="221">
        <v>1413</v>
      </c>
      <c r="V80" s="145" t="s">
        <v>1650</v>
      </c>
      <c r="W80">
        <v>24.7</v>
      </c>
    </row>
    <row r="81" spans="1:26">
      <c r="A81" s="99">
        <v>2017</v>
      </c>
      <c r="B81" s="99">
        <v>2000</v>
      </c>
      <c r="C81">
        <v>14</v>
      </c>
      <c r="D81">
        <v>37.53</v>
      </c>
      <c r="E81">
        <v>26.4</v>
      </c>
      <c r="F81" s="161">
        <v>43252</v>
      </c>
      <c r="I81" s="8">
        <v>8.5269999999999992</v>
      </c>
      <c r="J81">
        <v>26.4</v>
      </c>
      <c r="K81" s="161">
        <v>43252</v>
      </c>
      <c r="T81" s="77" t="s">
        <v>1665</v>
      </c>
      <c r="U81">
        <v>12.9</v>
      </c>
      <c r="V81" s="77" t="s">
        <v>2833</v>
      </c>
      <c r="W81" s="77">
        <v>24.8</v>
      </c>
    </row>
    <row r="82" spans="1:26">
      <c r="A82" s="99">
        <v>2017</v>
      </c>
      <c r="B82" s="99">
        <v>2000</v>
      </c>
      <c r="C82">
        <v>15</v>
      </c>
      <c r="D82">
        <v>37.43</v>
      </c>
      <c r="E82">
        <v>26.2</v>
      </c>
      <c r="F82" s="161">
        <v>43252</v>
      </c>
      <c r="I82" s="8">
        <v>8.5020000000000007</v>
      </c>
      <c r="J82">
        <v>26.4</v>
      </c>
      <c r="K82" s="161">
        <v>43252</v>
      </c>
      <c r="T82" s="77"/>
      <c r="V82" s="77"/>
    </row>
    <row r="83" spans="1:26">
      <c r="A83" s="99">
        <v>2017</v>
      </c>
      <c r="B83" s="99">
        <v>2000</v>
      </c>
      <c r="C83" s="99">
        <v>16</v>
      </c>
      <c r="D83" s="99">
        <v>36.51</v>
      </c>
      <c r="E83" s="99">
        <v>26.4</v>
      </c>
      <c r="F83" s="161">
        <v>43252</v>
      </c>
      <c r="I83" s="8">
        <v>8.3000000000000007</v>
      </c>
      <c r="J83">
        <v>26.5</v>
      </c>
      <c r="K83" s="161">
        <v>43252</v>
      </c>
    </row>
    <row r="84" spans="1:26">
      <c r="A84" s="99">
        <v>2017</v>
      </c>
      <c r="B84" s="99">
        <v>2000</v>
      </c>
      <c r="C84">
        <v>17</v>
      </c>
      <c r="D84">
        <v>37.200000000000003</v>
      </c>
      <c r="E84">
        <v>26.4</v>
      </c>
      <c r="F84" s="161">
        <v>43252</v>
      </c>
      <c r="G84">
        <v>37.130000000000003</v>
      </c>
      <c r="H84">
        <v>26.6</v>
      </c>
      <c r="I84" s="8">
        <v>8.4809999999999999</v>
      </c>
      <c r="J84">
        <v>26.6</v>
      </c>
      <c r="K84" s="161">
        <v>43252</v>
      </c>
      <c r="L84">
        <v>8.4809999999999999</v>
      </c>
      <c r="M84">
        <v>26.5</v>
      </c>
      <c r="O84" s="224">
        <f>G84-D84</f>
        <v>-7.0000000000000284E-2</v>
      </c>
      <c r="P84" s="224">
        <f>L84-I84</f>
        <v>0</v>
      </c>
      <c r="T84" s="77" t="s">
        <v>1654</v>
      </c>
    </row>
    <row r="85" spans="1:26">
      <c r="A85" s="99">
        <v>2017</v>
      </c>
      <c r="B85" s="99">
        <v>2000</v>
      </c>
      <c r="C85">
        <v>18</v>
      </c>
      <c r="D85">
        <v>37</v>
      </c>
      <c r="E85">
        <v>26.6</v>
      </c>
      <c r="F85" s="161">
        <v>43252</v>
      </c>
      <c r="I85" s="8">
        <v>8.3770000000000007</v>
      </c>
      <c r="J85">
        <v>26.7</v>
      </c>
      <c r="K85" s="161">
        <v>43252</v>
      </c>
      <c r="N85" t="s">
        <v>1662</v>
      </c>
      <c r="O85" s="224">
        <f>ABS(O84/AVERAGE(D84,G84)*100)</f>
        <v>0.18834925332974647</v>
      </c>
      <c r="P85" s="224">
        <f>ABS(P84/AVERAGE(I84,L84)*100)</f>
        <v>0</v>
      </c>
      <c r="T85" s="77" t="s">
        <v>1645</v>
      </c>
      <c r="U85" s="77" t="s">
        <v>1647</v>
      </c>
      <c r="W85" s="77" t="s">
        <v>1648</v>
      </c>
    </row>
    <row r="86" spans="1:26">
      <c r="A86" s="99">
        <v>2017</v>
      </c>
      <c r="B86" s="99">
        <v>2000</v>
      </c>
      <c r="C86">
        <v>19</v>
      </c>
      <c r="D86">
        <v>36.85</v>
      </c>
      <c r="E86">
        <v>26.6</v>
      </c>
      <c r="F86" s="161">
        <v>43252</v>
      </c>
      <c r="I86" s="8">
        <v>8.4770000000000003</v>
      </c>
      <c r="J86">
        <v>26.6</v>
      </c>
      <c r="K86" s="161">
        <v>43252</v>
      </c>
      <c r="T86" s="77" t="s">
        <v>1664</v>
      </c>
      <c r="U86">
        <v>1397</v>
      </c>
      <c r="V86" s="145" t="s">
        <v>1650</v>
      </c>
      <c r="W86">
        <v>25.6</v>
      </c>
    </row>
    <row r="87" spans="1:26">
      <c r="A87" s="99">
        <v>2017</v>
      </c>
      <c r="B87" s="99">
        <v>2000</v>
      </c>
      <c r="C87">
        <v>20</v>
      </c>
      <c r="D87">
        <v>37.270000000000003</v>
      </c>
      <c r="E87">
        <v>26.7</v>
      </c>
      <c r="F87" s="161">
        <v>43252</v>
      </c>
      <c r="I87" s="8">
        <v>8.4629999999999992</v>
      </c>
      <c r="J87">
        <v>26.5</v>
      </c>
      <c r="K87" s="161">
        <v>43252</v>
      </c>
      <c r="T87" s="77" t="s">
        <v>1665</v>
      </c>
      <c r="U87">
        <v>12.7</v>
      </c>
      <c r="V87" s="77" t="s">
        <v>2833</v>
      </c>
      <c r="W87">
        <v>25.9</v>
      </c>
    </row>
    <row r="88" spans="1:26" s="147" customFormat="1">
      <c r="A88" s="146">
        <v>2017</v>
      </c>
      <c r="B88" s="146">
        <v>2000</v>
      </c>
      <c r="C88" s="146">
        <v>21</v>
      </c>
      <c r="D88" s="147">
        <v>37.72</v>
      </c>
      <c r="E88" s="147">
        <v>26.7</v>
      </c>
      <c r="F88" s="161">
        <v>43252</v>
      </c>
      <c r="I88" s="13">
        <v>8.532</v>
      </c>
      <c r="J88" s="147">
        <v>26.5</v>
      </c>
      <c r="K88" s="161">
        <v>43252</v>
      </c>
      <c r="T88" s="148"/>
      <c r="V88" s="148"/>
    </row>
    <row r="89" spans="1:26">
      <c r="A89" s="99">
        <v>2017</v>
      </c>
      <c r="B89" s="99">
        <v>3800</v>
      </c>
      <c r="C89" s="99">
        <v>1</v>
      </c>
      <c r="D89" s="99">
        <v>37.28</v>
      </c>
      <c r="E89" s="99">
        <v>26.2</v>
      </c>
      <c r="F89" s="161">
        <v>43252</v>
      </c>
      <c r="I89" s="8">
        <v>8.5489999999999995</v>
      </c>
      <c r="J89">
        <v>26.4</v>
      </c>
      <c r="K89" s="161">
        <v>43252</v>
      </c>
      <c r="T89" s="243" t="s">
        <v>1657</v>
      </c>
      <c r="U89" s="244">
        <v>4.01</v>
      </c>
      <c r="V89" s="245">
        <v>7.01</v>
      </c>
      <c r="W89" s="246">
        <v>9.18</v>
      </c>
      <c r="X89" s="30">
        <v>10.01</v>
      </c>
      <c r="Y89" s="30" t="s">
        <v>1671</v>
      </c>
      <c r="Z89" s="30"/>
    </row>
    <row r="90" spans="1:26">
      <c r="A90" s="99">
        <v>2017</v>
      </c>
      <c r="B90" s="99">
        <v>3800</v>
      </c>
      <c r="C90">
        <v>2</v>
      </c>
      <c r="D90">
        <v>36.72</v>
      </c>
      <c r="E90">
        <v>26.4</v>
      </c>
      <c r="F90" s="161">
        <v>43252</v>
      </c>
      <c r="I90" s="8">
        <v>8.6180000000000003</v>
      </c>
      <c r="J90">
        <v>26.5</v>
      </c>
      <c r="K90" s="161">
        <v>43252</v>
      </c>
      <c r="T90" s="1" t="s">
        <v>1658</v>
      </c>
      <c r="V90">
        <v>7.0419999999999998</v>
      </c>
      <c r="W90" s="144">
        <v>9.2080000000000002</v>
      </c>
    </row>
    <row r="91" spans="1:26">
      <c r="A91" s="99">
        <v>2017</v>
      </c>
      <c r="B91" s="99">
        <v>3800</v>
      </c>
      <c r="C91">
        <v>3</v>
      </c>
      <c r="D91">
        <v>36.85</v>
      </c>
      <c r="E91">
        <v>26.5</v>
      </c>
      <c r="F91" s="161">
        <v>43252</v>
      </c>
      <c r="I91" s="8">
        <v>8.6289999999999996</v>
      </c>
      <c r="J91">
        <v>26.7</v>
      </c>
      <c r="K91" s="161">
        <v>43252</v>
      </c>
      <c r="V91">
        <v>26.5</v>
      </c>
      <c r="W91">
        <v>26.5</v>
      </c>
      <c r="Y91" t="s">
        <v>1631</v>
      </c>
    </row>
    <row r="92" spans="1:26">
      <c r="A92" s="99">
        <v>2017</v>
      </c>
      <c r="B92" s="99">
        <v>3800</v>
      </c>
      <c r="C92">
        <v>4</v>
      </c>
      <c r="D92">
        <v>37.159999999999997</v>
      </c>
      <c r="E92">
        <v>26.4</v>
      </c>
      <c r="F92" s="161">
        <v>43252</v>
      </c>
      <c r="I92" s="8">
        <v>8.625</v>
      </c>
      <c r="J92">
        <v>26.7</v>
      </c>
      <c r="K92" s="161">
        <v>43252</v>
      </c>
      <c r="T92" t="s">
        <v>1659</v>
      </c>
    </row>
    <row r="93" spans="1:26">
      <c r="A93" s="99">
        <v>2017</v>
      </c>
      <c r="B93" s="99">
        <v>3800</v>
      </c>
      <c r="C93">
        <v>5</v>
      </c>
      <c r="D93">
        <v>37.130000000000003</v>
      </c>
      <c r="E93">
        <v>26.6</v>
      </c>
      <c r="F93" s="161">
        <v>43252</v>
      </c>
      <c r="I93" s="8">
        <v>8.625</v>
      </c>
      <c r="J93">
        <v>26.7</v>
      </c>
      <c r="K93" s="161">
        <v>43252</v>
      </c>
      <c r="U93" s="672" t="s">
        <v>1672</v>
      </c>
      <c r="V93" s="672"/>
    </row>
    <row r="94" spans="1:26">
      <c r="A94" s="99">
        <v>2017</v>
      </c>
      <c r="B94" s="99">
        <v>3800</v>
      </c>
      <c r="C94" s="99">
        <v>6</v>
      </c>
      <c r="D94" s="99">
        <v>37.18</v>
      </c>
      <c r="E94" s="99">
        <v>26.5</v>
      </c>
      <c r="F94" s="161">
        <v>43252</v>
      </c>
      <c r="I94" s="8">
        <v>8.5850000000000009</v>
      </c>
      <c r="J94">
        <v>26.6</v>
      </c>
      <c r="K94" s="161">
        <v>43252</v>
      </c>
      <c r="T94" t="s">
        <v>1634</v>
      </c>
      <c r="U94" s="81">
        <v>7.01</v>
      </c>
      <c r="V94" s="99">
        <v>9.18</v>
      </c>
    </row>
    <row r="95" spans="1:26">
      <c r="A95" s="99">
        <v>2017</v>
      </c>
      <c r="B95" s="99">
        <v>3800</v>
      </c>
      <c r="C95">
        <v>7</v>
      </c>
      <c r="D95">
        <v>37.130000000000003</v>
      </c>
      <c r="E95">
        <v>26.6</v>
      </c>
      <c r="F95" s="161">
        <v>43252</v>
      </c>
      <c r="I95" s="8">
        <v>8.6180000000000003</v>
      </c>
      <c r="J95">
        <v>26.7</v>
      </c>
      <c r="K95" s="161">
        <v>43252</v>
      </c>
      <c r="U95">
        <v>7.06</v>
      </c>
      <c r="V95">
        <v>9.2409999999999997</v>
      </c>
      <c r="W95" t="s">
        <v>1631</v>
      </c>
    </row>
    <row r="96" spans="1:26">
      <c r="A96" s="99">
        <v>2017</v>
      </c>
      <c r="B96" s="99">
        <v>3800</v>
      </c>
      <c r="C96">
        <v>8</v>
      </c>
      <c r="D96">
        <v>36.68</v>
      </c>
      <c r="E96">
        <v>26.6</v>
      </c>
      <c r="F96" s="161">
        <v>43252</v>
      </c>
      <c r="I96" s="8">
        <v>8.5909999999999993</v>
      </c>
      <c r="J96">
        <v>26.6</v>
      </c>
      <c r="K96" s="161">
        <v>43252</v>
      </c>
      <c r="U96">
        <v>26.7</v>
      </c>
      <c r="V96">
        <v>26.7</v>
      </c>
    </row>
    <row r="97" spans="1:25">
      <c r="A97" s="99">
        <v>2017</v>
      </c>
      <c r="B97" s="99">
        <v>3800</v>
      </c>
      <c r="C97">
        <v>9</v>
      </c>
      <c r="D97">
        <v>36.880000000000003</v>
      </c>
      <c r="E97">
        <v>26.6</v>
      </c>
      <c r="F97" s="161">
        <v>43252</v>
      </c>
      <c r="I97" s="8">
        <v>8.5909999999999993</v>
      </c>
      <c r="J97">
        <v>26.6</v>
      </c>
      <c r="K97" s="161">
        <v>43252</v>
      </c>
    </row>
    <row r="98" spans="1:25">
      <c r="A98" s="99">
        <v>2017</v>
      </c>
      <c r="B98" s="99">
        <v>3800</v>
      </c>
      <c r="C98">
        <v>10</v>
      </c>
      <c r="D98">
        <v>37.14</v>
      </c>
      <c r="E98">
        <v>26.7</v>
      </c>
      <c r="F98" s="161">
        <v>43252</v>
      </c>
      <c r="G98">
        <v>37.130000000000003</v>
      </c>
      <c r="H98">
        <v>26.6</v>
      </c>
      <c r="I98" s="8">
        <v>8.5619999999999994</v>
      </c>
      <c r="J98">
        <v>26.6</v>
      </c>
      <c r="K98" s="161">
        <v>43252</v>
      </c>
      <c r="L98">
        <v>8.56</v>
      </c>
      <c r="M98">
        <v>26.5</v>
      </c>
      <c r="O98" s="224">
        <f>G98-D98</f>
        <v>-9.9999999999980105E-3</v>
      </c>
      <c r="P98" s="224">
        <f>L98-I98</f>
        <v>-1.9999999999988916E-3</v>
      </c>
      <c r="T98" s="77" t="s">
        <v>1645</v>
      </c>
    </row>
    <row r="99" spans="1:25">
      <c r="A99" s="99">
        <v>2017</v>
      </c>
      <c r="B99" s="99">
        <v>3800</v>
      </c>
      <c r="C99" s="99">
        <v>11</v>
      </c>
      <c r="D99">
        <v>37.17</v>
      </c>
      <c r="E99" s="99">
        <v>26.6</v>
      </c>
      <c r="F99" s="161">
        <v>43252</v>
      </c>
      <c r="I99" s="8">
        <v>8.6029999999999998</v>
      </c>
      <c r="J99">
        <v>26.5</v>
      </c>
      <c r="K99" s="161">
        <v>43252</v>
      </c>
      <c r="N99" t="s">
        <v>1662</v>
      </c>
      <c r="O99" s="224">
        <f>ABS(O98/AVERAGE(D98,G98)*100)</f>
        <v>2.6928773394366522E-2</v>
      </c>
      <c r="P99" s="224">
        <f>ABS(P98/AVERAGE(I98,L98)*100)</f>
        <v>2.3361756804098723E-2</v>
      </c>
      <c r="T99" s="126" t="s">
        <v>1660</v>
      </c>
      <c r="Y99" t="s">
        <v>1661</v>
      </c>
    </row>
    <row r="100" spans="1:25">
      <c r="A100" s="99">
        <v>2017</v>
      </c>
      <c r="B100" s="99">
        <v>3800</v>
      </c>
      <c r="C100">
        <v>12</v>
      </c>
      <c r="D100" s="99">
        <v>37.08</v>
      </c>
      <c r="E100" s="99">
        <v>26.6</v>
      </c>
      <c r="F100" s="161">
        <v>43252</v>
      </c>
      <c r="I100" s="8">
        <v>8.5749999999999993</v>
      </c>
      <c r="J100">
        <v>26.5</v>
      </c>
      <c r="K100" s="161">
        <v>43252</v>
      </c>
      <c r="T100" s="1" t="s">
        <v>1673</v>
      </c>
      <c r="U100" s="77" t="s">
        <v>1647</v>
      </c>
      <c r="W100" s="77" t="s">
        <v>1648</v>
      </c>
    </row>
    <row r="101" spans="1:25">
      <c r="A101" s="99">
        <v>2017</v>
      </c>
      <c r="B101" s="99">
        <v>3800</v>
      </c>
      <c r="C101">
        <v>13</v>
      </c>
      <c r="D101">
        <v>37.39</v>
      </c>
      <c r="E101" s="99">
        <v>26.6</v>
      </c>
      <c r="F101" s="161">
        <v>43252</v>
      </c>
      <c r="I101" s="8">
        <v>8.6270000000000007</v>
      </c>
      <c r="J101">
        <v>26.5</v>
      </c>
      <c r="K101" s="161">
        <v>43252</v>
      </c>
      <c r="T101" s="77" t="s">
        <v>1664</v>
      </c>
      <c r="U101" s="221">
        <v>1411</v>
      </c>
      <c r="V101" s="145" t="s">
        <v>1650</v>
      </c>
      <c r="W101">
        <v>24.8</v>
      </c>
    </row>
    <row r="102" spans="1:25">
      <c r="A102" s="99">
        <v>2017</v>
      </c>
      <c r="B102" s="99">
        <v>3800</v>
      </c>
      <c r="C102">
        <v>14</v>
      </c>
      <c r="D102">
        <v>37.4</v>
      </c>
      <c r="E102" s="99">
        <v>26.6</v>
      </c>
      <c r="F102" s="161">
        <v>43252</v>
      </c>
      <c r="I102" s="8">
        <v>8.5869999999999997</v>
      </c>
      <c r="J102">
        <v>26.4</v>
      </c>
      <c r="K102" s="161">
        <v>43252</v>
      </c>
      <c r="T102" s="77" t="s">
        <v>1665</v>
      </c>
      <c r="U102">
        <v>12.74</v>
      </c>
      <c r="V102" s="77" t="s">
        <v>2833</v>
      </c>
      <c r="W102" s="77">
        <v>25.1</v>
      </c>
    </row>
    <row r="103" spans="1:25">
      <c r="A103" s="99">
        <v>2017</v>
      </c>
      <c r="B103" s="99">
        <v>3800</v>
      </c>
      <c r="C103">
        <v>15</v>
      </c>
      <c r="D103">
        <v>37.340000000000003</v>
      </c>
      <c r="E103" s="99">
        <v>26.6</v>
      </c>
      <c r="F103" s="161">
        <v>43252</v>
      </c>
      <c r="I103" s="8">
        <v>8.4830000000000005</v>
      </c>
      <c r="J103">
        <v>26.4</v>
      </c>
      <c r="K103" s="161">
        <v>43252</v>
      </c>
      <c r="T103" s="77"/>
      <c r="V103" s="77"/>
    </row>
    <row r="104" spans="1:25">
      <c r="A104" s="99">
        <v>2017</v>
      </c>
      <c r="B104" s="99">
        <v>3800</v>
      </c>
      <c r="C104" s="99">
        <v>16</v>
      </c>
      <c r="D104">
        <v>36.659999999999997</v>
      </c>
      <c r="E104" s="99">
        <v>26.6</v>
      </c>
      <c r="F104" s="161">
        <v>43252</v>
      </c>
      <c r="I104" s="8">
        <v>8.4580000000000002</v>
      </c>
      <c r="J104">
        <v>26.5</v>
      </c>
      <c r="K104" s="161">
        <v>43252</v>
      </c>
    </row>
    <row r="105" spans="1:25">
      <c r="A105" s="99">
        <v>2017</v>
      </c>
      <c r="B105" s="99">
        <v>3800</v>
      </c>
      <c r="C105">
        <v>17</v>
      </c>
      <c r="D105" s="99">
        <v>36.619999999999997</v>
      </c>
      <c r="E105" s="99">
        <v>26.5</v>
      </c>
      <c r="F105" s="161">
        <v>43252</v>
      </c>
      <c r="G105" s="496">
        <v>36.659999999999997</v>
      </c>
      <c r="H105">
        <v>26.5</v>
      </c>
      <c r="I105" s="8">
        <v>8.3989999999999991</v>
      </c>
      <c r="J105">
        <v>26.7</v>
      </c>
      <c r="K105" s="161">
        <v>43252</v>
      </c>
      <c r="L105">
        <v>8.4009999999999998</v>
      </c>
      <c r="M105">
        <v>26.8</v>
      </c>
      <c r="O105" s="224">
        <f>G105-D105</f>
        <v>3.9999999999999147E-2</v>
      </c>
      <c r="P105" s="224">
        <f>L105-I105</f>
        <v>2.0000000000006679E-3</v>
      </c>
      <c r="T105" s="77" t="s">
        <v>1654</v>
      </c>
    </row>
    <row r="106" spans="1:25">
      <c r="A106" s="99">
        <v>2017</v>
      </c>
      <c r="B106" s="99">
        <v>3800</v>
      </c>
      <c r="C106">
        <v>18</v>
      </c>
      <c r="D106">
        <v>36.840000000000003</v>
      </c>
      <c r="E106" s="99">
        <v>26.5</v>
      </c>
      <c r="F106" s="161">
        <v>43252</v>
      </c>
      <c r="I106" s="8">
        <v>8.5060000000000002</v>
      </c>
      <c r="J106">
        <v>27</v>
      </c>
      <c r="K106" s="161">
        <v>43252</v>
      </c>
      <c r="N106" t="s">
        <v>1662</v>
      </c>
      <c r="O106" s="224">
        <f>ABS(O105/AVERAGE(D105,G105)*100)</f>
        <v>0.10917030567685357</v>
      </c>
      <c r="P106" s="224">
        <f>ABS(P105/AVERAGE(I105,L105)*100)</f>
        <v>2.3809523809531764E-2</v>
      </c>
      <c r="T106" s="77" t="s">
        <v>1645</v>
      </c>
      <c r="U106" s="77" t="s">
        <v>1647</v>
      </c>
      <c r="W106" s="77" t="s">
        <v>1648</v>
      </c>
    </row>
    <row r="107" spans="1:25">
      <c r="A107" s="99">
        <v>2017</v>
      </c>
      <c r="B107" s="99">
        <v>3800</v>
      </c>
      <c r="C107">
        <v>19</v>
      </c>
      <c r="D107">
        <v>35.869999999999997</v>
      </c>
      <c r="E107" s="99">
        <v>26.5</v>
      </c>
      <c r="F107" s="161">
        <v>43252</v>
      </c>
      <c r="I107" s="8">
        <v>8.4870000000000001</v>
      </c>
      <c r="J107">
        <v>26.9</v>
      </c>
      <c r="K107" s="161">
        <v>43252</v>
      </c>
      <c r="T107" s="77" t="s">
        <v>1664</v>
      </c>
      <c r="U107">
        <v>1389</v>
      </c>
      <c r="V107" s="145" t="s">
        <v>1650</v>
      </c>
      <c r="W107">
        <v>25.8</v>
      </c>
    </row>
    <row r="108" spans="1:25">
      <c r="A108" s="99">
        <v>2017</v>
      </c>
      <c r="B108" s="99">
        <v>3800</v>
      </c>
      <c r="C108">
        <v>20</v>
      </c>
      <c r="D108">
        <v>35.520000000000003</v>
      </c>
      <c r="E108" s="99">
        <v>26.8</v>
      </c>
      <c r="F108" s="161">
        <v>43252</v>
      </c>
      <c r="I108" s="8">
        <v>8.3670000000000009</v>
      </c>
      <c r="J108">
        <v>26.9</v>
      </c>
      <c r="K108" s="161">
        <v>43252</v>
      </c>
      <c r="T108" s="77" t="s">
        <v>1665</v>
      </c>
      <c r="U108">
        <v>12.69</v>
      </c>
      <c r="V108" s="77" t="s">
        <v>2833</v>
      </c>
      <c r="W108">
        <v>25.8</v>
      </c>
    </row>
    <row r="109" spans="1:25" s="147" customFormat="1">
      <c r="A109" s="146">
        <v>2017</v>
      </c>
      <c r="B109" s="146">
        <v>3800</v>
      </c>
      <c r="C109" s="146">
        <v>21</v>
      </c>
      <c r="D109">
        <v>36.97</v>
      </c>
      <c r="E109" s="99">
        <v>26.8</v>
      </c>
      <c r="F109" s="161">
        <v>43252</v>
      </c>
      <c r="I109" s="13">
        <v>8.5549999999999997</v>
      </c>
      <c r="J109">
        <v>26.9</v>
      </c>
      <c r="K109" s="161">
        <v>43252</v>
      </c>
      <c r="T109" s="148"/>
      <c r="V109" s="148"/>
    </row>
    <row r="110" spans="1:25">
      <c r="N110" t="s">
        <v>2098</v>
      </c>
      <c r="O110">
        <f>SUM(O12:O106)</f>
        <v>0.30922883220100794</v>
      </c>
      <c r="P110" s="466">
        <f>SUM(P12:P106)</f>
        <v>0.43862615747198075</v>
      </c>
      <c r="R110" s="133" t="s">
        <v>2098</v>
      </c>
      <c r="S110" s="497">
        <f>SUM(O34,O41,O77,O84,O98,O105)</f>
        <v>-4.0000000000006253E-2</v>
      </c>
      <c r="T110" s="497">
        <f>SUM(P34,P41,P77,P84,P98,P105)</f>
        <v>2.1000000000004349E-2</v>
      </c>
    </row>
    <row r="111" spans="1:25">
      <c r="C111" s="4"/>
      <c r="D111" s="512" t="s">
        <v>2726</v>
      </c>
      <c r="E111" s="30"/>
      <c r="F111" s="30" t="s">
        <v>2727</v>
      </c>
      <c r="G111" s="30" t="s">
        <v>2730</v>
      </c>
      <c r="H111" s="30" t="s">
        <v>2728</v>
      </c>
      <c r="I111" s="31" t="s">
        <v>2729</v>
      </c>
      <c r="N111" t="s">
        <v>2720</v>
      </c>
      <c r="O111">
        <f>COUNT(O12:O106)</f>
        <v>14</v>
      </c>
      <c r="P111" s="466">
        <f>COUNT(P12:P106)</f>
        <v>16</v>
      </c>
      <c r="R111" s="133" t="s">
        <v>2720</v>
      </c>
      <c r="S111" s="133">
        <f>COUNT(O34,O41,O77,O84,O98,O105)</f>
        <v>6</v>
      </c>
      <c r="T111" s="133">
        <f>COUNT(P34,P41,P77,P84,P98,P105)</f>
        <v>6</v>
      </c>
    </row>
    <row r="112" spans="1:25">
      <c r="C112" s="8"/>
      <c r="D112" s="499">
        <v>36.67</v>
      </c>
      <c r="E112" s="341"/>
      <c r="F112" s="374">
        <f>AVERAGE(D112,G112)</f>
        <v>36.664999999999999</v>
      </c>
      <c r="G112" s="500">
        <v>36.659999999999997</v>
      </c>
      <c r="H112" s="374">
        <f>ABS(G112-D112)</f>
        <v>1.0000000000005116E-2</v>
      </c>
      <c r="I112" s="501">
        <f>H112^2</f>
        <v>1.0000000000010231E-4</v>
      </c>
      <c r="N112" t="s">
        <v>2721</v>
      </c>
      <c r="O112">
        <f>MAX(O12:O106)</f>
        <v>0.18834925332974647</v>
      </c>
      <c r="P112" s="466">
        <f>MAX(P12:P106)</f>
        <v>0.14468290330359843</v>
      </c>
      <c r="R112" s="133" t="s">
        <v>2721</v>
      </c>
      <c r="S112" s="497">
        <f>MAX(O34,O41,O77,O84,O98,O105)</f>
        <v>3.9999999999999147E-2</v>
      </c>
      <c r="T112" s="497">
        <f>MAX(P34,P41,P77,P84,P98,P105)</f>
        <v>1.2000000000000455E-2</v>
      </c>
    </row>
    <row r="113" spans="3:20">
      <c r="C113" s="8"/>
      <c r="D113" s="341">
        <v>36.35</v>
      </c>
      <c r="E113" s="341"/>
      <c r="F113" s="374">
        <f t="shared" ref="F113:F117" si="0">AVERAGE(D113,G113)</f>
        <v>36.355000000000004</v>
      </c>
      <c r="G113" s="500">
        <v>36.36</v>
      </c>
      <c r="H113" s="374">
        <f t="shared" ref="H113:H117" si="1">ABS(G113-D113)</f>
        <v>9.9999999999980105E-3</v>
      </c>
      <c r="I113" s="501">
        <f t="shared" ref="I113:I117" si="2">H113^2</f>
        <v>9.9999999999960215E-5</v>
      </c>
      <c r="J113" s="496"/>
      <c r="N113" t="s">
        <v>2722</v>
      </c>
      <c r="O113">
        <f>MIN(O12:O106)</f>
        <v>-7.0000000000000284E-2</v>
      </c>
      <c r="P113" s="466">
        <f>MIN(P12:P106)</f>
        <v>-1.9999999999988916E-3</v>
      </c>
      <c r="R113" s="133" t="s">
        <v>2722</v>
      </c>
      <c r="S113" s="497">
        <f>MIN(O34,O41,O77,O84,O98,O105)</f>
        <v>-7.0000000000000284E-2</v>
      </c>
      <c r="T113" s="497">
        <f>MIN(P34,P41,P77,P84,P98,P105)</f>
        <v>-1.9999999999988916E-3</v>
      </c>
    </row>
    <row r="114" spans="3:20">
      <c r="C114" s="8"/>
      <c r="D114" s="341">
        <v>37.840000000000003</v>
      </c>
      <c r="E114" s="341"/>
      <c r="F114" s="374">
        <f t="shared" si="0"/>
        <v>37.840000000000003</v>
      </c>
      <c r="G114" s="341">
        <v>37.840000000000003</v>
      </c>
      <c r="H114" s="374">
        <f t="shared" si="1"/>
        <v>0</v>
      </c>
      <c r="I114" s="501">
        <f t="shared" si="2"/>
        <v>0</v>
      </c>
      <c r="J114" s="496"/>
      <c r="O114">
        <f>(ABS(O113)+O112)/3*2</f>
        <v>0.17223283555316451</v>
      </c>
      <c r="P114" s="466">
        <f>(ABS(P113)+P112)/3*2</f>
        <v>9.7788602202398212E-2</v>
      </c>
      <c r="R114" s="133"/>
      <c r="S114" s="498">
        <f>(ABS(S113)+S112)/3*2</f>
        <v>7.3333333333332959E-2</v>
      </c>
      <c r="T114" s="498">
        <f>(ABS(T113)+T112)/3*2</f>
        <v>9.333333333332897E-3</v>
      </c>
    </row>
    <row r="115" spans="3:20">
      <c r="C115" s="8"/>
      <c r="D115" s="341">
        <v>37.200000000000003</v>
      </c>
      <c r="E115" s="341"/>
      <c r="F115" s="374">
        <f t="shared" si="0"/>
        <v>37.165000000000006</v>
      </c>
      <c r="G115" s="341">
        <v>37.130000000000003</v>
      </c>
      <c r="H115" s="374">
        <f t="shared" si="1"/>
        <v>7.0000000000000284E-2</v>
      </c>
      <c r="I115" s="501">
        <f t="shared" si="2"/>
        <v>4.9000000000000397E-3</v>
      </c>
      <c r="J115" s="496"/>
      <c r="R115" s="133" t="s">
        <v>2723</v>
      </c>
      <c r="S115" s="133"/>
      <c r="T115" s="133"/>
    </row>
    <row r="116" spans="3:20">
      <c r="C116" s="8"/>
      <c r="D116" s="341">
        <v>37.14</v>
      </c>
      <c r="E116" s="341"/>
      <c r="F116" s="374">
        <f t="shared" si="0"/>
        <v>37.135000000000005</v>
      </c>
      <c r="G116" s="341">
        <v>37.130000000000003</v>
      </c>
      <c r="H116" s="374">
        <f t="shared" si="1"/>
        <v>9.9999999999980105E-3</v>
      </c>
      <c r="I116" s="501">
        <f t="shared" si="2"/>
        <v>9.9999999999960215E-5</v>
      </c>
      <c r="J116" s="496"/>
      <c r="R116" s="133" t="s">
        <v>2724</v>
      </c>
      <c r="S116" s="133"/>
      <c r="T116" s="133"/>
    </row>
    <row r="117" spans="3:20">
      <c r="C117" s="8"/>
      <c r="D117" s="499">
        <v>36.619999999999997</v>
      </c>
      <c r="E117" s="341"/>
      <c r="F117" s="374">
        <f t="shared" si="0"/>
        <v>36.64</v>
      </c>
      <c r="G117" s="341">
        <v>36.659999999999997</v>
      </c>
      <c r="H117" s="374">
        <f t="shared" si="1"/>
        <v>3.9999999999999147E-2</v>
      </c>
      <c r="I117" s="501">
        <f t="shared" si="2"/>
        <v>1.5999999999999318E-3</v>
      </c>
      <c r="J117" s="496"/>
      <c r="R117" s="133" t="s">
        <v>2725</v>
      </c>
      <c r="S117" s="133"/>
      <c r="T117" s="133"/>
    </row>
    <row r="118" spans="3:20">
      <c r="C118" s="8"/>
      <c r="D118" s="341"/>
      <c r="E118" s="341"/>
      <c r="F118" s="341"/>
      <c r="G118" s="341"/>
      <c r="H118" s="341"/>
      <c r="I118" s="501">
        <f>SQRT((SUM(I112:I117))/D119*2)</f>
        <v>4.7609522856952316E-2</v>
      </c>
      <c r="R118" s="105" t="s">
        <v>2739</v>
      </c>
      <c r="S118" s="105"/>
    </row>
    <row r="119" spans="3:20">
      <c r="C119" s="8" t="s">
        <v>2720</v>
      </c>
      <c r="D119" s="341">
        <f>COUNT(D112:D117)</f>
        <v>6</v>
      </c>
      <c r="E119" s="341"/>
      <c r="F119" s="341"/>
      <c r="G119" s="341"/>
      <c r="H119" s="374"/>
      <c r="I119" s="501"/>
    </row>
    <row r="120" spans="3:20">
      <c r="C120" s="8" t="s">
        <v>2737</v>
      </c>
      <c r="D120" s="341"/>
      <c r="E120" s="341"/>
      <c r="F120" s="341"/>
      <c r="G120" s="341"/>
      <c r="H120" s="341"/>
      <c r="I120" s="501">
        <f>I118*1.96</f>
        <v>9.3314664799626537E-2</v>
      </c>
      <c r="J120" s="496"/>
    </row>
    <row r="121" spans="3:20">
      <c r="C121" s="8" t="s">
        <v>2731</v>
      </c>
      <c r="D121" s="341">
        <v>2</v>
      </c>
      <c r="E121" s="341"/>
      <c r="F121" s="341"/>
      <c r="G121" s="502"/>
      <c r="H121" s="341"/>
      <c r="I121" s="330"/>
    </row>
    <row r="122" spans="3:20">
      <c r="C122" s="504" t="s">
        <v>2734</v>
      </c>
      <c r="D122" s="505"/>
      <c r="E122" s="505"/>
      <c r="F122" s="505"/>
      <c r="G122" s="505" t="s">
        <v>2733</v>
      </c>
      <c r="H122" s="505">
        <f>H115*0.7071*1.96</f>
        <v>9.7014120000000398E-2</v>
      </c>
      <c r="I122" s="330"/>
    </row>
    <row r="123" spans="3:20">
      <c r="C123" s="4"/>
      <c r="D123" s="512" t="s">
        <v>2732</v>
      </c>
      <c r="E123" s="30"/>
      <c r="F123" s="30"/>
      <c r="G123" s="30"/>
      <c r="H123" s="30" t="s">
        <v>2728</v>
      </c>
      <c r="I123" s="31" t="s">
        <v>2729</v>
      </c>
    </row>
    <row r="124" spans="3:20">
      <c r="C124" s="8"/>
      <c r="D124" s="508">
        <v>8.2880000000000003</v>
      </c>
      <c r="E124" s="341"/>
      <c r="F124" s="341"/>
      <c r="G124" s="508">
        <v>8.3000000000000007</v>
      </c>
      <c r="H124" s="503">
        <f>ABS(G124-D124)</f>
        <v>1.2000000000000455E-2</v>
      </c>
      <c r="I124" s="509">
        <f>H124^2</f>
        <v>1.4400000000001093E-4</v>
      </c>
    </row>
    <row r="125" spans="3:20">
      <c r="C125" s="8"/>
      <c r="D125" s="508">
        <v>8.0879999999999992</v>
      </c>
      <c r="E125" s="341"/>
      <c r="F125" s="341"/>
      <c r="G125" s="508">
        <v>8.0920000000000005</v>
      </c>
      <c r="H125" s="503">
        <f t="shared" ref="H125:H131" si="3">ABS(G125-D125)</f>
        <v>4.0000000000013358E-3</v>
      </c>
      <c r="I125" s="509">
        <f t="shared" ref="I125:I131" si="4">H125^2</f>
        <v>1.6000000000010685E-5</v>
      </c>
    </row>
    <row r="126" spans="3:20">
      <c r="C126" s="8"/>
      <c r="D126" s="508">
        <v>8.2690000000000001</v>
      </c>
      <c r="E126" s="341"/>
      <c r="F126" s="341"/>
      <c r="G126" s="508">
        <v>8.2759999999999998</v>
      </c>
      <c r="H126" s="503">
        <f t="shared" si="3"/>
        <v>6.9999999999996732E-3</v>
      </c>
      <c r="I126" s="509">
        <f t="shared" si="4"/>
        <v>4.8999999999995424E-5</v>
      </c>
    </row>
    <row r="127" spans="3:20">
      <c r="C127" s="8"/>
      <c r="D127" s="508">
        <v>8.0690000000000008</v>
      </c>
      <c r="E127" s="341"/>
      <c r="F127" s="341"/>
      <c r="G127" s="508">
        <v>8.0709999999999997</v>
      </c>
      <c r="H127" s="503">
        <f t="shared" si="3"/>
        <v>1.9999999999988916E-3</v>
      </c>
      <c r="I127" s="509">
        <f t="shared" si="4"/>
        <v>3.9999999999955664E-6</v>
      </c>
    </row>
    <row r="128" spans="3:20">
      <c r="C128" s="8"/>
      <c r="D128" s="341">
        <v>8.6289999999999996</v>
      </c>
      <c r="E128" s="341"/>
      <c r="F128" s="341"/>
      <c r="G128" s="341">
        <v>8.6340000000000003</v>
      </c>
      <c r="H128" s="503">
        <f t="shared" si="3"/>
        <v>5.0000000000007816E-3</v>
      </c>
      <c r="I128" s="509">
        <f t="shared" si="4"/>
        <v>2.5000000000007818E-5</v>
      </c>
    </row>
    <row r="129" spans="3:9">
      <c r="C129" s="8"/>
      <c r="D129" s="341">
        <v>8.4809999999999999</v>
      </c>
      <c r="E129" s="341"/>
      <c r="F129" s="341"/>
      <c r="G129" s="341">
        <v>8.4809999999999999</v>
      </c>
      <c r="H129" s="503">
        <f t="shared" si="3"/>
        <v>0</v>
      </c>
      <c r="I129" s="509">
        <f t="shared" si="4"/>
        <v>0</v>
      </c>
    </row>
    <row r="130" spans="3:9">
      <c r="C130" s="8"/>
      <c r="D130" s="341">
        <v>8.5619999999999994</v>
      </c>
      <c r="E130" s="341"/>
      <c r="F130" s="341"/>
      <c r="G130" s="341">
        <v>8.56</v>
      </c>
      <c r="H130" s="503">
        <f t="shared" si="3"/>
        <v>1.9999999999988916E-3</v>
      </c>
      <c r="I130" s="509">
        <f t="shared" si="4"/>
        <v>3.9999999999955664E-6</v>
      </c>
    </row>
    <row r="131" spans="3:9">
      <c r="C131" s="8"/>
      <c r="D131" s="341">
        <v>8.3989999999999991</v>
      </c>
      <c r="E131" s="341"/>
      <c r="F131" s="341"/>
      <c r="G131" s="341">
        <v>8.4009999999999998</v>
      </c>
      <c r="H131" s="503">
        <f t="shared" si="3"/>
        <v>2.0000000000006679E-3</v>
      </c>
      <c r="I131" s="509">
        <f t="shared" si="4"/>
        <v>4.0000000000026714E-6</v>
      </c>
    </row>
    <row r="132" spans="3:9">
      <c r="C132" s="8"/>
      <c r="D132" s="341"/>
      <c r="E132" s="341"/>
      <c r="F132" s="341"/>
      <c r="G132" s="341"/>
      <c r="H132" s="341"/>
      <c r="I132" s="509">
        <f>SQRT((SUM(I124:I131))/D133*2)</f>
        <v>7.8421935706793587E-3</v>
      </c>
    </row>
    <row r="133" spans="3:9">
      <c r="C133" s="8" t="s">
        <v>2720</v>
      </c>
      <c r="D133" s="341">
        <f>COUNT(D124:D131)</f>
        <v>8</v>
      </c>
      <c r="E133" s="341"/>
      <c r="F133" s="341"/>
      <c r="G133" s="341"/>
      <c r="H133" s="341"/>
      <c r="I133" s="32"/>
    </row>
    <row r="134" spans="3:9">
      <c r="C134" s="506" t="s">
        <v>2738</v>
      </c>
      <c r="D134" s="507"/>
      <c r="E134" s="507"/>
      <c r="F134" s="507"/>
      <c r="G134" s="507"/>
      <c r="H134" s="341"/>
      <c r="I134" s="509">
        <f>I132*1.96</f>
        <v>1.5370699398531543E-2</v>
      </c>
    </row>
    <row r="135" spans="3:9">
      <c r="C135" s="504" t="s">
        <v>2734</v>
      </c>
      <c r="D135" s="505"/>
      <c r="E135" s="505"/>
      <c r="F135" s="505"/>
      <c r="G135" s="505" t="s">
        <v>2733</v>
      </c>
      <c r="H135" s="505">
        <f>(H124*0.7071)*1.96</f>
        <v>1.6630992000000629E-2</v>
      </c>
      <c r="I135" s="32"/>
    </row>
    <row r="136" spans="3:9">
      <c r="C136" s="510" t="s">
        <v>2735</v>
      </c>
      <c r="D136" s="310" t="s">
        <v>2736</v>
      </c>
      <c r="E136" s="310"/>
      <c r="F136" s="310"/>
      <c r="G136" s="310"/>
      <c r="H136" s="310"/>
      <c r="I136" s="511"/>
    </row>
    <row r="140" spans="3:9">
      <c r="C140" t="s">
        <v>1715</v>
      </c>
    </row>
    <row r="141" spans="3:9">
      <c r="C141" s="585"/>
      <c r="D141" s="586" t="s">
        <v>2726</v>
      </c>
      <c r="E141" s="587"/>
      <c r="F141" s="587" t="s">
        <v>2730</v>
      </c>
      <c r="G141" s="588" t="s">
        <v>2727</v>
      </c>
      <c r="H141" s="588" t="s">
        <v>1684</v>
      </c>
      <c r="I141" s="589" t="s">
        <v>2828</v>
      </c>
    </row>
    <row r="142" spans="3:9">
      <c r="C142" s="590"/>
      <c r="D142" s="170">
        <f>D34</f>
        <v>36.67</v>
      </c>
      <c r="E142" s="591"/>
      <c r="F142" s="493">
        <f>G34</f>
        <v>36.659999999999997</v>
      </c>
      <c r="G142" s="592">
        <f>AVERAGE(D142,F142)</f>
        <v>36.664999999999999</v>
      </c>
      <c r="H142" s="593">
        <f>(F142-D142)</f>
        <v>-1.0000000000005116E-2</v>
      </c>
      <c r="I142" s="594">
        <f>H142/G142</f>
        <v>-2.7273966998513885E-4</v>
      </c>
    </row>
    <row r="143" spans="3:9">
      <c r="C143" s="590"/>
      <c r="D143" s="170">
        <f>D41</f>
        <v>36.35</v>
      </c>
      <c r="E143" s="591"/>
      <c r="F143" s="493">
        <f>G41</f>
        <v>36.36</v>
      </c>
      <c r="G143" s="592">
        <f t="shared" ref="G143:G147" si="5">AVERAGE(D143,F143)</f>
        <v>36.355000000000004</v>
      </c>
      <c r="H143" s="593">
        <f t="shared" ref="H143:H147" si="6">(F143-D143)</f>
        <v>9.9999999999980105E-3</v>
      </c>
      <c r="I143" s="594">
        <f t="shared" ref="I143:I147" si="7">H143/G143</f>
        <v>2.7506532801534889E-4</v>
      </c>
    </row>
    <row r="144" spans="3:9">
      <c r="C144" s="590"/>
      <c r="D144" s="170">
        <f>D77</f>
        <v>37.840000000000003</v>
      </c>
      <c r="E144" s="591"/>
      <c r="F144" s="493">
        <f>G77</f>
        <v>37.840000000000003</v>
      </c>
      <c r="G144" s="592">
        <f t="shared" si="5"/>
        <v>37.840000000000003</v>
      </c>
      <c r="H144" s="593">
        <f t="shared" si="6"/>
        <v>0</v>
      </c>
      <c r="I144" s="594">
        <f t="shared" si="7"/>
        <v>0</v>
      </c>
    </row>
    <row r="145" spans="3:9">
      <c r="C145" s="590"/>
      <c r="D145" s="170">
        <f>D84</f>
        <v>37.200000000000003</v>
      </c>
      <c r="E145" s="591"/>
      <c r="F145" s="493">
        <f>G84</f>
        <v>37.130000000000003</v>
      </c>
      <c r="G145" s="592">
        <f t="shared" si="5"/>
        <v>37.165000000000006</v>
      </c>
      <c r="H145" s="593">
        <f t="shared" si="6"/>
        <v>-7.0000000000000284E-2</v>
      </c>
      <c r="I145" s="594">
        <f t="shared" si="7"/>
        <v>-1.8834925332974646E-3</v>
      </c>
    </row>
    <row r="146" spans="3:9">
      <c r="C146" s="590"/>
      <c r="D146" s="170">
        <f>D98</f>
        <v>37.14</v>
      </c>
      <c r="E146" s="591"/>
      <c r="F146" s="493">
        <f>G98</f>
        <v>37.130000000000003</v>
      </c>
      <c r="G146" s="592">
        <f t="shared" si="5"/>
        <v>37.135000000000005</v>
      </c>
      <c r="H146" s="593">
        <f t="shared" si="6"/>
        <v>-9.9999999999980105E-3</v>
      </c>
      <c r="I146" s="594">
        <f t="shared" si="7"/>
        <v>-2.6928773394366523E-4</v>
      </c>
    </row>
    <row r="147" spans="3:9">
      <c r="C147" s="590"/>
      <c r="D147" s="170">
        <f>D105</f>
        <v>36.619999999999997</v>
      </c>
      <c r="E147" s="591"/>
      <c r="F147" s="493">
        <f>G105</f>
        <v>36.659999999999997</v>
      </c>
      <c r="G147" s="592">
        <f t="shared" si="5"/>
        <v>36.64</v>
      </c>
      <c r="H147" s="593">
        <f t="shared" si="6"/>
        <v>3.9999999999999147E-2</v>
      </c>
      <c r="I147" s="594">
        <f t="shared" si="7"/>
        <v>1.0917030567685357E-3</v>
      </c>
    </row>
    <row r="148" spans="3:9">
      <c r="C148" s="590"/>
      <c r="D148" s="595"/>
      <c r="E148" s="595"/>
      <c r="F148" s="595"/>
      <c r="G148" s="508" t="s">
        <v>2829</v>
      </c>
      <c r="H148" s="221"/>
      <c r="I148" s="596">
        <f>_xlfn.STDEV.P(I142:I147)</f>
        <v>8.921040321208353E-4</v>
      </c>
    </row>
    <row r="149" spans="3:9">
      <c r="C149" s="247" t="s">
        <v>2720</v>
      </c>
      <c r="D149" s="508">
        <f>COUNT(D142:D147)</f>
        <v>6</v>
      </c>
      <c r="E149" s="595"/>
      <c r="F149" s="595"/>
      <c r="G149" s="593" t="s">
        <v>2830</v>
      </c>
      <c r="H149" s="221"/>
      <c r="I149" s="596">
        <f>I148/SQRT(2)</f>
        <v>6.3081281063650423E-4</v>
      </c>
    </row>
    <row r="150" spans="3:9">
      <c r="C150" s="247" t="s">
        <v>2737</v>
      </c>
      <c r="D150" s="508"/>
      <c r="E150" s="595"/>
      <c r="F150" s="595"/>
      <c r="G150" s="254"/>
      <c r="H150" s="595"/>
      <c r="I150" s="597"/>
    </row>
    <row r="151" spans="3:9">
      <c r="C151" s="247" t="s">
        <v>2731</v>
      </c>
      <c r="D151" s="508">
        <v>2</v>
      </c>
      <c r="E151" s="595"/>
      <c r="F151" s="595"/>
      <c r="G151" s="598"/>
      <c r="H151" s="595"/>
      <c r="I151" s="599"/>
    </row>
    <row r="152" spans="3:9">
      <c r="C152" s="600" t="s">
        <v>2831</v>
      </c>
      <c r="D152" s="601"/>
      <c r="E152" s="601"/>
      <c r="F152" s="601"/>
      <c r="G152" s="601"/>
      <c r="H152" s="602">
        <f>I149*2</f>
        <v>1.2616256212730085E-3</v>
      </c>
      <c r="I152" s="599"/>
    </row>
    <row r="153" spans="3:9">
      <c r="C153" s="585"/>
      <c r="D153" s="586" t="s">
        <v>2732</v>
      </c>
      <c r="E153" s="603"/>
      <c r="F153" s="587" t="s">
        <v>2730</v>
      </c>
      <c r="G153" s="588" t="s">
        <v>2727</v>
      </c>
      <c r="H153" s="588" t="s">
        <v>1684</v>
      </c>
      <c r="I153" s="589" t="s">
        <v>2828</v>
      </c>
    </row>
    <row r="154" spans="3:9">
      <c r="C154" s="590"/>
      <c r="D154" s="508">
        <f>I34</f>
        <v>8.2880000000000003</v>
      </c>
      <c r="E154" s="221"/>
      <c r="F154" s="221">
        <f>L34</f>
        <v>8.3000000000000007</v>
      </c>
      <c r="G154" s="593">
        <f>AVERAGE(D154,F154)</f>
        <v>8.2940000000000005</v>
      </c>
      <c r="H154" s="604">
        <f>(F154-D154)</f>
        <v>1.2000000000000455E-2</v>
      </c>
      <c r="I154" s="594">
        <f>H154/G154</f>
        <v>1.4468290330359843E-3</v>
      </c>
    </row>
    <row r="155" spans="3:9">
      <c r="C155" s="590"/>
      <c r="D155" s="508">
        <f>I41</f>
        <v>8.0879999999999992</v>
      </c>
      <c r="E155" s="221"/>
      <c r="F155" s="221">
        <f>L41</f>
        <v>8.0920000000000005</v>
      </c>
      <c r="G155" s="593">
        <f t="shared" ref="G155:G159" si="8">AVERAGE(D155,F155)</f>
        <v>8.09</v>
      </c>
      <c r="H155" s="604">
        <f t="shared" ref="H155:H159" si="9">(F155-D155)</f>
        <v>4.0000000000013358E-3</v>
      </c>
      <c r="I155" s="594">
        <f t="shared" ref="I155:I158" si="10">H155/G155</f>
        <v>4.9443757725603661E-4</v>
      </c>
    </row>
    <row r="156" spans="3:9">
      <c r="C156" s="590"/>
      <c r="D156" s="508">
        <f>I56</f>
        <v>8.2690000000000001</v>
      </c>
      <c r="E156" s="221"/>
      <c r="F156" s="221">
        <f>L56</f>
        <v>8.2759999999999998</v>
      </c>
      <c r="G156" s="593">
        <f t="shared" si="8"/>
        <v>8.2725000000000009</v>
      </c>
      <c r="H156" s="604">
        <f t="shared" si="9"/>
        <v>6.9999999999996732E-3</v>
      </c>
      <c r="I156" s="594">
        <f t="shared" si="10"/>
        <v>8.461770927772345E-4</v>
      </c>
    </row>
    <row r="157" spans="3:9">
      <c r="C157" s="590"/>
      <c r="D157" s="508">
        <f>I63</f>
        <v>8.0690000000000008</v>
      </c>
      <c r="E157" s="221"/>
      <c r="F157" s="221">
        <f>L63</f>
        <v>8.0709999999999997</v>
      </c>
      <c r="G157" s="593">
        <f t="shared" si="8"/>
        <v>8.07</v>
      </c>
      <c r="H157" s="604">
        <f t="shared" si="9"/>
        <v>1.9999999999988916E-3</v>
      </c>
      <c r="I157" s="594">
        <f t="shared" si="10"/>
        <v>2.478314745971365E-4</v>
      </c>
    </row>
    <row r="158" spans="3:9">
      <c r="C158" s="590"/>
      <c r="D158" s="508">
        <f>I77</f>
        <v>8.6289999999999996</v>
      </c>
      <c r="E158" s="221"/>
      <c r="F158" s="221">
        <f>L77</f>
        <v>8.6340000000000003</v>
      </c>
      <c r="G158" s="593">
        <f t="shared" si="8"/>
        <v>8.6314999999999991</v>
      </c>
      <c r="H158" s="604">
        <f t="shared" si="9"/>
        <v>5.0000000000007816E-3</v>
      </c>
      <c r="I158" s="594">
        <f t="shared" si="10"/>
        <v>5.7927359091708072E-4</v>
      </c>
    </row>
    <row r="159" spans="3:9">
      <c r="C159" s="590"/>
      <c r="D159" s="508">
        <f>I84</f>
        <v>8.4809999999999999</v>
      </c>
      <c r="E159" s="221"/>
      <c r="F159" s="221">
        <f>L84</f>
        <v>8.4809999999999999</v>
      </c>
      <c r="G159" s="593">
        <f t="shared" si="8"/>
        <v>8.4809999999999999</v>
      </c>
      <c r="H159" s="604">
        <f t="shared" si="9"/>
        <v>0</v>
      </c>
      <c r="I159" s="605">
        <f t="shared" ref="I159" si="11">H159^2</f>
        <v>0</v>
      </c>
    </row>
    <row r="160" spans="3:9" s="584" customFormat="1">
      <c r="C160" s="590"/>
      <c r="D160" s="508">
        <f>I98</f>
        <v>8.5619999999999994</v>
      </c>
      <c r="E160" s="221"/>
      <c r="F160" s="221">
        <f>L98</f>
        <v>8.56</v>
      </c>
      <c r="G160" s="593">
        <f t="shared" ref="G160:G161" si="12">AVERAGE(D160,F160)</f>
        <v>8.5609999999999999</v>
      </c>
      <c r="H160" s="604">
        <f t="shared" ref="H160:H161" si="13">(F160-D160)</f>
        <v>-1.9999999999988916E-3</v>
      </c>
      <c r="I160" s="605">
        <f t="shared" ref="I160:I161" si="14">H160^2</f>
        <v>3.9999999999955664E-6</v>
      </c>
    </row>
    <row r="161" spans="3:9" s="584" customFormat="1">
      <c r="C161" s="590"/>
      <c r="D161" s="508">
        <f>I105</f>
        <v>8.3989999999999991</v>
      </c>
      <c r="E161" s="221"/>
      <c r="F161" s="221">
        <f>L105</f>
        <v>8.4009999999999998</v>
      </c>
      <c r="G161" s="593">
        <f t="shared" si="12"/>
        <v>8.3999999999999986</v>
      </c>
      <c r="H161" s="604">
        <f t="shared" si="13"/>
        <v>2.0000000000006679E-3</v>
      </c>
      <c r="I161" s="605">
        <f t="shared" si="14"/>
        <v>4.0000000000026714E-6</v>
      </c>
    </row>
    <row r="162" spans="3:9">
      <c r="C162" s="590"/>
      <c r="D162" s="595"/>
      <c r="E162" s="595"/>
      <c r="F162" s="595"/>
      <c r="G162" s="508" t="s">
        <v>2829</v>
      </c>
      <c r="H162" s="221"/>
      <c r="I162" s="596">
        <f>_xlfn.STDEV.P(I154:I161)</f>
        <v>4.7571673902634158E-4</v>
      </c>
    </row>
    <row r="163" spans="3:9">
      <c r="C163" s="247" t="s">
        <v>2720</v>
      </c>
      <c r="D163" s="508">
        <f>COUNT(D154:D161)</f>
        <v>8</v>
      </c>
      <c r="E163" s="595"/>
      <c r="F163" s="595"/>
      <c r="G163" s="593" t="s">
        <v>2830</v>
      </c>
      <c r="H163" s="221"/>
      <c r="I163" s="596">
        <f>I162/SQRT(2)</f>
        <v>3.3638253208947722E-4</v>
      </c>
    </row>
    <row r="164" spans="3:9">
      <c r="C164" s="247" t="s">
        <v>2737</v>
      </c>
      <c r="D164" s="508"/>
      <c r="E164" s="595"/>
      <c r="F164" s="595"/>
      <c r="G164" s="221"/>
      <c r="H164" s="508"/>
      <c r="I164" s="605"/>
    </row>
    <row r="165" spans="3:9">
      <c r="C165" s="247" t="s">
        <v>2731</v>
      </c>
      <c r="D165" s="508">
        <v>2</v>
      </c>
      <c r="E165" s="595"/>
      <c r="F165" s="595"/>
      <c r="G165" s="606"/>
      <c r="H165" s="508"/>
      <c r="I165" s="607"/>
    </row>
    <row r="166" spans="3:9">
      <c r="C166" s="600" t="s">
        <v>2831</v>
      </c>
      <c r="D166" s="601"/>
      <c r="E166" s="601"/>
      <c r="F166" s="601"/>
      <c r="G166" s="601"/>
      <c r="H166" s="602">
        <f>I163*2</f>
        <v>6.7276506417895444E-4</v>
      </c>
      <c r="I166" s="605"/>
    </row>
  </sheetData>
  <mergeCells count="2">
    <mergeCell ref="U72:V72"/>
    <mergeCell ref="U93:V93"/>
  </mergeCell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M37" sqref="M37"/>
    </sheetView>
  </sheetViews>
  <sheetFormatPr defaultColWidth="8.83203125" defaultRowHeight="15.5"/>
  <sheetData/>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89"/>
  <sheetViews>
    <sheetView topLeftCell="A76" workbookViewId="0">
      <selection activeCell="A2" sqref="A2"/>
    </sheetView>
  </sheetViews>
  <sheetFormatPr defaultColWidth="8.83203125" defaultRowHeight="15.5"/>
  <cols>
    <col min="5" max="5" width="11.5" bestFit="1" customWidth="1"/>
    <col min="6" max="6" width="9.33203125" bestFit="1" customWidth="1"/>
  </cols>
  <sheetData>
    <row r="1" spans="1:10">
      <c r="A1" s="180" t="s">
        <v>2827</v>
      </c>
      <c r="B1" s="255"/>
      <c r="C1" s="7"/>
      <c r="E1" s="71"/>
      <c r="G1" s="256"/>
      <c r="H1" s="257"/>
    </row>
    <row r="2" spans="1:10">
      <c r="C2" s="7"/>
      <c r="E2" s="71"/>
      <c r="G2" s="256"/>
      <c r="H2" s="257"/>
    </row>
    <row r="3" spans="1:10">
      <c r="A3" s="265" t="s">
        <v>1798</v>
      </c>
      <c r="E3" s="71"/>
      <c r="G3" s="256"/>
      <c r="H3" s="257"/>
    </row>
    <row r="4" spans="1:10">
      <c r="A4" t="s">
        <v>1799</v>
      </c>
      <c r="C4" s="7"/>
      <c r="D4" s="68"/>
      <c r="E4" s="71"/>
      <c r="F4" s="191"/>
      <c r="G4" s="256"/>
      <c r="H4" s="257"/>
    </row>
    <row r="5" spans="1:10">
      <c r="A5" t="s">
        <v>1800</v>
      </c>
      <c r="C5" s="7"/>
      <c r="D5" s="68"/>
      <c r="E5" s="71"/>
      <c r="F5" s="191"/>
      <c r="G5" s="256"/>
      <c r="H5" s="257"/>
    </row>
    <row r="6" spans="1:10">
      <c r="A6" t="s">
        <v>1801</v>
      </c>
      <c r="C6" s="7"/>
      <c r="D6" s="68"/>
      <c r="E6" s="71"/>
      <c r="F6" s="191"/>
      <c r="G6" s="256"/>
      <c r="H6" s="257"/>
    </row>
    <row r="7" spans="1:10">
      <c r="A7" s="258" t="s">
        <v>1802</v>
      </c>
      <c r="C7" s="7"/>
      <c r="D7" s="68"/>
      <c r="E7" s="71"/>
      <c r="F7" s="191"/>
      <c r="G7" s="256"/>
      <c r="H7" s="257"/>
    </row>
    <row r="8" spans="1:10">
      <c r="A8" s="77" t="s">
        <v>1803</v>
      </c>
      <c r="B8" s="40"/>
      <c r="C8" s="68"/>
      <c r="E8" s="71"/>
      <c r="F8" s="191"/>
      <c r="G8" s="256"/>
      <c r="H8" s="257"/>
    </row>
    <row r="9" spans="1:10">
      <c r="C9" s="7"/>
      <c r="E9" s="71"/>
      <c r="G9" s="256"/>
      <c r="H9" s="257"/>
    </row>
    <row r="10" spans="1:10">
      <c r="A10" s="4" t="s">
        <v>1804</v>
      </c>
      <c r="B10" s="30" t="s">
        <v>39</v>
      </c>
      <c r="C10" s="30" t="s">
        <v>39</v>
      </c>
      <c r="D10" s="30" t="s">
        <v>1695</v>
      </c>
      <c r="E10" s="259" t="s">
        <v>1805</v>
      </c>
      <c r="F10" s="260" t="s">
        <v>1806</v>
      </c>
      <c r="G10" s="30" t="s">
        <v>1807</v>
      </c>
      <c r="H10" s="261" t="s">
        <v>1808</v>
      </c>
      <c r="I10" s="31" t="s">
        <v>1633</v>
      </c>
    </row>
    <row r="11" spans="1:10">
      <c r="A11" s="13"/>
      <c r="B11" s="147" t="s">
        <v>1809</v>
      </c>
      <c r="C11" s="147" t="s">
        <v>67</v>
      </c>
      <c r="D11" s="147" t="s">
        <v>1675</v>
      </c>
      <c r="E11" s="262" t="s">
        <v>1810</v>
      </c>
      <c r="F11" s="263"/>
      <c r="G11" s="147"/>
      <c r="H11" s="264"/>
      <c r="I11" s="21"/>
    </row>
    <row r="12" spans="1:10">
      <c r="A12" s="146" t="s">
        <v>1811</v>
      </c>
      <c r="B12" s="147" t="s">
        <v>1812</v>
      </c>
      <c r="C12" s="147"/>
      <c r="D12" s="147"/>
      <c r="E12" s="147">
        <v>0</v>
      </c>
      <c r="F12" s="266">
        <v>42893</v>
      </c>
      <c r="G12" s="147" t="s">
        <v>1715</v>
      </c>
      <c r="H12" s="147" t="s">
        <v>1813</v>
      </c>
      <c r="I12" s="147" t="s">
        <v>1814</v>
      </c>
      <c r="J12" s="147"/>
    </row>
    <row r="13" spans="1:10">
      <c r="A13" s="267" t="s">
        <v>1815</v>
      </c>
      <c r="B13" s="268">
        <v>2017</v>
      </c>
      <c r="C13" s="268" t="s">
        <v>1557</v>
      </c>
      <c r="D13" s="268">
        <v>1</v>
      </c>
      <c r="E13" s="268">
        <v>2616.6</v>
      </c>
      <c r="F13" s="269">
        <v>42893</v>
      </c>
      <c r="G13" s="268" t="s">
        <v>1715</v>
      </c>
      <c r="H13" s="268" t="s">
        <v>1813</v>
      </c>
      <c r="I13" s="268" t="s">
        <v>1814</v>
      </c>
      <c r="J13" s="268"/>
    </row>
    <row r="14" spans="1:10">
      <c r="A14" s="267" t="s">
        <v>1816</v>
      </c>
      <c r="B14" s="268">
        <v>2017</v>
      </c>
      <c r="C14" s="268" t="s">
        <v>1557</v>
      </c>
      <c r="D14" s="268">
        <v>2</v>
      </c>
      <c r="E14" s="268">
        <v>2576.9</v>
      </c>
      <c r="F14" s="269">
        <v>42893</v>
      </c>
      <c r="G14" s="268" t="s">
        <v>1715</v>
      </c>
      <c r="H14" s="268" t="s">
        <v>1813</v>
      </c>
      <c r="I14" s="268" t="s">
        <v>1814</v>
      </c>
      <c r="J14" s="268"/>
    </row>
    <row r="15" spans="1:10">
      <c r="A15" s="267" t="s">
        <v>1817</v>
      </c>
      <c r="B15" s="268">
        <v>2017</v>
      </c>
      <c r="C15" s="268" t="s">
        <v>1557</v>
      </c>
      <c r="D15" s="268" t="s">
        <v>1818</v>
      </c>
      <c r="E15" s="268">
        <v>5354.9</v>
      </c>
      <c r="F15" s="269">
        <v>42893</v>
      </c>
      <c r="G15" s="268" t="s">
        <v>1715</v>
      </c>
      <c r="H15" s="268" t="s">
        <v>1813</v>
      </c>
      <c r="I15" s="268" t="s">
        <v>1814</v>
      </c>
      <c r="J15" s="268"/>
    </row>
    <row r="16" spans="1:10">
      <c r="A16" s="267" t="s">
        <v>1819</v>
      </c>
      <c r="B16" s="268">
        <v>2017</v>
      </c>
      <c r="C16" s="268" t="s">
        <v>1557</v>
      </c>
      <c r="D16" s="268" t="s">
        <v>1820</v>
      </c>
      <c r="E16" s="268">
        <v>4081.2</v>
      </c>
      <c r="F16" s="269">
        <v>42893</v>
      </c>
      <c r="G16" s="268" t="s">
        <v>1715</v>
      </c>
      <c r="H16" s="268" t="s">
        <v>1813</v>
      </c>
      <c r="I16" s="268" t="s">
        <v>1814</v>
      </c>
      <c r="J16" s="268"/>
    </row>
    <row r="17" spans="1:10">
      <c r="A17" s="267" t="s">
        <v>1821</v>
      </c>
      <c r="B17" s="268">
        <v>2017</v>
      </c>
      <c r="C17" s="268" t="s">
        <v>1557</v>
      </c>
      <c r="D17" s="268">
        <v>4</v>
      </c>
      <c r="E17" s="268">
        <v>3845.2</v>
      </c>
      <c r="F17" s="269">
        <v>42893</v>
      </c>
      <c r="G17" s="268" t="s">
        <v>1715</v>
      </c>
      <c r="H17" s="268" t="s">
        <v>1813</v>
      </c>
      <c r="I17" s="268" t="s">
        <v>1814</v>
      </c>
      <c r="J17" s="268"/>
    </row>
    <row r="18" spans="1:10">
      <c r="A18" s="267" t="s">
        <v>1822</v>
      </c>
      <c r="B18" s="268">
        <v>2017</v>
      </c>
      <c r="C18" s="268" t="s">
        <v>1557</v>
      </c>
      <c r="D18" s="268">
        <v>5</v>
      </c>
      <c r="E18" s="268">
        <v>2608.1999999999998</v>
      </c>
      <c r="F18" s="269">
        <v>42893</v>
      </c>
      <c r="G18" s="268" t="s">
        <v>1715</v>
      </c>
      <c r="H18" s="268" t="s">
        <v>1813</v>
      </c>
      <c r="I18" s="268" t="s">
        <v>1814</v>
      </c>
      <c r="J18" s="268"/>
    </row>
    <row r="19" spans="1:10">
      <c r="A19" s="267" t="s">
        <v>1823</v>
      </c>
      <c r="B19" s="268">
        <v>2017</v>
      </c>
      <c r="C19" s="268" t="s">
        <v>1557</v>
      </c>
      <c r="D19" s="268">
        <v>6</v>
      </c>
      <c r="E19" s="268">
        <v>3526.7</v>
      </c>
      <c r="F19" s="269">
        <v>42893</v>
      </c>
      <c r="G19" s="268" t="s">
        <v>1715</v>
      </c>
      <c r="H19" s="268" t="s">
        <v>1813</v>
      </c>
      <c r="I19" s="268" t="s">
        <v>1814</v>
      </c>
      <c r="J19" s="268"/>
    </row>
    <row r="20" spans="1:10">
      <c r="A20" s="267" t="s">
        <v>1824</v>
      </c>
      <c r="B20" s="268">
        <v>2017</v>
      </c>
      <c r="C20" s="268" t="s">
        <v>1557</v>
      </c>
      <c r="D20" s="268">
        <v>7</v>
      </c>
      <c r="E20" s="268">
        <v>2422.5</v>
      </c>
      <c r="F20" s="269">
        <v>42893</v>
      </c>
      <c r="G20" s="268" t="s">
        <v>1715</v>
      </c>
      <c r="H20" s="268" t="s">
        <v>1813</v>
      </c>
      <c r="I20" s="268" t="s">
        <v>1814</v>
      </c>
      <c r="J20" s="268"/>
    </row>
    <row r="21" spans="1:10">
      <c r="A21" s="267" t="s">
        <v>1825</v>
      </c>
      <c r="B21" s="268">
        <v>2017</v>
      </c>
      <c r="C21" s="268" t="s">
        <v>1557</v>
      </c>
      <c r="D21" s="268">
        <v>8</v>
      </c>
      <c r="E21" s="268">
        <v>2558.4</v>
      </c>
      <c r="F21" s="269">
        <v>42893</v>
      </c>
      <c r="G21" s="268" t="s">
        <v>1715</v>
      </c>
      <c r="H21" s="268" t="s">
        <v>1813</v>
      </c>
      <c r="I21" s="268" t="s">
        <v>1814</v>
      </c>
      <c r="J21" s="268"/>
    </row>
    <row r="22" spans="1:10">
      <c r="A22" s="267" t="s">
        <v>1826</v>
      </c>
      <c r="B22" s="268">
        <v>2017</v>
      </c>
      <c r="C22" s="268" t="s">
        <v>1557</v>
      </c>
      <c r="D22" s="268">
        <v>9</v>
      </c>
      <c r="E22" s="268">
        <v>3552.4</v>
      </c>
      <c r="F22" s="269">
        <v>42893</v>
      </c>
      <c r="G22" s="268" t="s">
        <v>1715</v>
      </c>
      <c r="H22" s="268" t="s">
        <v>1813</v>
      </c>
      <c r="I22" s="268" t="s">
        <v>1814</v>
      </c>
      <c r="J22" s="268"/>
    </row>
    <row r="23" spans="1:10">
      <c r="A23" s="267" t="s">
        <v>1827</v>
      </c>
      <c r="B23" s="268">
        <v>2017</v>
      </c>
      <c r="C23" s="268" t="s">
        <v>1557</v>
      </c>
      <c r="D23" s="268">
        <v>10</v>
      </c>
      <c r="E23" s="268">
        <v>3352.7</v>
      </c>
      <c r="F23" s="269">
        <v>42893</v>
      </c>
      <c r="G23" s="268" t="s">
        <v>1715</v>
      </c>
      <c r="H23" s="268" t="s">
        <v>1813</v>
      </c>
      <c r="I23" s="268" t="s">
        <v>1814</v>
      </c>
      <c r="J23" s="268"/>
    </row>
    <row r="24" spans="1:10">
      <c r="A24" s="270" t="s">
        <v>1828</v>
      </c>
      <c r="B24" s="268">
        <v>2017</v>
      </c>
      <c r="C24" s="268" t="s">
        <v>1557</v>
      </c>
      <c r="D24" s="268">
        <v>11</v>
      </c>
      <c r="E24" s="268">
        <v>2643.3</v>
      </c>
      <c r="F24" s="269">
        <v>42893</v>
      </c>
      <c r="G24" s="268" t="s">
        <v>1715</v>
      </c>
      <c r="H24" s="268" t="s">
        <v>1813</v>
      </c>
      <c r="I24" s="268" t="s">
        <v>1814</v>
      </c>
      <c r="J24" s="268"/>
    </row>
    <row r="25" spans="1:10">
      <c r="A25" s="270" t="s">
        <v>1829</v>
      </c>
      <c r="B25" s="268">
        <v>2017</v>
      </c>
      <c r="C25" s="268" t="s">
        <v>1557</v>
      </c>
      <c r="D25" s="268">
        <v>12</v>
      </c>
      <c r="E25" s="268">
        <v>2607</v>
      </c>
      <c r="F25" s="269">
        <v>42893</v>
      </c>
      <c r="G25" s="268" t="s">
        <v>1715</v>
      </c>
      <c r="H25" s="268" t="s">
        <v>1813</v>
      </c>
      <c r="I25" s="268" t="s">
        <v>1814</v>
      </c>
      <c r="J25" s="268"/>
    </row>
    <row r="26" spans="1:10">
      <c r="A26" s="270" t="s">
        <v>1830</v>
      </c>
      <c r="B26" s="268">
        <v>2017</v>
      </c>
      <c r="C26" s="268" t="s">
        <v>1557</v>
      </c>
      <c r="D26" s="268">
        <v>13</v>
      </c>
      <c r="E26" s="268">
        <v>3711.7</v>
      </c>
      <c r="F26" s="269">
        <v>42893</v>
      </c>
      <c r="G26" s="268" t="s">
        <v>1715</v>
      </c>
      <c r="H26" s="268" t="s">
        <v>1813</v>
      </c>
      <c r="I26" s="268" t="s">
        <v>1814</v>
      </c>
      <c r="J26" s="268"/>
    </row>
    <row r="27" spans="1:10">
      <c r="A27" s="270" t="s">
        <v>1831</v>
      </c>
      <c r="B27" s="268">
        <v>2017</v>
      </c>
      <c r="C27" s="268" t="s">
        <v>1557</v>
      </c>
      <c r="D27" s="268" t="s">
        <v>1832</v>
      </c>
      <c r="E27" s="268">
        <v>2821.5</v>
      </c>
      <c r="F27" s="269">
        <v>42893</v>
      </c>
      <c r="G27" s="268" t="s">
        <v>1715</v>
      </c>
      <c r="H27" s="268" t="s">
        <v>1813</v>
      </c>
      <c r="I27" s="268" t="s">
        <v>1814</v>
      </c>
      <c r="J27" s="268"/>
    </row>
    <row r="28" spans="1:10">
      <c r="A28" s="270" t="s">
        <v>1833</v>
      </c>
      <c r="B28" s="268">
        <v>2017</v>
      </c>
      <c r="C28" s="268" t="s">
        <v>1557</v>
      </c>
      <c r="D28" s="268" t="s">
        <v>1834</v>
      </c>
      <c r="E28" s="268">
        <v>3127.2</v>
      </c>
      <c r="F28" s="269">
        <v>42893</v>
      </c>
      <c r="G28" s="268" t="s">
        <v>1715</v>
      </c>
      <c r="H28" s="268" t="s">
        <v>1813</v>
      </c>
      <c r="I28" s="268" t="s">
        <v>1814</v>
      </c>
      <c r="J28" s="268"/>
    </row>
    <row r="29" spans="1:10">
      <c r="A29" s="270" t="s">
        <v>1835</v>
      </c>
      <c r="B29" s="268">
        <v>2017</v>
      </c>
      <c r="C29" s="268" t="s">
        <v>1557</v>
      </c>
      <c r="D29" s="268">
        <v>15</v>
      </c>
      <c r="E29" s="268">
        <v>2650.1</v>
      </c>
      <c r="F29" s="269">
        <v>42893</v>
      </c>
      <c r="G29" s="268" t="s">
        <v>1715</v>
      </c>
      <c r="H29" s="268" t="s">
        <v>1813</v>
      </c>
      <c r="I29" s="268" t="s">
        <v>1814</v>
      </c>
      <c r="J29" s="268"/>
    </row>
    <row r="30" spans="1:10">
      <c r="A30" s="270" t="s">
        <v>1836</v>
      </c>
      <c r="B30" s="268">
        <v>2017</v>
      </c>
      <c r="C30" s="268" t="s">
        <v>1557</v>
      </c>
      <c r="D30" s="268">
        <v>16</v>
      </c>
      <c r="E30" s="268">
        <v>3058.3</v>
      </c>
      <c r="F30" s="269">
        <v>42893</v>
      </c>
      <c r="G30" s="268" t="s">
        <v>1715</v>
      </c>
      <c r="H30" s="268" t="s">
        <v>1813</v>
      </c>
      <c r="I30" s="268" t="s">
        <v>1814</v>
      </c>
      <c r="J30" s="268"/>
    </row>
    <row r="31" spans="1:10">
      <c r="A31" s="270" t="s">
        <v>1837</v>
      </c>
      <c r="B31" s="268">
        <v>2017</v>
      </c>
      <c r="C31" s="268" t="s">
        <v>1557</v>
      </c>
      <c r="D31" s="268">
        <v>17</v>
      </c>
      <c r="E31" s="268">
        <v>3092.9</v>
      </c>
      <c r="F31" s="269">
        <v>42893</v>
      </c>
      <c r="G31" s="268" t="s">
        <v>1715</v>
      </c>
      <c r="H31" s="268" t="s">
        <v>1813</v>
      </c>
      <c r="I31" s="268" t="s">
        <v>1814</v>
      </c>
      <c r="J31" s="268"/>
    </row>
    <row r="32" spans="1:10">
      <c r="A32" s="270" t="s">
        <v>1838</v>
      </c>
      <c r="B32" s="268">
        <v>2017</v>
      </c>
      <c r="C32" s="268" t="s">
        <v>1557</v>
      </c>
      <c r="D32" s="268">
        <v>18</v>
      </c>
      <c r="E32" s="268">
        <v>3898.8</v>
      </c>
      <c r="F32" s="269">
        <v>42893</v>
      </c>
      <c r="G32" s="268" t="s">
        <v>1715</v>
      </c>
      <c r="H32" s="268" t="s">
        <v>1813</v>
      </c>
      <c r="I32" s="268" t="s">
        <v>1814</v>
      </c>
      <c r="J32" s="268"/>
    </row>
    <row r="33" spans="1:10">
      <c r="A33" s="270" t="s">
        <v>1839</v>
      </c>
      <c r="B33" s="268">
        <v>2017</v>
      </c>
      <c r="C33" s="268" t="s">
        <v>1557</v>
      </c>
      <c r="D33" s="268">
        <v>19</v>
      </c>
      <c r="E33" s="268">
        <v>4193.7</v>
      </c>
      <c r="F33" s="269">
        <v>42893</v>
      </c>
      <c r="G33" s="268" t="s">
        <v>1715</v>
      </c>
      <c r="H33" s="268" t="s">
        <v>1813</v>
      </c>
      <c r="I33" s="268" t="s">
        <v>1814</v>
      </c>
      <c r="J33" s="268"/>
    </row>
    <row r="34" spans="1:10">
      <c r="A34" s="270" t="s">
        <v>1840</v>
      </c>
      <c r="B34" s="268">
        <v>2017</v>
      </c>
      <c r="C34" s="268" t="s">
        <v>1557</v>
      </c>
      <c r="D34" s="268">
        <v>20</v>
      </c>
      <c r="E34" s="268">
        <v>2782.7</v>
      </c>
      <c r="F34" s="269">
        <v>42893</v>
      </c>
      <c r="G34" s="268" t="s">
        <v>1715</v>
      </c>
      <c r="H34" s="268" t="s">
        <v>1813</v>
      </c>
      <c r="I34" s="268" t="s">
        <v>1814</v>
      </c>
      <c r="J34" s="268"/>
    </row>
    <row r="35" spans="1:10">
      <c r="A35" s="270" t="s">
        <v>1841</v>
      </c>
      <c r="B35" s="268">
        <v>2017</v>
      </c>
      <c r="C35" s="268" t="s">
        <v>1557</v>
      </c>
      <c r="D35" s="268">
        <v>21</v>
      </c>
      <c r="E35" s="268">
        <v>3497.1</v>
      </c>
      <c r="F35" s="269">
        <v>42893</v>
      </c>
      <c r="G35" s="268" t="s">
        <v>1715</v>
      </c>
      <c r="H35" s="268" t="s">
        <v>1813</v>
      </c>
      <c r="I35" s="268" t="s">
        <v>1814</v>
      </c>
      <c r="J35" s="268"/>
    </row>
    <row r="36" spans="1:10">
      <c r="A36" s="270" t="s">
        <v>1842</v>
      </c>
      <c r="B36" s="268" t="s">
        <v>1843</v>
      </c>
      <c r="C36" s="268"/>
      <c r="D36" s="268"/>
      <c r="E36" s="268">
        <v>4242.8999999999996</v>
      </c>
      <c r="F36" s="269">
        <v>42893</v>
      </c>
      <c r="G36" s="268" t="s">
        <v>1715</v>
      </c>
      <c r="H36" s="268" t="s">
        <v>1813</v>
      </c>
      <c r="I36" s="268" t="s">
        <v>1814</v>
      </c>
      <c r="J36" s="268"/>
    </row>
    <row r="37" spans="1:10">
      <c r="A37" s="270" t="s">
        <v>1844</v>
      </c>
      <c r="B37" s="268" t="s">
        <v>1845</v>
      </c>
      <c r="C37" s="268"/>
      <c r="D37" s="268"/>
      <c r="E37" s="268">
        <v>3469</v>
      </c>
      <c r="F37" s="269">
        <v>42893</v>
      </c>
      <c r="G37" s="268" t="s">
        <v>1715</v>
      </c>
      <c r="H37" s="268" t="s">
        <v>1813</v>
      </c>
      <c r="I37" s="268" t="s">
        <v>1814</v>
      </c>
      <c r="J37" s="268"/>
    </row>
    <row r="38" spans="1:10">
      <c r="A38" s="270" t="s">
        <v>1846</v>
      </c>
      <c r="B38" s="268">
        <v>2017</v>
      </c>
      <c r="C38" s="268" t="s">
        <v>1561</v>
      </c>
      <c r="D38" s="268" t="s">
        <v>1847</v>
      </c>
      <c r="E38" s="268">
        <v>3151.9</v>
      </c>
      <c r="F38" s="269">
        <v>42893</v>
      </c>
      <c r="G38" s="268" t="s">
        <v>1715</v>
      </c>
      <c r="H38" s="268" t="s">
        <v>1813</v>
      </c>
      <c r="I38" s="268" t="s">
        <v>1814</v>
      </c>
      <c r="J38" s="268"/>
    </row>
    <row r="39" spans="1:10">
      <c r="A39" s="270" t="s">
        <v>1848</v>
      </c>
      <c r="B39" s="268">
        <v>2017</v>
      </c>
      <c r="C39" s="268" t="s">
        <v>1561</v>
      </c>
      <c r="D39" s="268" t="s">
        <v>1849</v>
      </c>
      <c r="E39" s="268">
        <v>4290.2</v>
      </c>
      <c r="F39" s="269">
        <v>42893</v>
      </c>
      <c r="G39" s="268" t="s">
        <v>1715</v>
      </c>
      <c r="H39" s="268" t="s">
        <v>1813</v>
      </c>
      <c r="I39" s="268" t="s">
        <v>1814</v>
      </c>
      <c r="J39" s="268"/>
    </row>
    <row r="40" spans="1:10">
      <c r="A40" s="270" t="s">
        <v>1850</v>
      </c>
      <c r="B40" s="268">
        <v>2017</v>
      </c>
      <c r="C40" s="268" t="s">
        <v>1561</v>
      </c>
      <c r="D40" s="268">
        <v>2</v>
      </c>
      <c r="E40" s="268">
        <v>3635.9</v>
      </c>
      <c r="F40" s="269">
        <v>42893</v>
      </c>
      <c r="G40" s="268" t="s">
        <v>1715</v>
      </c>
      <c r="H40" s="268" t="s">
        <v>1813</v>
      </c>
      <c r="I40" s="268" t="s">
        <v>1814</v>
      </c>
      <c r="J40" s="268"/>
    </row>
    <row r="41" spans="1:10">
      <c r="A41" s="270" t="s">
        <v>1851</v>
      </c>
      <c r="B41" s="268">
        <v>2017</v>
      </c>
      <c r="C41" s="268" t="s">
        <v>1561</v>
      </c>
      <c r="D41" s="268">
        <v>3</v>
      </c>
      <c r="E41" s="268">
        <v>3376.9</v>
      </c>
      <c r="F41" s="269">
        <v>42893</v>
      </c>
      <c r="G41" s="268" t="s">
        <v>1715</v>
      </c>
      <c r="H41" s="268" t="s">
        <v>1813</v>
      </c>
      <c r="I41" s="268" t="s">
        <v>1814</v>
      </c>
      <c r="J41" s="268"/>
    </row>
    <row r="42" spans="1:10">
      <c r="A42" s="270" t="s">
        <v>1852</v>
      </c>
      <c r="B42" s="268">
        <v>2017</v>
      </c>
      <c r="C42" s="268" t="s">
        <v>1561</v>
      </c>
      <c r="D42" s="268">
        <v>4</v>
      </c>
      <c r="E42" s="268">
        <v>3894</v>
      </c>
      <c r="F42" s="269">
        <v>42893</v>
      </c>
      <c r="G42" s="268" t="s">
        <v>1715</v>
      </c>
      <c r="H42" s="268" t="s">
        <v>1813</v>
      </c>
      <c r="I42" s="268" t="s">
        <v>1814</v>
      </c>
      <c r="J42" s="268"/>
    </row>
    <row r="43" spans="1:10">
      <c r="A43" s="270" t="s">
        <v>1853</v>
      </c>
      <c r="B43" s="268">
        <v>2017</v>
      </c>
      <c r="C43" s="268" t="s">
        <v>1561</v>
      </c>
      <c r="D43" s="268">
        <v>5</v>
      </c>
      <c r="E43" s="268">
        <v>4231.8</v>
      </c>
      <c r="F43" s="269">
        <v>42893</v>
      </c>
      <c r="G43" s="268" t="s">
        <v>1715</v>
      </c>
      <c r="H43" s="268" t="s">
        <v>1813</v>
      </c>
      <c r="I43" s="268" t="s">
        <v>1814</v>
      </c>
      <c r="J43" s="268"/>
    </row>
    <row r="44" spans="1:10">
      <c r="A44" s="270" t="s">
        <v>1854</v>
      </c>
      <c r="B44" s="268">
        <v>2017</v>
      </c>
      <c r="C44" s="268" t="s">
        <v>1561</v>
      </c>
      <c r="D44" s="268">
        <v>6</v>
      </c>
      <c r="E44" s="268">
        <v>3465.5</v>
      </c>
      <c r="F44" s="269">
        <v>42893</v>
      </c>
      <c r="G44" s="268" t="s">
        <v>1715</v>
      </c>
      <c r="H44" s="268" t="s">
        <v>1813</v>
      </c>
      <c r="I44" s="268" t="s">
        <v>1814</v>
      </c>
      <c r="J44" s="268"/>
    </row>
    <row r="45" spans="1:10">
      <c r="A45" s="270" t="s">
        <v>1855</v>
      </c>
      <c r="B45" s="268">
        <v>2017</v>
      </c>
      <c r="C45" s="268" t="s">
        <v>1561</v>
      </c>
      <c r="D45" s="268">
        <v>7</v>
      </c>
      <c r="E45" s="268">
        <v>2526.8000000000002</v>
      </c>
      <c r="F45" s="269">
        <v>42893</v>
      </c>
      <c r="G45" s="268" t="s">
        <v>1715</v>
      </c>
      <c r="H45" s="268" t="s">
        <v>1813</v>
      </c>
      <c r="I45" s="268" t="s">
        <v>1814</v>
      </c>
      <c r="J45" s="268"/>
    </row>
    <row r="46" spans="1:10">
      <c r="A46" s="270" t="s">
        <v>1856</v>
      </c>
      <c r="B46" s="268">
        <v>2017</v>
      </c>
      <c r="C46" s="268" t="s">
        <v>1561</v>
      </c>
      <c r="D46" s="268">
        <v>8</v>
      </c>
      <c r="E46" s="268">
        <v>2702.7</v>
      </c>
      <c r="F46" s="269">
        <v>42893</v>
      </c>
      <c r="G46" s="268" t="s">
        <v>1715</v>
      </c>
      <c r="H46" s="268" t="s">
        <v>1813</v>
      </c>
      <c r="I46" s="268" t="s">
        <v>1814</v>
      </c>
      <c r="J46" s="268"/>
    </row>
    <row r="47" spans="1:10">
      <c r="A47" s="270" t="s">
        <v>1857</v>
      </c>
      <c r="B47" s="268">
        <v>2017</v>
      </c>
      <c r="C47" s="268" t="s">
        <v>1561</v>
      </c>
      <c r="D47" s="268">
        <v>9</v>
      </c>
      <c r="E47" s="268">
        <v>3698.5</v>
      </c>
      <c r="F47" s="269">
        <v>42893</v>
      </c>
      <c r="G47" s="268" t="s">
        <v>1715</v>
      </c>
      <c r="H47" s="268" t="s">
        <v>1813</v>
      </c>
      <c r="I47" s="268" t="s">
        <v>1814</v>
      </c>
      <c r="J47" s="268"/>
    </row>
    <row r="48" spans="1:10">
      <c r="A48" s="270" t="s">
        <v>1858</v>
      </c>
      <c r="B48" s="268">
        <v>2017</v>
      </c>
      <c r="C48" s="268" t="s">
        <v>1561</v>
      </c>
      <c r="D48" s="268">
        <v>10</v>
      </c>
      <c r="E48" s="268">
        <v>2618.4</v>
      </c>
      <c r="F48" s="269">
        <v>42893</v>
      </c>
      <c r="G48" s="268" t="s">
        <v>1715</v>
      </c>
      <c r="H48" s="268" t="s">
        <v>1859</v>
      </c>
      <c r="I48" s="268" t="s">
        <v>1860</v>
      </c>
      <c r="J48" s="268"/>
    </row>
    <row r="49" spans="1:10">
      <c r="A49" s="270" t="s">
        <v>1861</v>
      </c>
      <c r="B49" s="268">
        <v>2017</v>
      </c>
      <c r="C49" s="268" t="s">
        <v>1561</v>
      </c>
      <c r="D49" s="268">
        <v>11</v>
      </c>
      <c r="E49" s="268">
        <v>3189.7</v>
      </c>
      <c r="F49" s="269">
        <v>42893</v>
      </c>
      <c r="G49" s="268" t="s">
        <v>1715</v>
      </c>
      <c r="H49" s="268" t="s">
        <v>1859</v>
      </c>
      <c r="I49" s="268" t="s">
        <v>1860</v>
      </c>
      <c r="J49" s="268"/>
    </row>
    <row r="50" spans="1:10">
      <c r="A50" s="270" t="s">
        <v>1862</v>
      </c>
      <c r="B50" s="268">
        <v>2017</v>
      </c>
      <c r="C50" s="268" t="s">
        <v>1561</v>
      </c>
      <c r="D50" s="268">
        <v>12</v>
      </c>
      <c r="E50" s="268">
        <v>3201.8</v>
      </c>
      <c r="F50" s="269">
        <v>42893</v>
      </c>
      <c r="G50" s="268" t="s">
        <v>1715</v>
      </c>
      <c r="H50" s="268" t="s">
        <v>1859</v>
      </c>
      <c r="I50" s="268" t="s">
        <v>1860</v>
      </c>
      <c r="J50" s="268"/>
    </row>
    <row r="51" spans="1:10">
      <c r="A51" s="270" t="s">
        <v>1863</v>
      </c>
      <c r="B51" s="268">
        <v>2017</v>
      </c>
      <c r="C51" s="268" t="s">
        <v>1561</v>
      </c>
      <c r="D51" s="268">
        <v>13</v>
      </c>
      <c r="E51" s="268">
        <v>2487.3000000000002</v>
      </c>
      <c r="F51" s="269">
        <v>42893</v>
      </c>
      <c r="G51" s="268" t="s">
        <v>1715</v>
      </c>
      <c r="H51" s="268" t="s">
        <v>1859</v>
      </c>
      <c r="I51" s="268" t="s">
        <v>1860</v>
      </c>
      <c r="J51" s="268"/>
    </row>
    <row r="52" spans="1:10">
      <c r="A52" s="270" t="s">
        <v>1864</v>
      </c>
      <c r="B52" s="268">
        <v>2017</v>
      </c>
      <c r="C52" s="268" t="s">
        <v>1561</v>
      </c>
      <c r="D52" s="268">
        <v>14</v>
      </c>
      <c r="E52" s="268">
        <v>3158.5</v>
      </c>
      <c r="F52" s="269">
        <v>42893</v>
      </c>
      <c r="G52" s="268" t="s">
        <v>1715</v>
      </c>
      <c r="H52" s="268" t="s">
        <v>1859</v>
      </c>
      <c r="I52" s="268" t="s">
        <v>1860</v>
      </c>
      <c r="J52" s="268"/>
    </row>
    <row r="53" spans="1:10">
      <c r="A53" s="270" t="s">
        <v>1865</v>
      </c>
      <c r="B53" s="268">
        <v>2017</v>
      </c>
      <c r="C53" s="268" t="s">
        <v>1561</v>
      </c>
      <c r="D53" s="268">
        <v>15</v>
      </c>
      <c r="E53" s="268">
        <v>4084.3</v>
      </c>
      <c r="F53" s="269">
        <v>42893</v>
      </c>
      <c r="G53" s="268" t="s">
        <v>1715</v>
      </c>
      <c r="H53" s="268" t="s">
        <v>1859</v>
      </c>
      <c r="I53" s="268" t="s">
        <v>1860</v>
      </c>
      <c r="J53" s="268"/>
    </row>
    <row r="54" spans="1:10">
      <c r="A54" s="270" t="s">
        <v>1866</v>
      </c>
      <c r="B54" s="268">
        <v>2017</v>
      </c>
      <c r="C54" s="268" t="s">
        <v>1561</v>
      </c>
      <c r="D54" s="268">
        <v>16</v>
      </c>
      <c r="E54" s="268">
        <v>2782.9</v>
      </c>
      <c r="F54" s="269">
        <v>42893</v>
      </c>
      <c r="G54" s="268" t="s">
        <v>1715</v>
      </c>
      <c r="H54" s="268" t="s">
        <v>1859</v>
      </c>
      <c r="I54" s="268" t="s">
        <v>1860</v>
      </c>
      <c r="J54" s="268"/>
    </row>
    <row r="55" spans="1:10">
      <c r="A55" s="270" t="s">
        <v>1867</v>
      </c>
      <c r="B55" s="268">
        <v>2017</v>
      </c>
      <c r="C55" s="268" t="s">
        <v>1561</v>
      </c>
      <c r="D55" s="268">
        <v>17</v>
      </c>
      <c r="E55" s="268">
        <v>2450.1</v>
      </c>
      <c r="F55" s="269">
        <v>42893</v>
      </c>
      <c r="G55" s="268" t="s">
        <v>1715</v>
      </c>
      <c r="H55" s="268" t="s">
        <v>1859</v>
      </c>
      <c r="I55" s="268" t="s">
        <v>1860</v>
      </c>
      <c r="J55" s="268"/>
    </row>
    <row r="56" spans="1:10">
      <c r="A56" s="270" t="s">
        <v>1868</v>
      </c>
      <c r="B56" s="268">
        <v>2017</v>
      </c>
      <c r="C56" s="268" t="s">
        <v>1561</v>
      </c>
      <c r="D56" s="268" t="s">
        <v>1869</v>
      </c>
      <c r="E56" s="268">
        <v>4327.3</v>
      </c>
      <c r="F56" s="269">
        <v>42893</v>
      </c>
      <c r="G56" s="268" t="s">
        <v>1715</v>
      </c>
      <c r="H56" s="268" t="s">
        <v>1859</v>
      </c>
      <c r="I56" s="268" t="s">
        <v>1860</v>
      </c>
      <c r="J56" s="268"/>
    </row>
    <row r="57" spans="1:10">
      <c r="A57" s="270" t="s">
        <v>1870</v>
      </c>
      <c r="B57" s="268">
        <v>2017</v>
      </c>
      <c r="C57" s="268" t="s">
        <v>1561</v>
      </c>
      <c r="D57" s="268" t="s">
        <v>1871</v>
      </c>
      <c r="E57" s="268">
        <v>2802.2</v>
      </c>
      <c r="F57" s="269">
        <v>42893</v>
      </c>
      <c r="G57" s="268" t="s">
        <v>1715</v>
      </c>
      <c r="H57" s="268" t="s">
        <v>1859</v>
      </c>
      <c r="I57" s="268" t="s">
        <v>1860</v>
      </c>
      <c r="J57" s="268"/>
    </row>
    <row r="58" spans="1:10">
      <c r="A58" s="270" t="s">
        <v>1872</v>
      </c>
      <c r="B58" s="268">
        <v>2017</v>
      </c>
      <c r="C58" s="268" t="s">
        <v>1561</v>
      </c>
      <c r="D58" s="268">
        <v>19</v>
      </c>
      <c r="E58" s="268">
        <v>3293</v>
      </c>
      <c r="F58" s="269">
        <v>42893</v>
      </c>
      <c r="G58" s="268" t="s">
        <v>1715</v>
      </c>
      <c r="H58" s="268" t="s">
        <v>1859</v>
      </c>
      <c r="I58" s="268" t="s">
        <v>1860</v>
      </c>
      <c r="J58" s="268"/>
    </row>
    <row r="59" spans="1:10">
      <c r="A59" s="270" t="s">
        <v>1873</v>
      </c>
      <c r="B59" s="268">
        <v>2017</v>
      </c>
      <c r="C59" s="268" t="s">
        <v>1561</v>
      </c>
      <c r="D59" s="268">
        <v>20</v>
      </c>
      <c r="E59" s="268">
        <v>3589</v>
      </c>
      <c r="F59" s="269">
        <v>42893</v>
      </c>
      <c r="G59" s="268" t="s">
        <v>1715</v>
      </c>
      <c r="H59" s="268" t="s">
        <v>1859</v>
      </c>
      <c r="I59" s="268" t="s">
        <v>1860</v>
      </c>
      <c r="J59" s="268"/>
    </row>
    <row r="60" spans="1:10">
      <c r="A60" s="271" t="s">
        <v>1874</v>
      </c>
      <c r="B60" s="268">
        <v>2017</v>
      </c>
      <c r="C60" s="268" t="s">
        <v>1561</v>
      </c>
      <c r="D60" s="268">
        <v>21</v>
      </c>
      <c r="E60" s="268">
        <v>3386.4</v>
      </c>
      <c r="F60" s="269">
        <v>42893</v>
      </c>
      <c r="G60" s="268" t="s">
        <v>1715</v>
      </c>
      <c r="H60" s="268" t="s">
        <v>1859</v>
      </c>
      <c r="I60" s="268" t="s">
        <v>1860</v>
      </c>
      <c r="J60" s="268"/>
    </row>
    <row r="61" spans="1:10">
      <c r="A61" s="271" t="s">
        <v>1875</v>
      </c>
      <c r="B61" s="268">
        <v>2017</v>
      </c>
      <c r="C61" s="268" t="s">
        <v>1562</v>
      </c>
      <c r="D61" s="268" t="s">
        <v>1847</v>
      </c>
      <c r="E61" s="268">
        <v>2913.6</v>
      </c>
      <c r="F61" s="269">
        <v>42893</v>
      </c>
      <c r="G61" s="268" t="s">
        <v>1715</v>
      </c>
      <c r="H61" s="268" t="s">
        <v>1859</v>
      </c>
      <c r="I61" s="268" t="s">
        <v>1860</v>
      </c>
      <c r="J61" s="268"/>
    </row>
    <row r="62" spans="1:10">
      <c r="A62" s="271" t="s">
        <v>1876</v>
      </c>
      <c r="B62" s="268">
        <v>2017</v>
      </c>
      <c r="C62" s="268" t="s">
        <v>1562</v>
      </c>
      <c r="D62" s="268" t="s">
        <v>1849</v>
      </c>
      <c r="E62" s="268">
        <v>3059.2</v>
      </c>
      <c r="F62" s="269">
        <v>42893</v>
      </c>
      <c r="G62" s="268" t="s">
        <v>1715</v>
      </c>
      <c r="H62" s="268" t="s">
        <v>1859</v>
      </c>
      <c r="I62" s="268" t="s">
        <v>1860</v>
      </c>
      <c r="J62" s="268"/>
    </row>
    <row r="63" spans="1:10">
      <c r="A63" s="271" t="s">
        <v>1877</v>
      </c>
      <c r="B63" s="268">
        <v>2017</v>
      </c>
      <c r="C63" s="268" t="s">
        <v>1562</v>
      </c>
      <c r="D63" s="268">
        <v>2</v>
      </c>
      <c r="E63" s="268">
        <v>4492.3</v>
      </c>
      <c r="F63" s="269">
        <v>42893</v>
      </c>
      <c r="G63" s="268" t="s">
        <v>1715</v>
      </c>
      <c r="H63" s="268" t="s">
        <v>1859</v>
      </c>
      <c r="I63" s="268" t="s">
        <v>1860</v>
      </c>
      <c r="J63" s="268"/>
    </row>
    <row r="64" spans="1:10">
      <c r="A64" s="271" t="s">
        <v>1878</v>
      </c>
      <c r="B64" s="268">
        <v>2017</v>
      </c>
      <c r="C64" s="268" t="s">
        <v>1562</v>
      </c>
      <c r="D64" s="268">
        <v>3</v>
      </c>
      <c r="E64" s="268">
        <v>4683.6000000000004</v>
      </c>
      <c r="F64" s="269">
        <v>42893</v>
      </c>
      <c r="G64" s="268" t="s">
        <v>1715</v>
      </c>
      <c r="H64" s="268" t="s">
        <v>1859</v>
      </c>
      <c r="I64" s="268" t="s">
        <v>1860</v>
      </c>
      <c r="J64" s="268"/>
    </row>
    <row r="65" spans="1:10">
      <c r="A65" s="271" t="s">
        <v>1879</v>
      </c>
      <c r="B65" s="268">
        <v>2017</v>
      </c>
      <c r="C65" s="268" t="s">
        <v>1562</v>
      </c>
      <c r="D65" s="268">
        <v>4</v>
      </c>
      <c r="E65" s="268">
        <v>4600</v>
      </c>
      <c r="F65" s="269">
        <v>42893</v>
      </c>
      <c r="G65" s="268" t="s">
        <v>1715</v>
      </c>
      <c r="H65" s="268" t="s">
        <v>1859</v>
      </c>
      <c r="I65" s="268" t="s">
        <v>1860</v>
      </c>
      <c r="J65" s="268"/>
    </row>
    <row r="66" spans="1:10">
      <c r="A66" s="271" t="s">
        <v>1880</v>
      </c>
      <c r="B66" s="268">
        <v>2017</v>
      </c>
      <c r="C66" s="268" t="s">
        <v>1562</v>
      </c>
      <c r="D66" s="268">
        <v>5</v>
      </c>
      <c r="E66" s="268">
        <v>3958.3</v>
      </c>
      <c r="F66" s="269">
        <v>42893</v>
      </c>
      <c r="G66" s="268" t="s">
        <v>1715</v>
      </c>
      <c r="H66" s="268" t="s">
        <v>1859</v>
      </c>
      <c r="I66" s="268" t="s">
        <v>1860</v>
      </c>
      <c r="J66" s="268"/>
    </row>
    <row r="67" spans="1:10">
      <c r="A67" s="271" t="s">
        <v>1881</v>
      </c>
      <c r="B67" s="268">
        <v>2017</v>
      </c>
      <c r="C67" s="268" t="s">
        <v>1562</v>
      </c>
      <c r="D67" s="268">
        <v>6</v>
      </c>
      <c r="E67" s="268">
        <v>2838.8</v>
      </c>
      <c r="F67" s="269">
        <v>42893</v>
      </c>
      <c r="G67" s="268" t="s">
        <v>1715</v>
      </c>
      <c r="H67" s="268" t="s">
        <v>1859</v>
      </c>
      <c r="I67" s="268" t="s">
        <v>1860</v>
      </c>
      <c r="J67" s="268"/>
    </row>
    <row r="68" spans="1:10">
      <c r="A68" s="271" t="s">
        <v>1882</v>
      </c>
      <c r="B68" s="268">
        <v>2017</v>
      </c>
      <c r="C68" s="268" t="s">
        <v>1562</v>
      </c>
      <c r="D68" s="268">
        <v>7</v>
      </c>
      <c r="E68" s="268">
        <v>2755.3</v>
      </c>
      <c r="F68" s="269">
        <v>42893</v>
      </c>
      <c r="G68" s="268" t="s">
        <v>1715</v>
      </c>
      <c r="H68" s="268" t="s">
        <v>1859</v>
      </c>
      <c r="I68" s="268" t="s">
        <v>1860</v>
      </c>
      <c r="J68" s="268"/>
    </row>
    <row r="69" spans="1:10">
      <c r="A69" s="271" t="s">
        <v>1883</v>
      </c>
      <c r="B69" s="268">
        <v>2017</v>
      </c>
      <c r="C69" s="268" t="s">
        <v>1562</v>
      </c>
      <c r="D69" s="268">
        <v>8</v>
      </c>
      <c r="E69" s="268">
        <v>3496.9</v>
      </c>
      <c r="F69" s="269">
        <v>42893</v>
      </c>
      <c r="G69" s="268" t="s">
        <v>1715</v>
      </c>
      <c r="H69" s="268" t="s">
        <v>1859</v>
      </c>
      <c r="I69" s="268" t="s">
        <v>1860</v>
      </c>
      <c r="J69" s="268"/>
    </row>
    <row r="70" spans="1:10">
      <c r="A70" s="271" t="s">
        <v>1884</v>
      </c>
      <c r="B70" s="268">
        <v>2017</v>
      </c>
      <c r="C70" s="268" t="s">
        <v>1562</v>
      </c>
      <c r="D70" s="268">
        <v>9</v>
      </c>
      <c r="E70" s="268">
        <v>2780.1</v>
      </c>
      <c r="F70" s="269">
        <v>42893</v>
      </c>
      <c r="G70" s="268" t="s">
        <v>1715</v>
      </c>
      <c r="H70" s="268" t="s">
        <v>1859</v>
      </c>
      <c r="I70" s="268" t="s">
        <v>1860</v>
      </c>
      <c r="J70" s="268"/>
    </row>
    <row r="71" spans="1:10">
      <c r="A71" s="271" t="s">
        <v>1885</v>
      </c>
      <c r="B71" s="268">
        <v>2017</v>
      </c>
      <c r="C71" s="268" t="s">
        <v>1562</v>
      </c>
      <c r="D71" s="268">
        <v>10</v>
      </c>
      <c r="E71" s="268">
        <v>3647.3</v>
      </c>
      <c r="F71" s="269">
        <v>42893</v>
      </c>
      <c r="G71" s="268" t="s">
        <v>1715</v>
      </c>
      <c r="H71" s="268" t="s">
        <v>1859</v>
      </c>
      <c r="I71" s="268" t="s">
        <v>1860</v>
      </c>
      <c r="J71" s="268"/>
    </row>
    <row r="72" spans="1:10">
      <c r="A72" s="271" t="s">
        <v>1886</v>
      </c>
      <c r="B72" s="268">
        <v>2017</v>
      </c>
      <c r="C72" s="268" t="s">
        <v>1562</v>
      </c>
      <c r="D72" s="268">
        <v>11</v>
      </c>
      <c r="E72" s="268">
        <v>3307.1</v>
      </c>
      <c r="F72" s="269">
        <v>42893</v>
      </c>
      <c r="G72" s="268" t="s">
        <v>1715</v>
      </c>
      <c r="H72" s="268" t="s">
        <v>1859</v>
      </c>
      <c r="I72" s="268" t="s">
        <v>1860</v>
      </c>
      <c r="J72" s="268"/>
    </row>
    <row r="73" spans="1:10">
      <c r="A73" s="271" t="s">
        <v>1887</v>
      </c>
      <c r="B73" s="268">
        <v>2017</v>
      </c>
      <c r="C73" s="268" t="s">
        <v>1562</v>
      </c>
      <c r="D73" s="268">
        <v>12</v>
      </c>
      <c r="E73" s="268">
        <v>3257.2</v>
      </c>
      <c r="F73" s="269">
        <v>42893</v>
      </c>
      <c r="G73" s="268" t="s">
        <v>1715</v>
      </c>
      <c r="H73" s="268" t="s">
        <v>1859</v>
      </c>
      <c r="I73" s="268" t="s">
        <v>1860</v>
      </c>
      <c r="J73" s="268"/>
    </row>
    <row r="74" spans="1:10">
      <c r="A74" s="271" t="s">
        <v>1888</v>
      </c>
      <c r="B74" s="268">
        <v>2017</v>
      </c>
      <c r="C74" s="268" t="s">
        <v>1562</v>
      </c>
      <c r="D74" s="268">
        <v>13</v>
      </c>
      <c r="E74" s="268">
        <v>3505.4</v>
      </c>
      <c r="F74" s="269">
        <v>42893</v>
      </c>
      <c r="G74" s="268" t="s">
        <v>1715</v>
      </c>
      <c r="H74" s="268" t="s">
        <v>1859</v>
      </c>
      <c r="I74" s="268" t="s">
        <v>1860</v>
      </c>
      <c r="J74" s="268"/>
    </row>
    <row r="75" spans="1:10">
      <c r="A75" s="271" t="s">
        <v>1889</v>
      </c>
      <c r="B75" s="268">
        <v>2017</v>
      </c>
      <c r="C75" s="268" t="s">
        <v>1562</v>
      </c>
      <c r="D75" s="268">
        <v>14</v>
      </c>
      <c r="E75" s="268">
        <v>3688.8</v>
      </c>
      <c r="F75" s="269">
        <v>42893</v>
      </c>
      <c r="G75" s="268" t="s">
        <v>1715</v>
      </c>
      <c r="H75" s="268" t="s">
        <v>1859</v>
      </c>
      <c r="I75" s="268" t="s">
        <v>1860</v>
      </c>
      <c r="J75" s="268"/>
    </row>
    <row r="76" spans="1:10">
      <c r="A76" s="271" t="s">
        <v>1890</v>
      </c>
      <c r="B76" s="268">
        <v>2017</v>
      </c>
      <c r="C76" s="268" t="s">
        <v>1562</v>
      </c>
      <c r="D76" s="268">
        <v>15</v>
      </c>
      <c r="E76" s="268">
        <v>3981.2</v>
      </c>
      <c r="F76" s="269">
        <v>42893</v>
      </c>
      <c r="G76" s="268" t="s">
        <v>1715</v>
      </c>
      <c r="H76" s="268" t="s">
        <v>1859</v>
      </c>
      <c r="I76" s="268" t="s">
        <v>1860</v>
      </c>
      <c r="J76" s="268"/>
    </row>
    <row r="77" spans="1:10">
      <c r="A77" s="271" t="s">
        <v>1891</v>
      </c>
      <c r="B77" s="268">
        <v>2017</v>
      </c>
      <c r="C77" s="268" t="s">
        <v>1562</v>
      </c>
      <c r="D77" s="268">
        <v>16</v>
      </c>
      <c r="E77" s="268">
        <v>3006.9</v>
      </c>
      <c r="F77" s="269">
        <v>42893</v>
      </c>
      <c r="G77" s="268" t="s">
        <v>1715</v>
      </c>
      <c r="H77" s="268" t="s">
        <v>1859</v>
      </c>
      <c r="I77" s="268" t="s">
        <v>1860</v>
      </c>
      <c r="J77" s="268"/>
    </row>
    <row r="78" spans="1:10">
      <c r="A78" s="271" t="s">
        <v>1892</v>
      </c>
      <c r="B78" s="268">
        <v>2017</v>
      </c>
      <c r="C78" s="268" t="s">
        <v>1562</v>
      </c>
      <c r="D78" s="268">
        <v>17</v>
      </c>
      <c r="E78" s="268">
        <v>2909.8</v>
      </c>
      <c r="F78" s="269">
        <v>42893</v>
      </c>
      <c r="G78" s="268" t="s">
        <v>1715</v>
      </c>
      <c r="H78" s="268" t="s">
        <v>1859</v>
      </c>
      <c r="I78" s="268" t="s">
        <v>1860</v>
      </c>
      <c r="J78" s="268"/>
    </row>
    <row r="79" spans="1:10">
      <c r="A79" s="271" t="s">
        <v>1893</v>
      </c>
      <c r="B79" s="268">
        <v>2017</v>
      </c>
      <c r="C79" s="268" t="s">
        <v>1562</v>
      </c>
      <c r="D79" s="268">
        <v>18</v>
      </c>
      <c r="E79" s="268">
        <v>2881.2</v>
      </c>
      <c r="F79" s="269">
        <v>42893</v>
      </c>
      <c r="G79" s="268" t="s">
        <v>1715</v>
      </c>
      <c r="H79" s="268" t="s">
        <v>1859</v>
      </c>
      <c r="I79" s="268" t="s">
        <v>1860</v>
      </c>
      <c r="J79" s="268"/>
    </row>
    <row r="80" spans="1:10">
      <c r="A80" s="271" t="s">
        <v>1894</v>
      </c>
      <c r="B80" s="268">
        <v>2017</v>
      </c>
      <c r="C80" s="268" t="s">
        <v>1562</v>
      </c>
      <c r="D80" s="268">
        <v>19</v>
      </c>
      <c r="E80" s="268">
        <v>3996.5</v>
      </c>
      <c r="F80" s="269">
        <v>42893</v>
      </c>
      <c r="G80" s="268" t="s">
        <v>1715</v>
      </c>
      <c r="H80" s="268" t="s">
        <v>1859</v>
      </c>
      <c r="I80" s="268" t="s">
        <v>1860</v>
      </c>
      <c r="J80" s="268"/>
    </row>
    <row r="81" spans="1:10">
      <c r="A81" s="271" t="s">
        <v>1895</v>
      </c>
      <c r="B81" s="268">
        <v>2017</v>
      </c>
      <c r="C81" s="268" t="s">
        <v>1562</v>
      </c>
      <c r="D81" s="268" t="s">
        <v>1896</v>
      </c>
      <c r="E81" s="268">
        <v>2610</v>
      </c>
      <c r="F81" s="269">
        <v>42893</v>
      </c>
      <c r="G81" s="268" t="s">
        <v>1715</v>
      </c>
      <c r="H81" s="268" t="s">
        <v>1859</v>
      </c>
      <c r="I81" s="268" t="s">
        <v>1860</v>
      </c>
      <c r="J81" s="268"/>
    </row>
    <row r="82" spans="1:10">
      <c r="A82" s="271" t="s">
        <v>1897</v>
      </c>
      <c r="B82" s="268">
        <v>2017</v>
      </c>
      <c r="C82" s="268" t="s">
        <v>1562</v>
      </c>
      <c r="D82" s="268" t="s">
        <v>1898</v>
      </c>
      <c r="E82" s="268">
        <v>3038.5</v>
      </c>
      <c r="F82" s="269">
        <v>42893</v>
      </c>
      <c r="G82" s="268" t="s">
        <v>1715</v>
      </c>
      <c r="H82" s="268" t="s">
        <v>1859</v>
      </c>
      <c r="I82" s="268" t="s">
        <v>1860</v>
      </c>
      <c r="J82" s="268"/>
    </row>
    <row r="83" spans="1:10">
      <c r="A83" s="271" t="s">
        <v>1899</v>
      </c>
      <c r="B83" s="268">
        <v>2017</v>
      </c>
      <c r="C83" s="268" t="s">
        <v>1562</v>
      </c>
      <c r="D83" s="268">
        <v>21</v>
      </c>
      <c r="E83" s="268">
        <v>4020.6</v>
      </c>
      <c r="F83" s="269">
        <v>42893</v>
      </c>
      <c r="G83" s="268" t="s">
        <v>1715</v>
      </c>
      <c r="H83" s="268" t="s">
        <v>1859</v>
      </c>
      <c r="I83" s="268" t="s">
        <v>1860</v>
      </c>
      <c r="J83" s="268"/>
    </row>
    <row r="84" spans="1:10">
      <c r="A84" s="271" t="s">
        <v>1900</v>
      </c>
      <c r="B84" s="274">
        <v>2016</v>
      </c>
      <c r="C84" s="274" t="s">
        <v>1557</v>
      </c>
      <c r="D84" s="274">
        <v>14</v>
      </c>
      <c r="E84" s="268">
        <v>2636.7</v>
      </c>
      <c r="F84" s="269">
        <v>42893</v>
      </c>
      <c r="G84" s="268" t="s">
        <v>1715</v>
      </c>
      <c r="H84" s="268" t="s">
        <v>1859</v>
      </c>
      <c r="I84" s="268" t="s">
        <v>1860</v>
      </c>
      <c r="J84" s="268"/>
    </row>
    <row r="85" spans="1:10">
      <c r="A85" s="271" t="s">
        <v>1901</v>
      </c>
      <c r="B85" s="268" t="s">
        <v>1902</v>
      </c>
      <c r="C85" s="268"/>
      <c r="D85" s="268"/>
      <c r="E85" s="268">
        <v>4921.7</v>
      </c>
      <c r="F85" s="269">
        <v>42893</v>
      </c>
      <c r="G85" s="268" t="s">
        <v>1715</v>
      </c>
      <c r="H85" s="268" t="s">
        <v>1859</v>
      </c>
      <c r="I85" s="268" t="s">
        <v>1860</v>
      </c>
      <c r="J85" s="268"/>
    </row>
    <row r="86" spans="1:10">
      <c r="A86" s="272" t="s">
        <v>1903</v>
      </c>
      <c r="B86" s="30" t="s">
        <v>1904</v>
      </c>
      <c r="C86" s="30"/>
      <c r="D86" s="30"/>
      <c r="E86" s="30">
        <v>621</v>
      </c>
      <c r="F86" s="273">
        <v>42893</v>
      </c>
      <c r="G86" s="30" t="s">
        <v>1715</v>
      </c>
      <c r="H86" s="30" t="s">
        <v>1859</v>
      </c>
      <c r="I86" s="30" t="s">
        <v>1860</v>
      </c>
      <c r="J86" s="30"/>
    </row>
    <row r="88" spans="1:10">
      <c r="A88" s="258" t="s">
        <v>2669</v>
      </c>
    </row>
    <row r="89" spans="1:10">
      <c r="A89" s="258" t="s">
        <v>1905</v>
      </c>
    </row>
  </sheetData>
  <hyperlinks>
    <hyperlink ref="A3" r:id="rId1" xr:uid="{00000000-0004-0000-0800-000000000000}"/>
  </hyperlinks>
  <pageMargins left="0.70866141732282995" right="0.70866141732282995" top="0.74803149606299002" bottom="0.74803149606299002" header="0.31496062992126" footer="0.31496062992126"/>
  <pageSetup paperSize="9" scale="86"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5</vt:i4>
      </vt:variant>
    </vt:vector>
  </HeadingPairs>
  <TitlesOfParts>
    <vt:vector size="29" baseType="lpstr">
      <vt:lpstr>prep brines</vt:lpstr>
      <vt:lpstr>notes</vt:lpstr>
      <vt:lpstr>traps and logs</vt:lpstr>
      <vt:lpstr>depths</vt:lpstr>
      <vt:lpstr>photo labels</vt:lpstr>
      <vt:lpstr>sample jar labels</vt:lpstr>
      <vt:lpstr>sal_pH</vt:lpstr>
      <vt:lpstr>mass_graph</vt:lpstr>
      <vt:lpstr>CHN</vt:lpstr>
      <vt:lpstr>CHN raw data</vt:lpstr>
      <vt:lpstr>PIC weights</vt:lpstr>
      <vt:lpstr>PIC raw data</vt:lpstr>
      <vt:lpstr>BSi sample list</vt:lpstr>
      <vt:lpstr>BSi raw results</vt:lpstr>
      <vt:lpstr>BSi_results and calculations</vt:lpstr>
      <vt:lpstr>main</vt:lpstr>
      <vt:lpstr>report</vt:lpstr>
      <vt:lpstr>report_47_flagged</vt:lpstr>
      <vt:lpstr>netcdf_format</vt:lpstr>
      <vt:lpstr>sample processing comments</vt:lpstr>
      <vt:lpstr>mass_filt</vt:lpstr>
      <vt:lpstr>sample archive</vt:lpstr>
      <vt:lpstr>quick plots</vt:lpstr>
      <vt:lpstr>flags</vt:lpstr>
      <vt:lpstr>CHN!Print_Area</vt:lpstr>
      <vt:lpstr>'PIC weights'!Print_Area</vt:lpstr>
      <vt:lpstr>'prep brines'!Print_Area</vt:lpstr>
      <vt:lpstr>CHN!Print_Titles</vt:lpstr>
      <vt:lpstr>'PIC weights'!Print_Titles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Davies</dc:creator>
  <cp:keywords/>
  <dc:description/>
  <cp:lastModifiedBy>Cathryn Wynn-Edwards</cp:lastModifiedBy>
  <cp:revision/>
  <dcterms:created xsi:type="dcterms:W3CDTF">2017-02-07T22:53:18Z</dcterms:created>
  <dcterms:modified xsi:type="dcterms:W3CDTF">2020-07-02T04:35:25Z</dcterms:modified>
  <cp:category/>
  <cp:contentStatus/>
</cp:coreProperties>
</file>