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 tabRatio="665" activeTab="3"/>
  </bookViews>
  <sheets>
    <sheet name="投资预算" sheetId="1" r:id="rId1"/>
    <sheet name="比赛参数" sheetId="2" r:id="rId2"/>
    <sheet name="工资系数" sheetId="3" r:id="rId3"/>
    <sheet name="第九期" sheetId="4" r:id="rId4"/>
    <sheet name="第十期" sheetId="5" r:id="rId5"/>
    <sheet name="第十一期" sheetId="6" r:id="rId6"/>
    <sheet name="第十二期" sheetId="7" r:id="rId7"/>
    <sheet name="第十三期" sheetId="8" r:id="rId8"/>
    <sheet name="第十四期" sheetId="9" r:id="rId9"/>
    <sheet name="第十五期" sheetId="10" r:id="rId10"/>
    <sheet name="第十六期" sheetId="11" r:id="rId11"/>
  </sheets>
  <definedNames>
    <definedName name="cailiao">#REF!</definedName>
    <definedName name="chengben">#REF!</definedName>
    <definedName name="chengben2">#REF!</definedName>
    <definedName name="cost">#REF!</definedName>
    <definedName name="gkucun">#REF!</definedName>
    <definedName name="gongzi">#REF!</definedName>
    <definedName name="guanli">#REF!</definedName>
    <definedName name="jiage">#REF!</definedName>
    <definedName name="jishi">#REF!</definedName>
    <definedName name="jungong">#REF!</definedName>
    <definedName name="junjia">#REF!</definedName>
    <definedName name="keyongjiqi">#REF!</definedName>
    <definedName name="keyongjiqi2">#REF!</definedName>
    <definedName name="keyongren">#REF!</definedName>
    <definedName name="keyongren2">#REF!</definedName>
    <definedName name="lirun">#REF!</definedName>
    <definedName name="mubiaoA">#REF!</definedName>
    <definedName name="mubiaoB">#REF!</definedName>
    <definedName name="mubiaoC">#REF!</definedName>
    <definedName name="mubiaoD">#REF!</definedName>
    <definedName name="renshi">#REF!</definedName>
    <definedName name="result">#REF!</definedName>
    <definedName name="result2">#REF!</definedName>
    <definedName name="sdinghuo">#REF!</definedName>
    <definedName name="skucun">#REF!</definedName>
    <definedName name="solver_adj" localSheetId="3" hidden="1">第九期!$AX$133</definedName>
    <definedName name="solver_adj" localSheetId="6" hidden="1">第十二期!$AX$133</definedName>
    <definedName name="solver_adj" localSheetId="10" hidden="1">第十六期!$AX$133</definedName>
    <definedName name="solver_adj" localSheetId="4" hidden="1">第十期!$AX$133</definedName>
    <definedName name="solver_adj" localSheetId="7" hidden="1">第十三期!$AX$133</definedName>
    <definedName name="solver_adj" localSheetId="8" hidden="1">第十四期!$AX$133</definedName>
    <definedName name="solver_adj" localSheetId="9" hidden="1">第十五期!$AX$133</definedName>
    <definedName name="solver_adj" localSheetId="5" hidden="1">第十一期!$AX$133</definedName>
    <definedName name="solver_cvg" localSheetId="3" hidden="1">0.0001</definedName>
    <definedName name="solver_cvg" localSheetId="6" hidden="1">0.0001</definedName>
    <definedName name="solver_cvg" localSheetId="10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5" hidden="1">0.0001</definedName>
    <definedName name="solver_drv" localSheetId="3" hidden="1">1</definedName>
    <definedName name="solver_drv" localSheetId="6" hidden="1">1</definedName>
    <definedName name="solver_drv" localSheetId="10" hidden="1">1</definedName>
    <definedName name="solver_drv" localSheetId="4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5" hidden="1">1</definedName>
    <definedName name="solver_eng" localSheetId="3" hidden="1">1</definedName>
    <definedName name="solver_eng" localSheetId="6" hidden="1">1</definedName>
    <definedName name="solver_eng" localSheetId="10" hidden="1">1</definedName>
    <definedName name="solver_eng" localSheetId="4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5" hidden="1">1</definedName>
    <definedName name="solver_est" localSheetId="3" hidden="1">1</definedName>
    <definedName name="solver_est" localSheetId="6" hidden="1">1</definedName>
    <definedName name="solver_est" localSheetId="10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5" hidden="1">1</definedName>
    <definedName name="solver_itr" localSheetId="3" hidden="1">100</definedName>
    <definedName name="solver_itr" localSheetId="6" hidden="1">100</definedName>
    <definedName name="solver_itr" localSheetId="10" hidden="1">100</definedName>
    <definedName name="solver_itr" localSheetId="4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5" hidden="1">100</definedName>
    <definedName name="solver_lhs1" localSheetId="3" hidden="1">第九期!$AW$130</definedName>
    <definedName name="solver_lhs1" localSheetId="6" hidden="1">第十二期!$AW$130</definedName>
    <definedName name="solver_lhs1" localSheetId="10" hidden="1">第十六期!$AW$130</definedName>
    <definedName name="solver_lhs1" localSheetId="4" hidden="1">第十期!$AW$130</definedName>
    <definedName name="solver_lhs1" localSheetId="7" hidden="1">第十三期!$AW$130</definedName>
    <definedName name="solver_lhs1" localSheetId="8" hidden="1">第十四期!$AW$130</definedName>
    <definedName name="solver_lhs1" localSheetId="9" hidden="1">第十五期!$AW$130</definedName>
    <definedName name="solver_lhs1" localSheetId="5" hidden="1">第十一期!$AW$130</definedName>
    <definedName name="solver_lin" localSheetId="3" hidden="1">2</definedName>
    <definedName name="solver_lin" localSheetId="6" hidden="1">2</definedName>
    <definedName name="solver_lin" localSheetId="10" hidden="1">2</definedName>
    <definedName name="solver_lin" localSheetId="4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5" hidden="1">2</definedName>
    <definedName name="solver_mip" localSheetId="3" hidden="1">2147483647</definedName>
    <definedName name="solver_mip" localSheetId="6" hidden="1">2147483647</definedName>
    <definedName name="solver_mip" localSheetId="10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5" hidden="1">2147483647</definedName>
    <definedName name="solver_mni" localSheetId="3" hidden="1">30</definedName>
    <definedName name="solver_mni" localSheetId="6" hidden="1">30</definedName>
    <definedName name="solver_mni" localSheetId="10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5" hidden="1">30</definedName>
    <definedName name="solver_mrt" localSheetId="3" hidden="1">0.075</definedName>
    <definedName name="solver_mrt" localSheetId="6" hidden="1">0.075</definedName>
    <definedName name="solver_mrt" localSheetId="10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5" hidden="1">0.075</definedName>
    <definedName name="solver_msl" localSheetId="3" hidden="1">2</definedName>
    <definedName name="solver_msl" localSheetId="6" hidden="1">2</definedName>
    <definedName name="solver_msl" localSheetId="10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5" hidden="1">2</definedName>
    <definedName name="solver_neg" localSheetId="3" hidden="1">2</definedName>
    <definedName name="solver_neg" localSheetId="6" hidden="1">2</definedName>
    <definedName name="solver_neg" localSheetId="10" hidden="1">2</definedName>
    <definedName name="solver_neg" localSheetId="4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5" hidden="1">2</definedName>
    <definedName name="solver_nod" localSheetId="3" hidden="1">2147483647</definedName>
    <definedName name="solver_nod" localSheetId="6" hidden="1">2147483647</definedName>
    <definedName name="solver_nod" localSheetId="10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5" hidden="1">2147483647</definedName>
    <definedName name="solver_num" localSheetId="3" hidden="1">0</definedName>
    <definedName name="solver_num" localSheetId="6" hidden="1">0</definedName>
    <definedName name="solver_num" localSheetId="10" hidden="1">0</definedName>
    <definedName name="solver_num" localSheetId="4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5" hidden="1">0</definedName>
    <definedName name="solver_nwt" localSheetId="3" hidden="1">1</definedName>
    <definedName name="solver_nwt" localSheetId="6" hidden="1">1</definedName>
    <definedName name="solver_nwt" localSheetId="10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5" hidden="1">1</definedName>
    <definedName name="solver_opt" localSheetId="3" hidden="1">第九期!$BD$133</definedName>
    <definedName name="solver_opt" localSheetId="6" hidden="1">第十二期!$BD$133</definedName>
    <definedName name="solver_opt" localSheetId="10" hidden="1">第十六期!$BD$133</definedName>
    <definedName name="solver_opt" localSheetId="4" hidden="1">第十期!$BD$133</definedName>
    <definedName name="solver_opt" localSheetId="7" hidden="1">第十三期!$BD$133</definedName>
    <definedName name="solver_opt" localSheetId="8" hidden="1">第十四期!$BD$133</definedName>
    <definedName name="solver_opt" localSheetId="9" hidden="1">第十五期!$BD$133</definedName>
    <definedName name="solver_opt" localSheetId="5" hidden="1">第十一期!$BD$133</definedName>
    <definedName name="solver_pre" localSheetId="3" hidden="1">0.000001</definedName>
    <definedName name="solver_pre" localSheetId="6" hidden="1">0.000001</definedName>
    <definedName name="solver_pre" localSheetId="10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5" hidden="1">0.000001</definedName>
    <definedName name="solver_rbv" localSheetId="3" hidden="1">1</definedName>
    <definedName name="solver_rbv" localSheetId="6" hidden="1">1</definedName>
    <definedName name="solver_rbv" localSheetId="10" hidden="1">1</definedName>
    <definedName name="solver_rbv" localSheetId="4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5" hidden="1">1</definedName>
    <definedName name="solver_rel1" localSheetId="3" hidden="1">2</definedName>
    <definedName name="solver_rel1" localSheetId="6" hidden="1">2</definedName>
    <definedName name="solver_rel1" localSheetId="10" hidden="1">2</definedName>
    <definedName name="solver_rel1" localSheetId="4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5" hidden="1">2</definedName>
    <definedName name="solver_rhs1" localSheetId="3" hidden="1">第九期!$AW$129</definedName>
    <definedName name="solver_rhs1" localSheetId="6" hidden="1">第十二期!$AW$129</definedName>
    <definedName name="solver_rhs1" localSheetId="10" hidden="1">第十六期!$AW$129</definedName>
    <definedName name="solver_rhs1" localSheetId="4" hidden="1">第十期!$AW$129</definedName>
    <definedName name="solver_rhs1" localSheetId="7" hidden="1">第十三期!$AW$129</definedName>
    <definedName name="solver_rhs1" localSheetId="8" hidden="1">第十四期!$AW$129</definedName>
    <definedName name="solver_rhs1" localSheetId="9" hidden="1">第十五期!$AW$129</definedName>
    <definedName name="solver_rhs1" localSheetId="5" hidden="1">第十一期!$AW$129</definedName>
    <definedName name="solver_rlx" localSheetId="3" hidden="1">1</definedName>
    <definedName name="solver_rlx" localSheetId="6" hidden="1">1</definedName>
    <definedName name="solver_rlx" localSheetId="10" hidden="1">1</definedName>
    <definedName name="solver_rlx" localSheetId="4" hidden="1">1</definedName>
    <definedName name="solver_rlx" localSheetId="7" hidden="1">1</definedName>
    <definedName name="solver_rlx" localSheetId="8" hidden="1">1</definedName>
    <definedName name="solver_rlx" localSheetId="9" hidden="1">1</definedName>
    <definedName name="solver_rlx" localSheetId="5" hidden="1">1</definedName>
    <definedName name="solver_rsd" localSheetId="3" hidden="1">0</definedName>
    <definedName name="solver_rsd" localSheetId="6" hidden="1">0</definedName>
    <definedName name="solver_rsd" localSheetId="10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5" hidden="1">0</definedName>
    <definedName name="solver_scl" localSheetId="3" hidden="1">2</definedName>
    <definedName name="solver_scl" localSheetId="6" hidden="1">2</definedName>
    <definedName name="solver_scl" localSheetId="10" hidden="1">2</definedName>
    <definedName name="solver_scl" localSheetId="4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5" hidden="1">2</definedName>
    <definedName name="solver_sho" localSheetId="3" hidden="1">2</definedName>
    <definedName name="solver_sho" localSheetId="6" hidden="1">2</definedName>
    <definedName name="solver_sho" localSheetId="10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5" hidden="1">2</definedName>
    <definedName name="solver_ssz" localSheetId="3" hidden="1">100</definedName>
    <definedName name="solver_ssz" localSheetId="6" hidden="1">100</definedName>
    <definedName name="solver_ssz" localSheetId="10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5" hidden="1">100</definedName>
    <definedName name="solver_tim" localSheetId="3" hidden="1">100</definedName>
    <definedName name="solver_tim" localSheetId="6" hidden="1">100</definedName>
    <definedName name="solver_tim" localSheetId="10" hidden="1">100</definedName>
    <definedName name="solver_tim" localSheetId="4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5" hidden="1">100</definedName>
    <definedName name="solver_tol" localSheetId="3" hidden="1">0.05</definedName>
    <definedName name="solver_tol" localSheetId="6" hidden="1">0.05</definedName>
    <definedName name="solver_tol" localSheetId="10" hidden="1">0.05</definedName>
    <definedName name="solver_tol" localSheetId="4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5" hidden="1">0.05</definedName>
    <definedName name="solver_typ" localSheetId="3" hidden="1">1</definedName>
    <definedName name="solver_typ" localSheetId="6" hidden="1">1</definedName>
    <definedName name="solver_typ" localSheetId="10" hidden="1">1</definedName>
    <definedName name="solver_typ" localSheetId="4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5" hidden="1">1</definedName>
    <definedName name="solver_val" localSheetId="3" hidden="1">0</definedName>
    <definedName name="solver_val" localSheetId="6" hidden="1">0</definedName>
    <definedName name="solver_val" localSheetId="10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5" hidden="1">0</definedName>
    <definedName name="solver_ver" localSheetId="3" hidden="1">3</definedName>
    <definedName name="solver_ver" localSheetId="6" hidden="1">3</definedName>
    <definedName name="solver_ver" localSheetId="10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5" hidden="1">3</definedName>
    <definedName name="yinzi">#REF!</definedName>
    <definedName name="zhuangtai">#REF!</definedName>
    <definedName name="zhuangtai2">#REF!</definedName>
    <definedName name="数据导入" localSheetId="3">第九期!$M$26:$N$40</definedName>
    <definedName name="数据导入" localSheetId="6">第十二期!$M$26:$N$40</definedName>
    <definedName name="数据导入" localSheetId="10">第十六期!$M$26:$N$40</definedName>
    <definedName name="数据导入" localSheetId="4">第十期!$M$26:$N$40</definedName>
    <definedName name="数据导入" localSheetId="7">第十三期!$M$26:$N$40</definedName>
    <definedName name="数据导入" localSheetId="8">第十四期!$M$26:$N$40</definedName>
    <definedName name="数据导入" localSheetId="9">第十五期!$M$26:$N$40</definedName>
    <definedName name="数据导入" localSheetId="5">第十一期!$M$26:$N$40</definedName>
  </definedNames>
  <calcPr calcId="144525"/>
</workbook>
</file>

<file path=xl/sharedStrings.xml><?xml version="1.0" encoding="utf-8"?>
<sst xmlns="http://schemas.openxmlformats.org/spreadsheetml/2006/main" count="9574" uniqueCount="517">
  <si>
    <t>投       资       预       算</t>
  </si>
  <si>
    <t>项目</t>
  </si>
  <si>
    <t>期数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</si>
  <si>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</si>
  <si>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</si>
  <si>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</si>
  <si>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</si>
  <si>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</si>
  <si>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</si>
  <si>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</si>
  <si>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</si>
  <si>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</si>
  <si>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</si>
  <si>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机器</t>
  </si>
  <si>
    <t>新增</t>
  </si>
  <si>
    <t>现有</t>
  </si>
  <si>
    <t>工人</t>
  </si>
  <si>
    <t>退休</t>
  </si>
  <si>
    <t>MIN</t>
  </si>
  <si>
    <t>MAX</t>
  </si>
  <si>
    <t>总量</t>
  </si>
  <si>
    <t>产品A</t>
  </si>
  <si>
    <t>产品B</t>
  </si>
  <si>
    <t>产品C</t>
  </si>
  <si>
    <t>产品D</t>
  </si>
  <si>
    <t>均值</t>
  </si>
  <si>
    <t>人数/机器</t>
  </si>
  <si>
    <t>人机比</t>
  </si>
  <si>
    <t>当量</t>
  </si>
  <si>
    <t>材料</t>
  </si>
  <si>
    <t>可用材料</t>
  </si>
  <si>
    <t>本期需要</t>
  </si>
  <si>
    <t>本期需要/机器</t>
  </si>
  <si>
    <t>材料机比</t>
  </si>
  <si>
    <t>本期采购</t>
  </si>
  <si>
    <t>期末库存</t>
  </si>
  <si>
    <t>原材料优惠</t>
  </si>
  <si>
    <t>研发</t>
  </si>
  <si>
    <t>A产品</t>
  </si>
  <si>
    <t>B产品</t>
  </si>
  <si>
    <t>C产品</t>
  </si>
  <si>
    <t>D产品</t>
  </si>
  <si>
    <t>研发合计</t>
  </si>
  <si>
    <t>累计研发</t>
  </si>
  <si>
    <t>研发费用</t>
  </si>
  <si>
    <t>等级1</t>
  </si>
  <si>
    <t>等级2</t>
  </si>
  <si>
    <t>等级3</t>
  </si>
  <si>
    <t>等级4</t>
  </si>
  <si>
    <t>等级5</t>
  </si>
  <si>
    <t xml:space="preserve">比      赛      参      数 </t>
  </si>
  <si>
    <t>本公司序数</t>
  </si>
  <si>
    <t>总共公司数</t>
  </si>
  <si>
    <t>产品运出率</t>
  </si>
  <si>
    <t>75.0%</t>
  </si>
  <si>
    <t>固定运费</t>
  </si>
  <si>
    <t>市场1</t>
  </si>
  <si>
    <t>市场2</t>
  </si>
  <si>
    <t>市场3</t>
  </si>
  <si>
    <t>市场4</t>
  </si>
  <si>
    <t>产品A、B</t>
  </si>
  <si>
    <t>2011</t>
  </si>
  <si>
    <t>1289</t>
  </si>
  <si>
    <t>4100</t>
  </si>
  <si>
    <t>5000</t>
  </si>
  <si>
    <t>9544</t>
  </si>
  <si>
    <t>7156</t>
  </si>
  <si>
    <t>12000</t>
  </si>
  <si>
    <t>13000</t>
  </si>
  <si>
    <t>产品C、D</t>
  </si>
  <si>
    <t>13222</t>
  </si>
  <si>
    <t>11278</t>
  </si>
  <si>
    <t>16000</t>
  </si>
  <si>
    <t>17000</t>
  </si>
  <si>
    <t>15500</t>
  </si>
  <si>
    <t>18000</t>
  </si>
  <si>
    <t>19500</t>
  </si>
  <si>
    <t>变动运输费</t>
  </si>
  <si>
    <t>83</t>
  </si>
  <si>
    <t>42</t>
  </si>
  <si>
    <t>200</t>
  </si>
  <si>
    <t>250</t>
  </si>
  <si>
    <t>467</t>
  </si>
  <si>
    <t>383</t>
  </si>
  <si>
    <t>600</t>
  </si>
  <si>
    <t>650</t>
  </si>
  <si>
    <t>656</t>
  </si>
  <si>
    <t>544</t>
  </si>
  <si>
    <t>800</t>
  </si>
  <si>
    <t>850</t>
  </si>
  <si>
    <t>794</t>
  </si>
  <si>
    <t>1000</t>
  </si>
  <si>
    <t>1050</t>
  </si>
  <si>
    <t>单位原材料库存费</t>
  </si>
  <si>
    <t>0.03</t>
  </si>
  <si>
    <t>成品库存费</t>
  </si>
  <si>
    <t>40.00</t>
  </si>
  <si>
    <t>60.00</t>
  </si>
  <si>
    <t>120.00</t>
  </si>
  <si>
    <t>140.00</t>
  </si>
  <si>
    <t>单位生产资源</t>
  </si>
  <si>
    <t>机器（时）</t>
  </si>
  <si>
    <t>100.0</t>
  </si>
  <si>
    <t>250.0</t>
  </si>
  <si>
    <t>380.0</t>
  </si>
  <si>
    <t>520.0</t>
  </si>
  <si>
    <t>人力（时）</t>
  </si>
  <si>
    <t>120.0</t>
  </si>
  <si>
    <t>150.0</t>
  </si>
  <si>
    <t>160.0</t>
  </si>
  <si>
    <t>180.0</t>
  </si>
  <si>
    <t>原材料（单位）</t>
  </si>
  <si>
    <t>300.0</t>
  </si>
  <si>
    <t>1200.0</t>
  </si>
  <si>
    <t>2200.0</t>
  </si>
  <si>
    <t>3200.0</t>
  </si>
  <si>
    <t>机器价格</t>
  </si>
  <si>
    <t>80000.00</t>
  </si>
  <si>
    <t>折旧率</t>
  </si>
  <si>
    <t>5.0%</t>
  </si>
  <si>
    <t>原材料价格</t>
  </si>
  <si>
    <t>订购量</t>
  </si>
  <si>
    <t>单价</t>
  </si>
  <si>
    <t>2000000</t>
  </si>
  <si>
    <t>0.92</t>
  </si>
  <si>
    <t>1500000</t>
  </si>
  <si>
    <t>0.95</t>
  </si>
  <si>
    <t>1000000</t>
  </si>
  <si>
    <t>0.97</t>
  </si>
  <si>
    <t>0</t>
  </si>
  <si>
    <t>1</t>
  </si>
  <si>
    <t>原材料运费</t>
  </si>
  <si>
    <t>固定</t>
  </si>
  <si>
    <t>10000</t>
  </si>
  <si>
    <t>变动</t>
  </si>
  <si>
    <t>0.01</t>
  </si>
  <si>
    <t>原材料使用率</t>
  </si>
  <si>
    <t>80.0%</t>
  </si>
  <si>
    <t>管理费</t>
  </si>
  <si>
    <t>第一班</t>
  </si>
  <si>
    <t>第二班</t>
  </si>
  <si>
    <t>15000</t>
  </si>
  <si>
    <t>20000</t>
  </si>
  <si>
    <t>24000</t>
  </si>
  <si>
    <t>30000</t>
  </si>
  <si>
    <t>35000</t>
  </si>
  <si>
    <t>机器维修费</t>
  </si>
  <si>
    <t>冰箱</t>
  </si>
  <si>
    <t>100000.0</t>
  </si>
  <si>
    <t>220000.0</t>
  </si>
  <si>
    <t>350000.0</t>
  </si>
  <si>
    <t>450000.0</t>
  </si>
  <si>
    <t>550000.0</t>
  </si>
  <si>
    <t>电视</t>
  </si>
  <si>
    <t>200000.0</t>
  </si>
  <si>
    <t>500000.0</t>
  </si>
  <si>
    <t>650000.0</t>
  </si>
  <si>
    <t>700000.0</t>
  </si>
  <si>
    <t>手机</t>
  </si>
  <si>
    <t>300000.0</t>
  </si>
  <si>
    <t>580000.0</t>
  </si>
  <si>
    <t>800000.0</t>
  </si>
  <si>
    <t>计算机</t>
  </si>
  <si>
    <t>600000.0</t>
  </si>
  <si>
    <t>850000.0</t>
  </si>
  <si>
    <t>1000000.0</t>
  </si>
  <si>
    <t>招收新工人比例</t>
  </si>
  <si>
    <t>50.0%</t>
  </si>
  <si>
    <t>培训费</t>
  </si>
  <si>
    <t>1000.0</t>
  </si>
  <si>
    <t>新工人作用工资比例</t>
  </si>
  <si>
    <t>25.0%</t>
  </si>
  <si>
    <t>自然退休比例</t>
  </si>
  <si>
    <t>3.0%</t>
  </si>
  <si>
    <t>最大解聘比例</t>
  </si>
  <si>
    <t>10%</t>
  </si>
  <si>
    <t>安置费</t>
  </si>
  <si>
    <t>2000.0</t>
  </si>
  <si>
    <t>工人工资</t>
  </si>
  <si>
    <t>一正</t>
  </si>
  <si>
    <t>一加</t>
  </si>
  <si>
    <t>二正</t>
  </si>
  <si>
    <t>二加</t>
  </si>
  <si>
    <t>10.0</t>
  </si>
  <si>
    <t>15.0</t>
  </si>
  <si>
    <t>12.0</t>
  </si>
  <si>
    <t>18.0</t>
  </si>
  <si>
    <t>最低保留现金</t>
  </si>
  <si>
    <t>2500000</t>
  </si>
  <si>
    <t>银行信用额</t>
  </si>
  <si>
    <t>12000000.0</t>
  </si>
  <si>
    <t>银行年利率</t>
  </si>
  <si>
    <t>9.0%</t>
  </si>
  <si>
    <t>国债年利率</t>
  </si>
  <si>
    <t>6.0%</t>
  </si>
  <si>
    <t>债券年利率</t>
  </si>
  <si>
    <t>13.0%</t>
  </si>
  <si>
    <t>偿债券率</t>
  </si>
  <si>
    <t>纳税比例</t>
  </si>
  <si>
    <t>评判标准</t>
  </si>
  <si>
    <t>本期利润</t>
  </si>
  <si>
    <t>市场份额</t>
  </si>
  <si>
    <t>累计分红</t>
  </si>
  <si>
    <t>累计缴税</t>
  </si>
  <si>
    <t>净资产</t>
  </si>
  <si>
    <t>人均利润率</t>
  </si>
  <si>
    <t>资本利润率</t>
  </si>
  <si>
    <t>权重</t>
  </si>
  <si>
    <t>0.2</t>
  </si>
  <si>
    <t>0.15</t>
  </si>
  <si>
    <t>0.12</t>
  </si>
  <si>
    <t>0.16</t>
  </si>
  <si>
    <t>0.13</t>
  </si>
  <si>
    <t>工资系数</t>
  </si>
  <si>
    <t>上期正品率</t>
  </si>
  <si>
    <t>废品系数</t>
  </si>
  <si>
    <t>考虑上期影响（选用）</t>
  </si>
  <si>
    <t>下期正品率</t>
  </si>
  <si>
    <t>正品率</t>
  </si>
  <si>
    <t>影响因子</t>
  </si>
  <si>
    <t>最大值</t>
  </si>
  <si>
    <t>第1次数据</t>
  </si>
  <si>
    <t>第2次数据</t>
  </si>
  <si>
    <t>第3次数据</t>
  </si>
  <si>
    <t>第4次数据</t>
  </si>
  <si>
    <t>第5次数据</t>
  </si>
  <si>
    <t>第6次数据</t>
  </si>
  <si>
    <t>第7次数据</t>
  </si>
  <si>
    <t>第8次数据</t>
  </si>
  <si>
    <t>第9次数据</t>
  </si>
  <si>
    <t>第10次数据</t>
  </si>
  <si>
    <t>第11次数据</t>
  </si>
  <si>
    <t>第12次数据</t>
  </si>
  <si>
    <t>第13次数据</t>
  </si>
  <si>
    <t>第14次数据</t>
  </si>
  <si>
    <t>第15次数据</t>
  </si>
  <si>
    <t>第16次数据</t>
  </si>
  <si>
    <t>第17次数据</t>
  </si>
  <si>
    <t>第18次数据</t>
  </si>
  <si>
    <t>数      据      填      充</t>
  </si>
  <si>
    <t>生      产      安      排</t>
  </si>
  <si>
    <t>竞     争     对     手     分     析</t>
  </si>
  <si>
    <t>决        策        单</t>
  </si>
  <si>
    <t>上期需求</t>
  </si>
  <si>
    <t>上期市场份额</t>
  </si>
  <si>
    <t>平均份额</t>
  </si>
  <si>
    <t>标准供应量</t>
  </si>
  <si>
    <t>实际供应量</t>
  </si>
  <si>
    <t>无折旧机时贡献</t>
  </si>
  <si>
    <t>机时成本</t>
  </si>
  <si>
    <t>人时贡献</t>
  </si>
  <si>
    <t>无折旧成本贡献</t>
  </si>
  <si>
    <t>无差别机时贡献</t>
  </si>
  <si>
    <t>成本贡献*15</t>
  </si>
  <si>
    <t>单位成本/机时</t>
  </si>
  <si>
    <t>可运出</t>
  </si>
  <si>
    <t>工厂库存</t>
  </si>
  <si>
    <t>工人数</t>
  </si>
  <si>
    <t>上期发债券数</t>
  </si>
  <si>
    <t>机器数</t>
  </si>
  <si>
    <t>上期偿债本金</t>
  </si>
  <si>
    <t>产品</t>
  </si>
  <si>
    <t>市场</t>
  </si>
  <si>
    <t>需求</t>
  </si>
  <si>
    <t>订货</t>
  </si>
  <si>
    <t>库存</t>
  </si>
  <si>
    <t>原材料</t>
  </si>
  <si>
    <t>发债券数</t>
  </si>
  <si>
    <t>价格</t>
  </si>
  <si>
    <t>广告</t>
  </si>
  <si>
    <t>现 金</t>
  </si>
  <si>
    <t>偿债本金</t>
  </si>
  <si>
    <t>累计折旧</t>
  </si>
  <si>
    <t>生产安排</t>
  </si>
  <si>
    <t>实际机时贡献</t>
  </si>
  <si>
    <t>边际贡献率*20</t>
  </si>
  <si>
    <t>消耗机时</t>
  </si>
  <si>
    <t>单位利润</t>
  </si>
  <si>
    <t>公司号</t>
  </si>
  <si>
    <t>销售产能</t>
  </si>
  <si>
    <t>销售机器</t>
  </si>
  <si>
    <t>机时利润率</t>
  </si>
  <si>
    <t>本期成本</t>
  </si>
  <si>
    <t>成本利润率</t>
  </si>
  <si>
    <t>销售收入</t>
  </si>
  <si>
    <t>实际收入</t>
  </si>
  <si>
    <t>原材料采购</t>
  </si>
  <si>
    <t>纯利润</t>
  </si>
  <si>
    <t>研发分摊</t>
  </si>
  <si>
    <t>调整利润（扣除研发）</t>
  </si>
  <si>
    <t>机时利润</t>
  </si>
  <si>
    <t>银行信用额度</t>
  </si>
  <si>
    <t>下</t>
  </si>
  <si>
    <t>现  金</t>
  </si>
  <si>
    <t>产品A产量</t>
  </si>
  <si>
    <t>国 债</t>
  </si>
  <si>
    <t>产品B产量</t>
  </si>
  <si>
    <t>债 券</t>
  </si>
  <si>
    <t>现金</t>
  </si>
  <si>
    <t>期</t>
  </si>
  <si>
    <t>银行信用</t>
  </si>
  <si>
    <t>产品C产量</t>
  </si>
  <si>
    <t>促销</t>
  </si>
  <si>
    <t>累计研发费</t>
  </si>
  <si>
    <t>国债</t>
  </si>
  <si>
    <t>产品D产量</t>
  </si>
  <si>
    <t>企</t>
  </si>
  <si>
    <t>下期债券</t>
  </si>
  <si>
    <t>各班需人数</t>
  </si>
  <si>
    <t>售前现金</t>
  </si>
  <si>
    <t>机时总贡献</t>
  </si>
  <si>
    <t>供货</t>
  </si>
  <si>
    <t>本期交税</t>
  </si>
  <si>
    <t>债券</t>
  </si>
  <si>
    <t>各班需机器</t>
  </si>
  <si>
    <t>银行贷款</t>
  </si>
  <si>
    <t>下期信用额</t>
  </si>
  <si>
    <t>累计交税</t>
  </si>
  <si>
    <t>交税信用</t>
  </si>
  <si>
    <t>业</t>
  </si>
  <si>
    <t>机器利用率</t>
  </si>
  <si>
    <t>发行债券</t>
  </si>
  <si>
    <t>债券可发额</t>
  </si>
  <si>
    <t>下期可发债券</t>
  </si>
  <si>
    <t>管理成本</t>
  </si>
  <si>
    <t>生产成本</t>
  </si>
  <si>
    <t>未值班工人</t>
  </si>
  <si>
    <t>平均机时贡献</t>
  </si>
  <si>
    <t>单位机器贡献</t>
  </si>
  <si>
    <t>广告促销费</t>
  </si>
  <si>
    <t>单位工资</t>
  </si>
  <si>
    <t>第一班正班</t>
  </si>
  <si>
    <t>第一班加班</t>
  </si>
  <si>
    <t>第二班正班</t>
  </si>
  <si>
    <t>第二班加班</t>
  </si>
  <si>
    <t>平均工资</t>
  </si>
  <si>
    <t>单位成本</t>
  </si>
  <si>
    <t>无差别成本</t>
  </si>
  <si>
    <t>状</t>
  </si>
  <si>
    <t>未值班工资</t>
  </si>
  <si>
    <t>单产机时贡献</t>
  </si>
  <si>
    <t>新雇人数</t>
  </si>
  <si>
    <t>解雇人数</t>
  </si>
  <si>
    <t>购原材料</t>
  </si>
  <si>
    <t>购买机器</t>
  </si>
  <si>
    <t>分红</t>
  </si>
  <si>
    <t>现有机器数</t>
  </si>
  <si>
    <t>单位成本贡献</t>
  </si>
  <si>
    <t>成本</t>
  </si>
  <si>
    <t>况</t>
  </si>
  <si>
    <t>Max</t>
  </si>
  <si>
    <t>Min</t>
  </si>
  <si>
    <t>税后利润</t>
  </si>
  <si>
    <t>供应机器数</t>
  </si>
  <si>
    <t>机时贡献</t>
  </si>
  <si>
    <t>研发(K)</t>
  </si>
  <si>
    <t>总资本利润率</t>
  </si>
  <si>
    <t>可用人数</t>
  </si>
  <si>
    <t>可用原材料</t>
  </si>
  <si>
    <t>买国债</t>
  </si>
  <si>
    <t>期末现金</t>
  </si>
  <si>
    <t>销售机器数</t>
  </si>
  <si>
    <t>综合评分</t>
  </si>
  <si>
    <t>需要人数</t>
  </si>
  <si>
    <t>需要机器数</t>
  </si>
  <si>
    <t>需要原材料</t>
  </si>
  <si>
    <t>国债利息</t>
  </si>
  <si>
    <t>废品损失</t>
  </si>
  <si>
    <t>保留现金</t>
  </si>
  <si>
    <t>销售比例</t>
  </si>
  <si>
    <t>利用机器</t>
  </si>
  <si>
    <t>期初现金</t>
  </si>
  <si>
    <t>期初原材料</t>
  </si>
  <si>
    <t>机时</t>
  </si>
  <si>
    <t>上期预定</t>
  </si>
  <si>
    <t>本期需求</t>
  </si>
  <si>
    <t>本期销售</t>
  </si>
  <si>
    <t>废品</t>
  </si>
  <si>
    <t>本期费用</t>
  </si>
  <si>
    <t>期末原材料</t>
  </si>
  <si>
    <t>上期研发费</t>
  </si>
  <si>
    <t>加权平均</t>
  </si>
  <si>
    <t>本期比例</t>
  </si>
  <si>
    <t>售前费用</t>
  </si>
  <si>
    <t>本期机器</t>
  </si>
  <si>
    <t>下期机器</t>
  </si>
  <si>
    <t>单位价值</t>
  </si>
  <si>
    <t>发展</t>
  </si>
  <si>
    <t>辞退人数</t>
  </si>
  <si>
    <t>买机器</t>
  </si>
  <si>
    <t>原材料(K)</t>
  </si>
  <si>
    <t>等级</t>
  </si>
  <si>
    <t>公司</t>
  </si>
  <si>
    <t>利润</t>
  </si>
  <si>
    <t>A</t>
  </si>
  <si>
    <t>B</t>
  </si>
  <si>
    <t>C</t>
  </si>
  <si>
    <t>D</t>
  </si>
  <si>
    <t>单位运输成本</t>
  </si>
  <si>
    <t>单位销售成本</t>
  </si>
  <si>
    <t>下期售前费用</t>
  </si>
  <si>
    <t>财务(K)</t>
  </si>
  <si>
    <t>发债券</t>
  </si>
  <si>
    <t>人时</t>
  </si>
  <si>
    <t>单位机时贡献</t>
  </si>
  <si>
    <t>现有人机比</t>
  </si>
  <si>
    <t>单位贡献</t>
  </si>
  <si>
    <t>基础毛利率</t>
  </si>
  <si>
    <t>研发费</t>
  </si>
  <si>
    <t>升级费用</t>
  </si>
  <si>
    <t>产品等级</t>
  </si>
  <si>
    <t>单位产品边际贡献</t>
  </si>
  <si>
    <t>单位机时边际贡献</t>
  </si>
  <si>
    <t>成本贡献</t>
  </si>
  <si>
    <t>单位产品边际贡献率</t>
  </si>
  <si>
    <t>总计</t>
  </si>
  <si>
    <t>运输成本</t>
  </si>
  <si>
    <t>变动运输成本</t>
  </si>
  <si>
    <t>本期研发</t>
  </si>
  <si>
    <t>总运费</t>
  </si>
  <si>
    <t>本公司</t>
  </si>
  <si>
    <t>分      销      ＆      定      价</t>
  </si>
  <si>
    <t>会       计       报       表</t>
  </si>
  <si>
    <t>收入</t>
  </si>
  <si>
    <t>各班工资</t>
  </si>
  <si>
    <t>平均</t>
  </si>
  <si>
    <t>是否运出</t>
  </si>
  <si>
    <t>是否生产</t>
  </si>
  <si>
    <t>收支</t>
  </si>
  <si>
    <t>本期收入</t>
  </si>
  <si>
    <t>现金累计</t>
  </si>
  <si>
    <t>废品基础损失</t>
  </si>
  <si>
    <t>上期库存</t>
  </si>
  <si>
    <t>上期订货</t>
  </si>
  <si>
    <t>实际生产量</t>
  </si>
  <si>
    <t>还债券本金</t>
  </si>
  <si>
    <t>供货量总量</t>
  </si>
  <si>
    <t>还债券利息</t>
  </si>
  <si>
    <t>预测市场库存</t>
  </si>
  <si>
    <t>新工人培训费</t>
  </si>
  <si>
    <t>期初库存</t>
  </si>
  <si>
    <t>库存收入</t>
  </si>
  <si>
    <t>解雇工人安置费</t>
  </si>
  <si>
    <t>工人基本工资</t>
  </si>
  <si>
    <t>单位成品存储费</t>
  </si>
  <si>
    <t>供需差额</t>
  </si>
  <si>
    <t>实际供应</t>
  </si>
  <si>
    <t>研发费分摊</t>
  </si>
  <si>
    <t>库存变化</t>
  </si>
  <si>
    <t>购原材料优惠</t>
  </si>
  <si>
    <t>库存费</t>
  </si>
  <si>
    <t>购材料运费</t>
  </si>
  <si>
    <t>特殊班工资</t>
  </si>
  <si>
    <t>使用材料费</t>
  </si>
  <si>
    <t>成品运输费</t>
  </si>
  <si>
    <t>参照市场份额</t>
  </si>
  <si>
    <t>本期价格</t>
  </si>
  <si>
    <t>促销分摊</t>
  </si>
  <si>
    <t>广告费</t>
  </si>
  <si>
    <t>促销费</t>
  </si>
  <si>
    <t>标准差</t>
  </si>
  <si>
    <t>折旧费</t>
  </si>
  <si>
    <t>加权平均单价</t>
  </si>
  <si>
    <t>各班机时</t>
  </si>
  <si>
    <t>广告比</t>
  </si>
  <si>
    <t>产品库存变化</t>
  </si>
  <si>
    <t>参照评分贡献</t>
  </si>
  <si>
    <t>广告分摊</t>
  </si>
  <si>
    <t>促销比</t>
  </si>
  <si>
    <t>市场均值</t>
  </si>
  <si>
    <t>原材料存储费</t>
  </si>
  <si>
    <t>成品存储费</t>
  </si>
  <si>
    <t>加权机时贡献</t>
  </si>
  <si>
    <t>上期国债返回</t>
  </si>
  <si>
    <t xml:space="preserve"> </t>
  </si>
  <si>
    <t>上期价格</t>
  </si>
  <si>
    <t>价格增量</t>
  </si>
  <si>
    <t>付银行贷款</t>
  </si>
  <si>
    <t>付银行利息</t>
  </si>
  <si>
    <t>加权平均成本</t>
  </si>
  <si>
    <t>各班几时占用率</t>
  </si>
  <si>
    <t>本期产品分配</t>
  </si>
  <si>
    <t>分配原则</t>
  </si>
  <si>
    <t>本期纳税</t>
  </si>
  <si>
    <t>机时贡献相等</t>
  </si>
  <si>
    <t>市场份额相等</t>
  </si>
  <si>
    <t>边际贡献相等</t>
  </si>
  <si>
    <t>市场1、2无差别</t>
  </si>
  <si>
    <t>外部定价</t>
  </si>
  <si>
    <t>上期与均价差</t>
  </si>
  <si>
    <t>本期合计供货</t>
  </si>
  <si>
    <t>折旧分摊</t>
  </si>
  <si>
    <t>可运出产品数量</t>
  </si>
  <si>
    <t>累计纳税</t>
  </si>
  <si>
    <t>综合分</t>
  </si>
  <si>
    <t>上期加权均价</t>
  </si>
  <si>
    <t>本期与均价差</t>
  </si>
  <si>
    <t>边际贡献率</t>
  </si>
  <si>
    <t>库存预测</t>
  </si>
  <si>
    <t>评分</t>
  </si>
  <si>
    <t>利润率贡献</t>
  </si>
  <si>
    <t>本期贡献</t>
  </si>
  <si>
    <t>上上期分数</t>
  </si>
  <si>
    <t>理论分数</t>
  </si>
  <si>
    <t>预计废品数</t>
  </si>
  <si>
    <t>库存金额</t>
  </si>
  <si>
    <t>百分比</t>
  </si>
  <si>
    <t>进一步毛利率</t>
  </si>
  <si>
    <t>系数</t>
  </si>
  <si>
    <t>本公司号</t>
  </si>
  <si>
    <t>和</t>
  </si>
  <si>
    <t>本公司销售量</t>
  </si>
  <si>
    <t>市场总销量</t>
  </si>
  <si>
    <t>平均销量</t>
  </si>
  <si>
    <t>加权单价</t>
  </si>
  <si>
    <t>差价</t>
  </si>
  <si>
    <t>比例</t>
  </si>
</sst>
</file>

<file path=xl/styles.xml><?xml version="1.0" encoding="utf-8"?>
<styleSheet xmlns="http://schemas.openxmlformats.org/spreadsheetml/2006/main">
  <numFmts count="1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#,##0_ "/>
    <numFmt numFmtId="178" formatCode="0.0000;[Red]0.0000"/>
    <numFmt numFmtId="179" formatCode="#,##0.000_ "/>
    <numFmt numFmtId="180" formatCode="0.0_ "/>
    <numFmt numFmtId="181" formatCode="#,##0_);[Red]\(#,##0\)"/>
    <numFmt numFmtId="182" formatCode="0_ "/>
    <numFmt numFmtId="183" formatCode="0.0000_);[Red]\(0.0000\)"/>
    <numFmt numFmtId="184" formatCode="0.000_ "/>
    <numFmt numFmtId="185" formatCode="0.0000%"/>
    <numFmt numFmtId="186" formatCode="0.000%"/>
    <numFmt numFmtId="187" formatCode="0.0%"/>
    <numFmt numFmtId="188" formatCode="0.00_ "/>
    <numFmt numFmtId="189" formatCode="0.00000%"/>
  </numFmts>
  <fonts count="39">
    <font>
      <sz val="12"/>
      <name val="宋体"/>
      <charset val="134"/>
    </font>
    <font>
      <b/>
      <sz val="12"/>
      <name val="宋体"/>
      <charset val="134"/>
    </font>
    <font>
      <b/>
      <sz val="28"/>
      <color indexed="9"/>
      <name val="宋体"/>
      <charset val="134"/>
    </font>
    <font>
      <b/>
      <sz val="14"/>
      <name val="宋体"/>
      <charset val="134"/>
    </font>
    <font>
      <b/>
      <sz val="12"/>
      <color theme="0"/>
      <name val="宋体"/>
      <charset val="134"/>
    </font>
    <font>
      <b/>
      <sz val="12"/>
      <color indexed="10"/>
      <name val="宋体"/>
      <charset val="134"/>
    </font>
    <font>
      <sz val="12"/>
      <color rgb="FFFF0000"/>
      <name val="宋体"/>
      <charset val="134"/>
    </font>
    <font>
      <b/>
      <sz val="12"/>
      <color indexed="9"/>
      <name val="宋体"/>
      <charset val="134"/>
    </font>
    <font>
      <b/>
      <sz val="10"/>
      <name val="宋体"/>
      <charset val="134"/>
    </font>
    <font>
      <sz val="10.5"/>
      <name val="Times New Roman"/>
      <charset val="0"/>
    </font>
    <font>
      <b/>
      <sz val="12"/>
      <name val="Times New Roman"/>
      <charset val="0"/>
    </font>
    <font>
      <b/>
      <sz val="26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sz val="12"/>
      <color indexed="12"/>
      <name val="宋体"/>
      <charset val="134"/>
    </font>
    <font>
      <b/>
      <sz val="48"/>
      <color indexed="9"/>
      <name val="宋体"/>
      <charset val="134"/>
    </font>
    <font>
      <b/>
      <sz val="12"/>
      <color indexed="56"/>
      <name val="宋体"/>
      <charset val="134"/>
    </font>
    <font>
      <sz val="12"/>
      <name val="Times New Roman"/>
      <charset val="0"/>
    </font>
    <font>
      <sz val="16"/>
      <color indexed="9"/>
      <name val="宋体"/>
      <charset val="134"/>
    </font>
    <font>
      <b/>
      <sz val="18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theme="10"/>
      <name val="宋体"/>
      <charset val="134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42" fontId="0" fillId="0" borderId="0">
      <alignment vertical="center"/>
    </xf>
    <xf numFmtId="0" fontId="20" fillId="34" borderId="0">
      <alignment vertical="center"/>
    </xf>
    <xf numFmtId="0" fontId="22" fillId="35" borderId="7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0" fillId="41" borderId="0">
      <alignment vertical="center"/>
    </xf>
    <xf numFmtId="0" fontId="23" fillId="36" borderId="0">
      <alignment vertical="center"/>
    </xf>
    <xf numFmtId="43" fontId="0" fillId="0" borderId="0">
      <alignment vertical="center"/>
    </xf>
    <xf numFmtId="0" fontId="21" fillId="57" borderId="0">
      <alignment vertical="center"/>
    </xf>
    <xf numFmtId="0" fontId="35" fillId="0" borderId="0">
      <alignment vertical="top"/>
      <protection locked="0"/>
    </xf>
    <xf numFmtId="9" fontId="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0" fillId="40" borderId="81">
      <alignment vertical="center"/>
    </xf>
    <xf numFmtId="0" fontId="21" fillId="49" borderId="0">
      <alignment vertical="center"/>
    </xf>
    <xf numFmtId="0" fontId="33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7" fillId="0" borderId="0">
      <alignment vertical="center"/>
    </xf>
    <xf numFmtId="0" fontId="20" fillId="0" borderId="0">
      <alignment vertical="center"/>
    </xf>
    <xf numFmtId="0" fontId="25" fillId="0" borderId="80">
      <alignment vertical="center"/>
    </xf>
    <xf numFmtId="0" fontId="20" fillId="0" borderId="0">
      <alignment vertical="center"/>
    </xf>
    <xf numFmtId="0" fontId="30" fillId="0" borderId="84">
      <alignment vertical="center"/>
    </xf>
    <xf numFmtId="0" fontId="21" fillId="56" borderId="0">
      <alignment vertical="center"/>
    </xf>
    <xf numFmtId="0" fontId="33" fillId="0" borderId="86">
      <alignment vertical="center"/>
    </xf>
    <xf numFmtId="0" fontId="21" fillId="55" borderId="0">
      <alignment vertical="center"/>
    </xf>
    <xf numFmtId="0" fontId="29" fillId="46" borderId="83">
      <alignment vertical="center"/>
    </xf>
    <xf numFmtId="0" fontId="27" fillId="46" borderId="79">
      <alignment vertical="center"/>
    </xf>
    <xf numFmtId="0" fontId="26" fillId="45" borderId="82">
      <alignment vertical="center"/>
    </xf>
    <xf numFmtId="0" fontId="20" fillId="44" borderId="0">
      <alignment vertical="center"/>
    </xf>
    <xf numFmtId="0" fontId="21" fillId="59" borderId="0">
      <alignment vertical="center"/>
    </xf>
    <xf numFmtId="0" fontId="36" fillId="0" borderId="87">
      <alignment vertical="center"/>
    </xf>
    <xf numFmtId="0" fontId="32" fillId="0" borderId="85">
      <alignment vertical="center"/>
    </xf>
    <xf numFmtId="0" fontId="24" fillId="39" borderId="0">
      <alignment vertical="center"/>
    </xf>
    <xf numFmtId="0" fontId="28" fillId="48" borderId="0">
      <alignment vertical="center"/>
    </xf>
    <xf numFmtId="0" fontId="20" fillId="38" borderId="0">
      <alignment vertical="center"/>
    </xf>
    <xf numFmtId="0" fontId="21" fillId="54" borderId="0">
      <alignment vertical="center"/>
    </xf>
    <xf numFmtId="0" fontId="20" fillId="53" borderId="0">
      <alignment vertical="center"/>
    </xf>
    <xf numFmtId="0" fontId="20" fillId="31" borderId="0">
      <alignment vertical="center"/>
    </xf>
    <xf numFmtId="0" fontId="20" fillId="52" borderId="0">
      <alignment vertical="center"/>
    </xf>
    <xf numFmtId="0" fontId="20" fillId="51" borderId="0">
      <alignment vertical="center"/>
    </xf>
    <xf numFmtId="0" fontId="21" fillId="58" borderId="0">
      <alignment vertical="center"/>
    </xf>
    <xf numFmtId="0" fontId="21" fillId="37" borderId="0">
      <alignment vertical="center"/>
    </xf>
    <xf numFmtId="0" fontId="20" fillId="43" borderId="0">
      <alignment vertical="center"/>
    </xf>
    <xf numFmtId="0" fontId="20" fillId="47" borderId="0">
      <alignment vertical="center"/>
    </xf>
    <xf numFmtId="0" fontId="21" fillId="30" borderId="0">
      <alignment vertical="center"/>
    </xf>
    <xf numFmtId="0" fontId="20" fillId="33" borderId="0">
      <alignment vertical="center"/>
    </xf>
    <xf numFmtId="0" fontId="21" fillId="50" borderId="0">
      <alignment vertical="center"/>
    </xf>
    <xf numFmtId="0" fontId="21" fillId="32" borderId="0">
      <alignment vertical="center"/>
    </xf>
    <xf numFmtId="0" fontId="20" fillId="42" borderId="0">
      <alignment vertical="center"/>
    </xf>
    <xf numFmtId="0" fontId="21" fillId="29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4" fontId="0" fillId="0" borderId="0" xfId="0" applyNumberFormat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vertical="center" wrapText="1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wrapText="1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0" fillId="5" borderId="4" xfId="0" applyNumberForma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1" fillId="8" borderId="4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2" fontId="1" fillId="6" borderId="4" xfId="0" applyNumberFormat="1" applyFont="1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2" fontId="1" fillId="5" borderId="4" xfId="0" applyNumberFormat="1" applyFont="1" applyFill="1" applyBorder="1" applyAlignment="1">
      <alignment horizontal="center" vertical="center"/>
    </xf>
    <xf numFmtId="180" fontId="1" fillId="10" borderId="4" xfId="0" applyNumberFormat="1" applyFont="1" applyFill="1" applyBorder="1" applyAlignment="1">
      <alignment horizontal="center" vertical="center"/>
    </xf>
    <xf numFmtId="184" fontId="0" fillId="11" borderId="4" xfId="0" applyNumberFormat="1" applyFill="1" applyBorder="1" applyAlignment="1">
      <alignment horizontal="center" vertical="center"/>
    </xf>
    <xf numFmtId="184" fontId="0" fillId="5" borderId="4" xfId="0" applyNumberForma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184" fontId="0" fillId="13" borderId="4" xfId="0" applyNumberForma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84" fontId="0" fillId="5" borderId="30" xfId="0" applyNumberForma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77" fontId="0" fillId="0" borderId="25" xfId="0" applyNumberFormat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177" fontId="1" fillId="14" borderId="33" xfId="0" applyNumberFormat="1" applyFont="1" applyFill="1" applyBorder="1" applyAlignment="1">
      <alignment horizontal="right" vertical="center"/>
    </xf>
    <xf numFmtId="186" fontId="1" fillId="15" borderId="4" xfId="0" applyNumberFormat="1" applyFont="1" applyFill="1" applyBorder="1" applyAlignment="1">
      <alignment horizontal="center" vertical="center"/>
    </xf>
    <xf numFmtId="186" fontId="1" fillId="15" borderId="25" xfId="0" applyNumberFormat="1" applyFont="1" applyFill="1" applyBorder="1" applyAlignment="1">
      <alignment horizontal="center" vertical="center"/>
    </xf>
    <xf numFmtId="0" fontId="0" fillId="0" borderId="19" xfId="0" applyBorder="1"/>
    <xf numFmtId="186" fontId="1" fillId="15" borderId="30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77" fontId="0" fillId="0" borderId="22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77" fontId="1" fillId="14" borderId="33" xfId="0" applyNumberFormat="1" applyFont="1" applyFill="1" applyBorder="1" applyAlignment="1">
      <alignment horizontal="center" vertical="center"/>
    </xf>
    <xf numFmtId="184" fontId="1" fillId="14" borderId="4" xfId="0" applyNumberFormat="1" applyFont="1" applyFill="1" applyBorder="1" applyAlignment="1">
      <alignment horizontal="center" vertical="center"/>
    </xf>
    <xf numFmtId="184" fontId="1" fillId="14" borderId="33" xfId="0" applyNumberFormat="1" applyFont="1" applyFill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84" fontId="1" fillId="0" borderId="22" xfId="0" applyNumberFormat="1" applyFont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center" vertical="center"/>
    </xf>
    <xf numFmtId="177" fontId="1" fillId="13" borderId="4" xfId="0" applyNumberFormat="1" applyFont="1" applyFill="1" applyBorder="1" applyAlignment="1">
      <alignment horizontal="right" vertical="center"/>
    </xf>
    <xf numFmtId="177" fontId="1" fillId="16" borderId="4" xfId="0" applyNumberFormat="1" applyFont="1" applyFill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 applyAlignment="1">
      <alignment horizontal="right" vertical="center"/>
    </xf>
    <xf numFmtId="0" fontId="1" fillId="13" borderId="4" xfId="0" applyFont="1" applyFill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80" fontId="1" fillId="18" borderId="4" xfId="0" applyNumberFormat="1" applyFont="1" applyFill="1" applyBorder="1" applyAlignment="1">
      <alignment horizontal="center" vertical="center"/>
    </xf>
    <xf numFmtId="180" fontId="1" fillId="10" borderId="30" xfId="0" applyNumberFormat="1" applyFont="1" applyFill="1" applyBorder="1" applyAlignment="1">
      <alignment horizontal="center" vertical="center"/>
    </xf>
    <xf numFmtId="0" fontId="1" fillId="19" borderId="36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1" fillId="18" borderId="36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3" fontId="1" fillId="19" borderId="36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88" fontId="0" fillId="20" borderId="4" xfId="0" applyNumberFormat="1" applyFill="1" applyBorder="1" applyAlignment="1">
      <alignment horizontal="center" vertical="center"/>
    </xf>
    <xf numFmtId="184" fontId="0" fillId="20" borderId="4" xfId="0" applyNumberForma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80" fontId="7" fillId="2" borderId="33" xfId="0" applyNumberFormat="1" applyFont="1" applyFill="1" applyBorder="1" applyAlignment="1">
      <alignment horizontal="center" vertical="center"/>
    </xf>
    <xf numFmtId="177" fontId="0" fillId="13" borderId="22" xfId="0" applyNumberFormat="1" applyFill="1" applyBorder="1" applyAlignment="1">
      <alignment horizontal="right" vertical="center"/>
    </xf>
    <xf numFmtId="177" fontId="1" fillId="4" borderId="22" xfId="0" applyNumberFormat="1" applyFont="1" applyFill="1" applyBorder="1" applyAlignment="1">
      <alignment horizontal="right" vertical="center"/>
    </xf>
    <xf numFmtId="177" fontId="0" fillId="13" borderId="4" xfId="0" applyNumberFormat="1" applyFill="1" applyBorder="1" applyAlignment="1">
      <alignment horizontal="right" vertical="center"/>
    </xf>
    <xf numFmtId="182" fontId="1" fillId="14" borderId="33" xfId="0" applyNumberFormat="1" applyFont="1" applyFill="1" applyBorder="1" applyAlignment="1">
      <alignment horizontal="right" vertical="center"/>
    </xf>
    <xf numFmtId="177" fontId="1" fillId="14" borderId="4" xfId="0" applyNumberFormat="1" applyFont="1" applyFill="1" applyBorder="1" applyAlignment="1">
      <alignment horizontal="right" vertical="center"/>
    </xf>
    <xf numFmtId="10" fontId="1" fillId="0" borderId="4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182" fontId="1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81" fontId="0" fillId="0" borderId="4" xfId="0" applyNumberFormat="1" applyBorder="1" applyAlignment="1">
      <alignment horizontal="right" vertical="center"/>
    </xf>
    <xf numFmtId="181" fontId="1" fillId="6" borderId="4" xfId="0" applyNumberFormat="1" applyFont="1" applyFill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88" fontId="0" fillId="5" borderId="4" xfId="0" applyNumberFormat="1" applyFill="1" applyBorder="1" applyAlignment="1">
      <alignment horizontal="center" vertical="center"/>
    </xf>
    <xf numFmtId="188" fontId="0" fillId="0" borderId="4" xfId="0" applyNumberFormat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177" fontId="1" fillId="0" borderId="30" xfId="0" applyNumberFormat="1" applyFont="1" applyBorder="1" applyAlignment="1">
      <alignment horizontal="center" vertical="center"/>
    </xf>
    <xf numFmtId="0" fontId="0" fillId="0" borderId="23" xfId="0" applyBorder="1"/>
    <xf numFmtId="0" fontId="1" fillId="3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177" fontId="1" fillId="13" borderId="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184" fontId="1" fillId="6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3" fontId="1" fillId="21" borderId="4" xfId="0" applyNumberFormat="1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justify" vertical="top" wrapText="1"/>
    </xf>
    <xf numFmtId="10" fontId="10" fillId="0" borderId="36" xfId="0" applyNumberFormat="1" applyFont="1" applyBorder="1" applyAlignment="1">
      <alignment horizontal="justify" vertical="top" wrapText="1"/>
    </xf>
    <xf numFmtId="10" fontId="10" fillId="0" borderId="4" xfId="0" applyNumberFormat="1" applyFont="1" applyBorder="1" applyAlignment="1">
      <alignment horizontal="justify" vertical="top" wrapText="1"/>
    </xf>
    <xf numFmtId="10" fontId="10" fillId="0" borderId="37" xfId="0" applyNumberFormat="1" applyFont="1" applyBorder="1" applyAlignment="1">
      <alignment horizontal="justify" vertical="top" wrapText="1"/>
    </xf>
    <xf numFmtId="0" fontId="11" fillId="0" borderId="0" xfId="0" applyFont="1" applyAlignment="1">
      <alignment horizontal="center" vertical="center"/>
    </xf>
    <xf numFmtId="0" fontId="9" fillId="3" borderId="4" xfId="0" applyFont="1" applyFill="1" applyBorder="1" applyAlignment="1">
      <alignment horizontal="justify" vertical="top" wrapText="1"/>
    </xf>
    <xf numFmtId="185" fontId="1" fillId="0" borderId="0" xfId="0" applyNumberFormat="1" applyFont="1" applyAlignment="1">
      <alignment horizontal="center" vertical="center"/>
    </xf>
    <xf numFmtId="10" fontId="1" fillId="6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22" borderId="4" xfId="0" applyFont="1" applyFill="1" applyBorder="1"/>
    <xf numFmtId="0" fontId="0" fillId="6" borderId="4" xfId="0" applyFill="1" applyBorder="1" applyAlignment="1">
      <alignment horizontal="center"/>
    </xf>
    <xf numFmtId="177" fontId="1" fillId="19" borderId="4" xfId="0" applyNumberFormat="1" applyFont="1" applyFill="1" applyBorder="1"/>
    <xf numFmtId="0" fontId="1" fillId="0" borderId="0" xfId="0" applyFont="1"/>
    <xf numFmtId="177" fontId="1" fillId="22" borderId="4" xfId="0" applyNumberFormat="1" applyFont="1" applyFill="1" applyBorder="1"/>
    <xf numFmtId="0" fontId="2" fillId="2" borderId="43" xfId="0" applyFont="1" applyFill="1" applyBorder="1" applyAlignment="1">
      <alignment horizontal="center" vertical="center"/>
    </xf>
    <xf numFmtId="0" fontId="0" fillId="0" borderId="43" xfId="0" applyBorder="1"/>
    <xf numFmtId="177" fontId="0" fillId="3" borderId="4" xfId="0" applyNumberFormat="1" applyFill="1" applyBorder="1" applyAlignment="1">
      <alignment horizontal="center" vertical="center"/>
    </xf>
    <xf numFmtId="177" fontId="0" fillId="3" borderId="22" xfId="0" applyNumberFormat="1" applyFill="1" applyBorder="1" applyAlignment="1">
      <alignment horizontal="center" vertical="center"/>
    </xf>
    <xf numFmtId="0" fontId="1" fillId="0" borderId="13" xfId="0" applyFont="1" applyBorder="1"/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84" fontId="0" fillId="3" borderId="16" xfId="0" applyNumberFormat="1" applyFill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3" borderId="28" xfId="0" applyNumberFormat="1" applyFill="1" applyBorder="1" applyAlignment="1">
      <alignment horizontal="center" vertical="center"/>
    </xf>
    <xf numFmtId="184" fontId="0" fillId="3" borderId="4" xfId="0" applyNumberFormat="1" applyFill="1" applyBorder="1" applyAlignment="1">
      <alignment horizontal="center" vertical="center"/>
    </xf>
    <xf numFmtId="184" fontId="0" fillId="0" borderId="23" xfId="0" applyNumberFormat="1" applyBorder="1" applyAlignment="1">
      <alignment horizontal="center" vertical="center"/>
    </xf>
    <xf numFmtId="184" fontId="0" fillId="0" borderId="21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4" fontId="0" fillId="0" borderId="16" xfId="0" applyNumberFormat="1" applyBorder="1" applyAlignment="1">
      <alignment horizontal="center" vertical="center"/>
    </xf>
    <xf numFmtId="184" fontId="0" fillId="0" borderId="15" xfId="0" applyNumberForma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88" fontId="1" fillId="0" borderId="4" xfId="0" applyNumberFormat="1" applyFont="1" applyBorder="1" applyAlignment="1">
      <alignment horizontal="center" vertical="center"/>
    </xf>
    <xf numFmtId="188" fontId="1" fillId="0" borderId="0" xfId="0" applyNumberFormat="1" applyFont="1" applyAlignment="1">
      <alignment horizontal="center" vertical="center"/>
    </xf>
    <xf numFmtId="188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23" xfId="0" applyBorder="1" applyAlignment="1">
      <alignment horizontal="center" vertical="center"/>
    </xf>
    <xf numFmtId="0" fontId="13" fillId="3" borderId="7" xfId="0" applyFont="1" applyFill="1" applyBorder="1" applyAlignment="1">
      <alignment horizontal="justify" vertical="top" wrapText="1"/>
    </xf>
    <xf numFmtId="0" fontId="13" fillId="3" borderId="8" xfId="0" applyFont="1" applyFill="1" applyBorder="1" applyAlignment="1">
      <alignment horizontal="justify" vertical="top" wrapText="1"/>
    </xf>
    <xf numFmtId="3" fontId="0" fillId="0" borderId="0" xfId="0" applyNumberFormat="1" applyAlignment="1">
      <alignment horizontal="right" wrapText="1"/>
    </xf>
    <xf numFmtId="0" fontId="9" fillId="0" borderId="0" xfId="0" applyFont="1" applyAlignment="1">
      <alignment horizontal="justify" vertical="top" wrapText="1"/>
    </xf>
    <xf numFmtId="184" fontId="1" fillId="0" borderId="21" xfId="0" applyNumberFormat="1" applyFont="1" applyBorder="1" applyAlignment="1">
      <alignment horizontal="center" vertical="center"/>
    </xf>
    <xf numFmtId="184" fontId="1" fillId="3" borderId="28" xfId="0" applyNumberFormat="1" applyFont="1" applyFill="1" applyBorder="1" applyAlignment="1">
      <alignment horizontal="center" vertical="center"/>
    </xf>
    <xf numFmtId="184" fontId="1" fillId="3" borderId="4" xfId="0" applyNumberFormat="1" applyFont="1" applyFill="1" applyBorder="1" applyAlignment="1">
      <alignment horizontal="center" vertical="center"/>
    </xf>
    <xf numFmtId="0" fontId="1" fillId="23" borderId="4" xfId="0" applyFont="1" applyFill="1" applyBorder="1"/>
    <xf numFmtId="187" fontId="0" fillId="14" borderId="4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84" fontId="1" fillId="0" borderId="16" xfId="0" applyNumberFormat="1" applyFont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182" fontId="1" fillId="10" borderId="4" xfId="0" applyNumberFormat="1" applyFont="1" applyFill="1" applyBorder="1" applyAlignment="1">
      <alignment horizontal="center" vertical="center"/>
    </xf>
    <xf numFmtId="184" fontId="1" fillId="3" borderId="16" xfId="0" applyNumberFormat="1" applyFont="1" applyFill="1" applyBorder="1" applyAlignment="1">
      <alignment horizontal="center" vertical="center"/>
    </xf>
    <xf numFmtId="189" fontId="1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3" borderId="4" xfId="0" applyFont="1" applyFill="1" applyBorder="1" applyAlignment="1">
      <alignment horizontal="center"/>
    </xf>
    <xf numFmtId="10" fontId="1" fillId="21" borderId="4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vertical="center"/>
    </xf>
    <xf numFmtId="184" fontId="1" fillId="0" borderId="4" xfId="0" applyNumberFormat="1" applyFont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84" fontId="1" fillId="0" borderId="23" xfId="0" applyNumberFormat="1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 vertical="center"/>
    </xf>
    <xf numFmtId="185" fontId="1" fillId="0" borderId="4" xfId="0" applyNumberFormat="1" applyFont="1" applyBorder="1" applyAlignment="1">
      <alignment horizontal="center" vertical="center"/>
    </xf>
    <xf numFmtId="176" fontId="10" fillId="0" borderId="36" xfId="0" applyNumberFormat="1" applyFont="1" applyBorder="1" applyAlignment="1">
      <alignment horizontal="justify" vertical="top" wrapText="1"/>
    </xf>
    <xf numFmtId="176" fontId="10" fillId="0" borderId="4" xfId="0" applyNumberFormat="1" applyFont="1" applyBorder="1" applyAlignment="1">
      <alignment horizontal="justify" vertical="top" wrapText="1"/>
    </xf>
    <xf numFmtId="176" fontId="10" fillId="0" borderId="37" xfId="0" applyNumberFormat="1" applyFont="1" applyBorder="1" applyAlignment="1">
      <alignment horizontal="justify" vertical="top" wrapText="1"/>
    </xf>
    <xf numFmtId="0" fontId="1" fillId="25" borderId="59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183" fontId="10" fillId="0" borderId="4" xfId="0" applyNumberFormat="1" applyFont="1" applyBorder="1" applyAlignment="1">
      <alignment horizontal="justify" vertical="top" wrapText="1"/>
    </xf>
    <xf numFmtId="0" fontId="1" fillId="25" borderId="60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justify" vertical="top" wrapText="1"/>
    </xf>
    <xf numFmtId="176" fontId="1" fillId="0" borderId="0" xfId="0" applyNumberFormat="1" applyFont="1" applyAlignment="1">
      <alignment horizontal="center" vertical="center"/>
    </xf>
    <xf numFmtId="0" fontId="1" fillId="25" borderId="61" xfId="0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justify" vertical="top" wrapText="1"/>
    </xf>
    <xf numFmtId="0" fontId="1" fillId="25" borderId="2" xfId="0" applyFont="1" applyFill="1" applyBorder="1" applyAlignment="1">
      <alignment horizontal="left" vertical="center"/>
    </xf>
    <xf numFmtId="0" fontId="1" fillId="25" borderId="62" xfId="0" applyFont="1" applyFill="1" applyBorder="1" applyAlignment="1">
      <alignment horizontal="center" vertical="center"/>
    </xf>
    <xf numFmtId="177" fontId="0" fillId="3" borderId="58" xfId="0" applyNumberFormat="1" applyFill="1" applyBorder="1" applyAlignment="1">
      <alignment horizontal="center" vertical="center"/>
    </xf>
    <xf numFmtId="177" fontId="0" fillId="0" borderId="58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17" borderId="4" xfId="0" applyNumberForma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7" fontId="5" fillId="2" borderId="15" xfId="0" applyNumberFormat="1" applyFont="1" applyFill="1" applyBorder="1" applyAlignment="1">
      <alignment horizontal="center" vertical="center"/>
    </xf>
    <xf numFmtId="177" fontId="1" fillId="3" borderId="30" xfId="0" applyNumberFormat="1" applyFont="1" applyFill="1" applyBorder="1" applyAlignment="1">
      <alignment horizontal="center" vertical="center"/>
    </xf>
    <xf numFmtId="177" fontId="0" fillId="17" borderId="33" xfId="0" applyNumberFormat="1" applyFill="1" applyBorder="1" applyAlignment="1">
      <alignment horizontal="center" vertical="center"/>
    </xf>
    <xf numFmtId="0" fontId="15" fillId="25" borderId="4" xfId="0" applyFont="1" applyFill="1" applyBorder="1" applyAlignment="1">
      <alignment horizontal="center" vertical="center" wrapText="1"/>
    </xf>
    <xf numFmtId="3" fontId="1" fillId="21" borderId="4" xfId="0" applyNumberFormat="1" applyFont="1" applyFill="1" applyBorder="1" applyAlignment="1">
      <alignment horizontal="right" wrapText="1"/>
    </xf>
    <xf numFmtId="0" fontId="0" fillId="0" borderId="39" xfId="0" applyBorder="1"/>
    <xf numFmtId="0" fontId="0" fillId="0" borderId="22" xfId="0" applyBorder="1"/>
    <xf numFmtId="3" fontId="16" fillId="21" borderId="4" xfId="0" applyNumberFormat="1" applyFont="1" applyFill="1" applyBorder="1" applyAlignment="1">
      <alignment horizontal="right" wrapText="1"/>
    </xf>
    <xf numFmtId="3" fontId="1" fillId="19" borderId="4" xfId="0" applyNumberFormat="1" applyFont="1" applyFill="1" applyBorder="1" applyAlignment="1">
      <alignment horizontal="right" wrapText="1"/>
    </xf>
    <xf numFmtId="3" fontId="16" fillId="19" borderId="4" xfId="0" applyNumberFormat="1" applyFont="1" applyFill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8" borderId="2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justify" vertical="top" wrapText="1"/>
    </xf>
    <xf numFmtId="3" fontId="17" fillId="0" borderId="4" xfId="0" applyNumberFormat="1" applyFont="1" applyBorder="1" applyAlignment="1">
      <alignment horizontal="justify" vertical="top" wrapText="1"/>
    </xf>
    <xf numFmtId="0" fontId="17" fillId="0" borderId="4" xfId="0" applyFont="1" applyBorder="1" applyAlignment="1">
      <alignment horizontal="justify" vertical="top" wrapText="1"/>
    </xf>
    <xf numFmtId="0" fontId="1" fillId="3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83" fontId="1" fillId="0" borderId="0" xfId="0" applyNumberFormat="1" applyFont="1" applyAlignment="1">
      <alignment horizontal="center" vertical="center"/>
    </xf>
    <xf numFmtId="0" fontId="10" fillId="0" borderId="16" xfId="0" applyFont="1" applyBorder="1" applyAlignment="1">
      <alignment horizontal="justify" vertical="top" wrapText="1"/>
    </xf>
    <xf numFmtId="178" fontId="1" fillId="0" borderId="0" xfId="0" applyNumberFormat="1" applyFont="1" applyAlignment="1">
      <alignment horizontal="center" vertical="center"/>
    </xf>
    <xf numFmtId="10" fontId="0" fillId="12" borderId="0" xfId="0" applyNumberFormat="1" applyFill="1"/>
    <xf numFmtId="0" fontId="0" fillId="12" borderId="0" xfId="0" applyFill="1"/>
    <xf numFmtId="0" fontId="1" fillId="26" borderId="4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/>
    </xf>
    <xf numFmtId="0" fontId="0" fillId="23" borderId="4" xfId="0" applyFill="1" applyBorder="1"/>
    <xf numFmtId="0" fontId="1" fillId="12" borderId="4" xfId="0" applyFont="1" applyFill="1" applyBorder="1" applyAlignment="1">
      <alignment horizontal="center" vertical="center"/>
    </xf>
    <xf numFmtId="0" fontId="18" fillId="2" borderId="6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4" borderId="64" xfId="0" applyFill="1" applyBorder="1" applyAlignment="1">
      <alignment horizontal="center"/>
    </xf>
    <xf numFmtId="10" fontId="0" fillId="4" borderId="64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4" borderId="65" xfId="0" applyNumberFormat="1" applyFill="1" applyBorder="1" applyAlignment="1">
      <alignment horizontal="center"/>
    </xf>
    <xf numFmtId="3" fontId="0" fillId="4" borderId="64" xfId="0" applyNumberFormat="1" applyFill="1" applyBorder="1" applyAlignment="1">
      <alignment horizontal="center"/>
    </xf>
    <xf numFmtId="0" fontId="0" fillId="4" borderId="65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66" xfId="0" applyFill="1" applyBorder="1" applyAlignment="1">
      <alignment horizontal="center"/>
    </xf>
    <xf numFmtId="187" fontId="0" fillId="4" borderId="4" xfId="0" applyNumberFormat="1" applyFill="1" applyBorder="1" applyAlignment="1">
      <alignment horizontal="center"/>
    </xf>
    <xf numFmtId="4" fontId="0" fillId="4" borderId="51" xfId="0" applyNumberFormat="1" applyFill="1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187" fontId="0" fillId="4" borderId="51" xfId="0" applyNumberFormat="1" applyFill="1" applyBorder="1" applyAlignment="1">
      <alignment horizontal="center"/>
    </xf>
    <xf numFmtId="10" fontId="0" fillId="4" borderId="51" xfId="0" applyNumberFormat="1" applyFill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187" fontId="0" fillId="4" borderId="25" xfId="0" applyNumberForma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0" xfId="0" applyBorder="1" applyAlignment="1">
      <alignment horizontal="center"/>
    </xf>
    <xf numFmtId="0" fontId="19" fillId="2" borderId="6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0" borderId="12" xfId="0" applyFont="1" applyBorder="1" applyAlignment="1">
      <alignment horizontal="center" vertical="center"/>
    </xf>
    <xf numFmtId="0" fontId="1" fillId="27" borderId="2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71" xfId="0" applyBorder="1"/>
    <xf numFmtId="0" fontId="1" fillId="0" borderId="37" xfId="0" applyFont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84" fontId="1" fillId="8" borderId="16" xfId="0" applyNumberFormat="1" applyFont="1" applyFill="1" applyBorder="1" applyAlignment="1">
      <alignment horizontal="center" vertical="center"/>
    </xf>
    <xf numFmtId="0" fontId="0" fillId="0" borderId="72" xfId="0" applyBorder="1"/>
    <xf numFmtId="0" fontId="1" fillId="0" borderId="2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4" xfId="0" applyBorder="1"/>
    <xf numFmtId="0" fontId="1" fillId="8" borderId="36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6" xfId="0" applyBorder="1"/>
    <xf numFmtId="0" fontId="0" fillId="0" borderId="12" xfId="0" applyBorder="1" applyAlignment="1">
      <alignment horizontal="center" vertical="center"/>
    </xf>
    <xf numFmtId="0" fontId="1" fillId="28" borderId="1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0" fillId="13" borderId="77" xfId="0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184" fontId="1" fillId="8" borderId="77" xfId="0" applyNumberFormat="1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1" fillId="28" borderId="27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常规 7" xfId="56"/>
  </cellStyles>
  <dxfs count="8">
    <dxf>
      <font>
        <b val="1"/>
        <color indexed="9"/>
      </font>
      <fill>
        <patternFill patternType="solid">
          <bgColor indexed="8"/>
        </patternFill>
      </fill>
    </dxf>
    <dxf>
      <font>
        <b val="1"/>
        <color indexed="10"/>
      </font>
      <fill>
        <patternFill patternType="solid">
          <bgColor indexed="8"/>
        </patternFill>
      </fill>
    </dxf>
    <dxf>
      <font>
        <b val="1"/>
      </font>
      <fill>
        <patternFill patternType="solid">
          <bgColor indexed="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 patternType="solid">
          <bgColor indexed="10"/>
        </patternFill>
      </fill>
    </dxf>
    <dxf>
      <font>
        <b val="1"/>
        <color indexed="9"/>
      </font>
    </dxf>
    <dxf>
      <font>
        <strike val="0"/>
      </font>
      <fill>
        <patternFill patternType="solid">
          <bgColor indexed="10"/>
        </patternFill>
      </fill>
    </dxf>
    <dxf>
      <font>
        <color indexed="10"/>
      </font>
    </dxf>
    <dxf>
      <font>
        <b val="1"/>
      </font>
      <fill>
        <patternFill patternType="solid"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3491019909348"/>
          <c:y val="0.0440125984251969"/>
          <c:w val="0.924547737866524"/>
          <c:h val="0.835913312693498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diamond"/>
            <c:size val="9"/>
            <c:spPr>
              <a:solidFill>
                <a:srgbClr val="FF66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投资预算!$F$4:$N$4</c:f>
              <c:strCache>
                <c:ptCount val="9"/>
                <c:pt idx="0">
                  <c:v>第9期</c:v>
                </c:pt>
                <c:pt idx="1">
                  <c:v>第10期</c:v>
                </c:pt>
                <c:pt idx="2">
                  <c:v>第11期</c:v>
                </c:pt>
                <c:pt idx="3">
                  <c:v>第12期</c:v>
                </c:pt>
                <c:pt idx="4">
                  <c:v>第13期</c:v>
                </c:pt>
                <c:pt idx="5">
                  <c:v>第14期</c:v>
                </c:pt>
                <c:pt idx="6">
                  <c:v>第15期</c:v>
                </c:pt>
                <c:pt idx="7">
                  <c:v>第16期</c:v>
                </c:pt>
                <c:pt idx="8">
                  <c:v>第17期</c:v>
                </c:pt>
              </c:strCache>
            </c:strRef>
          </c:cat>
          <c:val>
            <c:numRef>
              <c:f>投资预算!$F$14:$N$14</c:f>
              <c:numCache>
                <c:formatCode>0.000_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0554"/>
        <c:axId val="755224808"/>
      </c:lineChart>
      <c:catAx>
        <c:axId val="12436055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55224808"/>
        <c:crosses val="autoZero"/>
        <c:auto val="1"/>
        <c:lblAlgn val="ctr"/>
        <c:lblOffset val="100"/>
        <c:tickLblSkip val="1"/>
        <c:noMultiLvlLbl val="0"/>
      </c:catAx>
      <c:valAx>
        <c:axId val="755224808"/>
        <c:scaling>
          <c:orientation val="minMax"/>
          <c:min val="1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0_ " sourceLinked="1"/>
        <c:majorTickMark val="in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2436055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861695</xdr:colOff>
      <xdr:row>17</xdr:row>
      <xdr:rowOff>76200</xdr:rowOff>
    </xdr:from>
    <xdr:to>
      <xdr:col>11</xdr:col>
      <xdr:colOff>800100</xdr:colOff>
      <xdr:row>26</xdr:row>
      <xdr:rowOff>46355</xdr:rowOff>
    </xdr:to>
    <xdr:graphicFrame>
      <xdr:nvGraphicFramePr>
        <xdr:cNvPr id="2" name="Chart 1"/>
        <xdr:cNvGraphicFramePr/>
      </xdr:nvGraphicFramePr>
      <xdr:xfrm>
        <a:off x="1052195" y="3667125"/>
        <a:ext cx="8830945" cy="228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6"/>
  </sheetPr>
  <dimension ref="B1:W52"/>
  <sheetViews>
    <sheetView zoomScale="75" zoomScaleNormal="75" workbookViewId="0">
      <selection activeCell="F11" sqref="F6:H6 F9:N9 F11:K11"/>
    </sheetView>
  </sheetViews>
  <sheetFormatPr defaultColWidth="9" defaultRowHeight="15.6"/>
  <cols>
    <col min="1" max="1" width="1.4" style="50" customWidth="1"/>
    <col min="2" max="2" width="1.1" style="50" customWidth="1"/>
    <col min="3" max="3" width="14.9" style="50" customWidth="1"/>
    <col min="4" max="4" width="16.6" style="50" customWidth="1"/>
    <col min="5" max="5" width="9.6" style="50" customWidth="1"/>
    <col min="6" max="14" width="12.6" style="50" customWidth="1"/>
    <col min="15" max="16" width="1.4" style="50" customWidth="1"/>
    <col min="17" max="17" width="14.1" style="50" customWidth="1"/>
    <col min="18" max="24" width="9" style="50" customWidth="1"/>
    <col min="25" max="25" width="12.4" style="50" customWidth="1"/>
    <col min="26" max="26" width="13" style="50" customWidth="1"/>
    <col min="27" max="27" width="12.6" style="50" customWidth="1"/>
    <col min="28" max="28" width="12" style="50" customWidth="1"/>
    <col min="29" max="29" width="12.2" style="50" customWidth="1"/>
    <col min="30" max="30" width="13.7" style="50" customWidth="1"/>
    <col min="31" max="31" width="9" style="50" customWidth="1"/>
    <col min="32" max="32" width="11" style="50" customWidth="1"/>
    <col min="33" max="16384" width="9" style="50" customWidth="1"/>
  </cols>
  <sheetData>
    <row r="1" ht="6.75" customHeight="1"/>
    <row r="2" ht="23.25" customHeight="1" spans="2:15">
      <c r="B2" s="340" t="s">
        <v>0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333"/>
    </row>
    <row r="3" ht="9" customHeight="1" spans="2:15">
      <c r="B3" s="341"/>
      <c r="O3" s="375"/>
    </row>
    <row r="4" ht="20.1" customHeight="1" spans="2:15">
      <c r="B4" s="341"/>
      <c r="C4" s="14" t="s">
        <v>1</v>
      </c>
      <c r="D4" s="342" t="s">
        <v>2</v>
      </c>
      <c r="E4" s="343" t="s">
        <v>3</v>
      </c>
      <c r="F4" s="344" t="s">
        <v>4</v>
      </c>
      <c r="G4" s="342" t="s">
        <v>5</v>
      </c>
      <c r="H4" s="342" t="s">
        <v>6</v>
      </c>
      <c r="I4" s="342" t="s">
        <v>7</v>
      </c>
      <c r="J4" s="342" t="s">
        <v>8</v>
      </c>
      <c r="K4" s="342" t="s">
        <v>9</v>
      </c>
      <c r="L4" s="342" t="s">
        <v>10</v>
      </c>
      <c r="M4" s="342" t="s">
        <v>11</v>
      </c>
      <c r="N4" s="342" t="s">
        <v>12</v>
      </c>
      <c r="O4" s="375"/>
    </row>
    <row r="5" ht="9" customHeight="1" spans="2:15">
      <c r="B5" s="341"/>
      <c r="C5" s="2"/>
      <c r="D5" s="2"/>
      <c r="O5" s="375"/>
    </row>
    <row r="6" ht="24" customHeight="1" spans="2:15">
      <c r="B6" s="341"/>
      <c r="C6" s="19" t="s">
        <v>13</v>
      </c>
      <c r="D6" s="345" t="s">
        <v>14</v>
      </c>
      <c r="E6" s="346"/>
      <c r="F6" s="347"/>
      <c r="G6" s="347"/>
      <c r="H6" s="347"/>
      <c r="I6" s="347"/>
      <c r="J6" s="347"/>
      <c r="K6" s="345"/>
      <c r="L6" s="345"/>
      <c r="M6" s="345"/>
      <c r="N6" s="346"/>
      <c r="O6" s="375"/>
    </row>
    <row r="7" ht="20.1" customHeight="1" spans="2:15">
      <c r="B7" s="341"/>
      <c r="C7" s="348"/>
      <c r="D7" s="349" t="s">
        <v>15</v>
      </c>
      <c r="E7" s="350">
        <f>第九期!D5</f>
        <v>0</v>
      </c>
      <c r="F7" s="351">
        <f>E7</f>
        <v>0</v>
      </c>
      <c r="G7" s="349">
        <f t="shared" ref="G7:N7" si="0">F7+E6</f>
        <v>0</v>
      </c>
      <c r="H7" s="349">
        <f t="shared" si="0"/>
        <v>0</v>
      </c>
      <c r="I7" s="349">
        <f t="shared" si="0"/>
        <v>0</v>
      </c>
      <c r="J7" s="349">
        <f t="shared" si="0"/>
        <v>0</v>
      </c>
      <c r="K7" s="349">
        <f t="shared" si="0"/>
        <v>0</v>
      </c>
      <c r="L7" s="349">
        <f t="shared" si="0"/>
        <v>0</v>
      </c>
      <c r="M7" s="349">
        <f t="shared" si="0"/>
        <v>0</v>
      </c>
      <c r="N7" s="360">
        <f t="shared" si="0"/>
        <v>0</v>
      </c>
      <c r="O7" s="375"/>
    </row>
    <row r="8" ht="9" customHeight="1" spans="2:15">
      <c r="B8" s="34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75"/>
    </row>
    <row r="9" ht="24" customHeight="1" spans="2:15">
      <c r="B9" s="341"/>
      <c r="C9" s="14" t="s">
        <v>16</v>
      </c>
      <c r="D9" s="345" t="s">
        <v>17</v>
      </c>
      <c r="E9" s="346"/>
      <c r="F9" s="352"/>
      <c r="G9" s="248"/>
      <c r="H9" s="248"/>
      <c r="I9" s="248"/>
      <c r="J9" s="248"/>
      <c r="K9" s="248"/>
      <c r="L9" s="248"/>
      <c r="M9" s="248"/>
      <c r="N9" s="376"/>
      <c r="O9" s="375"/>
    </row>
    <row r="10" ht="12" customHeight="1" spans="2:15">
      <c r="B10" s="341"/>
      <c r="C10" s="353"/>
      <c r="D10" s="60" t="s">
        <v>18</v>
      </c>
      <c r="E10" s="354"/>
      <c r="F10" s="355">
        <f>E13*比赛参数!$D$60</f>
        <v>0</v>
      </c>
      <c r="G10" s="355">
        <f>F13*比赛参数!$D$60</f>
        <v>0</v>
      </c>
      <c r="H10" s="355">
        <f>G13*比赛参数!$D$60</f>
        <v>0</v>
      </c>
      <c r="I10" s="355">
        <f>H13*比赛参数!$D$60</f>
        <v>0</v>
      </c>
      <c r="J10" s="355">
        <f>I13*比赛参数!$D$60</f>
        <v>0</v>
      </c>
      <c r="K10" s="355">
        <f>J13*比赛参数!$D$60</f>
        <v>0</v>
      </c>
      <c r="L10" s="355">
        <f>K13*比赛参数!$D$60</f>
        <v>0</v>
      </c>
      <c r="M10" s="355">
        <f>L13*比赛参数!$D$60</f>
        <v>0</v>
      </c>
      <c r="N10" s="355">
        <f>M13*比赛参数!$D$60</f>
        <v>0</v>
      </c>
      <c r="O10" s="375"/>
    </row>
    <row r="11" ht="24" customHeight="1" spans="2:15">
      <c r="B11" s="341"/>
      <c r="C11" s="353"/>
      <c r="D11" s="60" t="s">
        <v>14</v>
      </c>
      <c r="E11" s="354"/>
      <c r="F11" s="262"/>
      <c r="G11" s="96"/>
      <c r="H11" s="96"/>
      <c r="I11" s="96"/>
      <c r="J11" s="96"/>
      <c r="K11" s="96"/>
      <c r="L11" s="96"/>
      <c r="M11" s="96"/>
      <c r="N11" s="377"/>
      <c r="O11" s="375"/>
    </row>
    <row r="12" ht="12" customHeight="1" spans="2:15">
      <c r="B12" s="341"/>
      <c r="C12" s="353"/>
      <c r="D12" s="60" t="s">
        <v>19</v>
      </c>
      <c r="E12" s="354"/>
      <c r="F12" s="355">
        <f t="shared" ref="F12:N12" si="1">0.5*E13</f>
        <v>0</v>
      </c>
      <c r="G12" s="355">
        <f t="shared" si="1"/>
        <v>0</v>
      </c>
      <c r="H12" s="355">
        <f t="shared" si="1"/>
        <v>0</v>
      </c>
      <c r="I12" s="355">
        <f t="shared" si="1"/>
        <v>0</v>
      </c>
      <c r="J12" s="355">
        <f t="shared" si="1"/>
        <v>0</v>
      </c>
      <c r="K12" s="355">
        <f t="shared" si="1"/>
        <v>0</v>
      </c>
      <c r="L12" s="355">
        <f t="shared" si="1"/>
        <v>0</v>
      </c>
      <c r="M12" s="355">
        <f t="shared" si="1"/>
        <v>0</v>
      </c>
      <c r="N12" s="378">
        <f t="shared" si="1"/>
        <v>0</v>
      </c>
      <c r="O12" s="375"/>
    </row>
    <row r="13" ht="20.1" customHeight="1" spans="2:23">
      <c r="B13" s="341"/>
      <c r="C13" s="353"/>
      <c r="D13" s="60" t="s">
        <v>20</v>
      </c>
      <c r="E13" s="356">
        <f>第九期!D4</f>
        <v>0</v>
      </c>
      <c r="F13" s="357">
        <f t="shared" ref="F13:N13" si="2">E13+F11-F9</f>
        <v>0</v>
      </c>
      <c r="G13" s="357">
        <f t="shared" si="2"/>
        <v>0</v>
      </c>
      <c r="H13" s="357">
        <f t="shared" si="2"/>
        <v>0</v>
      </c>
      <c r="I13" s="357">
        <f t="shared" si="2"/>
        <v>0</v>
      </c>
      <c r="J13" s="357">
        <f t="shared" si="2"/>
        <v>0</v>
      </c>
      <c r="K13" s="357">
        <f t="shared" si="2"/>
        <v>0</v>
      </c>
      <c r="L13" s="357">
        <f t="shared" si="2"/>
        <v>0</v>
      </c>
      <c r="M13" s="357">
        <f t="shared" si="2"/>
        <v>0</v>
      </c>
      <c r="N13" s="379">
        <f t="shared" si="2"/>
        <v>0</v>
      </c>
      <c r="O13" s="375"/>
      <c r="R13" s="102"/>
      <c r="S13" s="180" t="s">
        <v>21</v>
      </c>
      <c r="T13" s="180" t="s">
        <v>22</v>
      </c>
      <c r="U13" s="180" t="s">
        <v>23</v>
      </c>
      <c r="V13" s="180" t="s">
        <v>24</v>
      </c>
      <c r="W13" s="93" t="s">
        <v>25</v>
      </c>
    </row>
    <row r="14" ht="20.1" customHeight="1" spans="2:23">
      <c r="B14" s="341"/>
      <c r="C14" s="353"/>
      <c r="D14" s="60" t="s">
        <v>26</v>
      </c>
      <c r="E14" s="354"/>
      <c r="F14" s="358" t="e">
        <f t="shared" ref="F14:N14" si="3">F15/F7</f>
        <v>#DIV/0!</v>
      </c>
      <c r="G14" s="358" t="e">
        <f t="shared" si="3"/>
        <v>#DIV/0!</v>
      </c>
      <c r="H14" s="358" t="e">
        <f t="shared" si="3"/>
        <v>#DIV/0!</v>
      </c>
      <c r="I14" s="358" t="e">
        <f t="shared" si="3"/>
        <v>#DIV/0!</v>
      </c>
      <c r="J14" s="358" t="e">
        <f t="shared" si="3"/>
        <v>#DIV/0!</v>
      </c>
      <c r="K14" s="358" t="e">
        <f t="shared" si="3"/>
        <v>#DIV/0!</v>
      </c>
      <c r="L14" s="358" t="e">
        <f t="shared" si="3"/>
        <v>#DIV/0!</v>
      </c>
      <c r="M14" s="358" t="e">
        <f t="shared" si="3"/>
        <v>#DIV/0!</v>
      </c>
      <c r="N14" s="380" t="e">
        <f t="shared" si="3"/>
        <v>#DIV/0!</v>
      </c>
      <c r="O14" s="375"/>
      <c r="Q14" s="386">
        <f>W14*2</f>
        <v>1.2836032388664</v>
      </c>
      <c r="R14" s="180" t="s">
        <v>27</v>
      </c>
      <c r="S14" s="102">
        <f>比赛参数!D27/比赛参数!D26</f>
        <v>1.2</v>
      </c>
      <c r="T14" s="102">
        <f>比赛参数!E27/比赛参数!E26</f>
        <v>0.6</v>
      </c>
      <c r="U14" s="102">
        <f>比赛参数!F27/比赛参数!F26</f>
        <v>0.421052631578947</v>
      </c>
      <c r="V14" s="102">
        <f>比赛参数!G27/比赛参数!G26</f>
        <v>0.346153846153846</v>
      </c>
      <c r="W14" s="102">
        <f>AVERAGE(S14:V14)</f>
        <v>0.641801619433198</v>
      </c>
    </row>
    <row r="15" ht="20.1" customHeight="1" spans="2:15">
      <c r="B15" s="341"/>
      <c r="C15" s="359"/>
      <c r="D15" s="349" t="s">
        <v>28</v>
      </c>
      <c r="E15" s="360"/>
      <c r="F15" s="351">
        <f>E13-F9+F11*比赛参数!$D$59</f>
        <v>0</v>
      </c>
      <c r="G15" s="351">
        <f>F13-G9+G11*比赛参数!$D$59</f>
        <v>0</v>
      </c>
      <c r="H15" s="351">
        <f>G13-H9+H11*比赛参数!$D$59</f>
        <v>0</v>
      </c>
      <c r="I15" s="351">
        <f>H13-I9+I11*比赛参数!$D$59</f>
        <v>0</v>
      </c>
      <c r="J15" s="351">
        <f>I13-J9+J11*比赛参数!$D$59</f>
        <v>0</v>
      </c>
      <c r="K15" s="351">
        <f>J13-K9+K11*比赛参数!$D$59</f>
        <v>0</v>
      </c>
      <c r="L15" s="351">
        <f>K13-L9+L11*比赛参数!$D$59</f>
        <v>0</v>
      </c>
      <c r="M15" s="351">
        <f>L13-M9+M11*比赛参数!$D$59</f>
        <v>0</v>
      </c>
      <c r="N15" s="381">
        <f>M13-N9+N11*比赛参数!$D$59</f>
        <v>0</v>
      </c>
      <c r="O15" s="375"/>
    </row>
    <row r="16" ht="9" customHeight="1" spans="2:15">
      <c r="B16" s="34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75"/>
    </row>
    <row r="17" ht="20.25" customHeight="1" spans="2:15">
      <c r="B17" s="34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75"/>
    </row>
    <row r="18" ht="20.25" customHeight="1" spans="2:15">
      <c r="B18" s="34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75"/>
    </row>
    <row r="19" ht="20.25" customHeight="1" spans="2:15">
      <c r="B19" s="34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75"/>
    </row>
    <row r="20" ht="20.25" customHeight="1" spans="2:15">
      <c r="B20" s="34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75"/>
    </row>
    <row r="21" ht="20.25" customHeight="1" spans="2:15">
      <c r="B21" s="34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75"/>
    </row>
    <row r="22" ht="20.25" customHeight="1" spans="2:15">
      <c r="B22" s="34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75"/>
    </row>
    <row r="23" ht="20.25" customHeight="1" spans="2:15">
      <c r="B23" s="34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75"/>
    </row>
    <row r="24" ht="20.25" customHeight="1" spans="2:15">
      <c r="B24" s="34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75"/>
    </row>
    <row r="25" ht="20.25" customHeight="1" spans="2:15">
      <c r="B25" s="34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75"/>
    </row>
    <row r="26" ht="20.25" customHeight="1" spans="2:15">
      <c r="B26" s="34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75"/>
    </row>
    <row r="27" ht="20.25" customHeight="1" spans="2:15">
      <c r="B27" s="34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75"/>
    </row>
    <row r="28" ht="20.25" customHeight="1" spans="2:15">
      <c r="B28" s="34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75"/>
    </row>
    <row r="29" ht="9" customHeight="1" spans="2:15">
      <c r="B29" s="34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75"/>
    </row>
    <row r="30" ht="20.1" customHeight="1" spans="2:15">
      <c r="B30" s="341"/>
      <c r="C30" s="108" t="s">
        <v>29</v>
      </c>
      <c r="D30" s="361" t="s">
        <v>30</v>
      </c>
      <c r="E30" s="362"/>
      <c r="F30" s="363">
        <f>E35+F33*比赛参数!$D$41</f>
        <v>0</v>
      </c>
      <c r="G30" s="345">
        <f>F35+G33*比赛参数!$D$41</f>
        <v>0</v>
      </c>
      <c r="H30" s="345">
        <f>G35+H33*比赛参数!$D$41</f>
        <v>0</v>
      </c>
      <c r="I30" s="345">
        <f>H35+I33*比赛参数!$D$41</f>
        <v>0</v>
      </c>
      <c r="J30" s="345">
        <f>I35+J33*比赛参数!$D$41</f>
        <v>0</v>
      </c>
      <c r="K30" s="345">
        <f>J35+K33*比赛参数!$D$41</f>
        <v>0</v>
      </c>
      <c r="L30" s="345">
        <f>K35+L33*比赛参数!$D$41</f>
        <v>0</v>
      </c>
      <c r="M30" s="345">
        <f>L35+M33*比赛参数!$D$41</f>
        <v>0</v>
      </c>
      <c r="N30" s="346">
        <f>M35+N33*比赛参数!$D$41</f>
        <v>0</v>
      </c>
      <c r="O30" s="375"/>
    </row>
    <row r="31" ht="24" customHeight="1" spans="2:23">
      <c r="B31" s="341"/>
      <c r="C31" s="364"/>
      <c r="D31" s="357" t="s">
        <v>31</v>
      </c>
      <c r="E31" s="141"/>
      <c r="F31" s="262"/>
      <c r="G31" s="96"/>
      <c r="H31" s="96"/>
      <c r="I31" s="96"/>
      <c r="J31" s="96"/>
      <c r="K31" s="96"/>
      <c r="L31" s="96"/>
      <c r="M31" s="96"/>
      <c r="N31" s="377"/>
      <c r="O31" s="375"/>
      <c r="R31" s="102"/>
      <c r="S31" s="180" t="s">
        <v>21</v>
      </c>
      <c r="T31" s="180" t="s">
        <v>22</v>
      </c>
      <c r="U31" s="180" t="s">
        <v>23</v>
      </c>
      <c r="V31" s="180" t="s">
        <v>24</v>
      </c>
      <c r="W31" s="93" t="s">
        <v>25</v>
      </c>
    </row>
    <row r="32" ht="20.1" customHeight="1" spans="2:23">
      <c r="B32" s="341"/>
      <c r="C32" s="364"/>
      <c r="D32" s="357" t="s">
        <v>32</v>
      </c>
      <c r="E32" s="141"/>
      <c r="F32" s="365" t="e">
        <f t="shared" ref="F32:N32" si="4">F31/F7</f>
        <v>#DIV/0!</v>
      </c>
      <c r="G32" s="177" t="e">
        <f t="shared" si="4"/>
        <v>#DIV/0!</v>
      </c>
      <c r="H32" s="177" t="e">
        <f t="shared" si="4"/>
        <v>#DIV/0!</v>
      </c>
      <c r="I32" s="177" t="e">
        <f t="shared" si="4"/>
        <v>#DIV/0!</v>
      </c>
      <c r="J32" s="177" t="e">
        <f t="shared" si="4"/>
        <v>#DIV/0!</v>
      </c>
      <c r="K32" s="177" t="e">
        <f t="shared" si="4"/>
        <v>#DIV/0!</v>
      </c>
      <c r="L32" s="177" t="e">
        <f t="shared" si="4"/>
        <v>#DIV/0!</v>
      </c>
      <c r="M32" s="177" t="e">
        <f t="shared" si="4"/>
        <v>#DIV/0!</v>
      </c>
      <c r="N32" s="382" t="e">
        <f t="shared" si="4"/>
        <v>#DIV/0!</v>
      </c>
      <c r="O32" s="375"/>
      <c r="Q32" s="386">
        <f>W32*1300</f>
        <v>6416.57894736842</v>
      </c>
      <c r="R32" s="180" t="s">
        <v>33</v>
      </c>
      <c r="S32" s="102">
        <f>比赛参数!D28/比赛参数!D26</f>
        <v>3</v>
      </c>
      <c r="T32" s="102">
        <f>比赛参数!E28/比赛参数!E26</f>
        <v>4.8</v>
      </c>
      <c r="U32" s="102">
        <f>比赛参数!F28/比赛参数!F26</f>
        <v>5.78947368421053</v>
      </c>
      <c r="V32" s="102">
        <f>比赛参数!G28/比赛参数!G26</f>
        <v>6.15384615384615</v>
      </c>
      <c r="W32" s="102">
        <f>AVERAGE(S32:V32)</f>
        <v>4.93582995951417</v>
      </c>
    </row>
    <row r="33" ht="24" customHeight="1" spans="2:15">
      <c r="B33" s="341"/>
      <c r="C33" s="364"/>
      <c r="D33" s="357" t="s">
        <v>34</v>
      </c>
      <c r="E33" s="141"/>
      <c r="F33" s="262"/>
      <c r="G33" s="96"/>
      <c r="H33" s="96"/>
      <c r="I33" s="96"/>
      <c r="J33" s="96"/>
      <c r="K33" s="96"/>
      <c r="L33" s="96"/>
      <c r="M33" s="96"/>
      <c r="N33" s="377"/>
      <c r="O33" s="375"/>
    </row>
    <row r="34" ht="12" customHeight="1" spans="2:15">
      <c r="B34" s="341"/>
      <c r="C34" s="364"/>
      <c r="D34" s="357" t="s">
        <v>18</v>
      </c>
      <c r="E34" s="141"/>
      <c r="F34" s="366">
        <f>IF((F31-E35)&gt;0,(F31-E35)/比赛参数!$D$41,0)</f>
        <v>0</v>
      </c>
      <c r="G34" s="94">
        <f>IF((G31-F35)&gt;0,(G31-F35)/比赛参数!$D$41,0)</f>
        <v>0</v>
      </c>
      <c r="H34" s="94">
        <f>IF((H31-G35)&gt;0,(H31-G35)/比赛参数!$D$41,0)</f>
        <v>0</v>
      </c>
      <c r="I34" s="94">
        <f>IF((I31-H35)&gt;0,(I31-H35)/比赛参数!$D$41,0)</f>
        <v>0</v>
      </c>
      <c r="J34" s="94">
        <f>IF((J31-I35)&gt;0,(J31-I35)/比赛参数!$D$41,0)</f>
        <v>0</v>
      </c>
      <c r="K34" s="94">
        <f>IF((K31-J35)&gt;0,(K31-J35)/比赛参数!$D$41,0)</f>
        <v>0</v>
      </c>
      <c r="L34" s="94">
        <f>IF((L31-K35)&gt;0,(L31-K35)/比赛参数!$D$41,0)</f>
        <v>0</v>
      </c>
      <c r="M34" s="94">
        <f>IF((M31-L35)&gt;0,(M31-L35)/比赛参数!$D$41,0)</f>
        <v>0</v>
      </c>
      <c r="N34" s="383">
        <f>IF((N31-M35)&gt;0,(N31-M35)/比赛参数!$D$41,0)</f>
        <v>0</v>
      </c>
      <c r="O34" s="375"/>
    </row>
    <row r="35" ht="20.1" customHeight="1" spans="2:15">
      <c r="B35" s="341"/>
      <c r="C35" s="364"/>
      <c r="D35" s="351" t="s">
        <v>35</v>
      </c>
      <c r="E35" s="367"/>
      <c r="F35" s="368">
        <f t="shared" ref="F35:N35" si="5">F33+E35-F31</f>
        <v>0</v>
      </c>
      <c r="G35" s="349">
        <f t="shared" si="5"/>
        <v>0</v>
      </c>
      <c r="H35" s="349">
        <f t="shared" si="5"/>
        <v>0</v>
      </c>
      <c r="I35" s="349">
        <f t="shared" si="5"/>
        <v>0</v>
      </c>
      <c r="J35" s="349">
        <f t="shared" si="5"/>
        <v>0</v>
      </c>
      <c r="K35" s="349">
        <f t="shared" si="5"/>
        <v>0</v>
      </c>
      <c r="L35" s="349">
        <f t="shared" si="5"/>
        <v>0</v>
      </c>
      <c r="M35" s="349">
        <f t="shared" si="5"/>
        <v>0</v>
      </c>
      <c r="N35" s="360">
        <f t="shared" si="5"/>
        <v>0</v>
      </c>
      <c r="O35" s="375"/>
    </row>
    <row r="36" ht="9" customHeight="1" spans="2:15">
      <c r="B36" s="341"/>
      <c r="C36" s="364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375"/>
    </row>
    <row r="37" ht="24" customHeight="1" spans="2:17">
      <c r="B37" s="341"/>
      <c r="C37" s="369"/>
      <c r="D37" s="351" t="s">
        <v>36</v>
      </c>
      <c r="E37" s="370"/>
      <c r="F37" s="371">
        <f>IF(F33&gt;=比赛参数!$D$36,IF(F33&gt;=比赛参数!$D$35,IF(F33&gt;=比赛参数!$D$34,F33*(1-比赛参数!$E$34),F33*(1-比赛参数!$E$35)),F33*(1-比赛参数!$E$36)),0)</f>
        <v>0</v>
      </c>
      <c r="G37" s="371">
        <f>IF(G33&gt;=比赛参数!$D$36,IF(G33&gt;=比赛参数!$D$35,IF(G33&gt;=比赛参数!$D$34,G33*(1-比赛参数!$E$34),G33*(1-比赛参数!$E$35)),G33*(1-比赛参数!$E$36)),0)</f>
        <v>0</v>
      </c>
      <c r="H37" s="371">
        <f>IF(H33&gt;=比赛参数!$D$36,IF(H33&gt;=比赛参数!$D$35,IF(H33&gt;=比赛参数!$D$34,H33*(1-比赛参数!$E$34),H33*(1-比赛参数!$E$35)),H33*(1-比赛参数!$E$36)),0)</f>
        <v>0</v>
      </c>
      <c r="I37" s="371">
        <f>IF(I33&gt;=比赛参数!$D$36,IF(I33&gt;=比赛参数!$D$35,IF(I33&gt;=比赛参数!$D$34,I33*(1-比赛参数!$E$34),I33*(1-比赛参数!$E$35)),I33*(1-比赛参数!$E$36)),0)</f>
        <v>0</v>
      </c>
      <c r="J37" s="371">
        <f>IF(J33&gt;=比赛参数!$D$36,IF(J33&gt;=比赛参数!$D$35,IF(J33&gt;=比赛参数!$D$34,J33*(1-比赛参数!$E$34),J33*(1-比赛参数!$E$35)),J33*(1-比赛参数!$E$36)),0)</f>
        <v>0</v>
      </c>
      <c r="K37" s="371">
        <f>IF(K33&gt;=比赛参数!$D$36,IF(K33&gt;=比赛参数!$D$35,IF(K33&gt;=比赛参数!$D$34,K33*(1-比赛参数!$E$34),K33*(1-比赛参数!$E$35)),K33*(1-比赛参数!$E$36)),0)</f>
        <v>0</v>
      </c>
      <c r="L37" s="371">
        <f>IF(L33&gt;=比赛参数!$D$36,IF(L33&gt;=比赛参数!$D$35,IF(L33&gt;=比赛参数!$D$34,L33*(1-比赛参数!$E$34),L33*(1-比赛参数!$E$35)),L33*(1-比赛参数!$E$36)),0)</f>
        <v>0</v>
      </c>
      <c r="M37" s="371"/>
      <c r="N37" s="384"/>
      <c r="O37" s="375"/>
      <c r="Q37" s="50">
        <f>F37+G37+H37+I37+J37+K37+L37+M37</f>
        <v>0</v>
      </c>
    </row>
    <row r="38" ht="24" customHeight="1" spans="2:17">
      <c r="B38" s="341"/>
      <c r="O38" s="375"/>
      <c r="Q38" s="50">
        <v>435600</v>
      </c>
    </row>
    <row r="39" ht="24" customHeight="1" spans="2:15">
      <c r="B39" s="341"/>
      <c r="C39" s="19" t="s">
        <v>37</v>
      </c>
      <c r="D39" s="345" t="s">
        <v>38</v>
      </c>
      <c r="E39" s="346" t="str">
        <f>比赛参数!D52</f>
        <v>100000.0</v>
      </c>
      <c r="F39" s="248"/>
      <c r="G39" s="248"/>
      <c r="H39" s="248"/>
      <c r="I39" s="248"/>
      <c r="J39" s="248"/>
      <c r="K39" s="248"/>
      <c r="L39" s="248"/>
      <c r="M39" s="248"/>
      <c r="N39" s="376"/>
      <c r="O39" s="375"/>
    </row>
    <row r="40" ht="24" customHeight="1" spans="2:15">
      <c r="B40" s="341"/>
      <c r="C40" s="353"/>
      <c r="D40" s="60" t="s">
        <v>39</v>
      </c>
      <c r="E40" s="354" t="str">
        <f>比赛参数!D53</f>
        <v>200000.0</v>
      </c>
      <c r="F40" s="96"/>
      <c r="G40" s="96"/>
      <c r="H40" s="96"/>
      <c r="I40" s="96"/>
      <c r="J40" s="96"/>
      <c r="K40" s="96"/>
      <c r="L40" s="96"/>
      <c r="M40" s="96"/>
      <c r="N40" s="377"/>
      <c r="O40" s="375"/>
    </row>
    <row r="41" ht="24" customHeight="1" spans="2:15">
      <c r="B41" s="341"/>
      <c r="C41" s="353"/>
      <c r="D41" s="60" t="s">
        <v>40</v>
      </c>
      <c r="E41" s="354"/>
      <c r="F41" s="96"/>
      <c r="G41" s="96"/>
      <c r="H41" s="96"/>
      <c r="I41" s="96"/>
      <c r="J41" s="96"/>
      <c r="K41" s="96"/>
      <c r="L41" s="96"/>
      <c r="M41" s="96"/>
      <c r="N41" s="377"/>
      <c r="O41" s="375"/>
    </row>
    <row r="42" ht="19.5" customHeight="1" spans="2:15">
      <c r="B42" s="341"/>
      <c r="C42" s="353"/>
      <c r="D42" s="60" t="s">
        <v>41</v>
      </c>
      <c r="E42" s="354"/>
      <c r="F42" s="96"/>
      <c r="G42" s="96"/>
      <c r="H42" s="96"/>
      <c r="I42" s="96"/>
      <c r="J42" s="96"/>
      <c r="K42" s="96"/>
      <c r="L42" s="96"/>
      <c r="M42" s="96"/>
      <c r="N42" s="377"/>
      <c r="O42" s="375"/>
    </row>
    <row r="43" ht="19.5" customHeight="1" spans="2:15">
      <c r="B43" s="341"/>
      <c r="C43" s="348"/>
      <c r="D43" s="349" t="s">
        <v>42</v>
      </c>
      <c r="E43" s="360"/>
      <c r="F43" s="351">
        <f t="shared" ref="F43:N43" si="6">SUM(F39:F42)</f>
        <v>0</v>
      </c>
      <c r="G43" s="351">
        <f t="shared" si="6"/>
        <v>0</v>
      </c>
      <c r="H43" s="351">
        <f t="shared" si="6"/>
        <v>0</v>
      </c>
      <c r="I43" s="351">
        <f t="shared" si="6"/>
        <v>0</v>
      </c>
      <c r="J43" s="351">
        <f t="shared" si="6"/>
        <v>0</v>
      </c>
      <c r="K43" s="351">
        <f t="shared" si="6"/>
        <v>0</v>
      </c>
      <c r="L43" s="351">
        <f t="shared" si="6"/>
        <v>0</v>
      </c>
      <c r="M43" s="351">
        <f t="shared" si="6"/>
        <v>0</v>
      </c>
      <c r="N43" s="381">
        <f t="shared" si="6"/>
        <v>0</v>
      </c>
      <c r="O43" s="375"/>
    </row>
    <row r="44" ht="19.5" customHeight="1" spans="2:15">
      <c r="B44" s="341"/>
      <c r="O44" s="375"/>
    </row>
    <row r="45" ht="19.5" customHeight="1" spans="2:15">
      <c r="B45" s="341"/>
      <c r="D45" s="372" t="s">
        <v>43</v>
      </c>
      <c r="F45" s="372" t="s">
        <v>44</v>
      </c>
      <c r="G45" s="179" t="s">
        <v>45</v>
      </c>
      <c r="H45" s="180" t="s">
        <v>46</v>
      </c>
      <c r="I45" s="180" t="s">
        <v>47</v>
      </c>
      <c r="J45" s="180" t="s">
        <v>48</v>
      </c>
      <c r="K45" s="180" t="s">
        <v>49</v>
      </c>
      <c r="O45" s="375"/>
    </row>
    <row r="46" ht="19.5" customHeight="1" spans="2:15">
      <c r="B46" s="341"/>
      <c r="D46" s="60">
        <f>SUM(E39:N39)</f>
        <v>0</v>
      </c>
      <c r="F46" s="9" t="s">
        <v>21</v>
      </c>
      <c r="G46" s="60" t="str">
        <f>比赛参数!D52</f>
        <v>100000.0</v>
      </c>
      <c r="H46" s="60" t="str">
        <f>比赛参数!E52</f>
        <v>220000.0</v>
      </c>
      <c r="I46" s="60" t="str">
        <f>比赛参数!F52</f>
        <v>350000.0</v>
      </c>
      <c r="J46" s="60" t="str">
        <f>比赛参数!G52</f>
        <v>450000.0</v>
      </c>
      <c r="K46" s="60" t="str">
        <f>比赛参数!H52</f>
        <v>550000.0</v>
      </c>
      <c r="O46" s="375"/>
    </row>
    <row r="47" ht="19.5" customHeight="1" spans="2:15">
      <c r="B47" s="341"/>
      <c r="D47" s="60">
        <f>SUM(E40:N40)</f>
        <v>0</v>
      </c>
      <c r="F47" s="9" t="s">
        <v>22</v>
      </c>
      <c r="G47" s="60" t="str">
        <f>比赛参数!D53</f>
        <v>200000.0</v>
      </c>
      <c r="H47" s="60" t="str">
        <f>比赛参数!E53</f>
        <v>350000.0</v>
      </c>
      <c r="I47" s="60" t="str">
        <f>比赛参数!F53</f>
        <v>500000.0</v>
      </c>
      <c r="J47" s="60" t="str">
        <f>比赛参数!G53</f>
        <v>650000.0</v>
      </c>
      <c r="K47" s="60" t="str">
        <f>比赛参数!H53</f>
        <v>700000.0</v>
      </c>
      <c r="O47" s="375"/>
    </row>
    <row r="48" ht="19.5" customHeight="1" spans="2:15">
      <c r="B48" s="341"/>
      <c r="D48" s="60">
        <f>SUM(E41:N41)</f>
        <v>0</v>
      </c>
      <c r="F48" s="9" t="s">
        <v>23</v>
      </c>
      <c r="G48" s="60" t="str">
        <f>比赛参数!D54</f>
        <v>300000.0</v>
      </c>
      <c r="H48" s="60" t="str">
        <f>比赛参数!E54</f>
        <v>450000.0</v>
      </c>
      <c r="I48" s="60" t="str">
        <f>比赛参数!F54</f>
        <v>580000.0</v>
      </c>
      <c r="J48" s="60" t="str">
        <f>比赛参数!G54</f>
        <v>700000.0</v>
      </c>
      <c r="K48" s="60" t="str">
        <f>比赛参数!H54</f>
        <v>800000.0</v>
      </c>
      <c r="O48" s="375"/>
    </row>
    <row r="49" ht="19.5" customHeight="1" spans="2:15">
      <c r="B49" s="341"/>
      <c r="D49" s="60">
        <f>SUM(E42:N42)</f>
        <v>0</v>
      </c>
      <c r="F49" s="9" t="s">
        <v>24</v>
      </c>
      <c r="G49" s="60" t="str">
        <f>比赛参数!D55</f>
        <v>500000.0</v>
      </c>
      <c r="H49" s="60" t="str">
        <f>比赛参数!E55</f>
        <v>600000.0</v>
      </c>
      <c r="I49" s="60" t="str">
        <f>比赛参数!F55</f>
        <v>700000.0</v>
      </c>
      <c r="J49" s="60" t="str">
        <f>比赛参数!G55</f>
        <v>850000.0</v>
      </c>
      <c r="K49" s="60" t="str">
        <f>比赛参数!H55</f>
        <v>1000000.0</v>
      </c>
      <c r="O49" s="375"/>
    </row>
    <row r="50" ht="19.5" customHeight="1" spans="2:15">
      <c r="B50" s="373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  <c r="N50" s="374"/>
      <c r="O50" s="385"/>
    </row>
    <row r="51" ht="19.5" customHeight="1"/>
    <row r="52" ht="19.5" customHeight="1"/>
  </sheetData>
  <mergeCells count="5">
    <mergeCell ref="B2:O2"/>
    <mergeCell ref="C6:C7"/>
    <mergeCell ref="C9:C15"/>
    <mergeCell ref="C30:C37"/>
    <mergeCell ref="C39:C43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1" workbookViewId="0">
      <selection activeCell="Y23" sqref="Y23:AB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第十五期!AF76</f>
        <v>0</v>
      </c>
      <c r="BT7" s="182">
        <f>第十五期!AF77</f>
        <v>0</v>
      </c>
      <c r="BU7" s="182">
        <f>第十五期!AF78</f>
        <v>0</v>
      </c>
      <c r="BV7" s="182">
        <f>第十五期!AF79</f>
        <v>0</v>
      </c>
      <c r="BW7" s="184">
        <f>第十五期!$AF$80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第十五期!$AG$76</f>
        <v>0</v>
      </c>
      <c r="BT8" s="182">
        <f>第十五期!$AG$77</f>
        <v>0</v>
      </c>
      <c r="BU8" s="182">
        <f>第十五期!$AG$78</f>
        <v>0</v>
      </c>
      <c r="BV8" s="182">
        <f>第十五期!$AG$79</f>
        <v>0</v>
      </c>
      <c r="BW8" s="184">
        <f>第十五期!$AG$80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第十五期!DB56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第十五期!$AH$76</f>
        <v>0</v>
      </c>
      <c r="BT9" s="182">
        <f>第十五期!$AH$77</f>
        <v>0</v>
      </c>
      <c r="BU9" s="182">
        <f>第十五期!$AH$78</f>
        <v>0</v>
      </c>
      <c r="BV9" s="182">
        <f>第十五期!$AH$79</f>
        <v>0</v>
      </c>
      <c r="BW9" s="184">
        <f>第十五期!$AH$80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第十五期!DB57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第十五期!$AI$76</f>
        <v>0</v>
      </c>
      <c r="BT10" s="182">
        <f>第十五期!$AI$77</f>
        <v>0</v>
      </c>
      <c r="BU10" s="182">
        <f>第十五期!$AI$78</f>
        <v>0</v>
      </c>
      <c r="BV10" s="182">
        <f>第十五期!$AI$79</f>
        <v>0</v>
      </c>
      <c r="BW10" s="184">
        <f>第十五期!$AI$80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第十五期!DB58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第十五期!$AJ$76</f>
        <v>0</v>
      </c>
      <c r="BT11" s="184">
        <f>第十五期!$AJ$77</f>
        <v>0</v>
      </c>
      <c r="BU11" s="184">
        <f>第十五期!$AJ$78</f>
        <v>0</v>
      </c>
      <c r="BV11" s="184">
        <f>第十五期!$AJ$79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第十五期!DB59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第十五期!BU86</f>
        <v>0</v>
      </c>
      <c r="AG13" s="124" t="s">
        <v>309</v>
      </c>
      <c r="AH13" s="125">
        <f>第十五期!BV76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第十五期!BW92</f>
        <v>0</v>
      </c>
      <c r="AG14" s="68" t="s">
        <v>315</v>
      </c>
      <c r="AH14" s="127"/>
      <c r="AI14" s="39" t="s">
        <v>189</v>
      </c>
      <c r="AJ14" s="128">
        <f>第十五期!K12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第十五期!Y88</f>
        <v>0</v>
      </c>
      <c r="BT14" s="182">
        <f>第十五期!Y89</f>
        <v>0</v>
      </c>
      <c r="BU14" s="182">
        <f>第十五期!Y90</f>
        <v>0</v>
      </c>
      <c r="BV14" s="182">
        <f>第十五期!Y91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AF14/(Y18+第十五期!K8-AA18)</f>
        <v>#DIV/0!</v>
      </c>
      <c r="AG15" s="68" t="s">
        <v>321</v>
      </c>
      <c r="AH15" s="127"/>
      <c r="AI15" s="39" t="s">
        <v>322</v>
      </c>
      <c r="AJ15" s="128">
        <f>第十五期!K16*0.5-第十五期!K14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第十五期!Z88</f>
        <v>0</v>
      </c>
      <c r="BT15" s="182">
        <f>第十五期!Z89</f>
        <v>0</v>
      </c>
      <c r="BU15" s="182">
        <f>第十五期!Z90</f>
        <v>0</v>
      </c>
      <c r="BV15" s="182">
        <f>第十五期!Z91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第十五期!DM60</f>
        <v>0</v>
      </c>
      <c r="Z16" s="87" t="s">
        <v>325</v>
      </c>
      <c r="AA16" s="88">
        <f>AH20+Y16+第十五期!K9*比赛参数!D30*比赛参数!F30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第十五期!AA88</f>
        <v>0</v>
      </c>
      <c r="BT16" s="182">
        <f>第十五期!AA89</f>
        <v>0</v>
      </c>
      <c r="BU16" s="182">
        <f>第十五期!AA90</f>
        <v>0</v>
      </c>
      <c r="BV16" s="182">
        <f>第十五期!AA91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第十五期!AB88</f>
        <v>0</v>
      </c>
      <c r="BT17" s="182">
        <f>第十五期!AB89</f>
        <v>0</v>
      </c>
      <c r="BU17" s="182">
        <f>第十五期!AB90</f>
        <v>0</v>
      </c>
      <c r="BV17" s="182">
        <f>第十五期!AB91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第十五期!K8*比赛参数!D57</f>
        <v>0</v>
      </c>
      <c r="Z19" s="48" t="s">
        <v>351</v>
      </c>
      <c r="AA19" s="94">
        <f>第十五期!K8*比赛参数!D60</f>
        <v>0</v>
      </c>
      <c r="AB19" s="48" t="s">
        <v>351</v>
      </c>
      <c r="AC19" s="99">
        <f>IF((AC21-第十五期!K10)/比赛参数!D41&gt;0,(AC21-第十五期!K10)/比赛参数!D41,0)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IF((第十五期!BW92-第十五期!BS87)&gt;0,第十五期!BW92-第十五期!BS87,0)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第十五期!$CX$68</f>
        <v>0</v>
      </c>
      <c r="CD19" s="101">
        <f>第十五期!$CX$69</f>
        <v>0</v>
      </c>
      <c r="CE19" s="101">
        <f>第十五期!$CX$70</f>
        <v>0</v>
      </c>
      <c r="CF19" s="101">
        <f>第十五期!$CX$71</f>
        <v>0</v>
      </c>
      <c r="CG19" s="50"/>
      <c r="CH19" s="201"/>
      <c r="CI19" s="202" t="s">
        <v>56</v>
      </c>
      <c r="CJ19" s="101">
        <f>第十五期!$CX$50</f>
        <v>0</v>
      </c>
      <c r="CK19" s="101">
        <f>第十五期!$CX$51</f>
        <v>0</v>
      </c>
      <c r="CL19" s="101">
        <f>第十五期!$CX$52</f>
        <v>0</v>
      </c>
      <c r="CM19" s="101">
        <f>第十五期!$CX$53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第十五期!K8+第十五期!Y18*比赛参数!D59-第十五期!AA18</f>
        <v>0</v>
      </c>
      <c r="Z20" s="39" t="s">
        <v>346</v>
      </c>
      <c r="AA20" s="102">
        <f>第十五期!K9</f>
        <v>0</v>
      </c>
      <c r="AB20" s="39" t="s">
        <v>358</v>
      </c>
      <c r="AC20" s="103">
        <f>AC18*比赛参数!D41+第十五期!K10</f>
        <v>0</v>
      </c>
      <c r="AE20" s="9" t="s">
        <v>359</v>
      </c>
      <c r="AF20" s="96"/>
      <c r="AG20" s="39" t="s">
        <v>178</v>
      </c>
      <c r="AH20" s="136">
        <f>第十五期!BS62+第十五期!BS71</f>
        <v>0</v>
      </c>
      <c r="AI20" s="68" t="s">
        <v>360</v>
      </c>
      <c r="AJ20" s="103">
        <f>第十五期!BV90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第十五期!Y9</f>
        <v>0</v>
      </c>
      <c r="BT20" s="182">
        <f>第十五期!Z9</f>
        <v>0</v>
      </c>
      <c r="BU20" s="182">
        <f>第十五期!AA9</f>
        <v>0</v>
      </c>
      <c r="BV20" s="182">
        <f>第十五期!AB9</f>
        <v>0</v>
      </c>
      <c r="BW20" s="184">
        <f>第十五期!AJ34</f>
        <v>0</v>
      </c>
      <c r="CA20" s="194"/>
      <c r="CB20" s="180" t="s">
        <v>57</v>
      </c>
      <c r="CC20" s="101">
        <f>第十五期!$CY$68</f>
        <v>0</v>
      </c>
      <c r="CD20" s="101">
        <f>第十五期!$CY$69</f>
        <v>0</v>
      </c>
      <c r="CE20" s="101">
        <f>第十五期!$CY$70</f>
        <v>0</v>
      </c>
      <c r="CF20" s="101">
        <f>第十五期!$CY$71</f>
        <v>0</v>
      </c>
      <c r="CG20" s="50"/>
      <c r="CH20" s="201"/>
      <c r="CI20" s="203" t="s">
        <v>57</v>
      </c>
      <c r="CJ20" s="101">
        <f>第十五期!$CY$50</f>
        <v>0</v>
      </c>
      <c r="CK20" s="101">
        <f>第十五期!$CY$51</f>
        <v>0</v>
      </c>
      <c r="CL20" s="101">
        <f>第十五期!$CY$52</f>
        <v>0</v>
      </c>
      <c r="CM20" s="101">
        <f>第十五期!$CY$53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第十五期!Y10</f>
        <v>0</v>
      </c>
      <c r="BT21" s="182">
        <f>第十五期!Z10</f>
        <v>0</v>
      </c>
      <c r="BU21" s="182">
        <f>第十五期!AA10</f>
        <v>0</v>
      </c>
      <c r="BV21" s="182">
        <f>第十五期!AB10</f>
        <v>0</v>
      </c>
      <c r="BW21" s="184">
        <f>第十五期!AJ35</f>
        <v>0</v>
      </c>
      <c r="CA21" s="194"/>
      <c r="CB21" s="180" t="s">
        <v>58</v>
      </c>
      <c r="CC21" s="101">
        <f>第十五期!$CZ$68</f>
        <v>0</v>
      </c>
      <c r="CD21" s="101">
        <f>第十五期!$CZ$69</f>
        <v>0</v>
      </c>
      <c r="CE21" s="101">
        <f>第十五期!$CZ$70</f>
        <v>0</v>
      </c>
      <c r="CF21" s="101">
        <f>第十五期!$CZ$71</f>
        <v>0</v>
      </c>
      <c r="CG21" s="50"/>
      <c r="CH21" s="201"/>
      <c r="CI21" s="203" t="s">
        <v>58</v>
      </c>
      <c r="CJ21" s="101">
        <f>第十五期!$CZ$50</f>
        <v>0</v>
      </c>
      <c r="CK21" s="101">
        <f>第十五期!$CZ$51</f>
        <v>0</v>
      </c>
      <c r="CL21" s="101">
        <f>第十五期!$CZ$52</f>
        <v>0</v>
      </c>
      <c r="CM21" s="101">
        <f>第十五期!$CZ$53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第十五期!Y11</f>
        <v>0</v>
      </c>
      <c r="BT22" s="182">
        <f>第十五期!Z11</f>
        <v>0</v>
      </c>
      <c r="BU22" s="182">
        <f>第十五期!AA11</f>
        <v>0</v>
      </c>
      <c r="BV22" s="182">
        <f>第十五期!AB11</f>
        <v>0</v>
      </c>
      <c r="BW22" s="184">
        <f>第十五期!AJ36</f>
        <v>0</v>
      </c>
      <c r="CA22" s="194"/>
      <c r="CB22" s="180" t="s">
        <v>59</v>
      </c>
      <c r="CC22" s="101">
        <f>第十五期!$DA$68</f>
        <v>0</v>
      </c>
      <c r="CD22" s="101">
        <f>第十五期!$DA$69</f>
        <v>0</v>
      </c>
      <c r="CE22" s="101">
        <f>第十五期!$DA$70</f>
        <v>0</v>
      </c>
      <c r="CF22" s="101">
        <f>第十五期!$DA$71</f>
        <v>0</v>
      </c>
      <c r="CG22" s="50"/>
      <c r="CH22" s="201"/>
      <c r="CI22" s="203" t="s">
        <v>59</v>
      </c>
      <c r="CJ22" s="101">
        <f>第十五期!$DA$50</f>
        <v>0</v>
      </c>
      <c r="CK22" s="101">
        <f>第十五期!$DA$51</f>
        <v>0</v>
      </c>
      <c r="CL22" s="101">
        <f>第十五期!$DA$52</f>
        <v>0</v>
      </c>
      <c r="CM22" s="101">
        <f>第十五期!$DA$53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第十五期!Y12</f>
        <v>0</v>
      </c>
      <c r="BT23" s="182">
        <f>第十五期!Z12</f>
        <v>0</v>
      </c>
      <c r="BU23" s="182">
        <f>第十五期!AA12</f>
        <v>0</v>
      </c>
      <c r="BV23" s="182">
        <f>第十五期!AB12</f>
        <v>0</v>
      </c>
      <c r="BW23" s="184">
        <f>第十五期!AJ37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第十五期!BV57-第十五期!BV76</f>
        <v>0</v>
      </c>
      <c r="AJ26" s="60">
        <f>第十五期!K9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第十五期!DB50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第十五期!Y18</f>
        <v>0</v>
      </c>
      <c r="BT26" s="182">
        <f>第十五期!AA18</f>
        <v>0</v>
      </c>
      <c r="BU26" s="182">
        <f>第十五期!AF18</f>
        <v>0</v>
      </c>
      <c r="BV26" s="186">
        <f>第十五期!AC18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第十五期!DB51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第十五期!DB52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第十五期!DB53</f>
        <v>0</v>
      </c>
      <c r="BQ29" s="162"/>
      <c r="BS29" s="186">
        <f>第十五期!AH14</f>
        <v>0</v>
      </c>
      <c r="BT29" s="186">
        <f>第十五期!AH15</f>
        <v>0</v>
      </c>
      <c r="BU29" s="182">
        <f>第十五期!AF20</f>
        <v>0</v>
      </c>
      <c r="BV29" s="186">
        <f>第十五期!AJ18</f>
        <v>0</v>
      </c>
      <c r="BW29" s="182">
        <f>第十五期!AH18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INT(第十五期!DV26)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INT(第十五期!DV27)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INT(第十五期!DV28)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INT(第十五期!DV29)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第十五期!DG56*第十五期!DG50+第十五期!DG64*第十五期!Y88</f>
        <v>0</v>
      </c>
      <c r="CD38" s="102">
        <f>第十五期!DH56*第十五期!DH50+第十五期!DH64*第十五期!Z88</f>
        <v>0</v>
      </c>
      <c r="CE38" s="102">
        <f>第十五期!DI56*第十五期!DI50+第十五期!DI64*第十五期!AA88</f>
        <v>0</v>
      </c>
      <c r="CF38" s="102">
        <f>第十五期!DJ56*第十五期!DJ50+第十五期!DJ64*第十五期!AB88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第十五期!DG57*第十五期!DG51+第十五期!DG65*第十五期!Y89</f>
        <v>0</v>
      </c>
      <c r="CD39" s="102">
        <f>第十五期!DH57*第十五期!DH51+第十五期!DH65*第十五期!Z89</f>
        <v>0</v>
      </c>
      <c r="CE39" s="102">
        <f>第十五期!DI57*第十五期!DI51+第十五期!DI65*第十五期!AA89</f>
        <v>0</v>
      </c>
      <c r="CF39" s="102">
        <f>第十五期!DJ57*第十五期!DJ51+第十五期!DJ65*第十五期!AB89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第十五期!DG58*第十五期!DG52+第十五期!DG66*第十五期!Y90</f>
        <v>0</v>
      </c>
      <c r="CD40" s="102">
        <f>第十五期!DH58*第十五期!DH52+第十五期!DH66*第十五期!Z90</f>
        <v>0</v>
      </c>
      <c r="CE40" s="102">
        <f>第十五期!DI58*第十五期!DI52+第十五期!DI66*第十五期!AA90</f>
        <v>0</v>
      </c>
      <c r="CF40" s="102">
        <f>第十五期!DJ58*第十五期!DJ52+第十五期!DJ66*第十五期!AB90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第十五期!DG59*第十五期!DG53+第十五期!DG67*第十五期!Y91</f>
        <v>0</v>
      </c>
      <c r="CD41" s="102">
        <f>第十五期!DH59*第十五期!DH53+第十五期!DH67*第十五期!Z91</f>
        <v>0</v>
      </c>
      <c r="CE41" s="102">
        <f>第十五期!DI59*第十五期!DI53+第十五期!DI67*第十五期!AA91</f>
        <v>0</v>
      </c>
      <c r="CF41" s="102">
        <f>第十五期!DJ59*第十五期!DJ53+第十五期!DJ67*第十五期!AB91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第十五期!Y9*第十五期!CQ62*比赛参数!D65</f>
        <v>0</v>
      </c>
      <c r="CR50" s="60">
        <f>第十五期!Z9*第十五期!CR62*比赛参数!E65</f>
        <v>0</v>
      </c>
      <c r="CS50" s="60">
        <f>第十五期!AA9*第十五期!CS62*比赛参数!F65</f>
        <v>0</v>
      </c>
      <c r="CT50" s="60">
        <f>第十五期!AB9*第十五期!CT62*比赛参数!G65</f>
        <v>0</v>
      </c>
      <c r="CU50" s="60">
        <f>IF(第十五期!AC9&gt;0,SUM(CQ50:CT50)/第十五期!AC9,0)</f>
        <v>0</v>
      </c>
      <c r="CW50" s="9" t="s">
        <v>38</v>
      </c>
      <c r="CX50" s="215">
        <f>IF(第十五期!$CU$50*第十五期!CQ93&gt;0,第十五期!$CU$50+第十五期!CQ68+第十五期!CQ93+第十五期!CQ74,0)</f>
        <v>0</v>
      </c>
      <c r="CY50" s="215">
        <f>IF(第十五期!$CU$50*第十五期!CR93&gt;0,第十五期!$CU$50+第十五期!CR68+第十五期!CR93+第十五期!CR74,0)</f>
        <v>0</v>
      </c>
      <c r="CZ50" s="215">
        <f>IF(第十五期!$CU$50*第十五期!CS93&gt;0,第十五期!$CU$50+第十五期!CS68+第十五期!CS93+第十五期!CS74,0)</f>
        <v>0</v>
      </c>
      <c r="DA50" s="215">
        <f>IF(第十五期!$CU$50*第十五期!CT93&gt;0,第十五期!$CU$50+第十五期!CT68+第十五期!CT93+第十五期!CT74,0)</f>
        <v>0</v>
      </c>
      <c r="DB50" s="215">
        <f>AVERAGE(CX50:DA50)</f>
        <v>0</v>
      </c>
      <c r="DF50" s="60" t="s">
        <v>56</v>
      </c>
      <c r="DG50" s="218">
        <f>IF(第十五期!Y88&gt;0,1,0)</f>
        <v>0</v>
      </c>
      <c r="DH50" s="218">
        <f>IF(第十五期!Z88&gt;0,1,0)</f>
        <v>0</v>
      </c>
      <c r="DI50" s="218">
        <f>IF(第十五期!AA88&gt;0,1,0)</f>
        <v>0</v>
      </c>
      <c r="DJ50" s="218">
        <f>IF(第十五期!AB88&gt;0,1,0)</f>
        <v>0</v>
      </c>
      <c r="DL50" s="218" t="s">
        <v>21</v>
      </c>
      <c r="DM50" s="219">
        <f>IF(第十五期!Y9+第十五期!Z9&gt;0,1,0)</f>
        <v>0</v>
      </c>
      <c r="DN50" s="219">
        <f>IF(第十五期!AA9+第十五期!AB9&gt;0,1,0)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第十五期!Y10*第十五期!CQ63*比赛参数!D65</f>
        <v>0</v>
      </c>
      <c r="CR51" s="60">
        <f>第十五期!Z10*第十五期!CR63*比赛参数!E65</f>
        <v>0</v>
      </c>
      <c r="CS51" s="60">
        <f>第十五期!AA10*第十五期!CS63*比赛参数!F65</f>
        <v>0</v>
      </c>
      <c r="CT51" s="60">
        <f>第十五期!AB10*第十五期!CT63*比赛参数!G65</f>
        <v>0</v>
      </c>
      <c r="CU51" s="60">
        <f>IF(第十五期!AC10&gt;0,SUM(CQ51:CT51)/第十五期!AC10,0)</f>
        <v>0</v>
      </c>
      <c r="CW51" s="9" t="s">
        <v>39</v>
      </c>
      <c r="CX51" s="215">
        <f>IF(第十五期!$CU$51*第十五期!CQ94&gt;0,第十五期!$CU$51+第十五期!CQ69+第十五期!CQ94+第十五期!CQ75,0)</f>
        <v>0</v>
      </c>
      <c r="CY51" s="215">
        <f>IF(第十五期!$CU$51*第十五期!CR94&gt;0,第十五期!$CU$51+第十五期!CR69+第十五期!CR94+第十五期!CR75,0)</f>
        <v>0</v>
      </c>
      <c r="CZ51" s="215">
        <f>IF(第十五期!$CU$51*第十五期!CS94&gt;0,第十五期!$CU$51+第十五期!CS69+第十五期!CS94+第十五期!CS75,0)</f>
        <v>0</v>
      </c>
      <c r="DA51" s="215">
        <f>IF(第十五期!$CU$51*第十五期!CT94&gt;0,第十五期!$CU$51+第十五期!CT69+第十五期!CT94+第十五期!CT75,0)</f>
        <v>0</v>
      </c>
      <c r="DB51" s="215">
        <f>AVERAGE(CX51:DA51)</f>
        <v>0</v>
      </c>
      <c r="DF51" s="60" t="s">
        <v>57</v>
      </c>
      <c r="DG51" s="218">
        <f>IF(第十五期!Y89&gt;0,1,0)</f>
        <v>0</v>
      </c>
      <c r="DH51" s="218">
        <f>IF(第十五期!Z89&gt;0,1,0)</f>
        <v>0</v>
      </c>
      <c r="DI51" s="218">
        <f>IF(第十五期!AA89&gt;0,1,0)</f>
        <v>0</v>
      </c>
      <c r="DJ51" s="218">
        <f>IF(第十五期!AB89&gt;0,1,0)</f>
        <v>0</v>
      </c>
      <c r="DL51" s="218" t="s">
        <v>22</v>
      </c>
      <c r="DM51" s="219">
        <f>IF(第十五期!Y10+第十五期!Z10&gt;0,1,0)</f>
        <v>0</v>
      </c>
      <c r="DN51" s="219">
        <f>IF(第十五期!AA10+第十五期!AB10&gt;0,1,0)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第十五期!Y11*第十五期!CQ64*比赛参数!D65</f>
        <v>0</v>
      </c>
      <c r="CR52" s="60">
        <f>第十五期!Z11*第十五期!CR64*比赛参数!E65</f>
        <v>0</v>
      </c>
      <c r="CS52" s="60">
        <f>第十五期!AA11*第十五期!CS64*比赛参数!F65</f>
        <v>0</v>
      </c>
      <c r="CT52" s="60">
        <f>第十五期!AB11*第十五期!CT64*比赛参数!G65</f>
        <v>0</v>
      </c>
      <c r="CU52" s="60">
        <f>IF(第十五期!AC11&gt;0,SUM(CQ52:CT52)/第十五期!AC11,0)</f>
        <v>0</v>
      </c>
      <c r="CW52" s="9" t="s">
        <v>40</v>
      </c>
      <c r="CX52" s="215">
        <f>IF(第十五期!$CU$52*第十五期!CQ95&gt;0,第十五期!$CU$52+第十五期!CQ70+第十五期!CQ95+第十五期!CQ76,0)</f>
        <v>0</v>
      </c>
      <c r="CY52" s="215">
        <f>IF(第十五期!$CU$52*第十五期!CR95&gt;0,第十五期!$CU$52+第十五期!CR70+第十五期!CR95+第十五期!CR76,0)</f>
        <v>0</v>
      </c>
      <c r="CZ52" s="215">
        <f>IF(第十五期!$CU$52*第十五期!CS95&gt;0,第十五期!$CU$52+第十五期!CS70+第十五期!CS95+第十五期!CS76,0)</f>
        <v>0</v>
      </c>
      <c r="DA52" s="215">
        <f>IF(第十五期!$CU$52*第十五期!CT95&gt;0,第十五期!$CU$52+第十五期!CT70+第十五期!CT95+第十五期!CT76,0)</f>
        <v>0</v>
      </c>
      <c r="DB52" s="215">
        <f>AVERAGE(CX52:DA52)</f>
        <v>0</v>
      </c>
      <c r="DF52" s="60" t="s">
        <v>58</v>
      </c>
      <c r="DG52" s="218">
        <f>IF(第十五期!Y90&gt;0,1,0)</f>
        <v>0</v>
      </c>
      <c r="DH52" s="218">
        <f>IF(第十五期!Z90&gt;0,1,0)</f>
        <v>0</v>
      </c>
      <c r="DI52" s="218">
        <f>IF(第十五期!AA90&gt;0,1,0)</f>
        <v>0</v>
      </c>
      <c r="DJ52" s="218">
        <f>IF(第十五期!AB90&gt;0,1,0)</f>
        <v>0</v>
      </c>
      <c r="DL52" s="218" t="s">
        <v>23</v>
      </c>
      <c r="DM52" s="219">
        <f>IF(第十五期!Y11+第十五期!Z11&gt;0,1,0)</f>
        <v>0</v>
      </c>
      <c r="DN52" s="219">
        <f>IF(第十五期!AA11+第十五期!AB11&gt;0,1,0)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第十五期!Y12*第十五期!CQ65*比赛参数!D65</f>
        <v>0</v>
      </c>
      <c r="CR53" s="60">
        <f>第十五期!Z12*第十五期!CR65*比赛参数!E65</f>
        <v>0</v>
      </c>
      <c r="CS53" s="60">
        <f>第十五期!AA12*第十五期!CS65*比赛参数!F65</f>
        <v>0</v>
      </c>
      <c r="CT53" s="60">
        <f>第十五期!AB12*第十五期!CT65*比赛参数!G65</f>
        <v>0</v>
      </c>
      <c r="CU53" s="60">
        <f>IF(第十五期!AC12&gt;0,SUM(CQ53:CT53)/第十五期!AC12,0)</f>
        <v>0</v>
      </c>
      <c r="CW53" s="9" t="s">
        <v>41</v>
      </c>
      <c r="CX53" s="215">
        <f>IF(第十五期!$CU$53*第十五期!CQ96&gt;0,第十五期!$CU$53+第十五期!CQ71+第十五期!CQ96+第十五期!CQ77,0)</f>
        <v>0</v>
      </c>
      <c r="CY53" s="215">
        <f>IF(第十五期!$CU$53*第十五期!CR96&gt;0,第十五期!$CU$53+第十五期!CR71+第十五期!CR96+第十五期!CR77,0)</f>
        <v>0</v>
      </c>
      <c r="CZ53" s="215">
        <f>IF(第十五期!$CU$53*第十五期!CS96&gt;0,第十五期!$CU$53+第十五期!CS71+第十五期!CS96+第十五期!CS77,0)</f>
        <v>0</v>
      </c>
      <c r="DA53" s="215">
        <f>IF(第十五期!$CU$53*第十五期!CT96&gt;0,第十五期!$CU$53+第十五期!CT71+第十五期!CT96+第十五期!CT77,0)</f>
        <v>0</v>
      </c>
      <c r="DB53" s="215">
        <f>AVERAGE(CX53:DA53)</f>
        <v>0</v>
      </c>
      <c r="DF53" s="60" t="s">
        <v>59</v>
      </c>
      <c r="DG53" s="218">
        <f>IF(第十五期!Y91&gt;0,1,0)</f>
        <v>0</v>
      </c>
      <c r="DH53" s="218">
        <f>IF(第十五期!Z91&gt;0,1,0)</f>
        <v>0</v>
      </c>
      <c r="DI53" s="218">
        <f>IF(第十五期!AA91&gt;0,1,0)</f>
        <v>0</v>
      </c>
      <c r="DJ53" s="218">
        <f>IF(第十五期!AB91&gt;0,1,0)</f>
        <v>0</v>
      </c>
      <c r="DL53" s="218" t="s">
        <v>24</v>
      </c>
      <c r="DM53" s="219">
        <f>IF(第十五期!Y12+第十五期!Z12&gt;0,1,0)</f>
        <v>0</v>
      </c>
      <c r="DN53" s="219">
        <f>IF(第十五期!AA12+第十五期!AB12&gt;0,1,0)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第十五期!K11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第十五期!AH14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第十五期!DU26</f>
        <v>0</v>
      </c>
      <c r="CD56" s="102">
        <f>第十五期!DU27</f>
        <v>0</v>
      </c>
      <c r="CE56" s="102">
        <f>第十五期!DU28</f>
        <v>0</v>
      </c>
      <c r="CF56" s="102">
        <f>第十五期!DU29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第十五期!BS7-第十五期!CX50</f>
        <v>0</v>
      </c>
      <c r="CY56" s="215">
        <f>第十五期!BT7-第十五期!CY50</f>
        <v>0</v>
      </c>
      <c r="CZ56" s="215">
        <f>第十五期!BU7-第十五期!CZ50</f>
        <v>0</v>
      </c>
      <c r="DA56" s="215">
        <f>第十五期!BV7-第十五期!DA50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第十五期!DX6</f>
        <v>0</v>
      </c>
      <c r="Z57" s="102">
        <f>第十五期!DX10</f>
        <v>0</v>
      </c>
      <c r="AA57" s="102">
        <f>第十五期!DX14</f>
        <v>0</v>
      </c>
      <c r="AB57" s="102">
        <f>第十五期!DX18</f>
        <v>0</v>
      </c>
      <c r="AC57" s="119"/>
      <c r="AE57" s="59" t="s">
        <v>56</v>
      </c>
      <c r="AF57" s="102">
        <f>第十五期!DW6</f>
        <v>0</v>
      </c>
      <c r="AG57" s="102">
        <f>第十五期!DW10</f>
        <v>0</v>
      </c>
      <c r="AH57" s="102">
        <f>第十五期!DW14</f>
        <v>0</v>
      </c>
      <c r="AI57" s="102">
        <f>第十五期!DW18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第十五期!AH15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第十五期!BS8-第十五期!CX51</f>
        <v>0</v>
      </c>
      <c r="CY57" s="215">
        <f>第十五期!BT8-第十五期!CY51</f>
        <v>0</v>
      </c>
      <c r="CZ57" s="215">
        <f>第十五期!BU8-第十五期!CZ51</f>
        <v>0</v>
      </c>
      <c r="DA57" s="215">
        <f>第十五期!BV8-第十五期!DA51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第十五期!DX7</f>
        <v>0</v>
      </c>
      <c r="Z58" s="102">
        <f>第十五期!DX11</f>
        <v>0</v>
      </c>
      <c r="AA58" s="102">
        <f>第十五期!DX15</f>
        <v>0</v>
      </c>
      <c r="AB58" s="102">
        <f>第十五期!DX19</f>
        <v>0</v>
      </c>
      <c r="AC58" s="119"/>
      <c r="AE58" s="9" t="s">
        <v>57</v>
      </c>
      <c r="AF58" s="102">
        <f>第十五期!DW7</f>
        <v>0</v>
      </c>
      <c r="AG58" s="102">
        <f>第十五期!DW11</f>
        <v>0</v>
      </c>
      <c r="AH58" s="102">
        <f>第十五期!DW15</f>
        <v>0</v>
      </c>
      <c r="AI58" s="102">
        <f>第十五期!DW19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第十五期!H5+第十五期!H4*比赛参数!F71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第十五期!BS9-第十五期!CX52</f>
        <v>0</v>
      </c>
      <c r="CY58" s="215">
        <f>第十五期!BT9-第十五期!CY52</f>
        <v>0</v>
      </c>
      <c r="CZ58" s="215">
        <f>第十五期!BU9-第十五期!CZ52</f>
        <v>0</v>
      </c>
      <c r="DA58" s="215">
        <f>第十五期!BV9-第十五期!DA52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第十五期!DX8</f>
        <v>0</v>
      </c>
      <c r="Z59" s="102">
        <f>第十五期!DX12</f>
        <v>0</v>
      </c>
      <c r="AA59" s="102">
        <f>第十五期!DX16</f>
        <v>0</v>
      </c>
      <c r="AB59" s="102">
        <f>第十五期!DX20</f>
        <v>0</v>
      </c>
      <c r="AC59" s="120"/>
      <c r="AE59" s="9" t="s">
        <v>58</v>
      </c>
      <c r="AF59" s="102">
        <f>第十五期!DW8</f>
        <v>0</v>
      </c>
      <c r="AG59" s="102">
        <f>第十五期!DW12</f>
        <v>0</v>
      </c>
      <c r="AH59" s="102">
        <f>第十五期!DW16</f>
        <v>0</v>
      </c>
      <c r="AI59" s="102">
        <f>第十五期!DW20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第十五期!K14*比赛参数!D71/4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第十五期!BS10-第十五期!CX53</f>
        <v>0</v>
      </c>
      <c r="CY59" s="215">
        <f>第十五期!BT10-第十五期!CY53</f>
        <v>0</v>
      </c>
      <c r="CZ59" s="215">
        <f>第十五期!BU10-第十五期!CZ53</f>
        <v>0</v>
      </c>
      <c r="DA59" s="215">
        <f>第十五期!BV10-第十五期!DA53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第十五期!DX9</f>
        <v>0</v>
      </c>
      <c r="Z60" s="102">
        <f>第十五期!DX13</f>
        <v>0</v>
      </c>
      <c r="AA60" s="102">
        <f>第十五期!DX17</f>
        <v>0</v>
      </c>
      <c r="AB60" s="102">
        <f>第十五期!DX21</f>
        <v>0</v>
      </c>
      <c r="AC60" s="102" t="s">
        <v>415</v>
      </c>
      <c r="AE60" s="9" t="s">
        <v>59</v>
      </c>
      <c r="AF60" s="102">
        <f>第十五期!DW9</f>
        <v>0</v>
      </c>
      <c r="AG60" s="102">
        <f>第十五期!DW13</f>
        <v>0</v>
      </c>
      <c r="AH60" s="102">
        <f>第十五期!DW17</f>
        <v>0</v>
      </c>
      <c r="AI60" s="102">
        <f>第十五期!DW21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第十五期!Y18*比赛参数!D58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第十五期!AA18*比赛参数!D62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((第十五期!K8-第十五期!AA18)*比赛参数!D65+第十五期!Y18*比赛参数!D59*比赛参数!D65)*第十五期!AH18*520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CX56/第十五期!CQ56</f>
        <v>0</v>
      </c>
      <c r="CY62" s="215">
        <f>CY56/第十五期!CR56</f>
        <v>0</v>
      </c>
      <c r="CZ62" s="215">
        <f>CZ56/第十五期!CS56</f>
        <v>0</v>
      </c>
      <c r="DA62" s="215">
        <f>DA56/第十五期!CT56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第十五期!K9*比赛参数!D49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CX57/第十五期!CQ57</f>
        <v>0</v>
      </c>
      <c r="CY63" s="215">
        <f>CY57/第十五期!CR57</f>
        <v>0</v>
      </c>
      <c r="CZ63" s="215">
        <f>CZ57/第十五期!CS57</f>
        <v>0</v>
      </c>
      <c r="DA63" s="215">
        <f>DA57/第十五期!CT57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第十五期!AL37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CX58/第十五期!CQ58</f>
        <v>0</v>
      </c>
      <c r="CY64" s="215">
        <f>CY58/第十五期!CR58</f>
        <v>0</v>
      </c>
      <c r="CZ64" s="215">
        <f>CZ58/第十五期!CS58</f>
        <v>0</v>
      </c>
      <c r="DA64" s="215">
        <f>DA58/第十五期!CT58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0.5*第十五期!AL37+0.5*第十五期!DV23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CX59/第十五期!CQ59</f>
        <v>0</v>
      </c>
      <c r="CY65" s="215">
        <f>CY59/第十五期!CR59</f>
        <v>0</v>
      </c>
      <c r="CZ65" s="215">
        <f>CZ59/第十五期!CS59</f>
        <v>0</v>
      </c>
      <c r="DA65" s="215">
        <f>DA59/第十五期!CT59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第十五期!AC18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五期!AC18&gt;=比赛参数!D33,(1-比赛参数!E33)*第十五期!AC18,0)+IF(AND(第十五期!AC18&gt;=比赛参数!D34,第十五期!AC18&lt;比赛参数!D33),(1-比赛参数!E34)*第十五期!AC18,0)+IF(AND(第十五期!AC18&gt;=比赛参数!D35,第十五期!AC18&lt;比赛参数!D34),(1-比赛参数!E35)*第十五期!AC18,0)+IF(AND(第十五期!AC18&gt;=比赛参数!D36,第十五期!AC18&lt;比赛参数!D35),(1-比赛参数!E36)*第十五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第十五期!DV6</f>
        <v>0</v>
      </c>
      <c r="AG70" s="121">
        <f>第十五期!DV10</f>
        <v>0</v>
      </c>
      <c r="AH70" s="121">
        <f>第十五期!DV14</f>
        <v>0</v>
      </c>
      <c r="AI70" s="121">
        <f>第十五期!DV18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IF(第十五期!AC18&gt;0,第十五期!AC18*比赛参数!E40+比赛参数!E39,0)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第十五期!DV7</f>
        <v>0</v>
      </c>
      <c r="AG71" s="121">
        <f>第十五期!DV11</f>
        <v>0</v>
      </c>
      <c r="AH71" s="121">
        <f>第十五期!DV15</f>
        <v>0</v>
      </c>
      <c r="AI71" s="121">
        <f>第十五期!DV19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(第十五期!Z13*比赛参数!E65*260+第十五期!AA13*(比赛参数!F65-比赛参数!D65)*520+第十五期!AB13*比赛参数!G65*260)*第十五期!AH18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第十五期!DV8</f>
        <v>0</v>
      </c>
      <c r="AG72" s="121">
        <f>第十五期!DV12</f>
        <v>0</v>
      </c>
      <c r="AH72" s="121">
        <f>第十五期!DV16</f>
        <v>0</v>
      </c>
      <c r="AI72" s="121">
        <f>第十五期!DV20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第十五期!DM60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第十五期!DV9</f>
        <v>0</v>
      </c>
      <c r="AG73" s="121">
        <f>第十五期!DV13</f>
        <v>0</v>
      </c>
      <c r="AH73" s="121">
        <f>第十五期!DV17</f>
        <v>0</v>
      </c>
      <c r="AI73" s="121">
        <f>第十五期!DV21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第十五期!AC21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第十五期!CG42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SUM(第十五期!AF80:AI80)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SUM(第十五期!AJ76:AJ79)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第十五期!CG53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第十五期!CN53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第十五期!K9*比赛参数!D30*比赛参数!F30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第十五期!CG65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第十五期!Y9*第十五期!CQ56</f>
        <v>0</v>
      </c>
      <c r="CR80" s="60">
        <f>第十五期!Z9*第十五期!CR56</f>
        <v>0</v>
      </c>
      <c r="CS80" s="60">
        <f>第十五期!AA9*第十五期!CS56</f>
        <v>0</v>
      </c>
      <c r="CT80" s="60">
        <f>第十五期!AB9*第十五期!CT56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(第十五期!K10+(第十五期!AC18+第十五期!K10-第十五期!AC21))/2*比赛参数!D16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第十五期!Y10*第十五期!CQ57</f>
        <v>0</v>
      </c>
      <c r="CR81" s="60">
        <f>第十五期!Z10*第十五期!CR57</f>
        <v>0</v>
      </c>
      <c r="CS81" s="60">
        <f>第十五期!AA10*第十五期!CS57</f>
        <v>0</v>
      </c>
      <c r="CT81" s="60">
        <f>第十五期!AB10*第十五期!CT57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第十五期!CG67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第十五期!Y11*第十五期!CQ58</f>
        <v>0</v>
      </c>
      <c r="CR82" s="60">
        <f>第十五期!Z11*第十五期!CR58</f>
        <v>0</v>
      </c>
      <c r="CS82" s="60">
        <f>第十五期!AA11*第十五期!CS58</f>
        <v>0</v>
      </c>
      <c r="CT82" s="60">
        <f>第十五期!AB11*第十五期!CT58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第十五期!K13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第十五期!Y12*第十五期!CQ59</f>
        <v>0</v>
      </c>
      <c r="CR83" s="60">
        <f>第十五期!Z12*第十五期!CR59</f>
        <v>0</v>
      </c>
      <c r="CS83" s="60">
        <f>第十五期!AA12*第十五期!CS59</f>
        <v>0</v>
      </c>
      <c r="CT83" s="60">
        <f>第十五期!AB12*第十五期!CT59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第十五期!K13*比赛参数!D70/4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第十五期!AH14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第十五期!DS33</f>
        <v>0</v>
      </c>
      <c r="AG86" s="121">
        <f>第十五期!DW33</f>
        <v>0</v>
      </c>
      <c r="AH86" s="121">
        <f>第十五期!EA33</f>
        <v>0</v>
      </c>
      <c r="AI86" s="121">
        <f>第十五期!EE33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第十五期!AH14*比赛参数!D69/4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第十五期!DT33</f>
        <v>0</v>
      </c>
      <c r="AG87" s="121">
        <f>第十五期!DX33</f>
        <v>0</v>
      </c>
      <c r="AH87" s="121">
        <f>第十五期!EB33</f>
        <v>0</v>
      </c>
      <c r="AI87" s="121">
        <f>第十五期!EF33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IF(第十五期!BW92&gt;0,IF((第十五期!K15+第十五期!BW92*比赛参数!D72)&gt;0,第十五期!K15+第十五期!BW92*比赛参数!D72,0))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第十五期!DU33</f>
        <v>0</v>
      </c>
      <c r="AG88" s="121">
        <f>第十五期!DY33</f>
        <v>0</v>
      </c>
      <c r="AH88" s="121">
        <f>第十五期!EC33</f>
        <v>0</v>
      </c>
      <c r="AI88" s="121">
        <f>第十五期!EG33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第十五期!AF18*比赛参数!D30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第十五期!DV33</f>
        <v>0</v>
      </c>
      <c r="AG89" s="121">
        <f>第十五期!DZ33</f>
        <v>0</v>
      </c>
      <c r="AH89" s="121">
        <f>第十五期!ED33</f>
        <v>0</v>
      </c>
      <c r="AI89" s="121">
        <f>第十五期!EH33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第十五期!AJ18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第十五期!AF20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第十五期!BT84</f>
        <v>0</v>
      </c>
      <c r="BT92" s="291" t="s">
        <v>282</v>
      </c>
      <c r="BU92" s="86">
        <f>第十五期!BU86</f>
        <v>0</v>
      </c>
      <c r="BV92" s="293" t="s">
        <v>200</v>
      </c>
      <c r="BW92" s="294">
        <f>第十五期!BT84-第十五期!BU86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AC9*比赛参数!D6+第十五期!DU26</f>
        <v>0</v>
      </c>
      <c r="Z93" s="35">
        <f>AC10*比赛参数!D6+第十五期!DU27</f>
        <v>0</v>
      </c>
      <c r="AA93" s="35">
        <f>AC11*比赛参数!D6+第十五期!DU28</f>
        <v>0</v>
      </c>
      <c r="AB93" s="35">
        <f>AC12*比赛参数!D6+第十五期!DU29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IF(第十五期!$AC$9&gt;0,第十五期!$K$9*比赛参数!$D$30*比赛参数!$F$30*$CU$87/第十五期!$AC$9,0)</f>
        <v>0</v>
      </c>
      <c r="CR93" s="60">
        <f>IF(第十五期!$AC$9&gt;0,第十五期!$K$9*比赛参数!$D$30*比赛参数!$F$30*$CU$87/第十五期!$AC$9,0)</f>
        <v>0</v>
      </c>
      <c r="CS93" s="60">
        <f>IF(第十五期!$AC$9&gt;0,第十五期!$K$9*比赛参数!$D$30*比赛参数!$F$30*$CU$87/第十五期!$AC$9,0)</f>
        <v>0</v>
      </c>
      <c r="CT93" s="60">
        <f>IF(第十五期!$AC$9&gt;0,第十五期!$K$9*比赛参数!$D$30*比赛参数!$F$30*$CU$87/第十五期!$AC$9,0)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IF(第十五期!$AC$10&gt;0,第十五期!$K$9*比赛参数!$D$30*比赛参数!$F$30*$CU$88/第十五期!$AC$10,0)</f>
        <v>0</v>
      </c>
      <c r="CR94" s="60">
        <f>IF(第十五期!$AC$10&gt;0,第十五期!$K$9*比赛参数!$D$30*比赛参数!$F$30*$CU$88/第十五期!$AC$10,0)</f>
        <v>0</v>
      </c>
      <c r="CS94" s="60">
        <f>IF(第十五期!$AC$10&gt;0,第十五期!$K$9*比赛参数!$D$30*比赛参数!$F$30*$CU$88/第十五期!$AC$10,0)</f>
        <v>0</v>
      </c>
      <c r="CT94" s="60">
        <f>IF(第十五期!$AC$10&gt;0,第十五期!$K$9*比赛参数!$D$30*比赛参数!$F$30*$CU$88/第十五期!$AC$10,0)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IF(第十五期!$AC$11&gt;0,第十五期!$K$9*比赛参数!$D$30*比赛参数!$F$30*$CU$89/第十五期!$AC$11,0)</f>
        <v>0</v>
      </c>
      <c r="CR95" s="60">
        <f>IF(第十五期!$AC$11&gt;0,第十五期!$K$9*比赛参数!$D$30*比赛参数!$F$30*$CU$89/第十五期!$AC$11,0)</f>
        <v>0</v>
      </c>
      <c r="CS95" s="60">
        <f>IF(第十五期!$AC$11&gt;0,第十五期!$K$9*比赛参数!$D$30*比赛参数!$F$30*$CU$89/第十五期!$AC$11,0)</f>
        <v>0</v>
      </c>
      <c r="CT95" s="60">
        <f>IF(第十五期!$AC$11&gt;0,第十五期!$K$9*比赛参数!$D$30*比赛参数!$F$30*$CU$89/第十五期!$AC$11,0)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第十五期!CX62</f>
        <v>0</v>
      </c>
      <c r="Z96" s="89">
        <f>第十五期!CX63</f>
        <v>0</v>
      </c>
      <c r="AA96" s="89">
        <f>第十五期!CX64</f>
        <v>0</v>
      </c>
      <c r="AB96" s="89">
        <f>第十五期!CX65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IF(第十五期!$AC$12&gt;0,第十五期!$K$9*比赛参数!$D$30*比赛参数!$F$30*$CU$90/第十五期!$AC$12,0)</f>
        <v>0</v>
      </c>
      <c r="CR96" s="60">
        <f>IF(第十五期!$AC$12&gt;0,第十五期!$K$9*比赛参数!$D$30*比赛参数!$F$30*$CU$90/第十五期!$AC$12,0)</f>
        <v>0</v>
      </c>
      <c r="CS96" s="60">
        <f>IF(第十五期!$AC$12&gt;0,第十五期!$K$9*比赛参数!$D$30*比赛参数!$F$30*$CU$90/第十五期!$AC$12,0)</f>
        <v>0</v>
      </c>
      <c r="CT96" s="60">
        <f>IF(第十五期!$AC$12&gt;0,第十五期!$K$9*比赛参数!$D$30*比赛参数!$F$30*$CU$90/第十五期!$AC$12,0)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第十五期!CY62</f>
        <v>0</v>
      </c>
      <c r="Z97" s="89">
        <f>第十五期!CY63</f>
        <v>0</v>
      </c>
      <c r="AA97" s="89">
        <f>第十五期!CY64</f>
        <v>0</v>
      </c>
      <c r="AB97" s="89">
        <f>第十五期!CY65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第十五期!CZ62</f>
        <v>0</v>
      </c>
      <c r="Z98" s="89">
        <f>第十五期!CZ63</f>
        <v>0</v>
      </c>
      <c r="AA98" s="89">
        <f>第十五期!CZ64</f>
        <v>0</v>
      </c>
      <c r="AB98" s="89">
        <f>第十五期!CZ65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第十五期!DA62</f>
        <v>0</v>
      </c>
      <c r="Z99" s="89">
        <f>第十五期!DA63</f>
        <v>0</v>
      </c>
      <c r="AA99" s="89">
        <f>第十五期!DA64</f>
        <v>0</v>
      </c>
      <c r="AB99" s="89">
        <f>第十五期!DA65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(第十五期!#REF!-$BE$54)&lt;0</formula>
    </cfRule>
  </conditionalFormatting>
  <conditionalFormatting sqref="BF132:BF133">
    <cfRule type="expression" dxfId="6" priority="26" stopIfTrue="1">
      <formula>(第十五期!#REF!-$BF$54)&lt;0</formula>
    </cfRule>
  </conditionalFormatting>
  <conditionalFormatting sqref="BG132:BG133">
    <cfRule type="expression" dxfId="6" priority="25" stopIfTrue="1">
      <formula>(第十五期!#REF!-$BG$54)&lt;0</formula>
    </cfRule>
  </conditionalFormatting>
  <conditionalFormatting sqref="BH132:BH133">
    <cfRule type="expression" dxfId="6" priority="24" stopIfTrue="1">
      <formula>(第十五期!#REF!-$BH$54)&lt;0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O1" workbookViewId="0">
      <selection activeCell="AA24" sqref="AA24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第十六期!AF76</f>
        <v>0</v>
      </c>
      <c r="BT7" s="182">
        <f>第十六期!AF77</f>
        <v>0</v>
      </c>
      <c r="BU7" s="182">
        <f>第十六期!AF78</f>
        <v>0</v>
      </c>
      <c r="BV7" s="182">
        <f>第十六期!AF79</f>
        <v>0</v>
      </c>
      <c r="BW7" s="184">
        <f>第十六期!$AF$80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第十六期!$AG$76</f>
        <v>0</v>
      </c>
      <c r="BT8" s="182">
        <f>第十六期!$AG$77</f>
        <v>0</v>
      </c>
      <c r="BU8" s="182">
        <f>第十六期!$AG$78</f>
        <v>0</v>
      </c>
      <c r="BV8" s="182">
        <f>第十六期!$AG$79</f>
        <v>0</v>
      </c>
      <c r="BW8" s="184">
        <f>第十六期!$AG$80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第十六期!DB56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第十六期!$AH$76</f>
        <v>0</v>
      </c>
      <c r="BT9" s="182">
        <f>第十六期!$AH$77</f>
        <v>0</v>
      </c>
      <c r="BU9" s="182">
        <f>第十六期!$AH$78</f>
        <v>0</v>
      </c>
      <c r="BV9" s="182">
        <f>第十六期!$AH$79</f>
        <v>0</v>
      </c>
      <c r="BW9" s="184">
        <f>第十六期!$AH$80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第十六期!DB57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第十六期!$AI$76</f>
        <v>0</v>
      </c>
      <c r="BT10" s="182">
        <f>第十六期!$AI$77</f>
        <v>0</v>
      </c>
      <c r="BU10" s="182">
        <f>第十六期!$AI$78</f>
        <v>0</v>
      </c>
      <c r="BV10" s="182">
        <f>第十六期!$AI$79</f>
        <v>0</v>
      </c>
      <c r="BW10" s="184">
        <f>第十六期!$AI$80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第十六期!DB58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第十六期!$AJ$76</f>
        <v>0</v>
      </c>
      <c r="BT11" s="184">
        <f>第十六期!$AJ$77</f>
        <v>0</v>
      </c>
      <c r="BU11" s="184">
        <f>第十六期!$AJ$78</f>
        <v>0</v>
      </c>
      <c r="BV11" s="184">
        <f>第十六期!$AJ$79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第十六期!DB59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第十六期!BU86</f>
        <v>0</v>
      </c>
      <c r="AG13" s="124" t="s">
        <v>309</v>
      </c>
      <c r="AH13" s="125">
        <f>第十六期!BV76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第十六期!BW92</f>
        <v>0</v>
      </c>
      <c r="AG14" s="68" t="s">
        <v>315</v>
      </c>
      <c r="AH14" s="127"/>
      <c r="AI14" s="39" t="s">
        <v>189</v>
      </c>
      <c r="AJ14" s="128">
        <f>第十六期!K12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第十六期!Y88</f>
        <v>0</v>
      </c>
      <c r="BT14" s="182">
        <f>第十六期!Y89</f>
        <v>0</v>
      </c>
      <c r="BU14" s="182">
        <f>第十六期!Y90</f>
        <v>0</v>
      </c>
      <c r="BV14" s="182">
        <f>第十六期!Y91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AF14/(Y18+第十六期!K8-AA18)</f>
        <v>#DIV/0!</v>
      </c>
      <c r="AG15" s="68" t="s">
        <v>321</v>
      </c>
      <c r="AH15" s="127"/>
      <c r="AI15" s="39" t="s">
        <v>322</v>
      </c>
      <c r="AJ15" s="128">
        <f>第十六期!K16*0.5-第十六期!K14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第十六期!Z88</f>
        <v>0</v>
      </c>
      <c r="BT15" s="182">
        <f>第十六期!Z89</f>
        <v>0</v>
      </c>
      <c r="BU15" s="182">
        <f>第十六期!Z90</f>
        <v>0</v>
      </c>
      <c r="BV15" s="182">
        <f>第十六期!Z91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第十六期!DM60</f>
        <v>0</v>
      </c>
      <c r="Z16" s="87" t="s">
        <v>325</v>
      </c>
      <c r="AA16" s="88">
        <f>AH20+Y16+第十六期!K9*比赛参数!D30*比赛参数!F30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第十六期!AA88</f>
        <v>0</v>
      </c>
      <c r="BT16" s="182">
        <f>第十六期!AA89</f>
        <v>0</v>
      </c>
      <c r="BU16" s="182">
        <f>第十六期!AA90</f>
        <v>0</v>
      </c>
      <c r="BV16" s="182">
        <f>第十六期!AA91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第十六期!AB88</f>
        <v>0</v>
      </c>
      <c r="BT17" s="182">
        <f>第十六期!AB89</f>
        <v>0</v>
      </c>
      <c r="BU17" s="182">
        <f>第十六期!AB90</f>
        <v>0</v>
      </c>
      <c r="BV17" s="182">
        <f>第十六期!AB91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第十六期!K8*比赛参数!D57</f>
        <v>0</v>
      </c>
      <c r="Z19" s="48" t="s">
        <v>351</v>
      </c>
      <c r="AA19" s="94">
        <f>第十六期!K8*比赛参数!D60</f>
        <v>0</v>
      </c>
      <c r="AB19" s="48" t="s">
        <v>351</v>
      </c>
      <c r="AC19" s="99">
        <f>IF((AC21-第十六期!K10)/比赛参数!D41&gt;0,(AC21-第十六期!K10)/比赛参数!D41,0)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IF((第十六期!BW92-第十六期!BS87)&gt;0,第十六期!BW92-第十六期!BS87,0)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第十六期!$CX$68</f>
        <v>0</v>
      </c>
      <c r="CD19" s="101">
        <f>第十六期!$CX$69</f>
        <v>0</v>
      </c>
      <c r="CE19" s="101">
        <f>第十六期!$CX$70</f>
        <v>0</v>
      </c>
      <c r="CF19" s="101">
        <f>第十六期!$CX$71</f>
        <v>0</v>
      </c>
      <c r="CG19" s="50"/>
      <c r="CH19" s="201"/>
      <c r="CI19" s="202" t="s">
        <v>56</v>
      </c>
      <c r="CJ19" s="101">
        <f>第十六期!$CX$50</f>
        <v>0</v>
      </c>
      <c r="CK19" s="101">
        <f>第十六期!$CX$51</f>
        <v>0</v>
      </c>
      <c r="CL19" s="101">
        <f>第十六期!$CX$52</f>
        <v>0</v>
      </c>
      <c r="CM19" s="101">
        <f>第十六期!$CX$53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第十六期!K8+第十六期!Y18*比赛参数!D59-第十六期!AA18</f>
        <v>0</v>
      </c>
      <c r="Z20" s="39" t="s">
        <v>346</v>
      </c>
      <c r="AA20" s="102">
        <f>第十六期!K9</f>
        <v>0</v>
      </c>
      <c r="AB20" s="39" t="s">
        <v>358</v>
      </c>
      <c r="AC20" s="103">
        <f>AC18*比赛参数!D41+第十六期!K10</f>
        <v>0</v>
      </c>
      <c r="AE20" s="9" t="s">
        <v>359</v>
      </c>
      <c r="AF20" s="96"/>
      <c r="AG20" s="39" t="s">
        <v>178</v>
      </c>
      <c r="AH20" s="136">
        <f>第十六期!BS62+第十六期!BS71</f>
        <v>0</v>
      </c>
      <c r="AI20" s="68" t="s">
        <v>360</v>
      </c>
      <c r="AJ20" s="103">
        <f>第十六期!BV90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第十六期!Y9</f>
        <v>0</v>
      </c>
      <c r="BT20" s="182">
        <f>第十六期!Z9</f>
        <v>0</v>
      </c>
      <c r="BU20" s="182">
        <f>第十六期!AA9</f>
        <v>0</v>
      </c>
      <c r="BV20" s="182">
        <f>第十六期!AB9</f>
        <v>0</v>
      </c>
      <c r="BW20" s="184">
        <f>第十六期!AJ34</f>
        <v>0</v>
      </c>
      <c r="CA20" s="194"/>
      <c r="CB20" s="180" t="s">
        <v>57</v>
      </c>
      <c r="CC20" s="101">
        <f>第十六期!$CY$68</f>
        <v>0</v>
      </c>
      <c r="CD20" s="101">
        <f>第十六期!$CY$69</f>
        <v>0</v>
      </c>
      <c r="CE20" s="101">
        <f>第十六期!$CY$70</f>
        <v>0</v>
      </c>
      <c r="CF20" s="101">
        <f>第十六期!$CY$71</f>
        <v>0</v>
      </c>
      <c r="CG20" s="50"/>
      <c r="CH20" s="201"/>
      <c r="CI20" s="203" t="s">
        <v>57</v>
      </c>
      <c r="CJ20" s="101">
        <f>第十六期!$CY$50</f>
        <v>0</v>
      </c>
      <c r="CK20" s="101">
        <f>第十六期!$CY$51</f>
        <v>0</v>
      </c>
      <c r="CL20" s="101">
        <f>第十六期!$CY$52</f>
        <v>0</v>
      </c>
      <c r="CM20" s="101">
        <f>第十六期!$CY$53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第十六期!Y10</f>
        <v>0</v>
      </c>
      <c r="BT21" s="182">
        <f>第十六期!Z10</f>
        <v>0</v>
      </c>
      <c r="BU21" s="182">
        <f>第十六期!AA10</f>
        <v>0</v>
      </c>
      <c r="BV21" s="182">
        <f>第十六期!AB10</f>
        <v>0</v>
      </c>
      <c r="BW21" s="184">
        <f>第十六期!AJ35</f>
        <v>0</v>
      </c>
      <c r="CA21" s="194"/>
      <c r="CB21" s="180" t="s">
        <v>58</v>
      </c>
      <c r="CC21" s="101">
        <f>第十六期!$CZ$68</f>
        <v>0</v>
      </c>
      <c r="CD21" s="101">
        <f>第十六期!$CZ$69</f>
        <v>0</v>
      </c>
      <c r="CE21" s="101">
        <f>第十六期!$CZ$70</f>
        <v>0</v>
      </c>
      <c r="CF21" s="101">
        <f>第十六期!$CZ$71</f>
        <v>0</v>
      </c>
      <c r="CG21" s="50"/>
      <c r="CH21" s="201"/>
      <c r="CI21" s="203" t="s">
        <v>58</v>
      </c>
      <c r="CJ21" s="101">
        <f>第十六期!$CZ$50</f>
        <v>0</v>
      </c>
      <c r="CK21" s="101">
        <f>第十六期!$CZ$51</f>
        <v>0</v>
      </c>
      <c r="CL21" s="101">
        <f>第十六期!$CZ$52</f>
        <v>0</v>
      </c>
      <c r="CM21" s="101">
        <f>第十六期!$CZ$53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第十六期!Y11</f>
        <v>0</v>
      </c>
      <c r="BT22" s="182">
        <f>第十六期!Z11</f>
        <v>0</v>
      </c>
      <c r="BU22" s="182">
        <f>第十六期!AA11</f>
        <v>0</v>
      </c>
      <c r="BV22" s="182">
        <f>第十六期!AB11</f>
        <v>0</v>
      </c>
      <c r="BW22" s="184">
        <f>第十六期!AJ36</f>
        <v>0</v>
      </c>
      <c r="CA22" s="194"/>
      <c r="CB22" s="180" t="s">
        <v>59</v>
      </c>
      <c r="CC22" s="101">
        <f>第十六期!$DA$68</f>
        <v>0</v>
      </c>
      <c r="CD22" s="101">
        <f>第十六期!$DA$69</f>
        <v>0</v>
      </c>
      <c r="CE22" s="101">
        <f>第十六期!$DA$70</f>
        <v>0</v>
      </c>
      <c r="CF22" s="101">
        <f>第十六期!$DA$71</f>
        <v>0</v>
      </c>
      <c r="CG22" s="50"/>
      <c r="CH22" s="201"/>
      <c r="CI22" s="203" t="s">
        <v>59</v>
      </c>
      <c r="CJ22" s="101">
        <f>第十六期!$DA$50</f>
        <v>0</v>
      </c>
      <c r="CK22" s="101">
        <f>第十六期!$DA$51</f>
        <v>0</v>
      </c>
      <c r="CL22" s="101">
        <f>第十六期!$DA$52</f>
        <v>0</v>
      </c>
      <c r="CM22" s="101">
        <f>第十六期!$DA$53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第十六期!Y12</f>
        <v>0</v>
      </c>
      <c r="BT23" s="182">
        <f>第十六期!Z12</f>
        <v>0</v>
      </c>
      <c r="BU23" s="182">
        <f>第十六期!AA12</f>
        <v>0</v>
      </c>
      <c r="BV23" s="182">
        <f>第十六期!AB12</f>
        <v>0</v>
      </c>
      <c r="BW23" s="184">
        <f>第十六期!AJ37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第十六期!BV57-第十六期!BV76</f>
        <v>0</v>
      </c>
      <c r="AJ26" s="60">
        <f>第十六期!K9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第十六期!DB50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第十六期!Y18</f>
        <v>0</v>
      </c>
      <c r="BT26" s="182">
        <f>第十六期!AA18</f>
        <v>0</v>
      </c>
      <c r="BU26" s="182">
        <f>第十六期!AF18</f>
        <v>0</v>
      </c>
      <c r="BV26" s="186">
        <f>第十六期!AC18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第十六期!DB51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第十六期!DB52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第十六期!DB53</f>
        <v>0</v>
      </c>
      <c r="BQ29" s="162"/>
      <c r="BS29" s="186">
        <f>第十六期!AH14</f>
        <v>0</v>
      </c>
      <c r="BT29" s="186">
        <f>第十六期!AH15</f>
        <v>0</v>
      </c>
      <c r="BU29" s="182">
        <f>第十六期!AF20</f>
        <v>0</v>
      </c>
      <c r="BV29" s="186">
        <f>第十六期!AJ18</f>
        <v>0</v>
      </c>
      <c r="BW29" s="182">
        <f>第十六期!AH18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INT(第十六期!DV26)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INT(第十六期!DV27)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INT(第十六期!DV28)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INT(第十六期!DV29)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第十六期!DG56*第十六期!DG50+第十六期!DG64*第十六期!Y88</f>
        <v>0</v>
      </c>
      <c r="CD38" s="102">
        <f>第十六期!DH56*第十六期!DH50+第十六期!DH64*第十六期!Z88</f>
        <v>0</v>
      </c>
      <c r="CE38" s="102">
        <f>第十六期!DI56*第十六期!DI50+第十六期!DI64*第十六期!AA88</f>
        <v>0</v>
      </c>
      <c r="CF38" s="102">
        <f>第十六期!DJ56*第十六期!DJ50+第十六期!DJ64*第十六期!AB88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第十六期!DG57*第十六期!DG51+第十六期!DG65*第十六期!Y89</f>
        <v>0</v>
      </c>
      <c r="CD39" s="102">
        <f>第十六期!DH57*第十六期!DH51+第十六期!DH65*第十六期!Z89</f>
        <v>0</v>
      </c>
      <c r="CE39" s="102">
        <f>第十六期!DI57*第十六期!DI51+第十六期!DI65*第十六期!AA89</f>
        <v>0</v>
      </c>
      <c r="CF39" s="102">
        <f>第十六期!DJ57*第十六期!DJ51+第十六期!DJ65*第十六期!AB89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第十六期!DG58*第十六期!DG52+第十六期!DG66*第十六期!Y90</f>
        <v>0</v>
      </c>
      <c r="CD40" s="102">
        <f>第十六期!DH58*第十六期!DH52+第十六期!DH66*第十六期!Z90</f>
        <v>0</v>
      </c>
      <c r="CE40" s="102">
        <f>第十六期!DI58*第十六期!DI52+第十六期!DI66*第十六期!AA90</f>
        <v>0</v>
      </c>
      <c r="CF40" s="102">
        <f>第十六期!DJ58*第十六期!DJ52+第十六期!DJ66*第十六期!AB90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第十六期!DG59*第十六期!DG53+第十六期!DG67*第十六期!Y91</f>
        <v>0</v>
      </c>
      <c r="CD41" s="102">
        <f>第十六期!DH59*第十六期!DH53+第十六期!DH67*第十六期!Z91</f>
        <v>0</v>
      </c>
      <c r="CE41" s="102">
        <f>第十六期!DI59*第十六期!DI53+第十六期!DI67*第十六期!AA91</f>
        <v>0</v>
      </c>
      <c r="CF41" s="102">
        <f>第十六期!DJ59*第十六期!DJ53+第十六期!DJ67*第十六期!AB91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第十六期!Y9*第十六期!CQ62*比赛参数!D65</f>
        <v>0</v>
      </c>
      <c r="CR50" s="60">
        <f>第十六期!Z9*第十六期!CR62*比赛参数!E65</f>
        <v>0</v>
      </c>
      <c r="CS50" s="60">
        <f>第十六期!AA9*第十六期!CS62*比赛参数!F65</f>
        <v>0</v>
      </c>
      <c r="CT50" s="60">
        <f>第十六期!AB9*第十六期!CT62*比赛参数!G65</f>
        <v>0</v>
      </c>
      <c r="CU50" s="60">
        <f>IF(第十六期!AC9&gt;0,SUM(CQ50:CT50)/第十六期!AC9,0)</f>
        <v>0</v>
      </c>
      <c r="CW50" s="9" t="s">
        <v>38</v>
      </c>
      <c r="CX50" s="215">
        <f>IF(第十六期!$CU$50*第十六期!CQ93&gt;0,第十六期!$CU$50+第十六期!CQ68+第十六期!CQ93+第十六期!CQ74,0)</f>
        <v>0</v>
      </c>
      <c r="CY50" s="215">
        <f>IF(第十六期!$CU$50*第十六期!CR93&gt;0,第十六期!$CU$50+第十六期!CR68+第十六期!CR93+第十六期!CR74,0)</f>
        <v>0</v>
      </c>
      <c r="CZ50" s="215">
        <f>IF(第十六期!$CU$50*第十六期!CS93&gt;0,第十六期!$CU$50+第十六期!CS68+第十六期!CS93+第十六期!CS74,0)</f>
        <v>0</v>
      </c>
      <c r="DA50" s="215">
        <f>IF(第十六期!$CU$50*第十六期!CT93&gt;0,第十六期!$CU$50+第十六期!CT68+第十六期!CT93+第十六期!CT74,0)</f>
        <v>0</v>
      </c>
      <c r="DB50" s="215">
        <f>AVERAGE(CX50:DA50)</f>
        <v>0</v>
      </c>
      <c r="DF50" s="60" t="s">
        <v>56</v>
      </c>
      <c r="DG50" s="218">
        <f>IF(第十六期!Y88&gt;0,1,0)</f>
        <v>0</v>
      </c>
      <c r="DH50" s="218">
        <f>IF(第十六期!Z88&gt;0,1,0)</f>
        <v>0</v>
      </c>
      <c r="DI50" s="218">
        <f>IF(第十六期!AA88&gt;0,1,0)</f>
        <v>0</v>
      </c>
      <c r="DJ50" s="218">
        <f>IF(第十六期!AB88&gt;0,1,0)</f>
        <v>0</v>
      </c>
      <c r="DL50" s="218" t="s">
        <v>21</v>
      </c>
      <c r="DM50" s="219">
        <f>IF(第十六期!Y9+第十六期!Z9&gt;0,1,0)</f>
        <v>0</v>
      </c>
      <c r="DN50" s="219">
        <f>IF(第十六期!AA9+第十六期!AB9&gt;0,1,0)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第十六期!Y10*第十六期!CQ63*比赛参数!D65</f>
        <v>0</v>
      </c>
      <c r="CR51" s="60">
        <f>第十六期!Z10*第十六期!CR63*比赛参数!E65</f>
        <v>0</v>
      </c>
      <c r="CS51" s="60">
        <f>第十六期!AA10*第十六期!CS63*比赛参数!F65</f>
        <v>0</v>
      </c>
      <c r="CT51" s="60">
        <f>第十六期!AB10*第十六期!CT63*比赛参数!G65</f>
        <v>0</v>
      </c>
      <c r="CU51" s="60">
        <f>IF(第十六期!AC10&gt;0,SUM(CQ51:CT51)/第十六期!AC10,0)</f>
        <v>0</v>
      </c>
      <c r="CW51" s="9" t="s">
        <v>39</v>
      </c>
      <c r="CX51" s="215">
        <f>IF(第十六期!$CU$51*第十六期!CQ94&gt;0,第十六期!$CU$51+第十六期!CQ69+第十六期!CQ94+第十六期!CQ75,0)</f>
        <v>0</v>
      </c>
      <c r="CY51" s="215">
        <f>IF(第十六期!$CU$51*第十六期!CR94&gt;0,第十六期!$CU$51+第十六期!CR69+第十六期!CR94+第十六期!CR75,0)</f>
        <v>0</v>
      </c>
      <c r="CZ51" s="215">
        <f>IF(第十六期!$CU$51*第十六期!CS94&gt;0,第十六期!$CU$51+第十六期!CS69+第十六期!CS94+第十六期!CS75,0)</f>
        <v>0</v>
      </c>
      <c r="DA51" s="215">
        <f>IF(第十六期!$CU$51*第十六期!CT94&gt;0,第十六期!$CU$51+第十六期!CT69+第十六期!CT94+第十六期!CT75,0)</f>
        <v>0</v>
      </c>
      <c r="DB51" s="215">
        <f>AVERAGE(CX51:DA51)</f>
        <v>0</v>
      </c>
      <c r="DF51" s="60" t="s">
        <v>57</v>
      </c>
      <c r="DG51" s="218">
        <f>IF(第十六期!Y89&gt;0,1,0)</f>
        <v>0</v>
      </c>
      <c r="DH51" s="218">
        <f>IF(第十六期!Z89&gt;0,1,0)</f>
        <v>0</v>
      </c>
      <c r="DI51" s="218">
        <f>IF(第十六期!AA89&gt;0,1,0)</f>
        <v>0</v>
      </c>
      <c r="DJ51" s="218">
        <f>IF(第十六期!AB89&gt;0,1,0)</f>
        <v>0</v>
      </c>
      <c r="DL51" s="218" t="s">
        <v>22</v>
      </c>
      <c r="DM51" s="219">
        <f>IF(第十六期!Y10+第十六期!Z10&gt;0,1,0)</f>
        <v>0</v>
      </c>
      <c r="DN51" s="219">
        <f>IF(第十六期!AA10+第十六期!AB10&gt;0,1,0)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第十六期!Y11*第十六期!CQ64*比赛参数!D65</f>
        <v>0</v>
      </c>
      <c r="CR52" s="60">
        <f>第十六期!Z11*第十六期!CR64*比赛参数!E65</f>
        <v>0</v>
      </c>
      <c r="CS52" s="60">
        <f>第十六期!AA11*第十六期!CS64*比赛参数!F65</f>
        <v>0</v>
      </c>
      <c r="CT52" s="60">
        <f>第十六期!AB11*第十六期!CT64*比赛参数!G65</f>
        <v>0</v>
      </c>
      <c r="CU52" s="60">
        <f>IF(第十六期!AC11&gt;0,SUM(CQ52:CT52)/第十六期!AC11,0)</f>
        <v>0</v>
      </c>
      <c r="CW52" s="9" t="s">
        <v>40</v>
      </c>
      <c r="CX52" s="215">
        <f>IF(第十六期!$CU$52*第十六期!CQ95&gt;0,第十六期!$CU$52+第十六期!CQ70+第十六期!CQ95+第十六期!CQ76,0)</f>
        <v>0</v>
      </c>
      <c r="CY52" s="215">
        <f>IF(第十六期!$CU$52*第十六期!CR95&gt;0,第十六期!$CU$52+第十六期!CR70+第十六期!CR95+第十六期!CR76,0)</f>
        <v>0</v>
      </c>
      <c r="CZ52" s="215">
        <f>IF(第十六期!$CU$52*第十六期!CS95&gt;0,第十六期!$CU$52+第十六期!CS70+第十六期!CS95+第十六期!CS76,0)</f>
        <v>0</v>
      </c>
      <c r="DA52" s="215">
        <f>IF(第十六期!$CU$52*第十六期!CT95&gt;0,第十六期!$CU$52+第十六期!CT70+第十六期!CT95+第十六期!CT76,0)</f>
        <v>0</v>
      </c>
      <c r="DB52" s="215">
        <f>AVERAGE(CX52:DA52)</f>
        <v>0</v>
      </c>
      <c r="DF52" s="60" t="s">
        <v>58</v>
      </c>
      <c r="DG52" s="218">
        <f>IF(第十六期!Y90&gt;0,1,0)</f>
        <v>0</v>
      </c>
      <c r="DH52" s="218">
        <f>IF(第十六期!Z90&gt;0,1,0)</f>
        <v>0</v>
      </c>
      <c r="DI52" s="218">
        <f>IF(第十六期!AA90&gt;0,1,0)</f>
        <v>0</v>
      </c>
      <c r="DJ52" s="218">
        <f>IF(第十六期!AB90&gt;0,1,0)</f>
        <v>0</v>
      </c>
      <c r="DL52" s="218" t="s">
        <v>23</v>
      </c>
      <c r="DM52" s="219">
        <f>IF(第十六期!Y11+第十六期!Z11&gt;0,1,0)</f>
        <v>0</v>
      </c>
      <c r="DN52" s="219">
        <f>IF(第十六期!AA11+第十六期!AB11&gt;0,1,0)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第十六期!Y12*第十六期!CQ65*比赛参数!D65</f>
        <v>0</v>
      </c>
      <c r="CR53" s="60">
        <f>第十六期!Z12*第十六期!CR65*比赛参数!E65</f>
        <v>0</v>
      </c>
      <c r="CS53" s="60">
        <f>第十六期!AA12*第十六期!CS65*比赛参数!F65</f>
        <v>0</v>
      </c>
      <c r="CT53" s="60">
        <f>第十六期!AB12*第十六期!CT65*比赛参数!G65</f>
        <v>0</v>
      </c>
      <c r="CU53" s="60">
        <f>IF(第十六期!AC12&gt;0,SUM(CQ53:CT53)/第十六期!AC12,0)</f>
        <v>0</v>
      </c>
      <c r="CW53" s="9" t="s">
        <v>41</v>
      </c>
      <c r="CX53" s="215">
        <f>IF(第十六期!$CU$53*第十六期!CQ96&gt;0,第十六期!$CU$53+第十六期!CQ71+第十六期!CQ96+第十六期!CQ77,0)</f>
        <v>0</v>
      </c>
      <c r="CY53" s="215">
        <f>IF(第十六期!$CU$53*第十六期!CR96&gt;0,第十六期!$CU$53+第十六期!CR71+第十六期!CR96+第十六期!CR77,0)</f>
        <v>0</v>
      </c>
      <c r="CZ53" s="215">
        <f>IF(第十六期!$CU$53*第十六期!CS96&gt;0,第十六期!$CU$53+第十六期!CS71+第十六期!CS96+第十六期!CS77,0)</f>
        <v>0</v>
      </c>
      <c r="DA53" s="215">
        <f>IF(第十六期!$CU$53*第十六期!CT96&gt;0,第十六期!$CU$53+第十六期!CT71+第十六期!CT96+第十六期!CT77,0)</f>
        <v>0</v>
      </c>
      <c r="DB53" s="215">
        <f>AVERAGE(CX53:DA53)</f>
        <v>0</v>
      </c>
      <c r="DF53" s="60" t="s">
        <v>59</v>
      </c>
      <c r="DG53" s="218">
        <f>IF(第十六期!Y91&gt;0,1,0)</f>
        <v>0</v>
      </c>
      <c r="DH53" s="218">
        <f>IF(第十六期!Z91&gt;0,1,0)</f>
        <v>0</v>
      </c>
      <c r="DI53" s="218">
        <f>IF(第十六期!AA91&gt;0,1,0)</f>
        <v>0</v>
      </c>
      <c r="DJ53" s="218">
        <f>IF(第十六期!AB91&gt;0,1,0)</f>
        <v>0</v>
      </c>
      <c r="DL53" s="218" t="s">
        <v>24</v>
      </c>
      <c r="DM53" s="219">
        <f>IF(第十六期!Y12+第十六期!Z12&gt;0,1,0)</f>
        <v>0</v>
      </c>
      <c r="DN53" s="219">
        <f>IF(第十六期!AA12+第十六期!AB12&gt;0,1,0)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第十六期!K11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第十六期!AH14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第十六期!DU26</f>
        <v>0</v>
      </c>
      <c r="CD56" s="102">
        <f>第十六期!DU27</f>
        <v>0</v>
      </c>
      <c r="CE56" s="102">
        <f>第十六期!DU28</f>
        <v>0</v>
      </c>
      <c r="CF56" s="102">
        <f>第十六期!DU29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第十六期!BS7-第十六期!CX50</f>
        <v>0</v>
      </c>
      <c r="CY56" s="215">
        <f>第十六期!BT7-第十六期!CY50</f>
        <v>0</v>
      </c>
      <c r="CZ56" s="215">
        <f>第十六期!BU7-第十六期!CZ50</f>
        <v>0</v>
      </c>
      <c r="DA56" s="215">
        <f>第十六期!BV7-第十六期!DA50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第十六期!DX6</f>
        <v>0</v>
      </c>
      <c r="Z57" s="102">
        <f>第十六期!DX10</f>
        <v>0</v>
      </c>
      <c r="AA57" s="102">
        <f>第十六期!DX14</f>
        <v>0</v>
      </c>
      <c r="AB57" s="102">
        <f>第十六期!DX18</f>
        <v>0</v>
      </c>
      <c r="AC57" s="119"/>
      <c r="AE57" s="59" t="s">
        <v>56</v>
      </c>
      <c r="AF57" s="102">
        <f>第十六期!DW6</f>
        <v>0</v>
      </c>
      <c r="AG57" s="102">
        <f>第十六期!DW10</f>
        <v>0</v>
      </c>
      <c r="AH57" s="102">
        <f>第十六期!DW14</f>
        <v>0</v>
      </c>
      <c r="AI57" s="102">
        <f>第十六期!DW18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第十六期!AH15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第十六期!BS8-第十六期!CX51</f>
        <v>0</v>
      </c>
      <c r="CY57" s="215">
        <f>第十六期!BT8-第十六期!CY51</f>
        <v>0</v>
      </c>
      <c r="CZ57" s="215">
        <f>第十六期!BU8-第十六期!CZ51</f>
        <v>0</v>
      </c>
      <c r="DA57" s="215">
        <f>第十六期!BV8-第十六期!DA51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第十六期!DX7</f>
        <v>0</v>
      </c>
      <c r="Z58" s="102">
        <f>第十六期!DX11</f>
        <v>0</v>
      </c>
      <c r="AA58" s="102">
        <f>第十六期!DX15</f>
        <v>0</v>
      </c>
      <c r="AB58" s="102">
        <f>第十六期!DX19</f>
        <v>0</v>
      </c>
      <c r="AC58" s="119"/>
      <c r="AE58" s="9" t="s">
        <v>57</v>
      </c>
      <c r="AF58" s="102">
        <f>第十六期!DW7</f>
        <v>0</v>
      </c>
      <c r="AG58" s="102">
        <f>第十六期!DW11</f>
        <v>0</v>
      </c>
      <c r="AH58" s="102">
        <f>第十六期!DW15</f>
        <v>0</v>
      </c>
      <c r="AI58" s="102">
        <f>第十六期!DW19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第十六期!H5+第十六期!H4*比赛参数!F71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第十六期!BS9-第十六期!CX52</f>
        <v>0</v>
      </c>
      <c r="CY58" s="215">
        <f>第十六期!BT9-第十六期!CY52</f>
        <v>0</v>
      </c>
      <c r="CZ58" s="215">
        <f>第十六期!BU9-第十六期!CZ52</f>
        <v>0</v>
      </c>
      <c r="DA58" s="215">
        <f>第十六期!BV9-第十六期!DA52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第十六期!DX8</f>
        <v>0</v>
      </c>
      <c r="Z59" s="102">
        <f>第十六期!DX12</f>
        <v>0</v>
      </c>
      <c r="AA59" s="102">
        <f>第十六期!DX16</f>
        <v>0</v>
      </c>
      <c r="AB59" s="102">
        <f>第十六期!DX20</f>
        <v>0</v>
      </c>
      <c r="AC59" s="120"/>
      <c r="AE59" s="9" t="s">
        <v>58</v>
      </c>
      <c r="AF59" s="102">
        <f>第十六期!DW8</f>
        <v>0</v>
      </c>
      <c r="AG59" s="102">
        <f>第十六期!DW12</f>
        <v>0</v>
      </c>
      <c r="AH59" s="102">
        <f>第十六期!DW16</f>
        <v>0</v>
      </c>
      <c r="AI59" s="102">
        <f>第十六期!DW20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第十六期!K14*比赛参数!D71/4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第十六期!BS10-第十六期!CX53</f>
        <v>0</v>
      </c>
      <c r="CY59" s="215">
        <f>第十六期!BT10-第十六期!CY53</f>
        <v>0</v>
      </c>
      <c r="CZ59" s="215">
        <f>第十六期!BU10-第十六期!CZ53</f>
        <v>0</v>
      </c>
      <c r="DA59" s="215">
        <f>第十六期!BV10-第十六期!DA53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第十六期!DX9</f>
        <v>0</v>
      </c>
      <c r="Z60" s="102">
        <f>第十六期!DX13</f>
        <v>0</v>
      </c>
      <c r="AA60" s="102">
        <f>第十六期!DX17</f>
        <v>0</v>
      </c>
      <c r="AB60" s="102">
        <f>第十六期!DX21</f>
        <v>0</v>
      </c>
      <c r="AC60" s="102" t="s">
        <v>415</v>
      </c>
      <c r="AE60" s="9" t="s">
        <v>59</v>
      </c>
      <c r="AF60" s="102">
        <f>第十六期!DW9</f>
        <v>0</v>
      </c>
      <c r="AG60" s="102">
        <f>第十六期!DW13</f>
        <v>0</v>
      </c>
      <c r="AH60" s="102">
        <f>第十六期!DW17</f>
        <v>0</v>
      </c>
      <c r="AI60" s="102">
        <f>第十六期!DW21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第十六期!Y18*比赛参数!D58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第十六期!AA18*比赛参数!D62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((第十六期!K8-第十六期!AA18)*比赛参数!D65+第十六期!Y18*比赛参数!D59*比赛参数!D65)*第十六期!AH18*520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CX56/第十六期!CQ56</f>
        <v>0</v>
      </c>
      <c r="CY62" s="215">
        <f>CY56/第十六期!CR56</f>
        <v>0</v>
      </c>
      <c r="CZ62" s="215">
        <f>CZ56/第十六期!CS56</f>
        <v>0</v>
      </c>
      <c r="DA62" s="215">
        <f>DA56/第十六期!CT56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第十六期!K9*比赛参数!D49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CX57/第十六期!CQ57</f>
        <v>0</v>
      </c>
      <c r="CY63" s="215">
        <f>CY57/第十六期!CR57</f>
        <v>0</v>
      </c>
      <c r="CZ63" s="215">
        <f>CZ57/第十六期!CS57</f>
        <v>0</v>
      </c>
      <c r="DA63" s="215">
        <f>DA57/第十六期!CT57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第十六期!AL37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CX58/第十六期!CQ58</f>
        <v>0</v>
      </c>
      <c r="CY64" s="215">
        <f>CY58/第十六期!CR58</f>
        <v>0</v>
      </c>
      <c r="CZ64" s="215">
        <f>CZ58/第十六期!CS58</f>
        <v>0</v>
      </c>
      <c r="DA64" s="215">
        <f>DA58/第十六期!CT58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0.5*第十六期!AL37+0.5*第十六期!DV23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CX59/第十六期!CQ59</f>
        <v>0</v>
      </c>
      <c r="CY65" s="215">
        <f>CY59/第十六期!CR59</f>
        <v>0</v>
      </c>
      <c r="CZ65" s="215">
        <f>CZ59/第十六期!CS59</f>
        <v>0</v>
      </c>
      <c r="DA65" s="215">
        <f>DA59/第十六期!CT59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第十六期!AC18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六期!AC18&gt;=比赛参数!D33,(1-比赛参数!E33)*第十六期!AC18,0)+IF(AND(第十六期!AC18&gt;=比赛参数!D34,第十六期!AC18&lt;比赛参数!D33),(1-比赛参数!E34)*第十六期!AC18,0)+IF(AND(第十六期!AC18&gt;=比赛参数!D35,第十六期!AC18&lt;比赛参数!D34),(1-比赛参数!E35)*第十六期!AC18,0)+IF(AND(第十六期!AC18&gt;=比赛参数!D36,第十六期!AC18&lt;比赛参数!D35),(1-比赛参数!E36)*第十六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第十六期!DV6</f>
        <v>0</v>
      </c>
      <c r="AG70" s="121">
        <f>第十六期!DV10</f>
        <v>0</v>
      </c>
      <c r="AH70" s="121">
        <f>第十六期!DV14</f>
        <v>0</v>
      </c>
      <c r="AI70" s="121">
        <f>第十六期!DV18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IF(第十六期!AC18&gt;0,第十六期!AC18*比赛参数!E40+比赛参数!E39,0)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第十六期!DV7</f>
        <v>0</v>
      </c>
      <c r="AG71" s="121">
        <f>第十六期!DV11</f>
        <v>0</v>
      </c>
      <c r="AH71" s="121">
        <f>第十六期!DV15</f>
        <v>0</v>
      </c>
      <c r="AI71" s="121">
        <f>第十六期!DV19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(第十六期!Z13*比赛参数!E65*260+第十六期!AA13*(比赛参数!F65-比赛参数!D65)*520+第十六期!AB13*比赛参数!G65*260)*第十六期!AH18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第十六期!DV8</f>
        <v>0</v>
      </c>
      <c r="AG72" s="121">
        <f>第十六期!DV12</f>
        <v>0</v>
      </c>
      <c r="AH72" s="121">
        <f>第十六期!DV16</f>
        <v>0</v>
      </c>
      <c r="AI72" s="121">
        <f>第十六期!DV20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第十六期!DM60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第十六期!DV9</f>
        <v>0</v>
      </c>
      <c r="AG73" s="121">
        <f>第十六期!DV13</f>
        <v>0</v>
      </c>
      <c r="AH73" s="121">
        <f>第十六期!DV17</f>
        <v>0</v>
      </c>
      <c r="AI73" s="121">
        <f>第十六期!DV21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第十六期!AC21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第十六期!CG42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SUM(第十六期!AF80:AI80)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SUM(第十六期!AJ76:AJ79)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第十六期!CG53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第十六期!CN53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第十六期!K9*比赛参数!D30*比赛参数!F30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第十六期!CG65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第十六期!Y9*第十六期!CQ56</f>
        <v>0</v>
      </c>
      <c r="CR80" s="60">
        <f>第十六期!Z9*第十六期!CR56</f>
        <v>0</v>
      </c>
      <c r="CS80" s="60">
        <f>第十六期!AA9*第十六期!CS56</f>
        <v>0</v>
      </c>
      <c r="CT80" s="60">
        <f>第十六期!AB9*第十六期!CT56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(第十六期!K10+(第十六期!AC18+第十六期!K10-第十六期!AC21))/2*比赛参数!D16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第十六期!Y10*第十六期!CQ57</f>
        <v>0</v>
      </c>
      <c r="CR81" s="60">
        <f>第十六期!Z10*第十六期!CR57</f>
        <v>0</v>
      </c>
      <c r="CS81" s="60">
        <f>第十六期!AA10*第十六期!CS57</f>
        <v>0</v>
      </c>
      <c r="CT81" s="60">
        <f>第十六期!AB10*第十六期!CT57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第十六期!CG67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第十六期!Y11*第十六期!CQ58</f>
        <v>0</v>
      </c>
      <c r="CR82" s="60">
        <f>第十六期!Z11*第十六期!CR58</f>
        <v>0</v>
      </c>
      <c r="CS82" s="60">
        <f>第十六期!AA11*第十六期!CS58</f>
        <v>0</v>
      </c>
      <c r="CT82" s="60">
        <f>第十六期!AB11*第十六期!CT58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第十六期!K13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第十六期!Y12*第十六期!CQ59</f>
        <v>0</v>
      </c>
      <c r="CR83" s="60">
        <f>第十六期!Z12*第十六期!CR59</f>
        <v>0</v>
      </c>
      <c r="CS83" s="60">
        <f>第十六期!AA12*第十六期!CS59</f>
        <v>0</v>
      </c>
      <c r="CT83" s="60">
        <f>第十六期!AB12*第十六期!CT59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第十六期!K13*比赛参数!D70/4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第十六期!AH14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第十六期!DS33</f>
        <v>0</v>
      </c>
      <c r="AG86" s="121">
        <f>第十六期!DW33</f>
        <v>0</v>
      </c>
      <c r="AH86" s="121">
        <f>第十六期!EA33</f>
        <v>0</v>
      </c>
      <c r="AI86" s="121">
        <f>第十六期!EE33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第十六期!AH14*比赛参数!D69/4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第十六期!DT33</f>
        <v>0</v>
      </c>
      <c r="AG87" s="121">
        <f>第十六期!DX33</f>
        <v>0</v>
      </c>
      <c r="AH87" s="121">
        <f>第十六期!EB33</f>
        <v>0</v>
      </c>
      <c r="AI87" s="121">
        <f>第十六期!EF33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IF(第十六期!BW92&gt;0,IF((第十六期!K15+第十六期!BW92*比赛参数!D72)&gt;0,第十六期!K15+第十六期!BW92*比赛参数!D72,0))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第十六期!DU33</f>
        <v>0</v>
      </c>
      <c r="AG88" s="121">
        <f>第十六期!DY33</f>
        <v>0</v>
      </c>
      <c r="AH88" s="121">
        <f>第十六期!EC33</f>
        <v>0</v>
      </c>
      <c r="AI88" s="121">
        <f>第十六期!EG33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第十六期!AF18*比赛参数!D30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第十六期!DV33</f>
        <v>0</v>
      </c>
      <c r="AG89" s="121">
        <f>第十六期!DZ33</f>
        <v>0</v>
      </c>
      <c r="AH89" s="121">
        <f>第十六期!ED33</f>
        <v>0</v>
      </c>
      <c r="AI89" s="121">
        <f>第十六期!EH33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第十六期!AJ18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第十六期!AF20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第十六期!BT84</f>
        <v>0</v>
      </c>
      <c r="BT92" s="291" t="s">
        <v>282</v>
      </c>
      <c r="BU92" s="86">
        <f>第十六期!BU86</f>
        <v>0</v>
      </c>
      <c r="BV92" s="293" t="s">
        <v>200</v>
      </c>
      <c r="BW92" s="294">
        <f>第十六期!BT84-第十六期!BU86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AC9*比赛参数!D6+第十六期!DU26</f>
        <v>0</v>
      </c>
      <c r="Z93" s="35">
        <f>AC10*比赛参数!D6+第十六期!DU27</f>
        <v>0</v>
      </c>
      <c r="AA93" s="35">
        <f>AC11*比赛参数!D6+第十六期!DU28</f>
        <v>0</v>
      </c>
      <c r="AB93" s="35">
        <f>AC12*比赛参数!D6+第十六期!DU29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IF(第十六期!$AC$9&gt;0,第十六期!$K$9*比赛参数!$D$30*比赛参数!$F$30*$CU$87/第十六期!$AC$9,0)</f>
        <v>0</v>
      </c>
      <c r="CR93" s="60">
        <f>IF(第十六期!$AC$9&gt;0,第十六期!$K$9*比赛参数!$D$30*比赛参数!$F$30*$CU$87/第十六期!$AC$9,0)</f>
        <v>0</v>
      </c>
      <c r="CS93" s="60">
        <f>IF(第十六期!$AC$9&gt;0,第十六期!$K$9*比赛参数!$D$30*比赛参数!$F$30*$CU$87/第十六期!$AC$9,0)</f>
        <v>0</v>
      </c>
      <c r="CT93" s="60">
        <f>IF(第十六期!$AC$9&gt;0,第十六期!$K$9*比赛参数!$D$30*比赛参数!$F$30*$CU$87/第十六期!$AC$9,0)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IF(第十六期!$AC$10&gt;0,第十六期!$K$9*比赛参数!$D$30*比赛参数!$F$30*$CU$88/第十六期!$AC$10,0)</f>
        <v>0</v>
      </c>
      <c r="CR94" s="60">
        <f>IF(第十六期!$AC$10&gt;0,第十六期!$K$9*比赛参数!$D$30*比赛参数!$F$30*$CU$88/第十六期!$AC$10,0)</f>
        <v>0</v>
      </c>
      <c r="CS94" s="60">
        <f>IF(第十六期!$AC$10&gt;0,第十六期!$K$9*比赛参数!$D$30*比赛参数!$F$30*$CU$88/第十六期!$AC$10,0)</f>
        <v>0</v>
      </c>
      <c r="CT94" s="60">
        <f>IF(第十六期!$AC$10&gt;0,第十六期!$K$9*比赛参数!$D$30*比赛参数!$F$30*$CU$88/第十六期!$AC$10,0)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IF(第十六期!$AC$11&gt;0,第十六期!$K$9*比赛参数!$D$30*比赛参数!$F$30*$CU$89/第十六期!$AC$11,0)</f>
        <v>0</v>
      </c>
      <c r="CR95" s="60">
        <f>IF(第十六期!$AC$11&gt;0,第十六期!$K$9*比赛参数!$D$30*比赛参数!$F$30*$CU$89/第十六期!$AC$11,0)</f>
        <v>0</v>
      </c>
      <c r="CS95" s="60">
        <f>IF(第十六期!$AC$11&gt;0,第十六期!$K$9*比赛参数!$D$30*比赛参数!$F$30*$CU$89/第十六期!$AC$11,0)</f>
        <v>0</v>
      </c>
      <c r="CT95" s="60">
        <f>IF(第十六期!$AC$11&gt;0,第十六期!$K$9*比赛参数!$D$30*比赛参数!$F$30*$CU$89/第十六期!$AC$11,0)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第十六期!CX62</f>
        <v>0</v>
      </c>
      <c r="Z96" s="89">
        <f>第十六期!CX63</f>
        <v>0</v>
      </c>
      <c r="AA96" s="89">
        <f>第十六期!CX64</f>
        <v>0</v>
      </c>
      <c r="AB96" s="89">
        <f>第十六期!CX65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IF(第十六期!$AC$12&gt;0,第十六期!$K$9*比赛参数!$D$30*比赛参数!$F$30*$CU$90/第十六期!$AC$12,0)</f>
        <v>0</v>
      </c>
      <c r="CR96" s="60">
        <f>IF(第十六期!$AC$12&gt;0,第十六期!$K$9*比赛参数!$D$30*比赛参数!$F$30*$CU$90/第十六期!$AC$12,0)</f>
        <v>0</v>
      </c>
      <c r="CS96" s="60">
        <f>IF(第十六期!$AC$12&gt;0,第十六期!$K$9*比赛参数!$D$30*比赛参数!$F$30*$CU$90/第十六期!$AC$12,0)</f>
        <v>0</v>
      </c>
      <c r="CT96" s="60">
        <f>IF(第十六期!$AC$12&gt;0,第十六期!$K$9*比赛参数!$D$30*比赛参数!$F$30*$CU$90/第十六期!$AC$12,0)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第十六期!CY62</f>
        <v>0</v>
      </c>
      <c r="Z97" s="89">
        <f>第十六期!CY63</f>
        <v>0</v>
      </c>
      <c r="AA97" s="89">
        <f>第十六期!CY64</f>
        <v>0</v>
      </c>
      <c r="AB97" s="89">
        <f>第十六期!CY65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第十六期!CZ62</f>
        <v>0</v>
      </c>
      <c r="Z98" s="89">
        <f>第十六期!CZ63</f>
        <v>0</v>
      </c>
      <c r="AA98" s="89">
        <f>第十六期!CZ64</f>
        <v>0</v>
      </c>
      <c r="AB98" s="89">
        <f>第十六期!CZ65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第十六期!DA62</f>
        <v>0</v>
      </c>
      <c r="Z99" s="89">
        <f>第十六期!DA63</f>
        <v>0</v>
      </c>
      <c r="AA99" s="89">
        <f>第十六期!DA64</f>
        <v>0</v>
      </c>
      <c r="AB99" s="89">
        <f>第十六期!DA65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(第十六期!#REF!-$BE$54)&lt;0</formula>
    </cfRule>
  </conditionalFormatting>
  <conditionalFormatting sqref="BF132:BF133">
    <cfRule type="expression" dxfId="6" priority="26" stopIfTrue="1">
      <formula>(第十六期!#REF!-$BF$54)&lt;0</formula>
    </cfRule>
  </conditionalFormatting>
  <conditionalFormatting sqref="BG132:BG133">
    <cfRule type="expression" dxfId="6" priority="25" stopIfTrue="1">
      <formula>(第十六期!#REF!-$BG$54)&lt;0</formula>
    </cfRule>
  </conditionalFormatting>
  <conditionalFormatting sqref="BH132:BH133">
    <cfRule type="expression" dxfId="6" priority="24" stopIfTrue="1">
      <formula>(第十六期!#REF!-$BH$54)&lt;0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3"/>
  </sheetPr>
  <dimension ref="B1:L82"/>
  <sheetViews>
    <sheetView zoomScale="85" zoomScaleNormal="85" topLeftCell="C12" workbookViewId="0">
      <selection activeCell="G32" sqref="G32"/>
    </sheetView>
  </sheetViews>
  <sheetFormatPr defaultColWidth="9" defaultRowHeight="15.6"/>
  <cols>
    <col min="1" max="1" width="2.5" style="235" customWidth="1"/>
    <col min="2" max="2" width="1" style="235" customWidth="1"/>
    <col min="3" max="3" width="20.1" style="235" customWidth="1"/>
    <col min="4" max="7" width="12.1" style="235" customWidth="1"/>
    <col min="8" max="8" width="14.5" style="235" customWidth="1"/>
    <col min="9" max="9" width="11.7" style="235" customWidth="1"/>
    <col min="10" max="11" width="12" style="235" customWidth="1"/>
    <col min="12" max="12" width="1" style="235" customWidth="1"/>
    <col min="13" max="13" width="9.6" style="235" customWidth="1"/>
    <col min="14" max="16384" width="9" style="235" customWidth="1"/>
  </cols>
  <sheetData>
    <row r="1" s="235" customFormat="1" ht="11.25" customHeight="1"/>
    <row r="2" ht="18.75" customHeight="1" spans="2:12">
      <c r="B2" s="318" t="s">
        <v>50</v>
      </c>
      <c r="C2" s="188"/>
      <c r="D2" s="188"/>
      <c r="E2" s="188"/>
      <c r="F2" s="188"/>
      <c r="G2" s="188"/>
      <c r="H2" s="188"/>
      <c r="I2" s="188"/>
      <c r="J2" s="188"/>
      <c r="K2" s="188"/>
      <c r="L2" s="333"/>
    </row>
    <row r="3" ht="6" customHeight="1" spans="2:12">
      <c r="B3" s="319"/>
      <c r="L3" s="334"/>
    </row>
    <row r="4" spans="2:12">
      <c r="B4" s="319"/>
      <c r="C4" s="180" t="s">
        <v>51</v>
      </c>
      <c r="D4" s="320">
        <v>11</v>
      </c>
      <c r="F4" s="180" t="s">
        <v>52</v>
      </c>
      <c r="G4" s="320">
        <v>19</v>
      </c>
      <c r="L4" s="334"/>
    </row>
    <row r="5" ht="6" customHeight="1" spans="2:12">
      <c r="B5" s="319"/>
      <c r="L5" s="334"/>
    </row>
    <row r="6" spans="2:12">
      <c r="B6" s="319"/>
      <c r="C6" s="180" t="s">
        <v>53</v>
      </c>
      <c r="D6" s="321" t="s">
        <v>54</v>
      </c>
      <c r="L6" s="334"/>
    </row>
    <row r="7" ht="6" customHeight="1" spans="2:12">
      <c r="B7" s="319"/>
      <c r="L7" s="334"/>
    </row>
    <row r="8" spans="2:12">
      <c r="B8" s="319"/>
      <c r="C8" s="180" t="s">
        <v>55</v>
      </c>
      <c r="D8" s="322" t="s">
        <v>56</v>
      </c>
      <c r="E8" s="32" t="s">
        <v>57</v>
      </c>
      <c r="F8" s="32" t="s">
        <v>58</v>
      </c>
      <c r="G8" s="32" t="s">
        <v>59</v>
      </c>
      <c r="H8" s="322" t="s">
        <v>56</v>
      </c>
      <c r="I8" s="32" t="s">
        <v>57</v>
      </c>
      <c r="J8" s="32" t="s">
        <v>58</v>
      </c>
      <c r="K8" s="32" t="s">
        <v>59</v>
      </c>
      <c r="L8" s="334"/>
    </row>
    <row r="9" spans="2:12">
      <c r="B9" s="319"/>
      <c r="C9" s="32" t="s">
        <v>60</v>
      </c>
      <c r="D9" s="323" t="s">
        <v>61</v>
      </c>
      <c r="E9" s="324" t="s">
        <v>62</v>
      </c>
      <c r="F9" s="324" t="s">
        <v>63</v>
      </c>
      <c r="G9" s="324" t="s">
        <v>64</v>
      </c>
      <c r="H9" s="323" t="s">
        <v>65</v>
      </c>
      <c r="I9" s="324" t="s">
        <v>66</v>
      </c>
      <c r="J9" s="324" t="s">
        <v>67</v>
      </c>
      <c r="K9" s="324" t="s">
        <v>68</v>
      </c>
      <c r="L9" s="334"/>
    </row>
    <row r="10" spans="2:12">
      <c r="B10" s="319"/>
      <c r="C10" s="32" t="s">
        <v>69</v>
      </c>
      <c r="D10" s="323" t="s">
        <v>70</v>
      </c>
      <c r="E10" s="324" t="s">
        <v>71</v>
      </c>
      <c r="F10" s="324" t="s">
        <v>72</v>
      </c>
      <c r="G10" s="324" t="s">
        <v>73</v>
      </c>
      <c r="H10" s="323" t="s">
        <v>74</v>
      </c>
      <c r="I10" s="324" t="s">
        <v>68</v>
      </c>
      <c r="J10" s="324" t="s">
        <v>75</v>
      </c>
      <c r="K10" s="324" t="s">
        <v>76</v>
      </c>
      <c r="L10" s="334"/>
    </row>
    <row r="11" ht="6" customHeight="1" spans="2:12">
      <c r="B11" s="319"/>
      <c r="L11" s="334"/>
    </row>
    <row r="12" spans="2:12">
      <c r="B12" s="319"/>
      <c r="C12" s="180" t="s">
        <v>77</v>
      </c>
      <c r="D12" s="322" t="s">
        <v>56</v>
      </c>
      <c r="E12" s="32" t="s">
        <v>57</v>
      </c>
      <c r="F12" s="32" t="s">
        <v>58</v>
      </c>
      <c r="G12" s="32" t="s">
        <v>59</v>
      </c>
      <c r="H12" s="322" t="s">
        <v>56</v>
      </c>
      <c r="I12" s="32" t="s">
        <v>57</v>
      </c>
      <c r="J12" s="32" t="s">
        <v>58</v>
      </c>
      <c r="K12" s="32" t="s">
        <v>59</v>
      </c>
      <c r="L12" s="334"/>
    </row>
    <row r="13" spans="2:12">
      <c r="B13" s="319"/>
      <c r="C13" s="32" t="s">
        <v>60</v>
      </c>
      <c r="D13" s="325" t="s">
        <v>78</v>
      </c>
      <c r="E13" s="320" t="s">
        <v>79</v>
      </c>
      <c r="F13" s="320" t="s">
        <v>80</v>
      </c>
      <c r="G13" s="320" t="s">
        <v>81</v>
      </c>
      <c r="H13" s="325" t="s">
        <v>82</v>
      </c>
      <c r="I13" s="320" t="s">
        <v>83</v>
      </c>
      <c r="J13" s="320" t="s">
        <v>84</v>
      </c>
      <c r="K13" s="320" t="s">
        <v>85</v>
      </c>
      <c r="L13" s="334"/>
    </row>
    <row r="14" spans="2:12">
      <c r="B14" s="319"/>
      <c r="C14" s="32" t="s">
        <v>69</v>
      </c>
      <c r="D14" s="325" t="s">
        <v>86</v>
      </c>
      <c r="E14" s="320" t="s">
        <v>87</v>
      </c>
      <c r="F14" s="320" t="s">
        <v>88</v>
      </c>
      <c r="G14" s="320" t="s">
        <v>89</v>
      </c>
      <c r="H14" s="325" t="s">
        <v>90</v>
      </c>
      <c r="I14" s="320" t="s">
        <v>86</v>
      </c>
      <c r="J14" s="324" t="s">
        <v>91</v>
      </c>
      <c r="K14" s="324" t="s">
        <v>92</v>
      </c>
      <c r="L14" s="334"/>
    </row>
    <row r="15" ht="6" customHeight="1" spans="2:12">
      <c r="B15" s="319"/>
      <c r="L15" s="334"/>
    </row>
    <row r="16" spans="2:12">
      <c r="B16" s="319"/>
      <c r="C16" s="180" t="s">
        <v>93</v>
      </c>
      <c r="D16" s="325" t="s">
        <v>94</v>
      </c>
      <c r="L16" s="334"/>
    </row>
    <row r="17" ht="6" customHeight="1" spans="2:12">
      <c r="B17" s="319"/>
      <c r="L17" s="334"/>
    </row>
    <row r="18" spans="2:12">
      <c r="B18" s="319"/>
      <c r="C18" s="180" t="s">
        <v>95</v>
      </c>
      <c r="L18" s="334"/>
    </row>
    <row r="19" spans="2:12">
      <c r="B19" s="319"/>
      <c r="C19" s="32" t="s">
        <v>21</v>
      </c>
      <c r="D19" s="325" t="s">
        <v>96</v>
      </c>
      <c r="L19" s="334"/>
    </row>
    <row r="20" spans="2:12">
      <c r="B20" s="319"/>
      <c r="C20" s="32" t="s">
        <v>22</v>
      </c>
      <c r="D20" s="325" t="s">
        <v>97</v>
      </c>
      <c r="L20" s="334"/>
    </row>
    <row r="21" spans="2:12">
      <c r="B21" s="319"/>
      <c r="C21" s="32" t="s">
        <v>23</v>
      </c>
      <c r="D21" s="325" t="s">
        <v>98</v>
      </c>
      <c r="L21" s="334"/>
    </row>
    <row r="22" spans="2:12">
      <c r="B22" s="319"/>
      <c r="C22" s="32" t="s">
        <v>24</v>
      </c>
      <c r="D22" s="325" t="s">
        <v>99</v>
      </c>
      <c r="L22" s="334"/>
    </row>
    <row r="23" ht="6" customHeight="1" spans="2:12">
      <c r="B23" s="319"/>
      <c r="L23" s="334"/>
    </row>
    <row r="24" ht="6" customHeight="1" spans="2:12">
      <c r="B24" s="319"/>
      <c r="L24" s="334"/>
    </row>
    <row r="25" spans="2:12">
      <c r="B25" s="319"/>
      <c r="C25" s="180" t="s">
        <v>100</v>
      </c>
      <c r="D25" s="322" t="s">
        <v>21</v>
      </c>
      <c r="E25" s="32" t="s">
        <v>22</v>
      </c>
      <c r="F25" s="32" t="s">
        <v>23</v>
      </c>
      <c r="G25" s="32" t="s">
        <v>24</v>
      </c>
      <c r="L25" s="334"/>
    </row>
    <row r="26" spans="2:12">
      <c r="B26" s="319"/>
      <c r="C26" s="32" t="s">
        <v>101</v>
      </c>
      <c r="D26" s="325" t="s">
        <v>102</v>
      </c>
      <c r="E26" s="320" t="s">
        <v>103</v>
      </c>
      <c r="F26" s="320" t="s">
        <v>104</v>
      </c>
      <c r="G26" s="320" t="s">
        <v>105</v>
      </c>
      <c r="L26" s="334"/>
    </row>
    <row r="27" spans="2:12">
      <c r="B27" s="319"/>
      <c r="C27" s="32" t="s">
        <v>106</v>
      </c>
      <c r="D27" s="325" t="s">
        <v>107</v>
      </c>
      <c r="E27" s="320" t="s">
        <v>108</v>
      </c>
      <c r="F27" s="320" t="s">
        <v>109</v>
      </c>
      <c r="G27" s="320" t="s">
        <v>110</v>
      </c>
      <c r="L27" s="334"/>
    </row>
    <row r="28" spans="2:12">
      <c r="B28" s="319"/>
      <c r="C28" s="32" t="s">
        <v>111</v>
      </c>
      <c r="D28" s="325" t="s">
        <v>112</v>
      </c>
      <c r="E28" s="320" t="s">
        <v>113</v>
      </c>
      <c r="F28" s="320" t="s">
        <v>114</v>
      </c>
      <c r="G28" s="320" t="s">
        <v>115</v>
      </c>
      <c r="L28" s="334"/>
    </row>
    <row r="29" ht="6" customHeight="1" spans="2:12">
      <c r="B29" s="319"/>
      <c r="L29" s="334"/>
    </row>
    <row r="30" spans="2:12">
      <c r="B30" s="319"/>
      <c r="C30" s="180" t="s">
        <v>116</v>
      </c>
      <c r="D30" s="325" t="s">
        <v>117</v>
      </c>
      <c r="E30" s="180" t="s">
        <v>118</v>
      </c>
      <c r="F30" s="321" t="s">
        <v>119</v>
      </c>
      <c r="L30" s="334"/>
    </row>
    <row r="31" ht="6" customHeight="1" spans="2:12">
      <c r="B31" s="319"/>
      <c r="L31" s="334"/>
    </row>
    <row r="32" spans="2:12">
      <c r="B32" s="319"/>
      <c r="C32" s="180" t="s">
        <v>120</v>
      </c>
      <c r="D32" s="32" t="s">
        <v>121</v>
      </c>
      <c r="E32" s="32" t="s">
        <v>122</v>
      </c>
      <c r="L32" s="334"/>
    </row>
    <row r="33" spans="2:12">
      <c r="B33" s="319"/>
      <c r="D33" s="320">
        <v>9.99999999999999e+22</v>
      </c>
      <c r="E33" s="320">
        <v>0.9</v>
      </c>
      <c r="K33" s="235">
        <f>D37*(1-E37)</f>
        <v>0</v>
      </c>
      <c r="L33" s="334"/>
    </row>
    <row r="34" spans="2:12">
      <c r="B34" s="319"/>
      <c r="D34" s="320" t="s">
        <v>123</v>
      </c>
      <c r="E34" s="320" t="s">
        <v>124</v>
      </c>
      <c r="K34" s="235">
        <f>D36*(1-E36)</f>
        <v>30000</v>
      </c>
      <c r="L34" s="334"/>
    </row>
    <row r="35" spans="2:12">
      <c r="B35" s="319"/>
      <c r="D35" s="320" t="s">
        <v>125</v>
      </c>
      <c r="E35" s="320" t="s">
        <v>126</v>
      </c>
      <c r="K35" s="235">
        <f>D35*(1-E35)</f>
        <v>75000.0000000001</v>
      </c>
      <c r="L35" s="334"/>
    </row>
    <row r="36" spans="2:12">
      <c r="B36" s="319"/>
      <c r="D36" s="320" t="s">
        <v>127</v>
      </c>
      <c r="E36" s="320" t="s">
        <v>128</v>
      </c>
      <c r="K36" s="235">
        <f>D34*(1-E34)</f>
        <v>160000</v>
      </c>
      <c r="L36" s="334"/>
    </row>
    <row r="37" spans="2:12">
      <c r="B37" s="319"/>
      <c r="D37" s="320" t="s">
        <v>129</v>
      </c>
      <c r="E37" s="320" t="s">
        <v>130</v>
      </c>
      <c r="L37" s="334"/>
    </row>
    <row r="38" ht="6" customHeight="1" spans="2:12">
      <c r="B38" s="319"/>
      <c r="L38" s="334"/>
    </row>
    <row r="39" spans="2:12">
      <c r="B39" s="319"/>
      <c r="C39" s="180" t="s">
        <v>131</v>
      </c>
      <c r="D39" s="32" t="s">
        <v>132</v>
      </c>
      <c r="E39" s="326" t="s">
        <v>133</v>
      </c>
      <c r="L39" s="334"/>
    </row>
    <row r="40" spans="2:12">
      <c r="B40" s="319"/>
      <c r="D40" s="222" t="s">
        <v>134</v>
      </c>
      <c r="E40" s="327" t="s">
        <v>135</v>
      </c>
      <c r="L40" s="334"/>
    </row>
    <row r="41" spans="2:12">
      <c r="B41" s="319"/>
      <c r="C41" s="180" t="s">
        <v>136</v>
      </c>
      <c r="D41" s="328" t="s">
        <v>137</v>
      </c>
      <c r="L41" s="334"/>
    </row>
    <row r="42" ht="6" customHeight="1" spans="2:12">
      <c r="B42" s="319"/>
      <c r="L42" s="334"/>
    </row>
    <row r="43" spans="2:12">
      <c r="B43" s="319"/>
      <c r="C43" s="180" t="s">
        <v>138</v>
      </c>
      <c r="D43" s="32" t="s">
        <v>139</v>
      </c>
      <c r="E43" s="32" t="s">
        <v>140</v>
      </c>
      <c r="L43" s="334"/>
    </row>
    <row r="44" spans="2:12">
      <c r="B44" s="319"/>
      <c r="C44" s="32" t="s">
        <v>21</v>
      </c>
      <c r="D44" s="326" t="s">
        <v>133</v>
      </c>
      <c r="E44" s="326" t="s">
        <v>67</v>
      </c>
      <c r="L44" s="334"/>
    </row>
    <row r="45" spans="2:12">
      <c r="B45" s="319"/>
      <c r="C45" s="32" t="s">
        <v>22</v>
      </c>
      <c r="D45" s="326" t="s">
        <v>141</v>
      </c>
      <c r="E45" s="326" t="s">
        <v>75</v>
      </c>
      <c r="L45" s="334"/>
    </row>
    <row r="46" spans="2:12">
      <c r="B46" s="319"/>
      <c r="C46" s="32" t="s">
        <v>23</v>
      </c>
      <c r="D46" s="326" t="s">
        <v>142</v>
      </c>
      <c r="E46" s="326" t="s">
        <v>143</v>
      </c>
      <c r="L46" s="334"/>
    </row>
    <row r="47" spans="2:12">
      <c r="B47" s="319"/>
      <c r="C47" s="32" t="s">
        <v>24</v>
      </c>
      <c r="D47" s="326" t="s">
        <v>144</v>
      </c>
      <c r="E47" s="326" t="s">
        <v>145</v>
      </c>
      <c r="L47" s="334"/>
    </row>
    <row r="48" ht="6" customHeight="1" spans="2:12">
      <c r="B48" s="319"/>
      <c r="L48" s="334"/>
    </row>
    <row r="49" spans="2:12">
      <c r="B49" s="319"/>
      <c r="C49" s="180" t="s">
        <v>146</v>
      </c>
      <c r="D49" s="326" t="s">
        <v>112</v>
      </c>
      <c r="L49" s="334"/>
    </row>
    <row r="50" ht="6" customHeight="1" spans="2:12">
      <c r="B50" s="319"/>
      <c r="L50" s="334"/>
    </row>
    <row r="51" spans="2:12">
      <c r="B51" s="319"/>
      <c r="C51" s="180" t="s">
        <v>44</v>
      </c>
      <c r="D51" s="32" t="s">
        <v>45</v>
      </c>
      <c r="E51" s="32" t="s">
        <v>46</v>
      </c>
      <c r="F51" s="32" t="s">
        <v>47</v>
      </c>
      <c r="G51" s="32" t="s">
        <v>48</v>
      </c>
      <c r="H51" s="32" t="s">
        <v>49</v>
      </c>
      <c r="L51" s="334"/>
    </row>
    <row r="52" spans="2:12">
      <c r="B52" s="319"/>
      <c r="C52" s="32" t="s">
        <v>147</v>
      </c>
      <c r="D52" s="329" t="s">
        <v>148</v>
      </c>
      <c r="E52" s="329" t="s">
        <v>149</v>
      </c>
      <c r="F52" s="329" t="s">
        <v>150</v>
      </c>
      <c r="G52" s="329" t="s">
        <v>151</v>
      </c>
      <c r="H52" s="330" t="s">
        <v>152</v>
      </c>
      <c r="L52" s="334"/>
    </row>
    <row r="53" spans="2:12">
      <c r="B53" s="319"/>
      <c r="C53" s="32" t="s">
        <v>153</v>
      </c>
      <c r="D53" s="329" t="s">
        <v>154</v>
      </c>
      <c r="E53" s="329" t="s">
        <v>150</v>
      </c>
      <c r="F53" s="329" t="s">
        <v>155</v>
      </c>
      <c r="G53" s="329" t="s">
        <v>156</v>
      </c>
      <c r="H53" s="330" t="s">
        <v>157</v>
      </c>
      <c r="L53" s="334"/>
    </row>
    <row r="54" spans="2:12">
      <c r="B54" s="319"/>
      <c r="C54" s="32" t="s">
        <v>158</v>
      </c>
      <c r="D54" s="329" t="s">
        <v>159</v>
      </c>
      <c r="E54" s="329" t="s">
        <v>151</v>
      </c>
      <c r="F54" s="329" t="s">
        <v>160</v>
      </c>
      <c r="G54" s="329" t="s">
        <v>157</v>
      </c>
      <c r="H54" s="330" t="s">
        <v>161</v>
      </c>
      <c r="L54" s="334"/>
    </row>
    <row r="55" spans="2:12">
      <c r="B55" s="319"/>
      <c r="C55" s="32" t="s">
        <v>162</v>
      </c>
      <c r="D55" s="329" t="s">
        <v>155</v>
      </c>
      <c r="E55" s="329" t="s">
        <v>163</v>
      </c>
      <c r="F55" s="329" t="s">
        <v>157</v>
      </c>
      <c r="G55" s="329" t="s">
        <v>164</v>
      </c>
      <c r="H55" s="330" t="s">
        <v>165</v>
      </c>
      <c r="L55" s="334"/>
    </row>
    <row r="56" ht="6" customHeight="1" spans="2:12">
      <c r="B56" s="319"/>
      <c r="L56" s="334"/>
    </row>
    <row r="57" spans="2:12">
      <c r="B57" s="319"/>
      <c r="C57" s="180" t="s">
        <v>166</v>
      </c>
      <c r="D57" s="331" t="s">
        <v>167</v>
      </c>
      <c r="L57" s="334"/>
    </row>
    <row r="58" spans="2:12">
      <c r="B58" s="319"/>
      <c r="C58" s="180" t="s">
        <v>168</v>
      </c>
      <c r="D58" s="326" t="s">
        <v>169</v>
      </c>
      <c r="L58" s="334"/>
    </row>
    <row r="59" spans="2:12">
      <c r="B59" s="319"/>
      <c r="C59" s="180" t="s">
        <v>170</v>
      </c>
      <c r="D59" s="332" t="s">
        <v>171</v>
      </c>
      <c r="L59" s="334"/>
    </row>
    <row r="60" spans="2:12">
      <c r="B60" s="319"/>
      <c r="C60" s="180" t="s">
        <v>172</v>
      </c>
      <c r="D60" s="332" t="s">
        <v>173</v>
      </c>
      <c r="L60" s="334"/>
    </row>
    <row r="61" spans="2:12">
      <c r="B61" s="319"/>
      <c r="C61" s="180" t="s">
        <v>174</v>
      </c>
      <c r="D61" s="332" t="s">
        <v>175</v>
      </c>
      <c r="L61" s="334"/>
    </row>
    <row r="62" spans="2:12">
      <c r="B62" s="319"/>
      <c r="C62" s="180" t="s">
        <v>176</v>
      </c>
      <c r="D62" s="326" t="s">
        <v>177</v>
      </c>
      <c r="L62" s="334"/>
    </row>
    <row r="63" ht="6" customHeight="1" spans="2:12">
      <c r="B63" s="319"/>
      <c r="L63" s="334"/>
    </row>
    <row r="64" spans="2:12">
      <c r="B64" s="319"/>
      <c r="C64" s="180" t="s">
        <v>178</v>
      </c>
      <c r="D64" s="32" t="s">
        <v>179</v>
      </c>
      <c r="E64" s="32" t="s">
        <v>180</v>
      </c>
      <c r="F64" s="32" t="s">
        <v>181</v>
      </c>
      <c r="G64" s="32" t="s">
        <v>182</v>
      </c>
      <c r="L64" s="334"/>
    </row>
    <row r="65" spans="2:12">
      <c r="B65" s="319"/>
      <c r="D65" s="326" t="s">
        <v>183</v>
      </c>
      <c r="E65" s="326" t="s">
        <v>184</v>
      </c>
      <c r="F65" s="326" t="s">
        <v>185</v>
      </c>
      <c r="G65" s="326" t="s">
        <v>186</v>
      </c>
      <c r="L65" s="334"/>
    </row>
    <row r="66" ht="6" customHeight="1" spans="2:12">
      <c r="B66" s="319"/>
      <c r="L66" s="334"/>
    </row>
    <row r="67" spans="2:12">
      <c r="B67" s="319"/>
      <c r="C67" s="180" t="s">
        <v>187</v>
      </c>
      <c r="D67" s="326" t="s">
        <v>188</v>
      </c>
      <c r="L67" s="334"/>
    </row>
    <row r="68" spans="2:12">
      <c r="B68" s="319"/>
      <c r="C68" s="180" t="s">
        <v>189</v>
      </c>
      <c r="D68" s="326" t="s">
        <v>190</v>
      </c>
      <c r="L68" s="334"/>
    </row>
    <row r="69" spans="2:12">
      <c r="B69" s="319"/>
      <c r="C69" s="180" t="s">
        <v>191</v>
      </c>
      <c r="D69" s="331" t="s">
        <v>192</v>
      </c>
      <c r="L69" s="334"/>
    </row>
    <row r="70" spans="2:12">
      <c r="B70" s="319"/>
      <c r="C70" s="180" t="s">
        <v>193</v>
      </c>
      <c r="D70" s="331" t="s">
        <v>194</v>
      </c>
      <c r="L70" s="334"/>
    </row>
    <row r="71" spans="2:12">
      <c r="B71" s="319"/>
      <c r="C71" s="180" t="s">
        <v>195</v>
      </c>
      <c r="D71" s="335" t="s">
        <v>196</v>
      </c>
      <c r="E71" s="180" t="s">
        <v>197</v>
      </c>
      <c r="F71" s="328" t="s">
        <v>119</v>
      </c>
      <c r="L71" s="334"/>
    </row>
    <row r="72" spans="2:12">
      <c r="B72" s="319"/>
      <c r="C72" s="180" t="s">
        <v>198</v>
      </c>
      <c r="D72" s="328" t="s">
        <v>171</v>
      </c>
      <c r="L72" s="334"/>
    </row>
    <row r="73" ht="6" customHeight="1" spans="2:12">
      <c r="B73" s="319"/>
      <c r="L73" s="334"/>
    </row>
    <row r="74" spans="2:12">
      <c r="B74" s="319"/>
      <c r="C74" s="180" t="s">
        <v>199</v>
      </c>
      <c r="D74" s="32" t="s">
        <v>200</v>
      </c>
      <c r="E74" s="32" t="s">
        <v>201</v>
      </c>
      <c r="F74" s="32" t="s">
        <v>202</v>
      </c>
      <c r="G74" s="32" t="s">
        <v>203</v>
      </c>
      <c r="H74" s="32" t="s">
        <v>204</v>
      </c>
      <c r="I74" s="32" t="s">
        <v>205</v>
      </c>
      <c r="J74" s="338" t="s">
        <v>206</v>
      </c>
      <c r="K74" s="16"/>
      <c r="L74" s="334"/>
    </row>
    <row r="75" spans="2:12">
      <c r="B75" s="319"/>
      <c r="C75" s="102" t="s">
        <v>207</v>
      </c>
      <c r="D75" s="10" t="s">
        <v>208</v>
      </c>
      <c r="E75" s="10" t="s">
        <v>209</v>
      </c>
      <c r="F75" s="10" t="s">
        <v>210</v>
      </c>
      <c r="G75" s="10" t="s">
        <v>210</v>
      </c>
      <c r="H75" s="10" t="s">
        <v>211</v>
      </c>
      <c r="I75" s="10" t="s">
        <v>210</v>
      </c>
      <c r="J75" s="10" t="s">
        <v>212</v>
      </c>
      <c r="K75" s="16">
        <f>SUM(D75:J75)</f>
        <v>0</v>
      </c>
      <c r="L75" s="334"/>
    </row>
    <row r="76" ht="6" customHeight="1" spans="2:12">
      <c r="B76" s="336"/>
      <c r="C76" s="337"/>
      <c r="D76" s="337"/>
      <c r="E76" s="337"/>
      <c r="F76" s="337"/>
      <c r="G76" s="337"/>
      <c r="H76" s="337"/>
      <c r="I76" s="337"/>
      <c r="J76" s="337"/>
      <c r="K76" s="337"/>
      <c r="L76" s="339"/>
    </row>
    <row r="77" ht="16.35" customHeight="1"/>
    <row r="82" spans="12:12">
      <c r="L82" s="235">
        <v>0.16</v>
      </c>
    </row>
  </sheetData>
  <mergeCells count="1">
    <mergeCell ref="B2:L2"/>
  </mergeCells>
  <pageMargins left="0.75" right="0.75" top="1" bottom="1" header="0.5" footer="0.5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2"/>
  <sheetViews>
    <sheetView workbookViewId="0">
      <selection activeCell="H10" sqref="H10"/>
    </sheetView>
  </sheetViews>
  <sheetFormatPr defaultColWidth="8.8" defaultRowHeight="15.6"/>
  <cols>
    <col min="1" max="1" width="4.6" customWidth="1"/>
    <col min="2" max="2" width="11.1" customWidth="1"/>
    <col min="3" max="3" width="9.6" customWidth="1"/>
  </cols>
  <sheetData>
    <row r="2" spans="2:3">
      <c r="B2" t="s">
        <v>213</v>
      </c>
      <c r="C2" s="312"/>
    </row>
    <row r="3" ht="16.35" customHeight="1" spans="2:6">
      <c r="B3" t="s">
        <v>214</v>
      </c>
      <c r="C3" s="313"/>
      <c r="D3" s="313"/>
      <c r="E3" s="313"/>
      <c r="F3" s="313"/>
    </row>
    <row r="4" ht="17.1" customHeight="1" spans="2:6">
      <c r="B4" s="43" t="s">
        <v>215</v>
      </c>
      <c r="C4" s="260" t="s">
        <v>38</v>
      </c>
      <c r="D4" s="260" t="s">
        <v>39</v>
      </c>
      <c r="E4" s="260" t="s">
        <v>40</v>
      </c>
      <c r="F4" s="260" t="s">
        <v>41</v>
      </c>
    </row>
    <row r="5" ht="16.35" customHeight="1" spans="2:11">
      <c r="B5" s="246" t="s">
        <v>216</v>
      </c>
      <c r="C5" s="261">
        <f>IF(1-(($C$2-1)*C8/10+0.95+(C3-0.95)*C7)&gt;0,1-(($C$2-1)*C8/10+0.95+(C3-0.95)*C7),0)</f>
        <v>1.0005</v>
      </c>
      <c r="D5" s="261">
        <f>IF(1-(($C$2-1)*D8/10+0.95+(D3-0.95)*D7)&gt;0,1-(($C$2-1)*D8/10+0.95+(D3-0.95)*D7),0)</f>
        <v>1.0005</v>
      </c>
      <c r="E5" s="261">
        <f>IF(1-(($C$2-1)*E8/10+0.95+(E3-0.95)*E7)&gt;0,1-(($C$2-1)*E8/10+0.95+(E3-0.95)*E7),0)</f>
        <v>1.0005</v>
      </c>
      <c r="F5" s="261">
        <f>IF(1-(($C$2-1)*F8/10+0.95+(F3-0.95)*F7)&gt;0,1-(($C$2-1)*F8/10+0.95+(F3-0.95)*F7),0)</f>
        <v>1.0005</v>
      </c>
      <c r="G5" t="s">
        <v>217</v>
      </c>
      <c r="H5" s="313"/>
      <c r="I5" s="313"/>
      <c r="J5" s="313"/>
      <c r="K5" s="313"/>
    </row>
    <row r="6" spans="2:11">
      <c r="B6" s="246" t="s">
        <v>218</v>
      </c>
      <c r="C6" s="261">
        <f>1-C5</f>
        <v>-0.000499999999999945</v>
      </c>
      <c r="D6" s="261">
        <f>1-D5</f>
        <v>-0.000499999999999945</v>
      </c>
      <c r="E6" s="261">
        <f>1-E5</f>
        <v>-0.000499999999999945</v>
      </c>
      <c r="F6" s="261">
        <f>1-F5</f>
        <v>-0.000499999999999945</v>
      </c>
      <c r="H6">
        <f>H5-0.0005</f>
        <v>-0.0005</v>
      </c>
      <c r="I6">
        <f>I5-0.0005</f>
        <v>-0.0005</v>
      </c>
      <c r="J6">
        <f>J5-0.0005</f>
        <v>-0.0005</v>
      </c>
      <c r="K6">
        <f>K5-0.0005</f>
        <v>-0.0005</v>
      </c>
    </row>
    <row r="7" spans="2:11">
      <c r="B7" s="246" t="s">
        <v>219</v>
      </c>
      <c r="C7" s="96">
        <v>0.3</v>
      </c>
      <c r="D7" s="96">
        <v>0.3</v>
      </c>
      <c r="E7" s="96">
        <v>0.3</v>
      </c>
      <c r="F7" s="96">
        <v>0.3</v>
      </c>
      <c r="H7">
        <f>H5+0.0005</f>
        <v>0.0005</v>
      </c>
      <c r="I7">
        <f>I5+0.0005</f>
        <v>0.0005</v>
      </c>
      <c r="J7">
        <f>J5+0.0005</f>
        <v>0.0005</v>
      </c>
      <c r="K7">
        <f>K5+0.0005</f>
        <v>0.0005</v>
      </c>
    </row>
    <row r="8" spans="2:6">
      <c r="B8" s="246" t="s">
        <v>219</v>
      </c>
      <c r="C8" s="314">
        <f>(H6-(C3-0.95)*C7-0.95)*10/($C$2-1)</f>
        <v>6.655</v>
      </c>
      <c r="D8" s="314">
        <f>(I6-(D3-0.95)*D7-0.95)*10/($C$2-1)</f>
        <v>6.655</v>
      </c>
      <c r="E8" s="314">
        <f>(J6-(E3-0.95)*E7-0.95)*10/($C$2-1)</f>
        <v>6.655</v>
      </c>
      <c r="F8" s="314">
        <f>(K6-(F3-0.95)*F7-0.95)*10/($C$2-1)</f>
        <v>6.655</v>
      </c>
    </row>
    <row r="14" spans="2:6">
      <c r="B14" s="246" t="s">
        <v>220</v>
      </c>
      <c r="C14" s="315">
        <f>MAX(C15:C32)</f>
        <v>0</v>
      </c>
      <c r="D14" s="315">
        <f>MAX(D15:D32)</f>
        <v>0</v>
      </c>
      <c r="E14" s="315">
        <f>MAX(E15:E32)</f>
        <v>0</v>
      </c>
      <c r="F14" s="315">
        <f>MAX(F15:F32)</f>
        <v>0</v>
      </c>
    </row>
    <row r="15" spans="2:6">
      <c r="B15" s="316" t="s">
        <v>221</v>
      </c>
      <c r="C15" s="317"/>
      <c r="D15" s="317"/>
      <c r="E15" s="317"/>
      <c r="F15" s="317"/>
    </row>
    <row r="16" spans="2:6">
      <c r="B16" s="316" t="s">
        <v>222</v>
      </c>
      <c r="C16" s="317"/>
      <c r="D16" s="317"/>
      <c r="E16" s="317"/>
      <c r="F16" s="317"/>
    </row>
    <row r="17" spans="2:6">
      <c r="B17" s="316" t="s">
        <v>223</v>
      </c>
      <c r="C17" s="317"/>
      <c r="D17" s="317"/>
      <c r="E17" s="317"/>
      <c r="F17" s="317"/>
    </row>
    <row r="18" spans="2:6">
      <c r="B18" s="316" t="s">
        <v>224</v>
      </c>
      <c r="C18" s="317"/>
      <c r="D18" s="317"/>
      <c r="E18" s="317"/>
      <c r="F18" s="317"/>
    </row>
    <row r="19" spans="2:6">
      <c r="B19" s="316" t="s">
        <v>225</v>
      </c>
      <c r="C19" s="317"/>
      <c r="D19" s="317"/>
      <c r="E19" s="317"/>
      <c r="F19" s="317"/>
    </row>
    <row r="20" spans="2:6">
      <c r="B20" s="316" t="s">
        <v>226</v>
      </c>
      <c r="C20" s="317"/>
      <c r="D20" s="317"/>
      <c r="E20" s="317"/>
      <c r="F20" s="317"/>
    </row>
    <row r="21" spans="2:6">
      <c r="B21" s="316" t="s">
        <v>227</v>
      </c>
      <c r="C21" s="317"/>
      <c r="D21" s="317"/>
      <c r="E21" s="317"/>
      <c r="F21" s="317"/>
    </row>
    <row r="22" spans="2:6">
      <c r="B22" s="316" t="s">
        <v>228</v>
      </c>
      <c r="C22" s="317"/>
      <c r="D22" s="317"/>
      <c r="E22" s="317"/>
      <c r="F22" s="317"/>
    </row>
    <row r="23" spans="2:6">
      <c r="B23" s="316" t="s">
        <v>229</v>
      </c>
      <c r="C23" s="317"/>
      <c r="D23" s="317"/>
      <c r="E23" s="317"/>
      <c r="F23" s="317"/>
    </row>
    <row r="24" spans="2:6">
      <c r="B24" s="316" t="s">
        <v>230</v>
      </c>
      <c r="C24" s="317"/>
      <c r="D24" s="317"/>
      <c r="E24" s="317"/>
      <c r="F24" s="317"/>
    </row>
    <row r="25" spans="2:6">
      <c r="B25" s="316" t="s">
        <v>231</v>
      </c>
      <c r="C25" s="317"/>
      <c r="D25" s="317"/>
      <c r="E25" s="317"/>
      <c r="F25" s="317"/>
    </row>
    <row r="26" spans="2:6">
      <c r="B26" s="316" t="s">
        <v>232</v>
      </c>
      <c r="C26" s="317"/>
      <c r="D26" s="317"/>
      <c r="E26" s="317"/>
      <c r="F26" s="317"/>
    </row>
    <row r="27" spans="2:6">
      <c r="B27" s="316" t="s">
        <v>233</v>
      </c>
      <c r="C27" s="317"/>
      <c r="D27" s="317"/>
      <c r="E27" s="317"/>
      <c r="F27" s="317"/>
    </row>
    <row r="28" spans="2:6">
      <c r="B28" s="316" t="s">
        <v>234</v>
      </c>
      <c r="C28" s="317"/>
      <c r="D28" s="317"/>
      <c r="E28" s="317"/>
      <c r="F28" s="317"/>
    </row>
    <row r="29" spans="2:6">
      <c r="B29" s="316" t="s">
        <v>235</v>
      </c>
      <c r="C29" s="317"/>
      <c r="D29" s="317"/>
      <c r="E29" s="317"/>
      <c r="F29" s="317"/>
    </row>
    <row r="30" spans="2:6">
      <c r="B30" s="316" t="s">
        <v>236</v>
      </c>
      <c r="C30" s="317"/>
      <c r="D30" s="317"/>
      <c r="E30" s="317"/>
      <c r="F30" s="317"/>
    </row>
    <row r="31" spans="2:6">
      <c r="B31" s="316" t="s">
        <v>237</v>
      </c>
      <c r="C31" s="317"/>
      <c r="D31" s="317"/>
      <c r="E31" s="317"/>
      <c r="F31" s="317"/>
    </row>
    <row r="32" spans="2:6">
      <c r="B32" s="316" t="s">
        <v>238</v>
      </c>
      <c r="C32" s="317"/>
      <c r="D32" s="317"/>
      <c r="E32" s="317"/>
      <c r="F32" s="3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tabSelected="1" zoomScale="70" zoomScaleNormal="70" topLeftCell="A7" workbookViewId="0">
      <selection activeCell="K28" sqref="K28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第九期!AF76</f>
        <v>0</v>
      </c>
      <c r="BT7" s="182">
        <f>第九期!AF77</f>
        <v>0</v>
      </c>
      <c r="BU7" s="182">
        <f>第九期!AF78</f>
        <v>0</v>
      </c>
      <c r="BV7" s="182">
        <f>第九期!AF79</f>
        <v>0</v>
      </c>
      <c r="BW7" s="184">
        <f>第九期!$AF$80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第九期!$AG$76</f>
        <v>0</v>
      </c>
      <c r="BT8" s="182">
        <f>第九期!$AG$77</f>
        <v>0</v>
      </c>
      <c r="BU8" s="182">
        <f>第九期!$AG$78</f>
        <v>0</v>
      </c>
      <c r="BV8" s="182">
        <f>第九期!$AG$79</f>
        <v>0</v>
      </c>
      <c r="BW8" s="184">
        <f>第九期!$AG$80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第九期!DB56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第九期!$AH$76</f>
        <v>0</v>
      </c>
      <c r="BT9" s="182">
        <f>第九期!$AH$77</f>
        <v>0</v>
      </c>
      <c r="BU9" s="182">
        <f>第九期!$AH$78</f>
        <v>0</v>
      </c>
      <c r="BV9" s="182">
        <f>第九期!$AH$79</f>
        <v>0</v>
      </c>
      <c r="BW9" s="184">
        <f>第九期!$AH$80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第九期!DB57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第九期!$AI$76</f>
        <v>0</v>
      </c>
      <c r="BT10" s="182">
        <f>第九期!$AI$77</f>
        <v>0</v>
      </c>
      <c r="BU10" s="182">
        <f>第九期!$AI$78</f>
        <v>0</v>
      </c>
      <c r="BV10" s="182">
        <f>第九期!$AI$79</f>
        <v>0</v>
      </c>
      <c r="BW10" s="184">
        <f>第九期!$AI$80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第九期!DB58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第九期!$AJ$76</f>
        <v>0</v>
      </c>
      <c r="BT11" s="184">
        <f>第九期!$AJ$77</f>
        <v>0</v>
      </c>
      <c r="BU11" s="184">
        <f>第九期!$AJ$78</f>
        <v>0</v>
      </c>
      <c r="BV11" s="184">
        <f>第九期!$AJ$79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第九期!DB59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第九期!BU86</f>
        <v>0</v>
      </c>
      <c r="AG13" s="124" t="s">
        <v>309</v>
      </c>
      <c r="AH13" s="125">
        <f>第九期!BV76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第九期!BW92</f>
        <v>0</v>
      </c>
      <c r="AG14" s="68" t="s">
        <v>315</v>
      </c>
      <c r="AH14" s="127"/>
      <c r="AI14" s="39" t="s">
        <v>189</v>
      </c>
      <c r="AJ14" s="128">
        <f>第九期!K12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第九期!Y88</f>
        <v>0</v>
      </c>
      <c r="BT14" s="182">
        <f>第九期!Y89</f>
        <v>0</v>
      </c>
      <c r="BU14" s="182">
        <f>第九期!Y90</f>
        <v>0</v>
      </c>
      <c r="BV14" s="182">
        <f>第九期!Y91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AF14/(Y18+第九期!K8-AA18)</f>
        <v>#DIV/0!</v>
      </c>
      <c r="AG15" s="68" t="s">
        <v>321</v>
      </c>
      <c r="AH15" s="127"/>
      <c r="AI15" s="39" t="s">
        <v>322</v>
      </c>
      <c r="AJ15" s="128">
        <f>第九期!K16*0.5-第九期!K14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第九期!Z88</f>
        <v>0</v>
      </c>
      <c r="BT15" s="182">
        <f>第九期!Z89</f>
        <v>0</v>
      </c>
      <c r="BU15" s="182">
        <f>第九期!Z90</f>
        <v>0</v>
      </c>
      <c r="BV15" s="182">
        <f>第九期!Z91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第九期!DM60</f>
        <v>0</v>
      </c>
      <c r="Z16" s="87" t="s">
        <v>325</v>
      </c>
      <c r="AA16" s="88">
        <f>AH20+Y16+第九期!K9*比赛参数!D30*比赛参数!F30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第九期!AA88</f>
        <v>0</v>
      </c>
      <c r="BT16" s="182">
        <f>第九期!AA89</f>
        <v>0</v>
      </c>
      <c r="BU16" s="182">
        <f>第九期!AA90</f>
        <v>0</v>
      </c>
      <c r="BV16" s="182">
        <f>第九期!AA91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第九期!AB88</f>
        <v>0</v>
      </c>
      <c r="BT17" s="182">
        <f>第九期!AB89</f>
        <v>0</v>
      </c>
      <c r="BU17" s="182">
        <f>第九期!AB90</f>
        <v>0</v>
      </c>
      <c r="BV17" s="182">
        <f>第九期!AB91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第九期!K8*比赛参数!D57</f>
        <v>0</v>
      </c>
      <c r="Z19" s="48" t="s">
        <v>351</v>
      </c>
      <c r="AA19" s="94">
        <f>第九期!K8*比赛参数!D60</f>
        <v>0</v>
      </c>
      <c r="AB19" s="48" t="s">
        <v>351</v>
      </c>
      <c r="AC19" s="99">
        <f>IF((AC21-第九期!K10)/比赛参数!D41&gt;0,(AC21-第九期!K10)/比赛参数!D41,0)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IF((第九期!BW92-第九期!BS87)&gt;0,第九期!BW92-第九期!BS87,0)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第九期!$CX$68</f>
        <v>0</v>
      </c>
      <c r="CD19" s="101">
        <f>第九期!$CX$69</f>
        <v>0</v>
      </c>
      <c r="CE19" s="101">
        <f>第九期!$CX$70</f>
        <v>0</v>
      </c>
      <c r="CF19" s="101">
        <f>第九期!$CX$71</f>
        <v>0</v>
      </c>
      <c r="CG19" s="50"/>
      <c r="CH19" s="201"/>
      <c r="CI19" s="202" t="s">
        <v>56</v>
      </c>
      <c r="CJ19" s="101">
        <f>第九期!$CX$50</f>
        <v>0</v>
      </c>
      <c r="CK19" s="101">
        <f>第九期!$CX$51</f>
        <v>0</v>
      </c>
      <c r="CL19" s="101">
        <f>第九期!$CX$52</f>
        <v>0</v>
      </c>
      <c r="CM19" s="101">
        <f>第九期!$CX$53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第九期!K8+第九期!Y18*比赛参数!D59-第九期!AA18</f>
        <v>0</v>
      </c>
      <c r="Z20" s="39" t="s">
        <v>346</v>
      </c>
      <c r="AA20" s="102">
        <f>第九期!K9</f>
        <v>0</v>
      </c>
      <c r="AB20" s="39" t="s">
        <v>358</v>
      </c>
      <c r="AC20" s="103">
        <f>AC18*比赛参数!D41+第九期!K10</f>
        <v>0</v>
      </c>
      <c r="AE20" s="9" t="s">
        <v>359</v>
      </c>
      <c r="AF20" s="96"/>
      <c r="AG20" s="39" t="s">
        <v>178</v>
      </c>
      <c r="AH20" s="136">
        <f>第九期!BS62+第九期!BS71</f>
        <v>0</v>
      </c>
      <c r="AI20" s="68" t="s">
        <v>360</v>
      </c>
      <c r="AJ20" s="103">
        <f>第九期!BV90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第九期!Y9</f>
        <v>0</v>
      </c>
      <c r="BT20" s="182">
        <f>第九期!Z9</f>
        <v>0</v>
      </c>
      <c r="BU20" s="182">
        <f>第九期!AA9</f>
        <v>0</v>
      </c>
      <c r="BV20" s="182">
        <f>第九期!AB9</f>
        <v>0</v>
      </c>
      <c r="BW20" s="184">
        <f>第九期!AJ34</f>
        <v>0</v>
      </c>
      <c r="CA20" s="194"/>
      <c r="CB20" s="180" t="s">
        <v>57</v>
      </c>
      <c r="CC20" s="101">
        <f>第九期!$CY$68</f>
        <v>0</v>
      </c>
      <c r="CD20" s="101">
        <f>第九期!$CY$69</f>
        <v>0</v>
      </c>
      <c r="CE20" s="101">
        <f>第九期!$CY$70</f>
        <v>0</v>
      </c>
      <c r="CF20" s="101">
        <f>第九期!$CY$71</f>
        <v>0</v>
      </c>
      <c r="CG20" s="50"/>
      <c r="CH20" s="201"/>
      <c r="CI20" s="203" t="s">
        <v>57</v>
      </c>
      <c r="CJ20" s="101">
        <f>第九期!$CY$50</f>
        <v>0</v>
      </c>
      <c r="CK20" s="101">
        <f>第九期!$CY$51</f>
        <v>0</v>
      </c>
      <c r="CL20" s="101">
        <f>第九期!$CY$52</f>
        <v>0</v>
      </c>
      <c r="CM20" s="101">
        <f>第九期!$CY$53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第九期!Y10</f>
        <v>0</v>
      </c>
      <c r="BT21" s="182">
        <f>第九期!Z10</f>
        <v>0</v>
      </c>
      <c r="BU21" s="182">
        <f>第九期!AA10</f>
        <v>0</v>
      </c>
      <c r="BV21" s="182">
        <f>第九期!AB10</f>
        <v>0</v>
      </c>
      <c r="BW21" s="184">
        <f>第九期!AJ35</f>
        <v>0</v>
      </c>
      <c r="CA21" s="194"/>
      <c r="CB21" s="180" t="s">
        <v>58</v>
      </c>
      <c r="CC21" s="101">
        <f>第九期!$CZ$68</f>
        <v>0</v>
      </c>
      <c r="CD21" s="101">
        <f>第九期!$CZ$69</f>
        <v>0</v>
      </c>
      <c r="CE21" s="101">
        <f>第九期!$CZ$70</f>
        <v>0</v>
      </c>
      <c r="CF21" s="101">
        <f>第九期!$CZ$71</f>
        <v>0</v>
      </c>
      <c r="CG21" s="50"/>
      <c r="CH21" s="201"/>
      <c r="CI21" s="203" t="s">
        <v>58</v>
      </c>
      <c r="CJ21" s="101">
        <f>第九期!$CZ$50</f>
        <v>0</v>
      </c>
      <c r="CK21" s="101">
        <f>第九期!$CZ$51</f>
        <v>0</v>
      </c>
      <c r="CL21" s="101">
        <f>第九期!$CZ$52</f>
        <v>0</v>
      </c>
      <c r="CM21" s="101">
        <f>第九期!$CZ$53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第九期!Y11</f>
        <v>0</v>
      </c>
      <c r="BT22" s="182">
        <f>第九期!Z11</f>
        <v>0</v>
      </c>
      <c r="BU22" s="182">
        <f>第九期!AA11</f>
        <v>0</v>
      </c>
      <c r="BV22" s="182">
        <f>第九期!AB11</f>
        <v>0</v>
      </c>
      <c r="BW22" s="184">
        <f>第九期!AJ36</f>
        <v>0</v>
      </c>
      <c r="CA22" s="194"/>
      <c r="CB22" s="180" t="s">
        <v>59</v>
      </c>
      <c r="CC22" s="101">
        <f>第九期!$DA$68</f>
        <v>0</v>
      </c>
      <c r="CD22" s="101">
        <f>第九期!$DA$69</f>
        <v>0</v>
      </c>
      <c r="CE22" s="101">
        <f>第九期!$DA$70</f>
        <v>0</v>
      </c>
      <c r="CF22" s="101">
        <f>第九期!$DA$71</f>
        <v>0</v>
      </c>
      <c r="CG22" s="50"/>
      <c r="CH22" s="201"/>
      <c r="CI22" s="203" t="s">
        <v>59</v>
      </c>
      <c r="CJ22" s="101">
        <f>第九期!$DA$50</f>
        <v>0</v>
      </c>
      <c r="CK22" s="101">
        <f>第九期!$DA$51</f>
        <v>0</v>
      </c>
      <c r="CL22" s="101">
        <f>第九期!$DA$52</f>
        <v>0</v>
      </c>
      <c r="CM22" s="101">
        <f>第九期!$DA$53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H23" s="2">
        <f>(AJ20+AJ15-AJ21)/比赛参数!D30</f>
        <v>-31.25</v>
      </c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第九期!Y12</f>
        <v>0</v>
      </c>
      <c r="BT23" s="182">
        <f>第九期!Z12</f>
        <v>0</v>
      </c>
      <c r="BU23" s="182">
        <f>第九期!AA12</f>
        <v>0</v>
      </c>
      <c r="BV23" s="182">
        <f>第九期!AB12</f>
        <v>0</v>
      </c>
      <c r="BW23" s="184">
        <f>第九期!AJ37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第九期!BV57-第九期!BV76</f>
        <v>0</v>
      </c>
      <c r="AJ26" s="60">
        <f>第九期!K9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第九期!DB50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第九期!Y18</f>
        <v>0</v>
      </c>
      <c r="BT26" s="182">
        <f>第九期!AA18</f>
        <v>0</v>
      </c>
      <c r="BU26" s="182">
        <f>第九期!AF18</f>
        <v>0</v>
      </c>
      <c r="BV26" s="186">
        <f>第九期!AC18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第九期!DB51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第九期!DB52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第九期!DB53</f>
        <v>0</v>
      </c>
      <c r="BQ29" s="162"/>
      <c r="BS29" s="186">
        <f>第九期!AH14</f>
        <v>0</v>
      </c>
      <c r="BT29" s="186">
        <f>第九期!AH15</f>
        <v>0</v>
      </c>
      <c r="BU29" s="182">
        <f>第九期!AF20</f>
        <v>0</v>
      </c>
      <c r="BV29" s="186">
        <f>第九期!AJ18</f>
        <v>0</v>
      </c>
      <c r="BW29" s="182">
        <f>第九期!AH18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INT(第九期!DV26)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INT(第九期!DV27)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INT(第九期!DV28)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INT(第九期!DV29)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第九期!DG56*第九期!DG50+第九期!DG64*第九期!Y88</f>
        <v>0</v>
      </c>
      <c r="CD38" s="102">
        <f>第九期!DH56*第九期!DH50+第九期!DH64*第九期!Z88</f>
        <v>0</v>
      </c>
      <c r="CE38" s="102">
        <f>第九期!DI56*第九期!DI50+第九期!DI64*第九期!AA88</f>
        <v>0</v>
      </c>
      <c r="CF38" s="102">
        <f>第九期!DJ56*第九期!DJ50+第九期!DJ64*第九期!AB88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第九期!DG57*第九期!DG51+第九期!DG65*第九期!Y89</f>
        <v>0</v>
      </c>
      <c r="CD39" s="102">
        <f>第九期!DH57*第九期!DH51+第九期!DH65*第九期!Z89</f>
        <v>0</v>
      </c>
      <c r="CE39" s="102">
        <f>第九期!DI57*第九期!DI51+第九期!DI65*第九期!AA89</f>
        <v>0</v>
      </c>
      <c r="CF39" s="102">
        <f>第九期!DJ57*第九期!DJ51+第九期!DJ65*第九期!AB89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第九期!DG58*第九期!DG52+第九期!DG66*第九期!Y90</f>
        <v>0</v>
      </c>
      <c r="CD40" s="102">
        <f>第九期!DH58*第九期!DH52+第九期!DH66*第九期!Z90</f>
        <v>0</v>
      </c>
      <c r="CE40" s="102">
        <f>第九期!DI58*第九期!DI52+第九期!DI66*第九期!AA90</f>
        <v>0</v>
      </c>
      <c r="CF40" s="102">
        <f>第九期!DJ58*第九期!DJ52+第九期!DJ66*第九期!AB90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第九期!DG59*第九期!DG53+第九期!DG67*第九期!Y91</f>
        <v>0</v>
      </c>
      <c r="CD41" s="102">
        <f>第九期!DH59*第九期!DH53+第九期!DH67*第九期!Z91</f>
        <v>0</v>
      </c>
      <c r="CE41" s="102">
        <f>第九期!DI59*第九期!DI53+第九期!DI67*第九期!AA91</f>
        <v>0</v>
      </c>
      <c r="CF41" s="102">
        <f>第九期!DJ59*第九期!DJ53+第九期!DJ67*第九期!AB91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第九期!Y9*第九期!CQ62*比赛参数!D65</f>
        <v>0</v>
      </c>
      <c r="CR50" s="60">
        <f>第九期!Z9*第九期!CR62*比赛参数!E65</f>
        <v>0</v>
      </c>
      <c r="CS50" s="60">
        <f>第九期!AA9*第九期!CS62*比赛参数!F65</f>
        <v>0</v>
      </c>
      <c r="CT50" s="60">
        <f>第九期!AB9*第九期!CT62*比赛参数!G65</f>
        <v>0</v>
      </c>
      <c r="CU50" s="60">
        <f>IF(第九期!AC9&gt;0,SUM(CQ50:CT50)/第九期!AC9,0)</f>
        <v>0</v>
      </c>
      <c r="CW50" s="9" t="s">
        <v>38</v>
      </c>
      <c r="CX50" s="215">
        <f>IF(第九期!$CU$50*第九期!CQ93&gt;0,第九期!$CU$50+第九期!CQ68+第九期!CQ93+第九期!CQ74,0)</f>
        <v>0</v>
      </c>
      <c r="CY50" s="215">
        <f>IF(第九期!$CU$50*第九期!CR93&gt;0,第九期!$CU$50+第九期!CR68+第九期!CR93+第九期!CR74,0)</f>
        <v>0</v>
      </c>
      <c r="CZ50" s="215">
        <f>IF(第九期!$CU$50*第九期!CS93&gt;0,第九期!$CU$50+第九期!CS68+第九期!CS93+第九期!CS74,0)</f>
        <v>0</v>
      </c>
      <c r="DA50" s="215">
        <f>IF(第九期!$CU$50*第九期!CT93&gt;0,第九期!$CU$50+第九期!CT68+第九期!CT93+第九期!CT74,0)</f>
        <v>0</v>
      </c>
      <c r="DB50" s="215">
        <f>AVERAGE(CX50:DA50)</f>
        <v>0</v>
      </c>
      <c r="DF50" s="60" t="s">
        <v>56</v>
      </c>
      <c r="DG50" s="218">
        <f>IF(第九期!Y88&gt;0,1,0)</f>
        <v>0</v>
      </c>
      <c r="DH50" s="218">
        <f>IF(第九期!Z88&gt;0,1,0)</f>
        <v>0</v>
      </c>
      <c r="DI50" s="218">
        <f>IF(第九期!AA88&gt;0,1,0)</f>
        <v>0</v>
      </c>
      <c r="DJ50" s="218">
        <f>IF(第九期!AB88&gt;0,1,0)</f>
        <v>0</v>
      </c>
      <c r="DL50" s="218" t="s">
        <v>21</v>
      </c>
      <c r="DM50" s="219">
        <f>IF(第九期!Y9+第九期!Z9&gt;0,1,0)</f>
        <v>0</v>
      </c>
      <c r="DN50" s="219">
        <f>IF(第九期!AA9+第九期!AB9&gt;0,1,0)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第九期!Y10*第九期!CQ63*比赛参数!D65</f>
        <v>0</v>
      </c>
      <c r="CR51" s="60">
        <f>第九期!Z10*第九期!CR63*比赛参数!E65</f>
        <v>0</v>
      </c>
      <c r="CS51" s="60">
        <f>第九期!AA10*第九期!CS63*比赛参数!F65</f>
        <v>0</v>
      </c>
      <c r="CT51" s="60">
        <f>第九期!AB10*第九期!CT63*比赛参数!G65</f>
        <v>0</v>
      </c>
      <c r="CU51" s="60">
        <f>IF(第九期!AC10&gt;0,SUM(CQ51:CT51)/第九期!AC10,0)</f>
        <v>0</v>
      </c>
      <c r="CW51" s="9" t="s">
        <v>39</v>
      </c>
      <c r="CX51" s="215">
        <f>IF(第九期!$CU$51*第九期!CQ94&gt;0,第九期!$CU$51+第九期!CQ69+第九期!CQ94+第九期!CQ75,0)</f>
        <v>0</v>
      </c>
      <c r="CY51" s="215">
        <f>IF(第九期!$CU$51*第九期!CR94&gt;0,第九期!$CU$51+第九期!CR69+第九期!CR94+第九期!CR75,0)</f>
        <v>0</v>
      </c>
      <c r="CZ51" s="215">
        <f>IF(第九期!$CU$51*第九期!CS94&gt;0,第九期!$CU$51+第九期!CS69+第九期!CS94+第九期!CS75,0)</f>
        <v>0</v>
      </c>
      <c r="DA51" s="215">
        <f>IF(第九期!$CU$51*第九期!CT94&gt;0,第九期!$CU$51+第九期!CT69+第九期!CT94+第九期!CT75,0)</f>
        <v>0</v>
      </c>
      <c r="DB51" s="215">
        <f>AVERAGE(CX51:DA51)</f>
        <v>0</v>
      </c>
      <c r="DF51" s="60" t="s">
        <v>57</v>
      </c>
      <c r="DG51" s="218">
        <f>IF(第九期!Y89&gt;0,1,0)</f>
        <v>0</v>
      </c>
      <c r="DH51" s="218">
        <f>IF(第九期!Z89&gt;0,1,0)</f>
        <v>0</v>
      </c>
      <c r="DI51" s="218">
        <f>IF(第九期!AA89&gt;0,1,0)</f>
        <v>0</v>
      </c>
      <c r="DJ51" s="218">
        <f>IF(第九期!AB89&gt;0,1,0)</f>
        <v>0</v>
      </c>
      <c r="DL51" s="218" t="s">
        <v>22</v>
      </c>
      <c r="DM51" s="219">
        <f>IF(第九期!Y10+第九期!Z10&gt;0,1,0)</f>
        <v>0</v>
      </c>
      <c r="DN51" s="219">
        <f>IF(第九期!AA10+第九期!AB10&gt;0,1,0)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第九期!Y11*第九期!CQ64*比赛参数!D65</f>
        <v>0</v>
      </c>
      <c r="CR52" s="60">
        <f>第九期!Z11*第九期!CR64*比赛参数!E65</f>
        <v>0</v>
      </c>
      <c r="CS52" s="60">
        <f>第九期!AA11*第九期!CS64*比赛参数!F65</f>
        <v>0</v>
      </c>
      <c r="CT52" s="60">
        <f>第九期!AB11*第九期!CT64*比赛参数!G65</f>
        <v>0</v>
      </c>
      <c r="CU52" s="60">
        <f>IF(第九期!AC11&gt;0,SUM(CQ52:CT52)/第九期!AC11,0)</f>
        <v>0</v>
      </c>
      <c r="CW52" s="9" t="s">
        <v>40</v>
      </c>
      <c r="CX52" s="215">
        <f>IF(第九期!$CU$52*第九期!CQ95&gt;0,第九期!$CU$52+第九期!CQ70+第九期!CQ95+第九期!CQ76,0)</f>
        <v>0</v>
      </c>
      <c r="CY52" s="215">
        <f>IF(第九期!$CU$52*第九期!CR95&gt;0,第九期!$CU$52+第九期!CR70+第九期!CR95+第九期!CR76,0)</f>
        <v>0</v>
      </c>
      <c r="CZ52" s="215">
        <f>IF(第九期!$CU$52*第九期!CS95&gt;0,第九期!$CU$52+第九期!CS70+第九期!CS95+第九期!CS76,0)</f>
        <v>0</v>
      </c>
      <c r="DA52" s="215">
        <f>IF(第九期!$CU$52*第九期!CT95&gt;0,第九期!$CU$52+第九期!CT70+第九期!CT95+第九期!CT76,0)</f>
        <v>0</v>
      </c>
      <c r="DB52" s="215">
        <f>AVERAGE(CX52:DA52)</f>
        <v>0</v>
      </c>
      <c r="DF52" s="60" t="s">
        <v>58</v>
      </c>
      <c r="DG52" s="218">
        <f>IF(第九期!Y90&gt;0,1,0)</f>
        <v>0</v>
      </c>
      <c r="DH52" s="218">
        <f>IF(第九期!Z90&gt;0,1,0)</f>
        <v>0</v>
      </c>
      <c r="DI52" s="218">
        <f>IF(第九期!AA90&gt;0,1,0)</f>
        <v>0</v>
      </c>
      <c r="DJ52" s="218">
        <f>IF(第九期!AB90&gt;0,1,0)</f>
        <v>0</v>
      </c>
      <c r="DL52" s="218" t="s">
        <v>23</v>
      </c>
      <c r="DM52" s="219">
        <f>IF(第九期!Y11+第九期!Z11&gt;0,1,0)</f>
        <v>0</v>
      </c>
      <c r="DN52" s="219">
        <f>IF(第九期!AA11+第九期!AB11&gt;0,1,0)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第九期!Y12*第九期!CQ65*比赛参数!D65</f>
        <v>0</v>
      </c>
      <c r="CR53" s="60">
        <f>第九期!Z12*第九期!CR65*比赛参数!E65</f>
        <v>0</v>
      </c>
      <c r="CS53" s="60">
        <f>第九期!AA12*第九期!CS65*比赛参数!F65</f>
        <v>0</v>
      </c>
      <c r="CT53" s="60">
        <f>第九期!AB12*第九期!CT65*比赛参数!G65</f>
        <v>0</v>
      </c>
      <c r="CU53" s="60">
        <f>IF(第九期!AC12&gt;0,SUM(CQ53:CT53)/第九期!AC12,0)</f>
        <v>0</v>
      </c>
      <c r="CW53" s="9" t="s">
        <v>41</v>
      </c>
      <c r="CX53" s="215">
        <f>IF(第九期!$CU$53*第九期!CQ96&gt;0,第九期!$CU$53+第九期!CQ71+第九期!CQ96+第九期!CQ77,0)</f>
        <v>0</v>
      </c>
      <c r="CY53" s="215">
        <f>IF(第九期!$CU$53*第九期!CR96&gt;0,第九期!$CU$53+第九期!CR71+第九期!CR96+第九期!CR77,0)</f>
        <v>0</v>
      </c>
      <c r="CZ53" s="215">
        <f>IF(第九期!$CU$53*第九期!CS96&gt;0,第九期!$CU$53+第九期!CS71+第九期!CS96+第九期!CS77,0)</f>
        <v>0</v>
      </c>
      <c r="DA53" s="215">
        <f>IF(第九期!$CU$53*第九期!CT96&gt;0,第九期!$CU$53+第九期!CT71+第九期!CT96+第九期!CT77,0)</f>
        <v>0</v>
      </c>
      <c r="DB53" s="215">
        <f>AVERAGE(CX53:DA53)</f>
        <v>0</v>
      </c>
      <c r="DF53" s="60" t="s">
        <v>59</v>
      </c>
      <c r="DG53" s="218">
        <f>IF(第九期!Y91&gt;0,1,0)</f>
        <v>0</v>
      </c>
      <c r="DH53" s="218">
        <f>IF(第九期!Z91&gt;0,1,0)</f>
        <v>0</v>
      </c>
      <c r="DI53" s="218">
        <f>IF(第九期!AA91&gt;0,1,0)</f>
        <v>0</v>
      </c>
      <c r="DJ53" s="218">
        <f>IF(第九期!AB91&gt;0,1,0)</f>
        <v>0</v>
      </c>
      <c r="DL53" s="218" t="s">
        <v>24</v>
      </c>
      <c r="DM53" s="219">
        <f>IF(第九期!Y12+第九期!Z12&gt;0,1,0)</f>
        <v>0</v>
      </c>
      <c r="DN53" s="219">
        <f>IF(第九期!AA12+第九期!AB12&gt;0,1,0)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第九期!K11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第九期!AH14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第九期!DU26</f>
        <v>0</v>
      </c>
      <c r="CD56" s="102">
        <f>第九期!DU27</f>
        <v>0</v>
      </c>
      <c r="CE56" s="102">
        <f>第九期!DU28</f>
        <v>0</v>
      </c>
      <c r="CF56" s="102">
        <f>第九期!DU29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第九期!BS7-第九期!CX50</f>
        <v>0</v>
      </c>
      <c r="CY56" s="215">
        <f>第九期!BT7-第九期!CY50</f>
        <v>0</v>
      </c>
      <c r="CZ56" s="215">
        <f>第九期!BU7-第九期!CZ50</f>
        <v>0</v>
      </c>
      <c r="DA56" s="215">
        <f>第九期!BV7-第九期!DA50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第九期!DX6</f>
        <v>0</v>
      </c>
      <c r="Z57" s="102">
        <f>第九期!DX10</f>
        <v>0</v>
      </c>
      <c r="AA57" s="102">
        <f>第九期!DX14</f>
        <v>0</v>
      </c>
      <c r="AB57" s="102">
        <f>第九期!DX18</f>
        <v>0</v>
      </c>
      <c r="AC57" s="119"/>
      <c r="AE57" s="59" t="s">
        <v>56</v>
      </c>
      <c r="AF57" s="102">
        <f>第九期!DW6</f>
        <v>0</v>
      </c>
      <c r="AG57" s="102">
        <f>第九期!DW10</f>
        <v>0</v>
      </c>
      <c r="AH57" s="102">
        <f>第九期!DW14</f>
        <v>0</v>
      </c>
      <c r="AI57" s="102">
        <f>第九期!DW18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第九期!AH15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第九期!BS8-第九期!CX51</f>
        <v>0</v>
      </c>
      <c r="CY57" s="215">
        <f>第九期!BT8-第九期!CY51</f>
        <v>0</v>
      </c>
      <c r="CZ57" s="215">
        <f>第九期!BU8-第九期!CZ51</f>
        <v>0</v>
      </c>
      <c r="DA57" s="215">
        <f>第九期!BV8-第九期!DA51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第九期!DX7</f>
        <v>0</v>
      </c>
      <c r="Z58" s="102">
        <f>第九期!DX11</f>
        <v>0</v>
      </c>
      <c r="AA58" s="102">
        <f>第九期!DX15</f>
        <v>0</v>
      </c>
      <c r="AB58" s="102">
        <f>第九期!DX19</f>
        <v>0</v>
      </c>
      <c r="AC58" s="119"/>
      <c r="AE58" s="9" t="s">
        <v>57</v>
      </c>
      <c r="AF58" s="102">
        <f>第九期!DW7</f>
        <v>0</v>
      </c>
      <c r="AG58" s="102">
        <f>第九期!DW11</f>
        <v>0</v>
      </c>
      <c r="AH58" s="102">
        <f>第九期!DW15</f>
        <v>0</v>
      </c>
      <c r="AI58" s="102">
        <f>第九期!DW19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第九期!H5+第九期!H4*比赛参数!F71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第九期!BS9-第九期!CX52</f>
        <v>0</v>
      </c>
      <c r="CY58" s="215">
        <f>第九期!BT9-第九期!CY52</f>
        <v>0</v>
      </c>
      <c r="CZ58" s="215">
        <f>第九期!BU9-第九期!CZ52</f>
        <v>0</v>
      </c>
      <c r="DA58" s="215">
        <f>第九期!BV9-第九期!DA52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第九期!DX8</f>
        <v>0</v>
      </c>
      <c r="Z59" s="102">
        <f>第九期!DX12</f>
        <v>0</v>
      </c>
      <c r="AA59" s="102">
        <f>第九期!DX16</f>
        <v>0</v>
      </c>
      <c r="AB59" s="102">
        <f>第九期!DX20</f>
        <v>0</v>
      </c>
      <c r="AC59" s="120"/>
      <c r="AE59" s="9" t="s">
        <v>58</v>
      </c>
      <c r="AF59" s="102">
        <f>第九期!DW8</f>
        <v>0</v>
      </c>
      <c r="AG59" s="102">
        <f>第九期!DW12</f>
        <v>0</v>
      </c>
      <c r="AH59" s="102">
        <f>第九期!DW16</f>
        <v>0</v>
      </c>
      <c r="AI59" s="102">
        <f>第九期!DW20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第九期!K14*比赛参数!D71/4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第九期!BS10-第九期!CX53</f>
        <v>0</v>
      </c>
      <c r="CY59" s="215">
        <f>第九期!BT10-第九期!CY53</f>
        <v>0</v>
      </c>
      <c r="CZ59" s="215">
        <f>第九期!BU10-第九期!CZ53</f>
        <v>0</v>
      </c>
      <c r="DA59" s="215">
        <f>第九期!BV10-第九期!DA53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第九期!DX9</f>
        <v>0</v>
      </c>
      <c r="Z60" s="102">
        <f>第九期!DX13</f>
        <v>0</v>
      </c>
      <c r="AA60" s="102">
        <f>第九期!DX17</f>
        <v>0</v>
      </c>
      <c r="AB60" s="102">
        <f>第九期!DX21</f>
        <v>0</v>
      </c>
      <c r="AC60" s="102" t="s">
        <v>415</v>
      </c>
      <c r="AE60" s="9" t="s">
        <v>59</v>
      </c>
      <c r="AF60" s="102">
        <f>第九期!DW9</f>
        <v>0</v>
      </c>
      <c r="AG60" s="102">
        <f>第九期!DW13</f>
        <v>0</v>
      </c>
      <c r="AH60" s="102">
        <f>第九期!DW17</f>
        <v>0</v>
      </c>
      <c r="AI60" s="102">
        <f>第九期!DW21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第九期!Y18*比赛参数!D58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第九期!AA18*比赛参数!D62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((第九期!K8-第九期!AA18)*比赛参数!D65+第九期!Y18*比赛参数!D59*比赛参数!D65)*第九期!AH18*520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CX56/第九期!CQ56</f>
        <v>0</v>
      </c>
      <c r="CY62" s="215">
        <f>CY56/第九期!CR56</f>
        <v>0</v>
      </c>
      <c r="CZ62" s="215">
        <f>CZ56/第九期!CS56</f>
        <v>0</v>
      </c>
      <c r="DA62" s="215">
        <f>DA56/第九期!CT56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第九期!K9*比赛参数!D49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CX57/第九期!CQ57</f>
        <v>0</v>
      </c>
      <c r="CY63" s="215">
        <f>CY57/第九期!CR57</f>
        <v>0</v>
      </c>
      <c r="CZ63" s="215">
        <f>CZ57/第九期!CS57</f>
        <v>0</v>
      </c>
      <c r="DA63" s="215">
        <f>DA57/第九期!CT57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第九期!AL37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CX58/第九期!CQ58</f>
        <v>0</v>
      </c>
      <c r="CY64" s="215">
        <f>CY58/第九期!CR58</f>
        <v>0</v>
      </c>
      <c r="CZ64" s="215">
        <f>CZ58/第九期!CS58</f>
        <v>0</v>
      </c>
      <c r="DA64" s="215">
        <f>DA58/第九期!CT58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0.5*第九期!AL37+0.5*第九期!DV23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CX59/第九期!CQ59</f>
        <v>0</v>
      </c>
      <c r="CY65" s="215">
        <f>CY59/第九期!CR59</f>
        <v>0</v>
      </c>
      <c r="CZ65" s="215">
        <f>CZ59/第九期!CS59</f>
        <v>0</v>
      </c>
      <c r="DA65" s="215">
        <f>DA59/第九期!CT59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第九期!AC18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九期!AC18&gt;=比赛参数!D33,(1-比赛参数!E33)*第九期!AC18,0)+IF(AND(第九期!AC18&gt;=比赛参数!D34,第九期!AC18&lt;比赛参数!D33),(1-比赛参数!E34)*第九期!AC18,0)+IF(AND(第九期!AC18&gt;=比赛参数!D35,第九期!AC18&lt;比赛参数!D34),(1-比赛参数!E35)*第九期!AC18,0)+IF(AND(第九期!AC18&gt;=比赛参数!D36,第九期!AC18&lt;比赛参数!D35),(1-比赛参数!E36)*第九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第九期!DV6</f>
        <v>0</v>
      </c>
      <c r="AG70" s="121">
        <f>第九期!DV10</f>
        <v>0</v>
      </c>
      <c r="AH70" s="121">
        <f>第九期!DV14</f>
        <v>0</v>
      </c>
      <c r="AI70" s="121">
        <f>第九期!DV18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IF(第九期!AC18&gt;0,第九期!AC18*比赛参数!E40+比赛参数!E39,0)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第九期!DV7</f>
        <v>0</v>
      </c>
      <c r="AG71" s="121">
        <f>第九期!DV11</f>
        <v>0</v>
      </c>
      <c r="AH71" s="121">
        <f>第九期!DV15</f>
        <v>0</v>
      </c>
      <c r="AI71" s="121">
        <f>第九期!DV19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(第九期!Z13*比赛参数!E65*260+第九期!AA13*(比赛参数!F65-比赛参数!D65)*520+第九期!AB13*比赛参数!G65*260)*第九期!AH18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第九期!DV8</f>
        <v>0</v>
      </c>
      <c r="AG72" s="121">
        <f>第九期!DV12</f>
        <v>0</v>
      </c>
      <c r="AH72" s="121">
        <f>第九期!DV16</f>
        <v>0</v>
      </c>
      <c r="AI72" s="121">
        <f>第九期!DV20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第九期!DM60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第九期!DV9</f>
        <v>0</v>
      </c>
      <c r="AG73" s="121">
        <f>第九期!DV13</f>
        <v>0</v>
      </c>
      <c r="AH73" s="121">
        <f>第九期!DV17</f>
        <v>0</v>
      </c>
      <c r="AI73" s="121">
        <f>第九期!DV21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第九期!AC21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第九期!CG42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SUM(第九期!AF80:AI80)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SUM(第九期!AJ76:AJ79)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第九期!CG53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第九期!CN53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第九期!K9*比赛参数!D30*比赛参数!F30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第九期!CG65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第九期!Y9*第九期!CQ56</f>
        <v>0</v>
      </c>
      <c r="CR80" s="60">
        <f>第九期!Z9*第九期!CR56</f>
        <v>0</v>
      </c>
      <c r="CS80" s="60">
        <f>第九期!AA9*第九期!CS56</f>
        <v>0</v>
      </c>
      <c r="CT80" s="60">
        <f>第九期!AB9*第九期!CT56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(第九期!K10+(第九期!AC18+第九期!K10-第九期!AC21))/2*比赛参数!D16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第九期!Y10*第九期!CQ57</f>
        <v>0</v>
      </c>
      <c r="CR81" s="60">
        <f>第九期!Z10*第九期!CR57</f>
        <v>0</v>
      </c>
      <c r="CS81" s="60">
        <f>第九期!AA10*第九期!CS57</f>
        <v>0</v>
      </c>
      <c r="CT81" s="60">
        <f>第九期!AB10*第九期!CT57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第九期!CG67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第九期!Y11*第九期!CQ58</f>
        <v>0</v>
      </c>
      <c r="CR82" s="60">
        <f>第九期!Z11*第九期!CR58</f>
        <v>0</v>
      </c>
      <c r="CS82" s="60">
        <f>第九期!AA11*第九期!CS58</f>
        <v>0</v>
      </c>
      <c r="CT82" s="60">
        <f>第九期!AB11*第九期!CT58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第九期!K13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第九期!Y12*第九期!CQ59</f>
        <v>0</v>
      </c>
      <c r="CR83" s="60">
        <f>第九期!Z12*第九期!CR59</f>
        <v>0</v>
      </c>
      <c r="CS83" s="60">
        <f>第九期!AA12*第九期!CS59</f>
        <v>0</v>
      </c>
      <c r="CT83" s="60">
        <f>第九期!AB12*第九期!CT59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第九期!K13*比赛参数!D70/4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第九期!AH14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第九期!DS33</f>
        <v>0</v>
      </c>
      <c r="AG86" s="121">
        <f>第九期!DW33</f>
        <v>0</v>
      </c>
      <c r="AH86" s="121">
        <f>第九期!EA33</f>
        <v>0</v>
      </c>
      <c r="AI86" s="121">
        <f>第九期!EE33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第九期!AH14*比赛参数!D69/4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第九期!DT33</f>
        <v>0</v>
      </c>
      <c r="AG87" s="121">
        <f>第九期!DX33</f>
        <v>0</v>
      </c>
      <c r="AH87" s="121">
        <f>第九期!EB33</f>
        <v>0</v>
      </c>
      <c r="AI87" s="121">
        <f>第九期!EF33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IF(第九期!BW92&gt;0,IF((第九期!K15+第九期!BW92*比赛参数!D72)&gt;0,第九期!K15+第九期!BW92*比赛参数!D72,0))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第九期!DU33</f>
        <v>0</v>
      </c>
      <c r="AG88" s="121">
        <f>第九期!DY33</f>
        <v>0</v>
      </c>
      <c r="AH88" s="121">
        <f>第九期!EC33</f>
        <v>0</v>
      </c>
      <c r="AI88" s="121">
        <f>第九期!EG33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第九期!AF18*比赛参数!D30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第九期!DV33</f>
        <v>0</v>
      </c>
      <c r="AG89" s="121">
        <f>第九期!DZ33</f>
        <v>0</v>
      </c>
      <c r="AH89" s="121">
        <f>第九期!ED33</f>
        <v>0</v>
      </c>
      <c r="AI89" s="121">
        <f>第九期!EH33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第九期!AJ18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第九期!AF20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第九期!BT84</f>
        <v>0</v>
      </c>
      <c r="BT92" s="291" t="s">
        <v>282</v>
      </c>
      <c r="BU92" s="86">
        <f>第九期!BU86</f>
        <v>0</v>
      </c>
      <c r="BV92" s="293" t="s">
        <v>200</v>
      </c>
      <c r="BW92" s="294">
        <f>第九期!BT84-第九期!BU86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AC9*比赛参数!D6+第九期!DU26</f>
        <v>0</v>
      </c>
      <c r="Z93" s="35">
        <f>AC10*比赛参数!D6+第九期!DU27</f>
        <v>0</v>
      </c>
      <c r="AA93" s="35">
        <f>AC11*比赛参数!D6+第九期!DU28</f>
        <v>0</v>
      </c>
      <c r="AB93" s="35">
        <f>AC12*比赛参数!D6+第九期!DU29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IF(第九期!$AC$9&gt;0,第九期!$K$9*比赛参数!$D$30*比赛参数!$F$30*$CU$87/第九期!$AC$9,0)</f>
        <v>0</v>
      </c>
      <c r="CR93" s="60">
        <f>IF(第九期!$AC$9&gt;0,第九期!$K$9*比赛参数!$D$30*比赛参数!$F$30*$CU$87/第九期!$AC$9,0)</f>
        <v>0</v>
      </c>
      <c r="CS93" s="60">
        <f>IF(第九期!$AC$9&gt;0,第九期!$K$9*比赛参数!$D$30*比赛参数!$F$30*$CU$87/第九期!$AC$9,0)</f>
        <v>0</v>
      </c>
      <c r="CT93" s="60">
        <f>IF(第九期!$AC$9&gt;0,第九期!$K$9*比赛参数!$D$30*比赛参数!$F$30*$CU$87/第九期!$AC$9,0)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IF(第九期!$AC$10&gt;0,第九期!$K$9*比赛参数!$D$30*比赛参数!$F$30*$CU$88/第九期!$AC$10,0)</f>
        <v>0</v>
      </c>
      <c r="CR94" s="60">
        <f>IF(第九期!$AC$10&gt;0,第九期!$K$9*比赛参数!$D$30*比赛参数!$F$30*$CU$88/第九期!$AC$10,0)</f>
        <v>0</v>
      </c>
      <c r="CS94" s="60">
        <f>IF(第九期!$AC$10&gt;0,第九期!$K$9*比赛参数!$D$30*比赛参数!$F$30*$CU$88/第九期!$AC$10,0)</f>
        <v>0</v>
      </c>
      <c r="CT94" s="60">
        <f>IF(第九期!$AC$10&gt;0,第九期!$K$9*比赛参数!$D$30*比赛参数!$F$30*$CU$88/第九期!$AC$10,0)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IF(第九期!$AC$11&gt;0,第九期!$K$9*比赛参数!$D$30*比赛参数!$F$30*$CU$89/第九期!$AC$11,0)</f>
        <v>0</v>
      </c>
      <c r="CR95" s="60">
        <f>IF(第九期!$AC$11&gt;0,第九期!$K$9*比赛参数!$D$30*比赛参数!$F$30*$CU$89/第九期!$AC$11,0)</f>
        <v>0</v>
      </c>
      <c r="CS95" s="60">
        <f>IF(第九期!$AC$11&gt;0,第九期!$K$9*比赛参数!$D$30*比赛参数!$F$30*$CU$89/第九期!$AC$11,0)</f>
        <v>0</v>
      </c>
      <c r="CT95" s="60">
        <f>IF(第九期!$AC$11&gt;0,第九期!$K$9*比赛参数!$D$30*比赛参数!$F$30*$CU$89/第九期!$AC$11,0)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第九期!CX62</f>
        <v>0</v>
      </c>
      <c r="Z96" s="89">
        <f>第九期!CX63</f>
        <v>0</v>
      </c>
      <c r="AA96" s="89">
        <f>第九期!CX64</f>
        <v>0</v>
      </c>
      <c r="AB96" s="89">
        <f>第九期!CX65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IF(第九期!$AC$12&gt;0,第九期!$K$9*比赛参数!$D$30*比赛参数!$F$30*$CU$90/第九期!$AC$12,0)</f>
        <v>0</v>
      </c>
      <c r="CR96" s="60">
        <f>IF(第九期!$AC$12&gt;0,第九期!$K$9*比赛参数!$D$30*比赛参数!$F$30*$CU$90/第九期!$AC$12,0)</f>
        <v>0</v>
      </c>
      <c r="CS96" s="60">
        <f>IF(第九期!$AC$12&gt;0,第九期!$K$9*比赛参数!$D$30*比赛参数!$F$30*$CU$90/第九期!$AC$12,0)</f>
        <v>0</v>
      </c>
      <c r="CT96" s="60">
        <f>IF(第九期!$AC$12&gt;0,第九期!$K$9*比赛参数!$D$30*比赛参数!$F$30*$CU$90/第九期!$AC$12,0)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第九期!CY62</f>
        <v>0</v>
      </c>
      <c r="Z97" s="89">
        <f>第九期!CY63</f>
        <v>0</v>
      </c>
      <c r="AA97" s="89">
        <f>第九期!CY64</f>
        <v>0</v>
      </c>
      <c r="AB97" s="89">
        <f>第九期!CY65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第九期!CZ62</f>
        <v>0</v>
      </c>
      <c r="Z98" s="89">
        <f>第九期!CZ63</f>
        <v>0</v>
      </c>
      <c r="AA98" s="89">
        <f>第九期!CZ64</f>
        <v>0</v>
      </c>
      <c r="AB98" s="89">
        <f>第九期!CZ65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第九期!DA62</f>
        <v>0</v>
      </c>
      <c r="Z99" s="89">
        <f>第九期!DA63</f>
        <v>0</v>
      </c>
      <c r="AA99" s="89">
        <f>第九期!DA64</f>
        <v>0</v>
      </c>
      <c r="AB99" s="89">
        <f>第九期!DA65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45" stopIfTrue="1" operator="equal">
      <formula>"人数 YES"</formula>
    </cfRule>
    <cfRule type="cellIs" dxfId="1" priority="46" stopIfTrue="1" operator="equal">
      <formula>"人数 NO"</formula>
    </cfRule>
  </conditionalFormatting>
  <conditionalFormatting sqref="AH13">
    <cfRule type="cellIs" dxfId="0" priority="38" stopIfTrue="1" operator="greaterThanOrEqual">
      <formula>0</formula>
    </cfRule>
    <cfRule type="cellIs" dxfId="1" priority="39" stopIfTrue="1" operator="lessThan">
      <formula>0</formula>
    </cfRule>
  </conditionalFormatting>
  <conditionalFormatting sqref="AC14">
    <cfRule type="cellIs" dxfId="0" priority="47" stopIfTrue="1" operator="equal">
      <formula>"机器 YES"</formula>
    </cfRule>
    <cfRule type="cellIs" dxfId="1" priority="48" stopIfTrue="1" operator="equal">
      <formula>"机器 NO"</formula>
    </cfRule>
  </conditionalFormatting>
  <conditionalFormatting sqref="AH14">
    <cfRule type="cellIs" dxfId="2" priority="41" stopIfTrue="1" operator="greaterThan">
      <formula>$AJ$14</formula>
    </cfRule>
  </conditionalFormatting>
  <conditionalFormatting sqref="K15">
    <cfRule type="cellIs" dxfId="3" priority="30" stopIfTrue="1" operator="greaterThan">
      <formula>0</formula>
    </cfRule>
  </conditionalFormatting>
  <conditionalFormatting sqref="AC15">
    <cfRule type="cellIs" dxfId="0" priority="49" stopIfTrue="1" operator="equal">
      <formula>"材料 YES"</formula>
    </cfRule>
    <cfRule type="cellIs" dxfId="1" priority="50" stopIfTrue="1" operator="equal">
      <formula>"材料 NO"</formula>
    </cfRule>
  </conditionalFormatting>
  <conditionalFormatting sqref="AH15">
    <cfRule type="cellIs" dxfId="3" priority="40" stopIfTrue="1" operator="greaterThan">
      <formula>$AJ$15</formula>
    </cfRule>
  </conditionalFormatting>
  <conditionalFormatting sqref="Y18">
    <cfRule type="cellIs" dxfId="3" priority="43" stopIfTrue="1" operator="greaterThan">
      <formula>$Y$19</formula>
    </cfRule>
  </conditionalFormatting>
  <conditionalFormatting sqref="AA18">
    <cfRule type="cellIs" dxfId="3" priority="53" stopIfTrue="1" operator="lessThan">
      <formula>$AA$19</formula>
    </cfRule>
  </conditionalFormatting>
  <conditionalFormatting sqref="AC18">
    <cfRule type="cellIs" dxfId="3" priority="44" stopIfTrue="1" operator="lessThan">
      <formula>$AC$19</formula>
    </cfRule>
  </conditionalFormatting>
  <conditionalFormatting sqref="AJ18">
    <cfRule type="cellIs" dxfId="3" priority="37" stopIfTrue="1" operator="greaterThan">
      <formula>$AJ$19</formula>
    </cfRule>
  </conditionalFormatting>
  <conditionalFormatting sqref="BW76">
    <cfRule type="cellIs" dxfId="4" priority="42" stopIfTrue="1" operator="equal">
      <formula>"YES"</formula>
    </cfRule>
  </conditionalFormatting>
  <conditionalFormatting sqref="Y92">
    <cfRule type="cellIs" dxfId="3" priority="33" stopIfTrue="1" operator="greaterThan">
      <formula>$Y$93</formula>
    </cfRule>
  </conditionalFormatting>
  <conditionalFormatting sqref="Z92">
    <cfRule type="cellIs" dxfId="3" priority="34" stopIfTrue="1" operator="greaterThan">
      <formula>$Z$93</formula>
    </cfRule>
  </conditionalFormatting>
  <conditionalFormatting sqref="AA92">
    <cfRule type="cellIs" dxfId="3" priority="35" stopIfTrue="1" operator="greaterThan">
      <formula>$AA$93</formula>
    </cfRule>
  </conditionalFormatting>
  <conditionalFormatting sqref="AB92">
    <cfRule type="cellIs" dxfId="3" priority="36" stopIfTrue="1" operator="greaterThan">
      <formula>$AB$93</formula>
    </cfRule>
  </conditionalFormatting>
  <conditionalFormatting sqref="AC92">
    <cfRule type="cellIs" dxfId="0" priority="31" stopIfTrue="1" operator="equal">
      <formula>"YES"</formula>
    </cfRule>
    <cfRule type="cellIs" dxfId="1" priority="32" stopIfTrue="1" operator="equal">
      <formula>"NO"</formula>
    </cfRule>
  </conditionalFormatting>
  <conditionalFormatting sqref="AJ21:AJ23">
    <cfRule type="cellIs" dxfId="5" priority="51" stopIfTrue="1" operator="greaterThan">
      <formula>$AJ$20</formula>
    </cfRule>
  </conditionalFormatting>
  <conditionalFormatting sqref="BE132:BE133">
    <cfRule type="expression" dxfId="6" priority="26" stopIfTrue="1">
      <formula>(第九期!#REF!-$BE$54)&lt;0</formula>
    </cfRule>
  </conditionalFormatting>
  <conditionalFormatting sqref="BF132:BF133">
    <cfRule type="expression" dxfId="6" priority="27" stopIfTrue="1">
      <formula>(第九期!#REF!-$BF$54)&lt;0</formula>
    </cfRule>
  </conditionalFormatting>
  <conditionalFormatting sqref="BG132:BG133">
    <cfRule type="expression" dxfId="6" priority="28" stopIfTrue="1">
      <formula>(第九期!#REF!-$BG$54)&lt;0</formula>
    </cfRule>
  </conditionalFormatting>
  <conditionalFormatting sqref="BH132:BH133">
    <cfRule type="expression" dxfId="6" priority="29" stopIfTrue="1">
      <formula>(第九期!#REF!-$BH$54)&lt;0</formula>
    </cfRule>
  </conditionalFormatting>
  <conditionalFormatting sqref="AJ40:AN43">
    <cfRule type="cellIs" dxfId="7" priority="6" stopIfTrue="1" operator="equal">
      <formula>CJ70+0.0001</formula>
    </cfRule>
  </conditionalFormatting>
  <conditionalFormatting sqref="AS57:BH76">
    <cfRule type="expression" dxfId="6" priority="10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16" workbookViewId="0">
      <selection activeCell="Y23" sqref="Y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第十期!AF76</f>
        <v>0</v>
      </c>
      <c r="BT7" s="182">
        <f>第十期!AF77</f>
        <v>0</v>
      </c>
      <c r="BU7" s="182">
        <f>第十期!AF78</f>
        <v>0</v>
      </c>
      <c r="BV7" s="182">
        <f>第十期!AF79</f>
        <v>0</v>
      </c>
      <c r="BW7" s="184">
        <f>第十期!$AF$80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第十期!$AG$76</f>
        <v>0</v>
      </c>
      <c r="BT8" s="182">
        <f>第十期!$AG$77</f>
        <v>0</v>
      </c>
      <c r="BU8" s="182">
        <f>第十期!$AG$78</f>
        <v>0</v>
      </c>
      <c r="BV8" s="182">
        <f>第十期!$AG$79</f>
        <v>0</v>
      </c>
      <c r="BW8" s="184">
        <f>第十期!$AG$80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第十期!$AH$76</f>
        <v>0</v>
      </c>
      <c r="BT9" s="182">
        <f>第十期!$AH$77</f>
        <v>0</v>
      </c>
      <c r="BU9" s="182">
        <f>第十期!$AH$78</f>
        <v>0</v>
      </c>
      <c r="BV9" s="182">
        <f>第十期!$AH$79</f>
        <v>0</v>
      </c>
      <c r="BW9" s="184">
        <f>第十期!$AH$80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第十期!$AI$76</f>
        <v>0</v>
      </c>
      <c r="BT10" s="182">
        <f>第十期!$AI$77</f>
        <v>0</v>
      </c>
      <c r="BU10" s="182">
        <f>第十期!$AI$78</f>
        <v>0</v>
      </c>
      <c r="BV10" s="182">
        <f>第十期!$AI$79</f>
        <v>0</v>
      </c>
      <c r="BW10" s="184">
        <f>第十期!$AI$80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第十期!$AJ$76</f>
        <v>0</v>
      </c>
      <c r="BT11" s="184">
        <f>第十期!$AJ$77</f>
        <v>0</v>
      </c>
      <c r="BU11" s="184">
        <f>第十期!$AJ$78</f>
        <v>0</v>
      </c>
      <c r="BV11" s="184">
        <f>第十期!$AJ$79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第十期!BU86</f>
        <v>0</v>
      </c>
      <c r="AG13" s="124" t="s">
        <v>309</v>
      </c>
      <c r="AH13" s="125">
        <f>第十期!BV76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第十期!BW92</f>
        <v>0</v>
      </c>
      <c r="AG14" s="68" t="s">
        <v>315</v>
      </c>
      <c r="AH14" s="127"/>
      <c r="AI14" s="39" t="s">
        <v>189</v>
      </c>
      <c r="AJ14" s="128">
        <f>第十期!K12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第十期!Y88</f>
        <v>0</v>
      </c>
      <c r="BT14" s="182">
        <f>第十期!Y89</f>
        <v>0</v>
      </c>
      <c r="BU14" s="182">
        <f>第十期!Y90</f>
        <v>0</v>
      </c>
      <c r="BV14" s="182">
        <f>第十期!Y91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AF14/(Y18+第十期!K8-AA18)</f>
        <v>#DIV/0!</v>
      </c>
      <c r="AG15" s="68" t="s">
        <v>321</v>
      </c>
      <c r="AH15" s="127"/>
      <c r="AI15" s="39" t="s">
        <v>322</v>
      </c>
      <c r="AJ15" s="128">
        <f>第十期!K16*0.5-第十期!K14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第十期!Z88</f>
        <v>0</v>
      </c>
      <c r="BT15" s="182">
        <f>第十期!Z89</f>
        <v>0</v>
      </c>
      <c r="BU15" s="182">
        <f>第十期!Z90</f>
        <v>0</v>
      </c>
      <c r="BV15" s="182">
        <f>第十期!Z91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第十期!DM60</f>
        <v>0</v>
      </c>
      <c r="Z16" s="87" t="s">
        <v>325</v>
      </c>
      <c r="AA16" s="88">
        <f>AH20+Y16+第十期!K9*比赛参数!D30*比赛参数!F30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第十期!AA88</f>
        <v>0</v>
      </c>
      <c r="BT16" s="182">
        <f>第十期!AA89</f>
        <v>0</v>
      </c>
      <c r="BU16" s="182">
        <f>第十期!AA90</f>
        <v>0</v>
      </c>
      <c r="BV16" s="182">
        <f>第十期!AA91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第十期!AB88</f>
        <v>0</v>
      </c>
      <c r="BT17" s="182">
        <f>第十期!AB89</f>
        <v>0</v>
      </c>
      <c r="BU17" s="182">
        <f>第十期!AB90</f>
        <v>0</v>
      </c>
      <c r="BV17" s="182">
        <f>第十期!AB91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第十期!K8*比赛参数!D57</f>
        <v>0</v>
      </c>
      <c r="Z19" s="48" t="s">
        <v>351</v>
      </c>
      <c r="AA19" s="94">
        <f>第十期!K8*比赛参数!D60</f>
        <v>0</v>
      </c>
      <c r="AB19" s="48" t="s">
        <v>351</v>
      </c>
      <c r="AC19" s="99">
        <f>IF((AC21-第十期!K10)/比赛参数!D41&gt;0,(AC21-第十期!K10)/比赛参数!D41,0)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IF((第十期!BW92-第十期!BS87)&gt;0,第十期!BW92-第十期!BS87,0)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第十期!$CX$68</f>
        <v>0</v>
      </c>
      <c r="CD19" s="101">
        <f>第十期!$CX$69</f>
        <v>0</v>
      </c>
      <c r="CE19" s="101">
        <f>第十期!$CX$70</f>
        <v>0</v>
      </c>
      <c r="CF19" s="101">
        <f>第十期!$CX$71</f>
        <v>0</v>
      </c>
      <c r="CG19" s="50"/>
      <c r="CH19" s="201"/>
      <c r="CI19" s="202" t="s">
        <v>56</v>
      </c>
      <c r="CJ19" s="101">
        <f>第十期!$CX$50</f>
        <v>0</v>
      </c>
      <c r="CK19" s="101">
        <f>第十期!$CX$51</f>
        <v>0</v>
      </c>
      <c r="CL19" s="101">
        <f>第十期!$CX$52</f>
        <v>0</v>
      </c>
      <c r="CM19" s="101">
        <f>第十期!$CX$53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第十期!K8+第十期!Y18*比赛参数!D59-第十期!AA18</f>
        <v>0</v>
      </c>
      <c r="Z20" s="39" t="s">
        <v>346</v>
      </c>
      <c r="AA20" s="102">
        <f>第十期!K9</f>
        <v>0</v>
      </c>
      <c r="AB20" s="39" t="s">
        <v>358</v>
      </c>
      <c r="AC20" s="103">
        <f>AC18*比赛参数!D41+第十期!K10</f>
        <v>0</v>
      </c>
      <c r="AE20" s="9" t="s">
        <v>359</v>
      </c>
      <c r="AF20" s="96"/>
      <c r="AG20" s="39" t="s">
        <v>178</v>
      </c>
      <c r="AH20" s="136">
        <f>第十期!BS62+第十期!BS71</f>
        <v>0</v>
      </c>
      <c r="AI20" s="68" t="s">
        <v>360</v>
      </c>
      <c r="AJ20" s="103">
        <f>第十期!BV90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第十期!Y9</f>
        <v>0</v>
      </c>
      <c r="BT20" s="182">
        <f>第十期!Z9</f>
        <v>0</v>
      </c>
      <c r="BU20" s="182">
        <f>第十期!AA9</f>
        <v>0</v>
      </c>
      <c r="BV20" s="182">
        <f>第十期!AB9</f>
        <v>0</v>
      </c>
      <c r="BW20" s="184">
        <f>第十期!AJ34</f>
        <v>0</v>
      </c>
      <c r="CA20" s="194"/>
      <c r="CB20" s="180" t="s">
        <v>57</v>
      </c>
      <c r="CC20" s="101">
        <f>第十期!$CY$68</f>
        <v>0</v>
      </c>
      <c r="CD20" s="101">
        <f>第十期!$CY$69</f>
        <v>0</v>
      </c>
      <c r="CE20" s="101">
        <f>第十期!$CY$70</f>
        <v>0</v>
      </c>
      <c r="CF20" s="101">
        <f>第十期!$CY$71</f>
        <v>0</v>
      </c>
      <c r="CG20" s="50"/>
      <c r="CH20" s="201"/>
      <c r="CI20" s="203" t="s">
        <v>57</v>
      </c>
      <c r="CJ20" s="101">
        <f>第十期!$CY$50</f>
        <v>0</v>
      </c>
      <c r="CK20" s="101">
        <f>第十期!$CY$51</f>
        <v>0</v>
      </c>
      <c r="CL20" s="101">
        <f>第十期!$CY$52</f>
        <v>0</v>
      </c>
      <c r="CM20" s="101">
        <f>第十期!$CY$53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第十期!Y10</f>
        <v>0</v>
      </c>
      <c r="BT21" s="182">
        <f>第十期!Z10</f>
        <v>0</v>
      </c>
      <c r="BU21" s="182">
        <f>第十期!AA10</f>
        <v>0</v>
      </c>
      <c r="BV21" s="182">
        <f>第十期!AB10</f>
        <v>0</v>
      </c>
      <c r="BW21" s="184">
        <f>第十期!AJ35</f>
        <v>0</v>
      </c>
      <c r="CA21" s="194"/>
      <c r="CB21" s="180" t="s">
        <v>58</v>
      </c>
      <c r="CC21" s="101">
        <f>第十期!$CZ$68</f>
        <v>0</v>
      </c>
      <c r="CD21" s="101">
        <f>第十期!$CZ$69</f>
        <v>0</v>
      </c>
      <c r="CE21" s="101">
        <f>第十期!$CZ$70</f>
        <v>0</v>
      </c>
      <c r="CF21" s="101">
        <f>第十期!$CZ$71</f>
        <v>0</v>
      </c>
      <c r="CG21" s="50"/>
      <c r="CH21" s="201"/>
      <c r="CI21" s="203" t="s">
        <v>58</v>
      </c>
      <c r="CJ21" s="101">
        <f>第十期!$CZ$50</f>
        <v>0</v>
      </c>
      <c r="CK21" s="101">
        <f>第十期!$CZ$51</f>
        <v>0</v>
      </c>
      <c r="CL21" s="101">
        <f>第十期!$CZ$52</f>
        <v>0</v>
      </c>
      <c r="CM21" s="101">
        <f>第十期!$CZ$53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第十期!Y11</f>
        <v>0</v>
      </c>
      <c r="BT22" s="182">
        <f>第十期!Z11</f>
        <v>0</v>
      </c>
      <c r="BU22" s="182">
        <f>第十期!AA11</f>
        <v>0</v>
      </c>
      <c r="BV22" s="182">
        <f>第十期!AB11</f>
        <v>0</v>
      </c>
      <c r="BW22" s="184">
        <f>第十期!AJ36</f>
        <v>0</v>
      </c>
      <c r="CA22" s="194"/>
      <c r="CB22" s="180" t="s">
        <v>59</v>
      </c>
      <c r="CC22" s="101">
        <f>第十期!$DA$68</f>
        <v>0</v>
      </c>
      <c r="CD22" s="101">
        <f>第十期!$DA$69</f>
        <v>0</v>
      </c>
      <c r="CE22" s="101">
        <f>第十期!$DA$70</f>
        <v>0</v>
      </c>
      <c r="CF22" s="101">
        <f>第十期!$DA$71</f>
        <v>0</v>
      </c>
      <c r="CG22" s="50"/>
      <c r="CH22" s="201"/>
      <c r="CI22" s="203" t="s">
        <v>59</v>
      </c>
      <c r="CJ22" s="101">
        <f>第十期!$DA$50</f>
        <v>0</v>
      </c>
      <c r="CK22" s="101">
        <f>第十期!$DA$51</f>
        <v>0</v>
      </c>
      <c r="CL22" s="101">
        <f>第十期!$DA$52</f>
        <v>0</v>
      </c>
      <c r="CM22" s="101">
        <f>第十期!$DA$53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第十期!Y12</f>
        <v>0</v>
      </c>
      <c r="BT23" s="182">
        <f>第十期!Z12</f>
        <v>0</v>
      </c>
      <c r="BU23" s="182">
        <f>第十期!AA12</f>
        <v>0</v>
      </c>
      <c r="BV23" s="182">
        <f>第十期!AB12</f>
        <v>0</v>
      </c>
      <c r="BW23" s="184">
        <f>第十期!AJ37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第十期!BV57-第十期!BV76</f>
        <v>0</v>
      </c>
      <c r="AJ26" s="60">
        <f>第十期!K9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第十期!Y18</f>
        <v>0</v>
      </c>
      <c r="BT26" s="182">
        <f>第十期!AA18</f>
        <v>0</v>
      </c>
      <c r="BU26" s="182">
        <f>第十期!AF18</f>
        <v>0</v>
      </c>
      <c r="BV26" s="186">
        <f>第十期!AC18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第十期!DB53</f>
        <v>0</v>
      </c>
      <c r="BQ29" s="162"/>
      <c r="BS29" s="186">
        <f>第十期!AH14</f>
        <v>0</v>
      </c>
      <c r="BT29" s="186">
        <f>第十期!AH15</f>
        <v>0</v>
      </c>
      <c r="BU29" s="182">
        <f>第十期!AF20</f>
        <v>0</v>
      </c>
      <c r="BV29" s="186">
        <f>第十期!AJ18</f>
        <v>0</v>
      </c>
      <c r="BW29" s="182">
        <f>第十期!AH18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第十期!DG56*第十期!DG50+第十期!DG64*第十期!Y88</f>
        <v>0</v>
      </c>
      <c r="CD38" s="102">
        <f>第十期!DH56*第十期!DH50+第十期!DH64*第十期!Z88</f>
        <v>0</v>
      </c>
      <c r="CE38" s="102">
        <f>第十期!DI56*第十期!DI50+第十期!DI64*第十期!AA88</f>
        <v>0</v>
      </c>
      <c r="CF38" s="102">
        <f>第十期!DJ56*第十期!DJ50+第十期!DJ64*第十期!AB88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第十期!DG57*第十期!DG51+第十期!DG65*第十期!Y89</f>
        <v>0</v>
      </c>
      <c r="CD39" s="102">
        <f>第十期!DH57*第十期!DH51+第十期!DH65*第十期!Z89</f>
        <v>0</v>
      </c>
      <c r="CE39" s="102">
        <f>第十期!DI57*第十期!DI51+第十期!DI65*第十期!AA89</f>
        <v>0</v>
      </c>
      <c r="CF39" s="102">
        <f>第十期!DJ57*第十期!DJ51+第十期!DJ65*第十期!AB89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第十期!DG58*第十期!DG52+第十期!DG66*第十期!Y90</f>
        <v>0</v>
      </c>
      <c r="CD40" s="102">
        <f>第十期!DH58*第十期!DH52+第十期!DH66*第十期!Z90</f>
        <v>0</v>
      </c>
      <c r="CE40" s="102">
        <f>第十期!DI58*第十期!DI52+第十期!DI66*第十期!AA90</f>
        <v>0</v>
      </c>
      <c r="CF40" s="102">
        <f>第十期!DJ58*第十期!DJ52+第十期!DJ66*第十期!AB90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第十期!DG59*第十期!DG53+第十期!DG67*第十期!Y91</f>
        <v>0</v>
      </c>
      <c r="CD41" s="102">
        <f>第十期!DH59*第十期!DH53+第十期!DH67*第十期!Z91</f>
        <v>0</v>
      </c>
      <c r="CE41" s="102">
        <f>第十期!DI59*第十期!DI53+第十期!DI67*第十期!AA91</f>
        <v>0</v>
      </c>
      <c r="CF41" s="102">
        <f>第十期!DJ59*第十期!DJ53+第十期!DJ67*第十期!AB91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第十期!Y9*第十期!CQ62*比赛参数!D65</f>
        <v>0</v>
      </c>
      <c r="CR50" s="60">
        <f>第十期!Z9*第十期!CR62*比赛参数!E65</f>
        <v>0</v>
      </c>
      <c r="CS50" s="60">
        <f>第十期!AA9*第十期!CS62*比赛参数!F65</f>
        <v>0</v>
      </c>
      <c r="CT50" s="60">
        <f>第十期!AB9*第十期!CT62*比赛参数!G65</f>
        <v>0</v>
      </c>
      <c r="CU50" s="60">
        <f>IF(第十期!AC9&gt;0,SUM(CQ50:CT50)/第十期!AC9,0)</f>
        <v>0</v>
      </c>
      <c r="CW50" s="9" t="s">
        <v>38</v>
      </c>
      <c r="CX50" s="215">
        <f>IF(第十期!$CU$50*第十期!CQ93&gt;0,第十期!$CU$50+第十期!CQ68+第十期!CQ93+第十期!CQ74,0)</f>
        <v>0</v>
      </c>
      <c r="CY50" s="215">
        <f>IF(第十期!$CU$50*第十期!CR93&gt;0,第十期!$CU$50+第十期!CR68+第十期!CR93+第十期!CR74,0)</f>
        <v>0</v>
      </c>
      <c r="CZ50" s="215">
        <f>IF(第十期!$CU$50*第十期!CS93&gt;0,第十期!$CU$50+第十期!CS68+第十期!CS93+第十期!CS74,0)</f>
        <v>0</v>
      </c>
      <c r="DA50" s="215">
        <f>IF(第十期!$CU$50*第十期!CT93&gt;0,第十期!$CU$50+第十期!CT68+第十期!CT93+第十期!CT74,0)</f>
        <v>0</v>
      </c>
      <c r="DB50" s="215">
        <f>AVERAGE(CX50:DA50)</f>
        <v>0</v>
      </c>
      <c r="DF50" s="60" t="s">
        <v>56</v>
      </c>
      <c r="DG50" s="218">
        <f>IF(第十期!Y88&gt;0,1,0)</f>
        <v>0</v>
      </c>
      <c r="DH50" s="218">
        <f>IF(第十期!Z88&gt;0,1,0)</f>
        <v>0</v>
      </c>
      <c r="DI50" s="218">
        <f>IF(第十期!AA88&gt;0,1,0)</f>
        <v>0</v>
      </c>
      <c r="DJ50" s="218">
        <f>IF(第十期!AB88&gt;0,1,0)</f>
        <v>0</v>
      </c>
      <c r="DL50" s="218" t="s">
        <v>21</v>
      </c>
      <c r="DM50" s="219">
        <f>IF(第十期!Y9+第十期!Z9&gt;0,1,0)</f>
        <v>0</v>
      </c>
      <c r="DN50" s="219">
        <f>IF(第十期!AA9+第十期!AB9&gt;0,1,0)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第十期!Y10*第十期!CQ63*比赛参数!D65</f>
        <v>0</v>
      </c>
      <c r="CR51" s="60">
        <f>第十期!Z10*第十期!CR63*比赛参数!E65</f>
        <v>0</v>
      </c>
      <c r="CS51" s="60">
        <f>第十期!AA10*第十期!CS63*比赛参数!F65</f>
        <v>0</v>
      </c>
      <c r="CT51" s="60">
        <f>第十期!AB10*第十期!CT63*比赛参数!G65</f>
        <v>0</v>
      </c>
      <c r="CU51" s="60">
        <f>IF(第十期!AC10&gt;0,SUM(CQ51:CT51)/第十期!AC10,0)</f>
        <v>0</v>
      </c>
      <c r="CW51" s="9" t="s">
        <v>39</v>
      </c>
      <c r="CX51" s="215">
        <f>IF(第十期!$CU$51*第十期!CQ94&gt;0,第十期!$CU$51+第十期!CQ69+第十期!CQ94+第十期!CQ75,0)</f>
        <v>0</v>
      </c>
      <c r="CY51" s="215">
        <f>IF(第十期!$CU$51*第十期!CR94&gt;0,第十期!$CU$51+第十期!CR69+第十期!CR94+第十期!CR75,0)</f>
        <v>0</v>
      </c>
      <c r="CZ51" s="215">
        <f>IF(第十期!$CU$51*第十期!CS94&gt;0,第十期!$CU$51+第十期!CS69+第十期!CS94+第十期!CS75,0)</f>
        <v>0</v>
      </c>
      <c r="DA51" s="215">
        <f>IF(第十期!$CU$51*第十期!CT94&gt;0,第十期!$CU$51+第十期!CT69+第十期!CT94+第十期!CT75,0)</f>
        <v>0</v>
      </c>
      <c r="DB51" s="215">
        <f>AVERAGE(CX51:DA51)</f>
        <v>0</v>
      </c>
      <c r="DF51" s="60" t="s">
        <v>57</v>
      </c>
      <c r="DG51" s="218">
        <f>IF(第十期!Y89&gt;0,1,0)</f>
        <v>0</v>
      </c>
      <c r="DH51" s="218">
        <f>IF(第十期!Z89&gt;0,1,0)</f>
        <v>0</v>
      </c>
      <c r="DI51" s="218">
        <f>IF(第十期!AA89&gt;0,1,0)</f>
        <v>0</v>
      </c>
      <c r="DJ51" s="218">
        <f>IF(第十期!AB89&gt;0,1,0)</f>
        <v>0</v>
      </c>
      <c r="DL51" s="218" t="s">
        <v>22</v>
      </c>
      <c r="DM51" s="219">
        <f>IF(第十期!Y10+第十期!Z10&gt;0,1,0)</f>
        <v>0</v>
      </c>
      <c r="DN51" s="219">
        <f>IF(第十期!AA10+第十期!AB10&gt;0,1,0)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第十期!Y11*第十期!CQ64*比赛参数!D65</f>
        <v>0</v>
      </c>
      <c r="CR52" s="60">
        <f>第十期!Z11*第十期!CR64*比赛参数!E65</f>
        <v>0</v>
      </c>
      <c r="CS52" s="60">
        <f>第十期!AA11*第十期!CS64*比赛参数!F65</f>
        <v>0</v>
      </c>
      <c r="CT52" s="60">
        <f>第十期!AB11*第十期!CT64*比赛参数!G65</f>
        <v>0</v>
      </c>
      <c r="CU52" s="60">
        <f>IF(第十期!AC11&gt;0,SUM(CQ52:CT52)/第十期!AC11,0)</f>
        <v>0</v>
      </c>
      <c r="CW52" s="9" t="s">
        <v>40</v>
      </c>
      <c r="CX52" s="215">
        <f>IF(第十期!$CU$52*第十期!CQ95&gt;0,第十期!$CU$52+第十期!CQ70+第十期!CQ95+第十期!CQ76,0)</f>
        <v>0</v>
      </c>
      <c r="CY52" s="215">
        <f>IF(第十期!$CU$52*第十期!CR95&gt;0,第十期!$CU$52+第十期!CR70+第十期!CR95+第十期!CR76,0)</f>
        <v>0</v>
      </c>
      <c r="CZ52" s="215">
        <f>IF(第十期!$CU$52*第十期!CS95&gt;0,第十期!$CU$52+第十期!CS70+第十期!CS95+第十期!CS76,0)</f>
        <v>0</v>
      </c>
      <c r="DA52" s="215">
        <f>IF(第十期!$CU$52*第十期!CT95&gt;0,第十期!$CU$52+第十期!CT70+第十期!CT95+第十期!CT76,0)</f>
        <v>0</v>
      </c>
      <c r="DB52" s="215">
        <f>AVERAGE(CX52:DA52)</f>
        <v>0</v>
      </c>
      <c r="DF52" s="60" t="s">
        <v>58</v>
      </c>
      <c r="DG52" s="218">
        <f>IF(第十期!Y90&gt;0,1,0)</f>
        <v>0</v>
      </c>
      <c r="DH52" s="218">
        <f>IF(第十期!Z90&gt;0,1,0)</f>
        <v>0</v>
      </c>
      <c r="DI52" s="218">
        <f>IF(第十期!AA90&gt;0,1,0)</f>
        <v>0</v>
      </c>
      <c r="DJ52" s="218">
        <f>IF(第十期!AB90&gt;0,1,0)</f>
        <v>0</v>
      </c>
      <c r="DL52" s="218" t="s">
        <v>23</v>
      </c>
      <c r="DM52" s="219">
        <f>IF(第十期!Y11+第十期!Z11&gt;0,1,0)</f>
        <v>0</v>
      </c>
      <c r="DN52" s="219">
        <f>IF(第十期!AA11+第十期!AB11&gt;0,1,0)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第十期!Y12*第十期!CQ65*比赛参数!D65</f>
        <v>0</v>
      </c>
      <c r="CR53" s="60">
        <f>第十期!Z12*第十期!CR65*比赛参数!E65</f>
        <v>0</v>
      </c>
      <c r="CS53" s="60">
        <f>第十期!AA12*第十期!CS65*比赛参数!F65</f>
        <v>0</v>
      </c>
      <c r="CT53" s="60">
        <f>第十期!AB12*第十期!CT65*比赛参数!G65</f>
        <v>0</v>
      </c>
      <c r="CU53" s="60">
        <f>IF(第十期!AC12&gt;0,SUM(CQ53:CT53)/第十期!AC12,0)</f>
        <v>0</v>
      </c>
      <c r="CW53" s="9" t="s">
        <v>41</v>
      </c>
      <c r="CX53" s="215">
        <f>IF(第十期!$CU$53*第十期!CQ96&gt;0,第十期!$CU$53+第十期!CQ71+第十期!CQ96+第十期!CQ77,0)</f>
        <v>0</v>
      </c>
      <c r="CY53" s="215">
        <f>IF(第十期!$CU$53*第十期!CR96&gt;0,第十期!$CU$53+第十期!CR71+第十期!CR96+第十期!CR77,0)</f>
        <v>0</v>
      </c>
      <c r="CZ53" s="215">
        <f>IF(第十期!$CU$53*第十期!CS96&gt;0,第十期!$CU$53+第十期!CS71+第十期!CS96+第十期!CS77,0)</f>
        <v>0</v>
      </c>
      <c r="DA53" s="215">
        <f>IF(第十期!$CU$53*第十期!CT96&gt;0,第十期!$CU$53+第十期!CT71+第十期!CT96+第十期!CT77,0)</f>
        <v>0</v>
      </c>
      <c r="DB53" s="215">
        <f>AVERAGE(CX53:DA53)</f>
        <v>0</v>
      </c>
      <c r="DF53" s="60" t="s">
        <v>59</v>
      </c>
      <c r="DG53" s="218">
        <f>IF(第十期!Y91&gt;0,1,0)</f>
        <v>0</v>
      </c>
      <c r="DH53" s="218">
        <f>IF(第十期!Z91&gt;0,1,0)</f>
        <v>0</v>
      </c>
      <c r="DI53" s="218">
        <f>IF(第十期!AA91&gt;0,1,0)</f>
        <v>0</v>
      </c>
      <c r="DJ53" s="218">
        <f>IF(第十期!AB91&gt;0,1,0)</f>
        <v>0</v>
      </c>
      <c r="DL53" s="218" t="s">
        <v>24</v>
      </c>
      <c r="DM53" s="219">
        <f>IF(第十期!Y12+第十期!Z12&gt;0,1,0)</f>
        <v>0</v>
      </c>
      <c r="DN53" s="219">
        <f>IF(第十期!AA12+第十期!AB12&gt;0,1,0)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第十期!DU26</f>
        <v>0</v>
      </c>
      <c r="CD56" s="102">
        <f>第十期!DU27</f>
        <v>0</v>
      </c>
      <c r="CE56" s="102">
        <f>第十期!DU28</f>
        <v>0</v>
      </c>
      <c r="CF56" s="102">
        <f>第十期!DU29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第十期!BS7-第十期!CX50</f>
        <v>0</v>
      </c>
      <c r="CY56" s="215">
        <f>第十期!BT7-第十期!CY50</f>
        <v>0</v>
      </c>
      <c r="CZ56" s="215">
        <f>第十期!BU7-第十期!CZ50</f>
        <v>0</v>
      </c>
      <c r="DA56" s="215">
        <f>第十期!BV7-第十期!DA50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第十期!DX6</f>
        <v>0</v>
      </c>
      <c r="Z57" s="102">
        <f>第十期!DX10</f>
        <v>0</v>
      </c>
      <c r="AA57" s="102">
        <f>第十期!DX14</f>
        <v>0</v>
      </c>
      <c r="AB57" s="102">
        <f>第十期!DX18</f>
        <v>0</v>
      </c>
      <c r="AC57" s="119"/>
      <c r="AE57" s="59" t="s">
        <v>56</v>
      </c>
      <c r="AF57" s="102">
        <f>第十期!DW6</f>
        <v>0</v>
      </c>
      <c r="AG57" s="102">
        <f>第十期!DW10</f>
        <v>0</v>
      </c>
      <c r="AH57" s="102">
        <f>第十期!DW14</f>
        <v>0</v>
      </c>
      <c r="AI57" s="102">
        <f>第十期!DW18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第十期!BS8-第十期!CX51</f>
        <v>0</v>
      </c>
      <c r="CY57" s="215">
        <f>第十期!BT8-第十期!CY51</f>
        <v>0</v>
      </c>
      <c r="CZ57" s="215">
        <f>第十期!BU8-第十期!CZ51</f>
        <v>0</v>
      </c>
      <c r="DA57" s="215">
        <f>第十期!BV8-第十期!DA51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第十期!DX7</f>
        <v>0</v>
      </c>
      <c r="Z58" s="102">
        <f>第十期!DX11</f>
        <v>0</v>
      </c>
      <c r="AA58" s="102">
        <f>第十期!DX15</f>
        <v>0</v>
      </c>
      <c r="AB58" s="102">
        <f>第十期!DX19</f>
        <v>0</v>
      </c>
      <c r="AC58" s="119"/>
      <c r="AE58" s="9" t="s">
        <v>57</v>
      </c>
      <c r="AF58" s="102">
        <f>第十期!DW7</f>
        <v>0</v>
      </c>
      <c r="AG58" s="102">
        <f>第十期!DW11</f>
        <v>0</v>
      </c>
      <c r="AH58" s="102">
        <f>第十期!DW15</f>
        <v>0</v>
      </c>
      <c r="AI58" s="102">
        <f>第十期!DW19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第十期!H5+第十期!H4*比赛参数!F71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第十期!BS9-第十期!CX52</f>
        <v>0</v>
      </c>
      <c r="CY58" s="215">
        <f>第十期!BT9-第十期!CY52</f>
        <v>0</v>
      </c>
      <c r="CZ58" s="215">
        <f>第十期!BU9-第十期!CZ52</f>
        <v>0</v>
      </c>
      <c r="DA58" s="215">
        <f>第十期!BV9-第十期!DA52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第十期!DX8</f>
        <v>0</v>
      </c>
      <c r="Z59" s="102">
        <f>第十期!DX12</f>
        <v>0</v>
      </c>
      <c r="AA59" s="102">
        <f>第十期!DX16</f>
        <v>0</v>
      </c>
      <c r="AB59" s="102">
        <f>第十期!DX20</f>
        <v>0</v>
      </c>
      <c r="AC59" s="120"/>
      <c r="AE59" s="9" t="s">
        <v>58</v>
      </c>
      <c r="AF59" s="102">
        <f>第十期!DW8</f>
        <v>0</v>
      </c>
      <c r="AG59" s="102">
        <f>第十期!DW12</f>
        <v>0</v>
      </c>
      <c r="AH59" s="102">
        <f>第十期!DW16</f>
        <v>0</v>
      </c>
      <c r="AI59" s="102">
        <f>第十期!DW20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第十期!BS10-第十期!CX53</f>
        <v>0</v>
      </c>
      <c r="CY59" s="215">
        <f>第十期!BT10-第十期!CY53</f>
        <v>0</v>
      </c>
      <c r="CZ59" s="215">
        <f>第十期!BU10-第十期!CZ53</f>
        <v>0</v>
      </c>
      <c r="DA59" s="215">
        <f>第十期!BV10-第十期!DA53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第十期!DX9</f>
        <v>0</v>
      </c>
      <c r="Z60" s="102">
        <f>第十期!DX13</f>
        <v>0</v>
      </c>
      <c r="AA60" s="102">
        <f>第十期!DX17</f>
        <v>0</v>
      </c>
      <c r="AB60" s="102">
        <f>第十期!DX21</f>
        <v>0</v>
      </c>
      <c r="AC60" s="102" t="s">
        <v>415</v>
      </c>
      <c r="AE60" s="9" t="s">
        <v>59</v>
      </c>
      <c r="AF60" s="102">
        <f>第十期!DW9</f>
        <v>0</v>
      </c>
      <c r="AG60" s="102">
        <f>第十期!DW13</f>
        <v>0</v>
      </c>
      <c r="AH60" s="102">
        <f>第十期!DW17</f>
        <v>0</v>
      </c>
      <c r="AI60" s="102">
        <f>第十期!DW21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((第十期!K8-第十期!AA18)*比赛参数!D65+第十期!Y18*比赛参数!D59*比赛参数!D65)*第十期!AH18*520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CX56/第十期!CQ56</f>
        <v>0</v>
      </c>
      <c r="CY62" s="215">
        <f>CY56/第十期!CR56</f>
        <v>0</v>
      </c>
      <c r="CZ62" s="215">
        <f>CZ56/第十期!CS56</f>
        <v>0</v>
      </c>
      <c r="DA62" s="215">
        <f>DA56/第十期!CT56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CX57/第十期!CQ57</f>
        <v>0</v>
      </c>
      <c r="CY63" s="215">
        <f>CY57/第十期!CR57</f>
        <v>0</v>
      </c>
      <c r="CZ63" s="215">
        <f>CZ57/第十期!CS57</f>
        <v>0</v>
      </c>
      <c r="DA63" s="215">
        <f>DA57/第十期!CT57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CX58/第十期!CQ58</f>
        <v>0</v>
      </c>
      <c r="CY64" s="215">
        <f>CY58/第十期!CR58</f>
        <v>0</v>
      </c>
      <c r="CZ64" s="215">
        <f>CZ58/第十期!CS58</f>
        <v>0</v>
      </c>
      <c r="DA64" s="215">
        <f>DA58/第十期!CT58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0.5*第十期!AL37+0.5*第十期!DV23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CX59/第十期!CQ59</f>
        <v>0</v>
      </c>
      <c r="CY65" s="215">
        <f>CY59/第十期!CR59</f>
        <v>0</v>
      </c>
      <c r="CZ65" s="215">
        <f>CZ59/第十期!CS59</f>
        <v>0</v>
      </c>
      <c r="DA65" s="215">
        <f>DA59/第十期!CT59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期!AC18&gt;=比赛参数!D33,(1-比赛参数!E33)*第十期!AC18,0)+IF(AND(第十期!AC18&gt;=比赛参数!D34,第十期!AC18&lt;比赛参数!D33),(1-比赛参数!E34)*第十期!AC18,0)+IF(AND(第十期!AC18&gt;=比赛参数!D35,第十期!AC18&lt;比赛参数!D34),(1-比赛参数!E35)*第十期!AC18,0)+IF(AND(第十期!AC18&gt;=比赛参数!D36,第十期!AC18&lt;比赛参数!D35),(1-比赛参数!E36)*第十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第十期!DV6</f>
        <v>0</v>
      </c>
      <c r="AG70" s="121">
        <f>第十期!DV10</f>
        <v>0</v>
      </c>
      <c r="AH70" s="121">
        <f>第十期!DV14</f>
        <v>0</v>
      </c>
      <c r="AI70" s="121">
        <f>第十期!DV18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IF(第十期!AC18&gt;0,第十期!AC18*比赛参数!E40+比赛参数!E39,0)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第十期!DV7</f>
        <v>0</v>
      </c>
      <c r="AG71" s="121">
        <f>第十期!DV11</f>
        <v>0</v>
      </c>
      <c r="AH71" s="121">
        <f>第十期!DV15</f>
        <v>0</v>
      </c>
      <c r="AI71" s="121">
        <f>第十期!DV19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(第十期!Z13*比赛参数!E65*260+第十期!AA13*(比赛参数!F65-比赛参数!D65)*520+第十期!AB13*比赛参数!G65*260)*第十期!AH18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第十期!DV8</f>
        <v>0</v>
      </c>
      <c r="AG72" s="121">
        <f>第十期!DV12</f>
        <v>0</v>
      </c>
      <c r="AH72" s="121">
        <f>第十期!DV16</f>
        <v>0</v>
      </c>
      <c r="AI72" s="121">
        <f>第十期!DV20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第十期!DV9</f>
        <v>0</v>
      </c>
      <c r="AG73" s="121">
        <f>第十期!DV13</f>
        <v>0</v>
      </c>
      <c r="AH73" s="121">
        <f>第十期!DV17</f>
        <v>0</v>
      </c>
      <c r="AI73" s="121">
        <f>第十期!DV21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第十期!Y9*第十期!CQ56</f>
        <v>0</v>
      </c>
      <c r="CR80" s="60">
        <f>第十期!Z9*第十期!CR56</f>
        <v>0</v>
      </c>
      <c r="CS80" s="60">
        <f>第十期!AA9*第十期!CS56</f>
        <v>0</v>
      </c>
      <c r="CT80" s="60">
        <f>第十期!AB9*第十期!CT56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(第十期!K10+(第十期!AC18+第十期!K10-第十期!AC21))/2*比赛参数!D16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第十期!Y10*第十期!CQ57</f>
        <v>0</v>
      </c>
      <c r="CR81" s="60">
        <f>第十期!Z10*第十期!CR57</f>
        <v>0</v>
      </c>
      <c r="CS81" s="60">
        <f>第十期!AA10*第十期!CS57</f>
        <v>0</v>
      </c>
      <c r="CT81" s="60">
        <f>第十期!AB10*第十期!CT57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第十期!Y11*第十期!CQ58</f>
        <v>0</v>
      </c>
      <c r="CR82" s="60">
        <f>第十期!Z11*第十期!CR58</f>
        <v>0</v>
      </c>
      <c r="CS82" s="60">
        <f>第十期!AA11*第十期!CS58</f>
        <v>0</v>
      </c>
      <c r="CT82" s="60">
        <f>第十期!AB11*第十期!CT58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第十期!Y12*第十期!CQ59</f>
        <v>0</v>
      </c>
      <c r="CR83" s="60">
        <f>第十期!Z12*第十期!CR59</f>
        <v>0</v>
      </c>
      <c r="CS83" s="60">
        <f>第十期!AA12*第十期!CS59</f>
        <v>0</v>
      </c>
      <c r="CT83" s="60">
        <f>第十期!AB12*第十期!CT59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第十期!DS33</f>
        <v>0</v>
      </c>
      <c r="AG86" s="121">
        <f>第十期!DW33</f>
        <v>0</v>
      </c>
      <c r="AH86" s="121">
        <f>第十期!EA33</f>
        <v>0</v>
      </c>
      <c r="AI86" s="121">
        <f>第十期!EE33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第十期!DT33</f>
        <v>0</v>
      </c>
      <c r="AG87" s="121">
        <f>第十期!DX33</f>
        <v>0</v>
      </c>
      <c r="AH87" s="121">
        <f>第十期!EB33</f>
        <v>0</v>
      </c>
      <c r="AI87" s="121">
        <f>第十期!EF33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IF(第十期!BW92&gt;0,IF((第十期!K15+第十期!BW92*比赛参数!D72)&gt;0,第十期!K15+第十期!BW92*比赛参数!D72,0))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第十期!DU33</f>
        <v>0</v>
      </c>
      <c r="AG88" s="121">
        <f>第十期!DY33</f>
        <v>0</v>
      </c>
      <c r="AH88" s="121">
        <f>第十期!EC33</f>
        <v>0</v>
      </c>
      <c r="AI88" s="121">
        <f>第十期!EG33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第十期!DV33</f>
        <v>0</v>
      </c>
      <c r="AG89" s="121">
        <f>第十期!DZ33</f>
        <v>0</v>
      </c>
      <c r="AH89" s="121">
        <f>第十期!ED33</f>
        <v>0</v>
      </c>
      <c r="AI89" s="121">
        <f>第十期!EH33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第十期!BT84</f>
        <v>0</v>
      </c>
      <c r="BT92" s="291" t="s">
        <v>282</v>
      </c>
      <c r="BU92" s="86">
        <f>第十期!BU86</f>
        <v>0</v>
      </c>
      <c r="BV92" s="293" t="s">
        <v>200</v>
      </c>
      <c r="BW92" s="294">
        <f>第十期!BT84-第十期!BU86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AC9*比赛参数!D6+第十期!DU26</f>
        <v>0</v>
      </c>
      <c r="Z93" s="35">
        <f>AC10*比赛参数!D6+第十期!DU27</f>
        <v>0</v>
      </c>
      <c r="AA93" s="35">
        <f>AC11*比赛参数!D6+第十期!DU28</f>
        <v>0</v>
      </c>
      <c r="AB93" s="35">
        <f>AC12*比赛参数!D6+第十期!DU29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IF(第十期!$AC$9&gt;0,第十期!$K$9*比赛参数!$D$30*比赛参数!$F$30*$CU$87/第十期!$AC$9,0)</f>
        <v>0</v>
      </c>
      <c r="CR93" s="60">
        <f>IF(第十期!$AC$9&gt;0,第十期!$K$9*比赛参数!$D$30*比赛参数!$F$30*$CU$87/第十期!$AC$9,0)</f>
        <v>0</v>
      </c>
      <c r="CS93" s="60">
        <f>IF(第十期!$AC$9&gt;0,第十期!$K$9*比赛参数!$D$30*比赛参数!$F$30*$CU$87/第十期!$AC$9,0)</f>
        <v>0</v>
      </c>
      <c r="CT93" s="60">
        <f>IF(第十期!$AC$9&gt;0,第十期!$K$9*比赛参数!$D$30*比赛参数!$F$30*$CU$87/第十期!$AC$9,0)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IF(第十期!$AC$10&gt;0,第十期!$K$9*比赛参数!$D$30*比赛参数!$F$30*$CU$88/第十期!$AC$10,0)</f>
        <v>0</v>
      </c>
      <c r="CR94" s="60">
        <f>IF(第十期!$AC$10&gt;0,第十期!$K$9*比赛参数!$D$30*比赛参数!$F$30*$CU$88/第十期!$AC$10,0)</f>
        <v>0</v>
      </c>
      <c r="CS94" s="60">
        <f>IF(第十期!$AC$10&gt;0,第十期!$K$9*比赛参数!$D$30*比赛参数!$F$30*$CU$88/第十期!$AC$10,0)</f>
        <v>0</v>
      </c>
      <c r="CT94" s="60">
        <f>IF(第十期!$AC$10&gt;0,第十期!$K$9*比赛参数!$D$30*比赛参数!$F$30*$CU$88/第十期!$AC$10,0)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IF(第十期!$AC$11&gt;0,第十期!$K$9*比赛参数!$D$30*比赛参数!$F$30*$CU$89/第十期!$AC$11,0)</f>
        <v>0</v>
      </c>
      <c r="CR95" s="60">
        <f>IF(第十期!$AC$11&gt;0,第十期!$K$9*比赛参数!$D$30*比赛参数!$F$30*$CU$89/第十期!$AC$11,0)</f>
        <v>0</v>
      </c>
      <c r="CS95" s="60">
        <f>IF(第十期!$AC$11&gt;0,第十期!$K$9*比赛参数!$D$30*比赛参数!$F$30*$CU$89/第十期!$AC$11,0)</f>
        <v>0</v>
      </c>
      <c r="CT95" s="60">
        <f>IF(第十期!$AC$11&gt;0,第十期!$K$9*比赛参数!$D$30*比赛参数!$F$30*$CU$89/第十期!$AC$11,0)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第十期!CX62</f>
        <v>0</v>
      </c>
      <c r="Z96" s="89">
        <f>第十期!CX63</f>
        <v>0</v>
      </c>
      <c r="AA96" s="89">
        <f>第十期!CX64</f>
        <v>0</v>
      </c>
      <c r="AB96" s="89">
        <f>第十期!CX65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IF(第十期!$AC$12&gt;0,第十期!$K$9*比赛参数!$D$30*比赛参数!$F$30*$CU$90/第十期!$AC$12,0)</f>
        <v>0</v>
      </c>
      <c r="CR96" s="60">
        <f>IF(第十期!$AC$12&gt;0,第十期!$K$9*比赛参数!$D$30*比赛参数!$F$30*$CU$90/第十期!$AC$12,0)</f>
        <v>0</v>
      </c>
      <c r="CS96" s="60">
        <f>IF(第十期!$AC$12&gt;0,第十期!$K$9*比赛参数!$D$30*比赛参数!$F$30*$CU$90/第十期!$AC$12,0)</f>
        <v>0</v>
      </c>
      <c r="CT96" s="60">
        <f>IF(第十期!$AC$12&gt;0,第十期!$K$9*比赛参数!$D$30*比赛参数!$F$30*$CU$90/第十期!$AC$12,0)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第十期!CY62</f>
        <v>0</v>
      </c>
      <c r="Z97" s="89">
        <f>第十期!CY63</f>
        <v>0</v>
      </c>
      <c r="AA97" s="89">
        <f>第十期!CY64</f>
        <v>0</v>
      </c>
      <c r="AB97" s="89">
        <f>第十期!CY65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第十期!CZ62</f>
        <v>0</v>
      </c>
      <c r="Z98" s="89">
        <f>第十期!CZ63</f>
        <v>0</v>
      </c>
      <c r="AA98" s="89">
        <f>第十期!CZ64</f>
        <v>0</v>
      </c>
      <c r="AB98" s="89">
        <f>第十期!CZ65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第十期!DA62</f>
        <v>0</v>
      </c>
      <c r="Z99" s="89">
        <f>第十期!DA63</f>
        <v>0</v>
      </c>
      <c r="AA99" s="89">
        <f>第十期!DA64</f>
        <v>0</v>
      </c>
      <c r="AB99" s="89">
        <f>第十期!DA65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(第十期!#REF!-$BE$54)&lt;0</formula>
    </cfRule>
  </conditionalFormatting>
  <conditionalFormatting sqref="BF132:BF133">
    <cfRule type="expression" dxfId="6" priority="26" stopIfTrue="1">
      <formula>(第十期!#REF!-$BF$54)&lt;0</formula>
    </cfRule>
  </conditionalFormatting>
  <conditionalFormatting sqref="BG132:BG133">
    <cfRule type="expression" dxfId="6" priority="25" stopIfTrue="1">
      <formula>(第十期!#REF!-$BG$54)&lt;0</formula>
    </cfRule>
  </conditionalFormatting>
  <conditionalFormatting sqref="BH132:BH133">
    <cfRule type="expression" dxfId="6" priority="24" stopIfTrue="1">
      <formula>(第十期!#REF!-$BH$54)&lt;0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Q7" workbookViewId="0">
      <selection activeCell="Y23" sqref="Y23:AB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第十一期!AF76</f>
        <v>0</v>
      </c>
      <c r="BT7" s="182">
        <f>第十一期!AF77</f>
        <v>0</v>
      </c>
      <c r="BU7" s="182">
        <f>第十一期!AF78</f>
        <v>0</v>
      </c>
      <c r="BV7" s="182">
        <f>第十一期!AF79</f>
        <v>0</v>
      </c>
      <c r="BW7" s="184">
        <f>第十一期!$AF$80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第十一期!$AG$76</f>
        <v>0</v>
      </c>
      <c r="BT8" s="182">
        <f>第十一期!$AG$77</f>
        <v>0</v>
      </c>
      <c r="BU8" s="182">
        <f>第十一期!$AG$78</f>
        <v>0</v>
      </c>
      <c r="BV8" s="182">
        <f>第十一期!$AG$79</f>
        <v>0</v>
      </c>
      <c r="BW8" s="184">
        <f>第十一期!$AG$80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第十一期!DB56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第十一期!$AH$76</f>
        <v>0</v>
      </c>
      <c r="BT9" s="182">
        <f>第十一期!$AH$77</f>
        <v>0</v>
      </c>
      <c r="BU9" s="182">
        <f>第十一期!$AH$78</f>
        <v>0</v>
      </c>
      <c r="BV9" s="182">
        <f>第十一期!$AH$79</f>
        <v>0</v>
      </c>
      <c r="BW9" s="184">
        <f>第十一期!$AH$80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第十一期!DB57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第十一期!$AI$76</f>
        <v>0</v>
      </c>
      <c r="BT10" s="182">
        <f>第十一期!$AI$77</f>
        <v>0</v>
      </c>
      <c r="BU10" s="182">
        <f>第十一期!$AI$78</f>
        <v>0</v>
      </c>
      <c r="BV10" s="182">
        <f>第十一期!$AI$79</f>
        <v>0</v>
      </c>
      <c r="BW10" s="184">
        <f>第十一期!$AI$80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第十一期!DB58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第十一期!$AJ$76</f>
        <v>0</v>
      </c>
      <c r="BT11" s="184">
        <f>第十一期!$AJ$77</f>
        <v>0</v>
      </c>
      <c r="BU11" s="184">
        <f>第十一期!$AJ$78</f>
        <v>0</v>
      </c>
      <c r="BV11" s="184">
        <f>第十一期!$AJ$79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第十一期!DB59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第十一期!BU86</f>
        <v>0</v>
      </c>
      <c r="AG13" s="124" t="s">
        <v>309</v>
      </c>
      <c r="AH13" s="125">
        <f>第十一期!BV76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第十一期!BW92</f>
        <v>0</v>
      </c>
      <c r="AG14" s="68" t="s">
        <v>315</v>
      </c>
      <c r="AH14" s="127"/>
      <c r="AI14" s="39" t="s">
        <v>189</v>
      </c>
      <c r="AJ14" s="128">
        <f>第十一期!K12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第十一期!Y88</f>
        <v>0</v>
      </c>
      <c r="BT14" s="182">
        <f>第十一期!Y89</f>
        <v>0</v>
      </c>
      <c r="BU14" s="182">
        <f>第十一期!Y90</f>
        <v>0</v>
      </c>
      <c r="BV14" s="182">
        <f>第十一期!Y91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AF14/(Y18+第十一期!K8-AA18)</f>
        <v>#DIV/0!</v>
      </c>
      <c r="AG15" s="68" t="s">
        <v>321</v>
      </c>
      <c r="AH15" s="127"/>
      <c r="AI15" s="39" t="s">
        <v>322</v>
      </c>
      <c r="AJ15" s="128">
        <f>第十一期!K16*0.5-第十一期!K14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第十一期!Z88</f>
        <v>0</v>
      </c>
      <c r="BT15" s="182">
        <f>第十一期!Z89</f>
        <v>0</v>
      </c>
      <c r="BU15" s="182">
        <f>第十一期!Z90</f>
        <v>0</v>
      </c>
      <c r="BV15" s="182">
        <f>第十一期!Z91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第十一期!DM60</f>
        <v>0</v>
      </c>
      <c r="Z16" s="87" t="s">
        <v>325</v>
      </c>
      <c r="AA16" s="88">
        <f>AH20+Y16+第十一期!K9*比赛参数!D30*比赛参数!F30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第十一期!AA88</f>
        <v>0</v>
      </c>
      <c r="BT16" s="182">
        <f>第十一期!AA89</f>
        <v>0</v>
      </c>
      <c r="BU16" s="182">
        <f>第十一期!AA90</f>
        <v>0</v>
      </c>
      <c r="BV16" s="182">
        <f>第十一期!AA91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第十一期!AB88</f>
        <v>0</v>
      </c>
      <c r="BT17" s="182">
        <f>第十一期!AB89</f>
        <v>0</v>
      </c>
      <c r="BU17" s="182">
        <f>第十一期!AB90</f>
        <v>0</v>
      </c>
      <c r="BV17" s="182">
        <f>第十一期!AB91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第十一期!K8*比赛参数!D57</f>
        <v>0</v>
      </c>
      <c r="Z19" s="48" t="s">
        <v>351</v>
      </c>
      <c r="AA19" s="94">
        <f>第十一期!K8*比赛参数!D60</f>
        <v>0</v>
      </c>
      <c r="AB19" s="48" t="s">
        <v>351</v>
      </c>
      <c r="AC19" s="99">
        <f>IF((AC21-第十一期!K10)/比赛参数!D41&gt;0,(AC21-第十一期!K10)/比赛参数!D41,0)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IF((第十一期!BW92-第十一期!BS87)&gt;0,第十一期!BW92-第十一期!BS87,0)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第十一期!$CX$68</f>
        <v>0</v>
      </c>
      <c r="CD19" s="101">
        <f>第十一期!$CX$69</f>
        <v>0</v>
      </c>
      <c r="CE19" s="101">
        <f>第十一期!$CX$70</f>
        <v>0</v>
      </c>
      <c r="CF19" s="101">
        <f>第十一期!$CX$71</f>
        <v>0</v>
      </c>
      <c r="CG19" s="50"/>
      <c r="CH19" s="201"/>
      <c r="CI19" s="202" t="s">
        <v>56</v>
      </c>
      <c r="CJ19" s="101">
        <f>第十一期!$CX$50</f>
        <v>0</v>
      </c>
      <c r="CK19" s="101">
        <f>第十一期!$CX$51</f>
        <v>0</v>
      </c>
      <c r="CL19" s="101">
        <f>第十一期!$CX$52</f>
        <v>0</v>
      </c>
      <c r="CM19" s="101">
        <f>第十一期!$CX$53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第十一期!K8+第十一期!Y18*比赛参数!D59-第十一期!AA18</f>
        <v>0</v>
      </c>
      <c r="Z20" s="39" t="s">
        <v>346</v>
      </c>
      <c r="AA20" s="102">
        <f>第十一期!K9</f>
        <v>0</v>
      </c>
      <c r="AB20" s="39" t="s">
        <v>358</v>
      </c>
      <c r="AC20" s="103">
        <f>AC18*比赛参数!D41+第十一期!K10</f>
        <v>0</v>
      </c>
      <c r="AE20" s="9" t="s">
        <v>359</v>
      </c>
      <c r="AF20" s="96"/>
      <c r="AG20" s="39" t="s">
        <v>178</v>
      </c>
      <c r="AH20" s="136">
        <f>第十一期!BS62+第十一期!BS71</f>
        <v>0</v>
      </c>
      <c r="AI20" s="68" t="s">
        <v>360</v>
      </c>
      <c r="AJ20" s="103">
        <f>第十一期!BV90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第十一期!Y9</f>
        <v>0</v>
      </c>
      <c r="BT20" s="182">
        <f>第十一期!Z9</f>
        <v>0</v>
      </c>
      <c r="BU20" s="182">
        <f>第十一期!AA9</f>
        <v>0</v>
      </c>
      <c r="BV20" s="182">
        <f>第十一期!AB9</f>
        <v>0</v>
      </c>
      <c r="BW20" s="184">
        <f>第十一期!AJ34</f>
        <v>0</v>
      </c>
      <c r="CA20" s="194"/>
      <c r="CB20" s="180" t="s">
        <v>57</v>
      </c>
      <c r="CC20" s="101">
        <f>第十一期!$CY$68</f>
        <v>0</v>
      </c>
      <c r="CD20" s="101">
        <f>第十一期!$CY$69</f>
        <v>0</v>
      </c>
      <c r="CE20" s="101">
        <f>第十一期!$CY$70</f>
        <v>0</v>
      </c>
      <c r="CF20" s="101">
        <f>第十一期!$CY$71</f>
        <v>0</v>
      </c>
      <c r="CG20" s="50"/>
      <c r="CH20" s="201"/>
      <c r="CI20" s="203" t="s">
        <v>57</v>
      </c>
      <c r="CJ20" s="101">
        <f>第十一期!$CY$50</f>
        <v>0</v>
      </c>
      <c r="CK20" s="101">
        <f>第十一期!$CY$51</f>
        <v>0</v>
      </c>
      <c r="CL20" s="101">
        <f>第十一期!$CY$52</f>
        <v>0</v>
      </c>
      <c r="CM20" s="101">
        <f>第十一期!$CY$53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第十一期!Y10</f>
        <v>0</v>
      </c>
      <c r="BT21" s="182">
        <f>第十一期!Z10</f>
        <v>0</v>
      </c>
      <c r="BU21" s="182">
        <f>第十一期!AA10</f>
        <v>0</v>
      </c>
      <c r="BV21" s="182">
        <f>第十一期!AB10</f>
        <v>0</v>
      </c>
      <c r="BW21" s="184">
        <f>第十一期!AJ35</f>
        <v>0</v>
      </c>
      <c r="CA21" s="194"/>
      <c r="CB21" s="180" t="s">
        <v>58</v>
      </c>
      <c r="CC21" s="101">
        <f>第十一期!$CZ$68</f>
        <v>0</v>
      </c>
      <c r="CD21" s="101">
        <f>第十一期!$CZ$69</f>
        <v>0</v>
      </c>
      <c r="CE21" s="101">
        <f>第十一期!$CZ$70</f>
        <v>0</v>
      </c>
      <c r="CF21" s="101">
        <f>第十一期!$CZ$71</f>
        <v>0</v>
      </c>
      <c r="CG21" s="50"/>
      <c r="CH21" s="201"/>
      <c r="CI21" s="203" t="s">
        <v>58</v>
      </c>
      <c r="CJ21" s="101">
        <f>第十一期!$CZ$50</f>
        <v>0</v>
      </c>
      <c r="CK21" s="101">
        <f>第十一期!$CZ$51</f>
        <v>0</v>
      </c>
      <c r="CL21" s="101">
        <f>第十一期!$CZ$52</f>
        <v>0</v>
      </c>
      <c r="CM21" s="101">
        <f>第十一期!$CZ$53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第十一期!Y11</f>
        <v>0</v>
      </c>
      <c r="BT22" s="182">
        <f>第十一期!Z11</f>
        <v>0</v>
      </c>
      <c r="BU22" s="182">
        <f>第十一期!AA11</f>
        <v>0</v>
      </c>
      <c r="BV22" s="182">
        <f>第十一期!AB11</f>
        <v>0</v>
      </c>
      <c r="BW22" s="184">
        <f>第十一期!AJ36</f>
        <v>0</v>
      </c>
      <c r="CA22" s="194"/>
      <c r="CB22" s="180" t="s">
        <v>59</v>
      </c>
      <c r="CC22" s="101">
        <f>第十一期!$DA$68</f>
        <v>0</v>
      </c>
      <c r="CD22" s="101">
        <f>第十一期!$DA$69</f>
        <v>0</v>
      </c>
      <c r="CE22" s="101">
        <f>第十一期!$DA$70</f>
        <v>0</v>
      </c>
      <c r="CF22" s="101">
        <f>第十一期!$DA$71</f>
        <v>0</v>
      </c>
      <c r="CG22" s="50"/>
      <c r="CH22" s="201"/>
      <c r="CI22" s="203" t="s">
        <v>59</v>
      </c>
      <c r="CJ22" s="101">
        <f>第十一期!$DA$50</f>
        <v>0</v>
      </c>
      <c r="CK22" s="101">
        <f>第十一期!$DA$51</f>
        <v>0</v>
      </c>
      <c r="CL22" s="101">
        <f>第十一期!$DA$52</f>
        <v>0</v>
      </c>
      <c r="CM22" s="101">
        <f>第十一期!$DA$53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第十一期!Y12</f>
        <v>0</v>
      </c>
      <c r="BT23" s="182">
        <f>第十一期!Z12</f>
        <v>0</v>
      </c>
      <c r="BU23" s="182">
        <f>第十一期!AA12</f>
        <v>0</v>
      </c>
      <c r="BV23" s="182">
        <f>第十一期!AB12</f>
        <v>0</v>
      </c>
      <c r="BW23" s="184">
        <f>第十一期!AJ37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第十一期!BV57-第十一期!BV76</f>
        <v>0</v>
      </c>
      <c r="AJ26" s="60">
        <f>第十一期!K9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第十一期!DB50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第十一期!Y18</f>
        <v>0</v>
      </c>
      <c r="BT26" s="182">
        <f>第十一期!AA18</f>
        <v>0</v>
      </c>
      <c r="BU26" s="182">
        <f>第十一期!AF18</f>
        <v>0</v>
      </c>
      <c r="BV26" s="186">
        <f>第十一期!AC18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第十一期!DB51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第十一期!DB52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第十一期!DB53</f>
        <v>0</v>
      </c>
      <c r="BQ29" s="162"/>
      <c r="BS29" s="186">
        <f>第十一期!AH14</f>
        <v>0</v>
      </c>
      <c r="BT29" s="186">
        <f>第十一期!AH15</f>
        <v>0</v>
      </c>
      <c r="BU29" s="182">
        <f>第十一期!AF20</f>
        <v>0</v>
      </c>
      <c r="BV29" s="186">
        <f>第十一期!AJ18</f>
        <v>0</v>
      </c>
      <c r="BW29" s="182">
        <f>第十一期!AH18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INT(第十一期!DV26)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INT(第十一期!DV27)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INT(第十一期!DV28)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INT(第十一期!DV29)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第十一期!DG56*第十一期!DG50+第十一期!DG64*第十一期!Y88</f>
        <v>0</v>
      </c>
      <c r="CD38" s="102">
        <f>第十一期!DH56*第十一期!DH50+第十一期!DH64*第十一期!Z88</f>
        <v>0</v>
      </c>
      <c r="CE38" s="102">
        <f>第十一期!DI56*第十一期!DI50+第十一期!DI64*第十一期!AA88</f>
        <v>0</v>
      </c>
      <c r="CF38" s="102">
        <f>第十一期!DJ56*第十一期!DJ50+第十一期!DJ64*第十一期!AB88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第十一期!DG57*第十一期!DG51+第十一期!DG65*第十一期!Y89</f>
        <v>0</v>
      </c>
      <c r="CD39" s="102">
        <f>第十一期!DH57*第十一期!DH51+第十一期!DH65*第十一期!Z89</f>
        <v>0</v>
      </c>
      <c r="CE39" s="102">
        <f>第十一期!DI57*第十一期!DI51+第十一期!DI65*第十一期!AA89</f>
        <v>0</v>
      </c>
      <c r="CF39" s="102">
        <f>第十一期!DJ57*第十一期!DJ51+第十一期!DJ65*第十一期!AB89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第十一期!DG58*第十一期!DG52+第十一期!DG66*第十一期!Y90</f>
        <v>0</v>
      </c>
      <c r="CD40" s="102">
        <f>第十一期!DH58*第十一期!DH52+第十一期!DH66*第十一期!Z90</f>
        <v>0</v>
      </c>
      <c r="CE40" s="102">
        <f>第十一期!DI58*第十一期!DI52+第十一期!DI66*第十一期!AA90</f>
        <v>0</v>
      </c>
      <c r="CF40" s="102">
        <f>第十一期!DJ58*第十一期!DJ52+第十一期!DJ66*第十一期!AB90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第十一期!DG59*第十一期!DG53+第十一期!DG67*第十一期!Y91</f>
        <v>0</v>
      </c>
      <c r="CD41" s="102">
        <f>第十一期!DH59*第十一期!DH53+第十一期!DH67*第十一期!Z91</f>
        <v>0</v>
      </c>
      <c r="CE41" s="102">
        <f>第十一期!DI59*第十一期!DI53+第十一期!DI67*第十一期!AA91</f>
        <v>0</v>
      </c>
      <c r="CF41" s="102">
        <f>第十一期!DJ59*第十一期!DJ53+第十一期!DJ67*第十一期!AB91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第十一期!Y9*第十一期!CQ62*比赛参数!D65</f>
        <v>0</v>
      </c>
      <c r="CR50" s="60">
        <f>第十一期!Z9*第十一期!CR62*比赛参数!E65</f>
        <v>0</v>
      </c>
      <c r="CS50" s="60">
        <f>第十一期!AA9*第十一期!CS62*比赛参数!F65</f>
        <v>0</v>
      </c>
      <c r="CT50" s="60">
        <f>第十一期!AB9*第十一期!CT62*比赛参数!G65</f>
        <v>0</v>
      </c>
      <c r="CU50" s="60">
        <f>IF(第十一期!AC9&gt;0,SUM(CQ50:CT50)/第十一期!AC9,0)</f>
        <v>0</v>
      </c>
      <c r="CW50" s="9" t="s">
        <v>38</v>
      </c>
      <c r="CX50" s="215">
        <f>IF(第十一期!$CU$50*第十一期!CQ93&gt;0,第十一期!$CU$50+第十一期!CQ68+第十一期!CQ93+第十一期!CQ74,0)</f>
        <v>0</v>
      </c>
      <c r="CY50" s="215">
        <f>IF(第十一期!$CU$50*第十一期!CR93&gt;0,第十一期!$CU$50+第十一期!CR68+第十一期!CR93+第十一期!CR74,0)</f>
        <v>0</v>
      </c>
      <c r="CZ50" s="215">
        <f>IF(第十一期!$CU$50*第十一期!CS93&gt;0,第十一期!$CU$50+第十一期!CS68+第十一期!CS93+第十一期!CS74,0)</f>
        <v>0</v>
      </c>
      <c r="DA50" s="215">
        <f>IF(第十一期!$CU$50*第十一期!CT93&gt;0,第十一期!$CU$50+第十一期!CT68+第十一期!CT93+第十一期!CT74,0)</f>
        <v>0</v>
      </c>
      <c r="DB50" s="215">
        <f>AVERAGE(CX50:DA50)</f>
        <v>0</v>
      </c>
      <c r="DF50" s="60" t="s">
        <v>56</v>
      </c>
      <c r="DG50" s="218">
        <f>IF(第十一期!Y88&gt;0,1,0)</f>
        <v>0</v>
      </c>
      <c r="DH50" s="218">
        <f>IF(第十一期!Z88&gt;0,1,0)</f>
        <v>0</v>
      </c>
      <c r="DI50" s="218">
        <f>IF(第十一期!AA88&gt;0,1,0)</f>
        <v>0</v>
      </c>
      <c r="DJ50" s="218">
        <f>IF(第十一期!AB88&gt;0,1,0)</f>
        <v>0</v>
      </c>
      <c r="DL50" s="218" t="s">
        <v>21</v>
      </c>
      <c r="DM50" s="219">
        <f>IF(第十一期!Y9+第十一期!Z9&gt;0,1,0)</f>
        <v>0</v>
      </c>
      <c r="DN50" s="219">
        <f>IF(第十一期!AA9+第十一期!AB9&gt;0,1,0)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第十一期!Y10*第十一期!CQ63*比赛参数!D65</f>
        <v>0</v>
      </c>
      <c r="CR51" s="60">
        <f>第十一期!Z10*第十一期!CR63*比赛参数!E65</f>
        <v>0</v>
      </c>
      <c r="CS51" s="60">
        <f>第十一期!AA10*第十一期!CS63*比赛参数!F65</f>
        <v>0</v>
      </c>
      <c r="CT51" s="60">
        <f>第十一期!AB10*第十一期!CT63*比赛参数!G65</f>
        <v>0</v>
      </c>
      <c r="CU51" s="60">
        <f>IF(第十一期!AC10&gt;0,SUM(CQ51:CT51)/第十一期!AC10,0)</f>
        <v>0</v>
      </c>
      <c r="CW51" s="9" t="s">
        <v>39</v>
      </c>
      <c r="CX51" s="215">
        <f>IF(第十一期!$CU$51*第十一期!CQ94&gt;0,第十一期!$CU$51+第十一期!CQ69+第十一期!CQ94+第十一期!CQ75,0)</f>
        <v>0</v>
      </c>
      <c r="CY51" s="215">
        <f>IF(第十一期!$CU$51*第十一期!CR94&gt;0,第十一期!$CU$51+第十一期!CR69+第十一期!CR94+第十一期!CR75,0)</f>
        <v>0</v>
      </c>
      <c r="CZ51" s="215">
        <f>IF(第十一期!$CU$51*第十一期!CS94&gt;0,第十一期!$CU$51+第十一期!CS69+第十一期!CS94+第十一期!CS75,0)</f>
        <v>0</v>
      </c>
      <c r="DA51" s="215">
        <f>IF(第十一期!$CU$51*第十一期!CT94&gt;0,第十一期!$CU$51+第十一期!CT69+第十一期!CT94+第十一期!CT75,0)</f>
        <v>0</v>
      </c>
      <c r="DB51" s="215">
        <f>AVERAGE(CX51:DA51)</f>
        <v>0</v>
      </c>
      <c r="DF51" s="60" t="s">
        <v>57</v>
      </c>
      <c r="DG51" s="218">
        <f>IF(第十一期!Y89&gt;0,1,0)</f>
        <v>0</v>
      </c>
      <c r="DH51" s="218">
        <f>IF(第十一期!Z89&gt;0,1,0)</f>
        <v>0</v>
      </c>
      <c r="DI51" s="218">
        <f>IF(第十一期!AA89&gt;0,1,0)</f>
        <v>0</v>
      </c>
      <c r="DJ51" s="218">
        <f>IF(第十一期!AB89&gt;0,1,0)</f>
        <v>0</v>
      </c>
      <c r="DL51" s="218" t="s">
        <v>22</v>
      </c>
      <c r="DM51" s="219">
        <f>IF(第十一期!Y10+第十一期!Z10&gt;0,1,0)</f>
        <v>0</v>
      </c>
      <c r="DN51" s="219">
        <f>IF(第十一期!AA10+第十一期!AB10&gt;0,1,0)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第十一期!Y11*第十一期!CQ64*比赛参数!D65</f>
        <v>0</v>
      </c>
      <c r="CR52" s="60">
        <f>第十一期!Z11*第十一期!CR64*比赛参数!E65</f>
        <v>0</v>
      </c>
      <c r="CS52" s="60">
        <f>第十一期!AA11*第十一期!CS64*比赛参数!F65</f>
        <v>0</v>
      </c>
      <c r="CT52" s="60">
        <f>第十一期!AB11*第十一期!CT64*比赛参数!G65</f>
        <v>0</v>
      </c>
      <c r="CU52" s="60">
        <f>IF(第十一期!AC11&gt;0,SUM(CQ52:CT52)/第十一期!AC11,0)</f>
        <v>0</v>
      </c>
      <c r="CW52" s="9" t="s">
        <v>40</v>
      </c>
      <c r="CX52" s="215">
        <f>IF(第十一期!$CU$52*第十一期!CQ95&gt;0,第十一期!$CU$52+第十一期!CQ70+第十一期!CQ95+第十一期!CQ76,0)</f>
        <v>0</v>
      </c>
      <c r="CY52" s="215">
        <f>IF(第十一期!$CU$52*第十一期!CR95&gt;0,第十一期!$CU$52+第十一期!CR70+第十一期!CR95+第十一期!CR76,0)</f>
        <v>0</v>
      </c>
      <c r="CZ52" s="215">
        <f>IF(第十一期!$CU$52*第十一期!CS95&gt;0,第十一期!$CU$52+第十一期!CS70+第十一期!CS95+第十一期!CS76,0)</f>
        <v>0</v>
      </c>
      <c r="DA52" s="215">
        <f>IF(第十一期!$CU$52*第十一期!CT95&gt;0,第十一期!$CU$52+第十一期!CT70+第十一期!CT95+第十一期!CT76,0)</f>
        <v>0</v>
      </c>
      <c r="DB52" s="215">
        <f>AVERAGE(CX52:DA52)</f>
        <v>0</v>
      </c>
      <c r="DF52" s="60" t="s">
        <v>58</v>
      </c>
      <c r="DG52" s="218">
        <f>IF(第十一期!Y90&gt;0,1,0)</f>
        <v>0</v>
      </c>
      <c r="DH52" s="218">
        <f>IF(第十一期!Z90&gt;0,1,0)</f>
        <v>0</v>
      </c>
      <c r="DI52" s="218">
        <f>IF(第十一期!AA90&gt;0,1,0)</f>
        <v>0</v>
      </c>
      <c r="DJ52" s="218">
        <f>IF(第十一期!AB90&gt;0,1,0)</f>
        <v>0</v>
      </c>
      <c r="DL52" s="218" t="s">
        <v>23</v>
      </c>
      <c r="DM52" s="219">
        <f>IF(第十一期!Y11+第十一期!Z11&gt;0,1,0)</f>
        <v>0</v>
      </c>
      <c r="DN52" s="219">
        <f>IF(第十一期!AA11+第十一期!AB11&gt;0,1,0)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第十一期!Y12*第十一期!CQ65*比赛参数!D65</f>
        <v>0</v>
      </c>
      <c r="CR53" s="60">
        <f>第十一期!Z12*第十一期!CR65*比赛参数!E65</f>
        <v>0</v>
      </c>
      <c r="CS53" s="60">
        <f>第十一期!AA12*第十一期!CS65*比赛参数!F65</f>
        <v>0</v>
      </c>
      <c r="CT53" s="60">
        <f>第十一期!AB12*第十一期!CT65*比赛参数!G65</f>
        <v>0</v>
      </c>
      <c r="CU53" s="60">
        <f>IF(第十一期!AC12&gt;0,SUM(CQ53:CT53)/第十一期!AC12,0)</f>
        <v>0</v>
      </c>
      <c r="CW53" s="9" t="s">
        <v>41</v>
      </c>
      <c r="CX53" s="215">
        <f>IF(第十一期!$CU$53*第十一期!CQ96&gt;0,第十一期!$CU$53+第十一期!CQ71+第十一期!CQ96+第十一期!CQ77,0)</f>
        <v>0</v>
      </c>
      <c r="CY53" s="215">
        <f>IF(第十一期!$CU$53*第十一期!CR96&gt;0,第十一期!$CU$53+第十一期!CR71+第十一期!CR96+第十一期!CR77,0)</f>
        <v>0</v>
      </c>
      <c r="CZ53" s="215">
        <f>IF(第十一期!$CU$53*第十一期!CS96&gt;0,第十一期!$CU$53+第十一期!CS71+第十一期!CS96+第十一期!CS77,0)</f>
        <v>0</v>
      </c>
      <c r="DA53" s="215">
        <f>IF(第十一期!$CU$53*第十一期!CT96&gt;0,第十一期!$CU$53+第十一期!CT71+第十一期!CT96+第十一期!CT77,0)</f>
        <v>0</v>
      </c>
      <c r="DB53" s="215">
        <f>AVERAGE(CX53:DA53)</f>
        <v>0</v>
      </c>
      <c r="DF53" s="60" t="s">
        <v>59</v>
      </c>
      <c r="DG53" s="218">
        <f>IF(第十一期!Y91&gt;0,1,0)</f>
        <v>0</v>
      </c>
      <c r="DH53" s="218">
        <f>IF(第十一期!Z91&gt;0,1,0)</f>
        <v>0</v>
      </c>
      <c r="DI53" s="218">
        <f>IF(第十一期!AA91&gt;0,1,0)</f>
        <v>0</v>
      </c>
      <c r="DJ53" s="218">
        <f>IF(第十一期!AB91&gt;0,1,0)</f>
        <v>0</v>
      </c>
      <c r="DL53" s="218" t="s">
        <v>24</v>
      </c>
      <c r="DM53" s="219">
        <f>IF(第十一期!Y12+第十一期!Z12&gt;0,1,0)</f>
        <v>0</v>
      </c>
      <c r="DN53" s="219">
        <f>IF(第十一期!AA12+第十一期!AB12&gt;0,1,0)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第十一期!K11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第十一期!AH14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第十一期!DU26</f>
        <v>0</v>
      </c>
      <c r="CD56" s="102">
        <f>第十一期!DU27</f>
        <v>0</v>
      </c>
      <c r="CE56" s="102">
        <f>第十一期!DU28</f>
        <v>0</v>
      </c>
      <c r="CF56" s="102">
        <f>第十一期!DU29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第十一期!BS7-第十一期!CX50</f>
        <v>0</v>
      </c>
      <c r="CY56" s="215">
        <f>第十一期!BT7-第十一期!CY50</f>
        <v>0</v>
      </c>
      <c r="CZ56" s="215">
        <f>第十一期!BU7-第十一期!CZ50</f>
        <v>0</v>
      </c>
      <c r="DA56" s="215">
        <f>第十一期!BV7-第十一期!DA50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第十一期!DX6</f>
        <v>0</v>
      </c>
      <c r="Z57" s="102">
        <f>第十一期!DX10</f>
        <v>0</v>
      </c>
      <c r="AA57" s="102">
        <f>第十一期!DX14</f>
        <v>0</v>
      </c>
      <c r="AB57" s="102">
        <f>第十一期!DX18</f>
        <v>0</v>
      </c>
      <c r="AC57" s="119"/>
      <c r="AE57" s="59" t="s">
        <v>56</v>
      </c>
      <c r="AF57" s="102">
        <f>第十一期!DW6</f>
        <v>0</v>
      </c>
      <c r="AG57" s="102">
        <f>第十一期!DW10</f>
        <v>0</v>
      </c>
      <c r="AH57" s="102">
        <f>第十一期!DW14</f>
        <v>0</v>
      </c>
      <c r="AI57" s="102">
        <f>第十一期!DW18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第十一期!AH15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第十一期!BS8-第十一期!CX51</f>
        <v>0</v>
      </c>
      <c r="CY57" s="215">
        <f>第十一期!BT8-第十一期!CY51</f>
        <v>0</v>
      </c>
      <c r="CZ57" s="215">
        <f>第十一期!BU8-第十一期!CZ51</f>
        <v>0</v>
      </c>
      <c r="DA57" s="215">
        <f>第十一期!BV8-第十一期!DA51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第十一期!DX7</f>
        <v>0</v>
      </c>
      <c r="Z58" s="102">
        <f>第十一期!DX11</f>
        <v>0</v>
      </c>
      <c r="AA58" s="102">
        <f>第十一期!DX15</f>
        <v>0</v>
      </c>
      <c r="AB58" s="102">
        <f>第十一期!DX19</f>
        <v>0</v>
      </c>
      <c r="AC58" s="119"/>
      <c r="AE58" s="9" t="s">
        <v>57</v>
      </c>
      <c r="AF58" s="102">
        <f>第十一期!DW7</f>
        <v>0</v>
      </c>
      <c r="AG58" s="102">
        <f>第十一期!DW11</f>
        <v>0</v>
      </c>
      <c r="AH58" s="102">
        <f>第十一期!DW15</f>
        <v>0</v>
      </c>
      <c r="AI58" s="102">
        <f>第十一期!DW19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第十一期!H5+第十一期!H4*比赛参数!F71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第十一期!BS9-第十一期!CX52</f>
        <v>0</v>
      </c>
      <c r="CY58" s="215">
        <f>第十一期!BT9-第十一期!CY52</f>
        <v>0</v>
      </c>
      <c r="CZ58" s="215">
        <f>第十一期!BU9-第十一期!CZ52</f>
        <v>0</v>
      </c>
      <c r="DA58" s="215">
        <f>第十一期!BV9-第十一期!DA52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第十一期!DX8</f>
        <v>0</v>
      </c>
      <c r="Z59" s="102">
        <f>第十一期!DX12</f>
        <v>0</v>
      </c>
      <c r="AA59" s="102">
        <f>第十一期!DX16</f>
        <v>0</v>
      </c>
      <c r="AB59" s="102">
        <f>第十一期!DX20</f>
        <v>0</v>
      </c>
      <c r="AC59" s="120"/>
      <c r="AE59" s="9" t="s">
        <v>58</v>
      </c>
      <c r="AF59" s="102">
        <f>第十一期!DW8</f>
        <v>0</v>
      </c>
      <c r="AG59" s="102">
        <f>第十一期!DW12</f>
        <v>0</v>
      </c>
      <c r="AH59" s="102">
        <f>第十一期!DW16</f>
        <v>0</v>
      </c>
      <c r="AI59" s="102">
        <f>第十一期!DW20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第十一期!K14*比赛参数!D71/4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第十一期!BS10-第十一期!CX53</f>
        <v>0</v>
      </c>
      <c r="CY59" s="215">
        <f>第十一期!BT10-第十一期!CY53</f>
        <v>0</v>
      </c>
      <c r="CZ59" s="215">
        <f>第十一期!BU10-第十一期!CZ53</f>
        <v>0</v>
      </c>
      <c r="DA59" s="215">
        <f>第十一期!BV10-第十一期!DA53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第十一期!DX9</f>
        <v>0</v>
      </c>
      <c r="Z60" s="102">
        <f>第十一期!DX13</f>
        <v>0</v>
      </c>
      <c r="AA60" s="102">
        <f>第十一期!DX17</f>
        <v>0</v>
      </c>
      <c r="AB60" s="102">
        <f>第十一期!DX21</f>
        <v>0</v>
      </c>
      <c r="AC60" s="102" t="s">
        <v>415</v>
      </c>
      <c r="AE60" s="9" t="s">
        <v>59</v>
      </c>
      <c r="AF60" s="102">
        <f>第十一期!DW9</f>
        <v>0</v>
      </c>
      <c r="AG60" s="102">
        <f>第十一期!DW13</f>
        <v>0</v>
      </c>
      <c r="AH60" s="102">
        <f>第十一期!DW17</f>
        <v>0</v>
      </c>
      <c r="AI60" s="102">
        <f>第十一期!DW21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第十一期!Y18*比赛参数!D58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第十一期!AA18*比赛参数!D62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((第十一期!K8-第十一期!AA18)*比赛参数!D65+第十一期!Y18*比赛参数!D59*比赛参数!D65)*第十一期!AH18*520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CX56/第十一期!CQ56</f>
        <v>0</v>
      </c>
      <c r="CY62" s="215">
        <f>CY56/第十一期!CR56</f>
        <v>0</v>
      </c>
      <c r="CZ62" s="215">
        <f>CZ56/第十一期!CS56</f>
        <v>0</v>
      </c>
      <c r="DA62" s="215">
        <f>DA56/第十一期!CT56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第十一期!K9*比赛参数!D49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CX57/第十一期!CQ57</f>
        <v>0</v>
      </c>
      <c r="CY63" s="215">
        <f>CY57/第十一期!CR57</f>
        <v>0</v>
      </c>
      <c r="CZ63" s="215">
        <f>CZ57/第十一期!CS57</f>
        <v>0</v>
      </c>
      <c r="DA63" s="215">
        <f>DA57/第十一期!CT57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第十一期!AL37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CX58/第十一期!CQ58</f>
        <v>0</v>
      </c>
      <c r="CY64" s="215">
        <f>CY58/第十一期!CR58</f>
        <v>0</v>
      </c>
      <c r="CZ64" s="215">
        <f>CZ58/第十一期!CS58</f>
        <v>0</v>
      </c>
      <c r="DA64" s="215">
        <f>DA58/第十一期!CT58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0.5*第十一期!AL37+0.5*第十一期!DV23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CX59/第十一期!CQ59</f>
        <v>0</v>
      </c>
      <c r="CY65" s="215">
        <f>CY59/第十一期!CR59</f>
        <v>0</v>
      </c>
      <c r="CZ65" s="215">
        <f>CZ59/第十一期!CS59</f>
        <v>0</v>
      </c>
      <c r="DA65" s="215">
        <f>DA59/第十一期!CT59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第十一期!AC18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一期!AC18&gt;=比赛参数!D33,(1-比赛参数!E33)*第十一期!AC18,0)+IF(AND(第十一期!AC18&gt;=比赛参数!D34,第十一期!AC18&lt;比赛参数!D33),(1-比赛参数!E34)*第十一期!AC18,0)+IF(AND(第十一期!AC18&gt;=比赛参数!D35,第十一期!AC18&lt;比赛参数!D34),(1-比赛参数!E35)*第十一期!AC18,0)+IF(AND(第十一期!AC18&gt;=比赛参数!D36,第十一期!AC18&lt;比赛参数!D35),(1-比赛参数!E36)*第十一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第十一期!DV6</f>
        <v>0</v>
      </c>
      <c r="AG70" s="121">
        <f>第十一期!DV10</f>
        <v>0</v>
      </c>
      <c r="AH70" s="121">
        <f>第十一期!DV14</f>
        <v>0</v>
      </c>
      <c r="AI70" s="121">
        <f>第十一期!DV18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IF(第十一期!AC18&gt;0,第十一期!AC18*比赛参数!E40+比赛参数!E39,0)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第十一期!DV7</f>
        <v>0</v>
      </c>
      <c r="AG71" s="121">
        <f>第十一期!DV11</f>
        <v>0</v>
      </c>
      <c r="AH71" s="121">
        <f>第十一期!DV15</f>
        <v>0</v>
      </c>
      <c r="AI71" s="121">
        <f>第十一期!DV19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(第十一期!Z13*比赛参数!E65*260+第十一期!AA13*(比赛参数!F65-比赛参数!D65)*520+第十一期!AB13*比赛参数!G65*260)*第十一期!AH18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第十一期!DV8</f>
        <v>0</v>
      </c>
      <c r="AG72" s="121">
        <f>第十一期!DV12</f>
        <v>0</v>
      </c>
      <c r="AH72" s="121">
        <f>第十一期!DV16</f>
        <v>0</v>
      </c>
      <c r="AI72" s="121">
        <f>第十一期!DV20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第十一期!DM60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第十一期!DV9</f>
        <v>0</v>
      </c>
      <c r="AG73" s="121">
        <f>第十一期!DV13</f>
        <v>0</v>
      </c>
      <c r="AH73" s="121">
        <f>第十一期!DV17</f>
        <v>0</v>
      </c>
      <c r="AI73" s="121">
        <f>第十一期!DV21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第十一期!AC21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第十一期!CG42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SUM(第十一期!AF80:AI80)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SUM(第十一期!AJ76:AJ79)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第十一期!CG53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第十一期!CN53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第十一期!K9*比赛参数!D30*比赛参数!F30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第十一期!CG65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第十一期!Y9*第十一期!CQ56</f>
        <v>0</v>
      </c>
      <c r="CR80" s="60">
        <f>第十一期!Z9*第十一期!CR56</f>
        <v>0</v>
      </c>
      <c r="CS80" s="60">
        <f>第十一期!AA9*第十一期!CS56</f>
        <v>0</v>
      </c>
      <c r="CT80" s="60">
        <f>第十一期!AB9*第十一期!CT56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(第十一期!K10+(第十一期!AC18+第十一期!K10-第十一期!AC21))/2*比赛参数!D16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第十一期!Y10*第十一期!CQ57</f>
        <v>0</v>
      </c>
      <c r="CR81" s="60">
        <f>第十一期!Z10*第十一期!CR57</f>
        <v>0</v>
      </c>
      <c r="CS81" s="60">
        <f>第十一期!AA10*第十一期!CS57</f>
        <v>0</v>
      </c>
      <c r="CT81" s="60">
        <f>第十一期!AB10*第十一期!CT57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第十一期!CG67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第十一期!Y11*第十一期!CQ58</f>
        <v>0</v>
      </c>
      <c r="CR82" s="60">
        <f>第十一期!Z11*第十一期!CR58</f>
        <v>0</v>
      </c>
      <c r="CS82" s="60">
        <f>第十一期!AA11*第十一期!CS58</f>
        <v>0</v>
      </c>
      <c r="CT82" s="60">
        <f>第十一期!AB11*第十一期!CT58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第十一期!K13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第十一期!Y12*第十一期!CQ59</f>
        <v>0</v>
      </c>
      <c r="CR83" s="60">
        <f>第十一期!Z12*第十一期!CR59</f>
        <v>0</v>
      </c>
      <c r="CS83" s="60">
        <f>第十一期!AA12*第十一期!CS59</f>
        <v>0</v>
      </c>
      <c r="CT83" s="60">
        <f>第十一期!AB12*第十一期!CT59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第十一期!K13*比赛参数!D70/4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第十一期!AH14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第十一期!DS33</f>
        <v>0</v>
      </c>
      <c r="AG86" s="121">
        <f>第十一期!DW33</f>
        <v>0</v>
      </c>
      <c r="AH86" s="121">
        <f>第十一期!EA33</f>
        <v>0</v>
      </c>
      <c r="AI86" s="121">
        <f>第十一期!EE33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第十一期!AH14*比赛参数!D69/4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第十一期!DT33</f>
        <v>0</v>
      </c>
      <c r="AG87" s="121">
        <f>第十一期!DX33</f>
        <v>0</v>
      </c>
      <c r="AH87" s="121">
        <f>第十一期!EB33</f>
        <v>0</v>
      </c>
      <c r="AI87" s="121">
        <f>第十一期!EF33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IF(第十一期!BW92&gt;0,IF((第十一期!K15+第十一期!BW92*比赛参数!D72)&gt;0,第十一期!K15+第十一期!BW92*比赛参数!D72,0))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第十一期!DU33</f>
        <v>0</v>
      </c>
      <c r="AG88" s="121">
        <f>第十一期!DY33</f>
        <v>0</v>
      </c>
      <c r="AH88" s="121">
        <f>第十一期!EC33</f>
        <v>0</v>
      </c>
      <c r="AI88" s="121">
        <f>第十一期!EG33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第十一期!AF18*比赛参数!D30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第十一期!DV33</f>
        <v>0</v>
      </c>
      <c r="AG89" s="121">
        <f>第十一期!DZ33</f>
        <v>0</v>
      </c>
      <c r="AH89" s="121">
        <f>第十一期!ED33</f>
        <v>0</v>
      </c>
      <c r="AI89" s="121">
        <f>第十一期!EH33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第十一期!AJ18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第十一期!AF20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第十一期!BT84</f>
        <v>0</v>
      </c>
      <c r="BT92" s="291" t="s">
        <v>282</v>
      </c>
      <c r="BU92" s="86">
        <f>第十一期!BU86</f>
        <v>0</v>
      </c>
      <c r="BV92" s="293" t="s">
        <v>200</v>
      </c>
      <c r="BW92" s="294">
        <f>第十一期!BT84-第十一期!BU86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AC9*比赛参数!D6+第十一期!DU26</f>
        <v>0</v>
      </c>
      <c r="Z93" s="35">
        <f>AC10*比赛参数!D6+第十一期!DU27</f>
        <v>0</v>
      </c>
      <c r="AA93" s="35">
        <f>AC11*比赛参数!D6+第十一期!DU28</f>
        <v>0</v>
      </c>
      <c r="AB93" s="35">
        <f>AC12*比赛参数!D6+第十一期!DU29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IF(第十一期!$AC$9&gt;0,第十一期!$K$9*比赛参数!$D$30*比赛参数!$F$30*$CU$87/第十一期!$AC$9,0)</f>
        <v>0</v>
      </c>
      <c r="CR93" s="60">
        <f>IF(第十一期!$AC$9&gt;0,第十一期!$K$9*比赛参数!$D$30*比赛参数!$F$30*$CU$87/第十一期!$AC$9,0)</f>
        <v>0</v>
      </c>
      <c r="CS93" s="60">
        <f>IF(第十一期!$AC$9&gt;0,第十一期!$K$9*比赛参数!$D$30*比赛参数!$F$30*$CU$87/第十一期!$AC$9,0)</f>
        <v>0</v>
      </c>
      <c r="CT93" s="60">
        <f>IF(第十一期!$AC$9&gt;0,第十一期!$K$9*比赛参数!$D$30*比赛参数!$F$30*$CU$87/第十一期!$AC$9,0)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IF(第十一期!$AC$10&gt;0,第十一期!$K$9*比赛参数!$D$30*比赛参数!$F$30*$CU$88/第十一期!$AC$10,0)</f>
        <v>0</v>
      </c>
      <c r="CR94" s="60">
        <f>IF(第十一期!$AC$10&gt;0,第十一期!$K$9*比赛参数!$D$30*比赛参数!$F$30*$CU$88/第十一期!$AC$10,0)</f>
        <v>0</v>
      </c>
      <c r="CS94" s="60">
        <f>IF(第十一期!$AC$10&gt;0,第十一期!$K$9*比赛参数!$D$30*比赛参数!$F$30*$CU$88/第十一期!$AC$10,0)</f>
        <v>0</v>
      </c>
      <c r="CT94" s="60">
        <f>IF(第十一期!$AC$10&gt;0,第十一期!$K$9*比赛参数!$D$30*比赛参数!$F$30*$CU$88/第十一期!$AC$10,0)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IF(第十一期!$AC$11&gt;0,第十一期!$K$9*比赛参数!$D$30*比赛参数!$F$30*$CU$89/第十一期!$AC$11,0)</f>
        <v>0</v>
      </c>
      <c r="CR95" s="60">
        <f>IF(第十一期!$AC$11&gt;0,第十一期!$K$9*比赛参数!$D$30*比赛参数!$F$30*$CU$89/第十一期!$AC$11,0)</f>
        <v>0</v>
      </c>
      <c r="CS95" s="60">
        <f>IF(第十一期!$AC$11&gt;0,第十一期!$K$9*比赛参数!$D$30*比赛参数!$F$30*$CU$89/第十一期!$AC$11,0)</f>
        <v>0</v>
      </c>
      <c r="CT95" s="60">
        <f>IF(第十一期!$AC$11&gt;0,第十一期!$K$9*比赛参数!$D$30*比赛参数!$F$30*$CU$89/第十一期!$AC$11,0)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第十一期!CX62</f>
        <v>0</v>
      </c>
      <c r="Z96" s="89">
        <f>第十一期!CX63</f>
        <v>0</v>
      </c>
      <c r="AA96" s="89">
        <f>第十一期!CX64</f>
        <v>0</v>
      </c>
      <c r="AB96" s="89">
        <f>第十一期!CX65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IF(第十一期!$AC$12&gt;0,第十一期!$K$9*比赛参数!$D$30*比赛参数!$F$30*$CU$90/第十一期!$AC$12,0)</f>
        <v>0</v>
      </c>
      <c r="CR96" s="60">
        <f>IF(第十一期!$AC$12&gt;0,第十一期!$K$9*比赛参数!$D$30*比赛参数!$F$30*$CU$90/第十一期!$AC$12,0)</f>
        <v>0</v>
      </c>
      <c r="CS96" s="60">
        <f>IF(第十一期!$AC$12&gt;0,第十一期!$K$9*比赛参数!$D$30*比赛参数!$F$30*$CU$90/第十一期!$AC$12,0)</f>
        <v>0</v>
      </c>
      <c r="CT96" s="60">
        <f>IF(第十一期!$AC$12&gt;0,第十一期!$K$9*比赛参数!$D$30*比赛参数!$F$30*$CU$90/第十一期!$AC$12,0)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第十一期!CY62</f>
        <v>0</v>
      </c>
      <c r="Z97" s="89">
        <f>第十一期!CY63</f>
        <v>0</v>
      </c>
      <c r="AA97" s="89">
        <f>第十一期!CY64</f>
        <v>0</v>
      </c>
      <c r="AB97" s="89">
        <f>第十一期!CY65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第十一期!CZ62</f>
        <v>0</v>
      </c>
      <c r="Z98" s="89">
        <f>第十一期!CZ63</f>
        <v>0</v>
      </c>
      <c r="AA98" s="89">
        <f>第十一期!CZ64</f>
        <v>0</v>
      </c>
      <c r="AB98" s="89">
        <f>第十一期!CZ65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第十一期!DA62</f>
        <v>0</v>
      </c>
      <c r="Z99" s="89">
        <f>第十一期!DA63</f>
        <v>0</v>
      </c>
      <c r="AA99" s="89">
        <f>第十一期!DA64</f>
        <v>0</v>
      </c>
      <c r="AB99" s="89">
        <f>第十一期!DA65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(第十一期!#REF!-$BE$54)&lt;0</formula>
    </cfRule>
  </conditionalFormatting>
  <conditionalFormatting sqref="BF132:BF133">
    <cfRule type="expression" dxfId="6" priority="26" stopIfTrue="1">
      <formula>(第十一期!#REF!-$BF$54)&lt;0</formula>
    </cfRule>
  </conditionalFormatting>
  <conditionalFormatting sqref="BG132:BG133">
    <cfRule type="expression" dxfId="6" priority="25" stopIfTrue="1">
      <formula>(第十一期!#REF!-$BG$54)&lt;0</formula>
    </cfRule>
  </conditionalFormatting>
  <conditionalFormatting sqref="BH132:BH133">
    <cfRule type="expression" dxfId="6" priority="24" stopIfTrue="1">
      <formula>(第十一期!#REF!-$BH$54)&lt;0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R70" workbookViewId="0">
      <selection activeCell="Y23" sqref="Y23:AB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第十二期!AF76</f>
        <v>0</v>
      </c>
      <c r="BT7" s="182">
        <f>第十二期!AF77</f>
        <v>0</v>
      </c>
      <c r="BU7" s="182">
        <f>第十二期!AF78</f>
        <v>0</v>
      </c>
      <c r="BV7" s="182">
        <f>第十二期!AF79</f>
        <v>0</v>
      </c>
      <c r="BW7" s="184">
        <f>第十二期!$AF$80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第十二期!$AG$76</f>
        <v>0</v>
      </c>
      <c r="BT8" s="182">
        <f>第十二期!$AG$77</f>
        <v>0</v>
      </c>
      <c r="BU8" s="182">
        <f>第十二期!$AG$78</f>
        <v>0</v>
      </c>
      <c r="BV8" s="182">
        <f>第十二期!$AG$79</f>
        <v>0</v>
      </c>
      <c r="BW8" s="184">
        <f>第十二期!$AG$80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第十二期!DB56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第十二期!$AH$76</f>
        <v>0</v>
      </c>
      <c r="BT9" s="182">
        <f>第十二期!$AH$77</f>
        <v>0</v>
      </c>
      <c r="BU9" s="182">
        <f>第十二期!$AH$78</f>
        <v>0</v>
      </c>
      <c r="BV9" s="182">
        <f>第十二期!$AH$79</f>
        <v>0</v>
      </c>
      <c r="BW9" s="184">
        <f>第十二期!$AH$80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第十二期!DB57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第十二期!$AI$76</f>
        <v>0</v>
      </c>
      <c r="BT10" s="182">
        <f>第十二期!$AI$77</f>
        <v>0</v>
      </c>
      <c r="BU10" s="182">
        <f>第十二期!$AI$78</f>
        <v>0</v>
      </c>
      <c r="BV10" s="182">
        <f>第十二期!$AI$79</f>
        <v>0</v>
      </c>
      <c r="BW10" s="184">
        <f>第十二期!$AI$80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第十二期!DB58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第十二期!$AJ$76</f>
        <v>0</v>
      </c>
      <c r="BT11" s="184">
        <f>第十二期!$AJ$77</f>
        <v>0</v>
      </c>
      <c r="BU11" s="184">
        <f>第十二期!$AJ$78</f>
        <v>0</v>
      </c>
      <c r="BV11" s="184">
        <f>第十二期!$AJ$79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第十二期!DB59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第十二期!BU86</f>
        <v>0</v>
      </c>
      <c r="AG13" s="124" t="s">
        <v>309</v>
      </c>
      <c r="AH13" s="125">
        <f>第十二期!BV76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第十二期!BW92</f>
        <v>0</v>
      </c>
      <c r="AG14" s="68" t="s">
        <v>315</v>
      </c>
      <c r="AH14" s="127"/>
      <c r="AI14" s="39" t="s">
        <v>189</v>
      </c>
      <c r="AJ14" s="128">
        <f>第十二期!K12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第十二期!Y88</f>
        <v>0</v>
      </c>
      <c r="BT14" s="182">
        <f>第十二期!Y89</f>
        <v>0</v>
      </c>
      <c r="BU14" s="182">
        <f>第十二期!Y90</f>
        <v>0</v>
      </c>
      <c r="BV14" s="182">
        <f>第十二期!Y91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AF14/(Y18+第十二期!K8-AA18)</f>
        <v>#DIV/0!</v>
      </c>
      <c r="AG15" s="68" t="s">
        <v>321</v>
      </c>
      <c r="AH15" s="127"/>
      <c r="AI15" s="39" t="s">
        <v>322</v>
      </c>
      <c r="AJ15" s="128">
        <f>第十二期!K16*0.5-第十二期!K14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第十二期!Z88</f>
        <v>0</v>
      </c>
      <c r="BT15" s="182">
        <f>第十二期!Z89</f>
        <v>0</v>
      </c>
      <c r="BU15" s="182">
        <f>第十二期!Z90</f>
        <v>0</v>
      </c>
      <c r="BV15" s="182">
        <f>第十二期!Z91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第十二期!DM60</f>
        <v>0</v>
      </c>
      <c r="Z16" s="87" t="s">
        <v>325</v>
      </c>
      <c r="AA16" s="88">
        <f>AH20+Y16+第十二期!K9*比赛参数!D30*比赛参数!F30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第十二期!AA88</f>
        <v>0</v>
      </c>
      <c r="BT16" s="182">
        <f>第十二期!AA89</f>
        <v>0</v>
      </c>
      <c r="BU16" s="182">
        <f>第十二期!AA90</f>
        <v>0</v>
      </c>
      <c r="BV16" s="182">
        <f>第十二期!AA91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第十二期!AB88</f>
        <v>0</v>
      </c>
      <c r="BT17" s="182">
        <f>第十二期!AB89</f>
        <v>0</v>
      </c>
      <c r="BU17" s="182">
        <f>第十二期!AB90</f>
        <v>0</v>
      </c>
      <c r="BV17" s="182">
        <f>第十二期!AB91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第十二期!K8*比赛参数!D57</f>
        <v>0</v>
      </c>
      <c r="Z19" s="48" t="s">
        <v>351</v>
      </c>
      <c r="AA19" s="94">
        <f>第十二期!K8*比赛参数!D60</f>
        <v>0</v>
      </c>
      <c r="AB19" s="48" t="s">
        <v>351</v>
      </c>
      <c r="AC19" s="99">
        <f>IF((AC21-第十二期!K10)/比赛参数!D41&gt;0,(AC21-第十二期!K10)/比赛参数!D41,0)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IF((第十二期!BW92-第十二期!BS87)&gt;0,第十二期!BW92-第十二期!BS87,0)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第十二期!$CX$68</f>
        <v>0</v>
      </c>
      <c r="CD19" s="101">
        <f>第十二期!$CX$69</f>
        <v>0</v>
      </c>
      <c r="CE19" s="101">
        <f>第十二期!$CX$70</f>
        <v>0</v>
      </c>
      <c r="CF19" s="101">
        <f>第十二期!$CX$71</f>
        <v>0</v>
      </c>
      <c r="CG19" s="50"/>
      <c r="CH19" s="201"/>
      <c r="CI19" s="202" t="s">
        <v>56</v>
      </c>
      <c r="CJ19" s="101">
        <f>第十二期!$CX$50</f>
        <v>0</v>
      </c>
      <c r="CK19" s="101">
        <f>第十二期!$CX$51</f>
        <v>0</v>
      </c>
      <c r="CL19" s="101">
        <f>第十二期!$CX$52</f>
        <v>0</v>
      </c>
      <c r="CM19" s="101">
        <f>第十二期!$CX$53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第十二期!K8+第十二期!Y18*比赛参数!D59-第十二期!AA18</f>
        <v>0</v>
      </c>
      <c r="Z20" s="39" t="s">
        <v>346</v>
      </c>
      <c r="AA20" s="102">
        <f>第十二期!K9</f>
        <v>0</v>
      </c>
      <c r="AB20" s="39" t="s">
        <v>358</v>
      </c>
      <c r="AC20" s="103">
        <f>AC18*比赛参数!D41+第十二期!K10</f>
        <v>0</v>
      </c>
      <c r="AE20" s="9" t="s">
        <v>359</v>
      </c>
      <c r="AF20" s="96"/>
      <c r="AG20" s="39" t="s">
        <v>178</v>
      </c>
      <c r="AH20" s="136">
        <f>第十二期!BS62+第十二期!BS71</f>
        <v>0</v>
      </c>
      <c r="AI20" s="68" t="s">
        <v>360</v>
      </c>
      <c r="AJ20" s="103">
        <f>第十二期!BV90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第十二期!Y9</f>
        <v>0</v>
      </c>
      <c r="BT20" s="182">
        <f>第十二期!Z9</f>
        <v>0</v>
      </c>
      <c r="BU20" s="182">
        <f>第十二期!AA9</f>
        <v>0</v>
      </c>
      <c r="BV20" s="182">
        <f>第十二期!AB9</f>
        <v>0</v>
      </c>
      <c r="BW20" s="184">
        <f>第十二期!AJ34</f>
        <v>0</v>
      </c>
      <c r="CA20" s="194"/>
      <c r="CB20" s="180" t="s">
        <v>57</v>
      </c>
      <c r="CC20" s="101">
        <f>第十二期!$CY$68</f>
        <v>0</v>
      </c>
      <c r="CD20" s="101">
        <f>第十二期!$CY$69</f>
        <v>0</v>
      </c>
      <c r="CE20" s="101">
        <f>第十二期!$CY$70</f>
        <v>0</v>
      </c>
      <c r="CF20" s="101">
        <f>第十二期!$CY$71</f>
        <v>0</v>
      </c>
      <c r="CG20" s="50"/>
      <c r="CH20" s="201"/>
      <c r="CI20" s="203" t="s">
        <v>57</v>
      </c>
      <c r="CJ20" s="101">
        <f>第十二期!$CY$50</f>
        <v>0</v>
      </c>
      <c r="CK20" s="101">
        <f>第十二期!$CY$51</f>
        <v>0</v>
      </c>
      <c r="CL20" s="101">
        <f>第十二期!$CY$52</f>
        <v>0</v>
      </c>
      <c r="CM20" s="101">
        <f>第十二期!$CY$53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第十二期!Y10</f>
        <v>0</v>
      </c>
      <c r="BT21" s="182">
        <f>第十二期!Z10</f>
        <v>0</v>
      </c>
      <c r="BU21" s="182">
        <f>第十二期!AA10</f>
        <v>0</v>
      </c>
      <c r="BV21" s="182">
        <f>第十二期!AB10</f>
        <v>0</v>
      </c>
      <c r="BW21" s="184">
        <f>第十二期!AJ35</f>
        <v>0</v>
      </c>
      <c r="CA21" s="194"/>
      <c r="CB21" s="180" t="s">
        <v>58</v>
      </c>
      <c r="CC21" s="101">
        <f>第十二期!$CZ$68</f>
        <v>0</v>
      </c>
      <c r="CD21" s="101">
        <f>第十二期!$CZ$69</f>
        <v>0</v>
      </c>
      <c r="CE21" s="101">
        <f>第十二期!$CZ$70</f>
        <v>0</v>
      </c>
      <c r="CF21" s="101">
        <f>第十二期!$CZ$71</f>
        <v>0</v>
      </c>
      <c r="CG21" s="50"/>
      <c r="CH21" s="201"/>
      <c r="CI21" s="203" t="s">
        <v>58</v>
      </c>
      <c r="CJ21" s="101">
        <f>第十二期!$CZ$50</f>
        <v>0</v>
      </c>
      <c r="CK21" s="101">
        <f>第十二期!$CZ$51</f>
        <v>0</v>
      </c>
      <c r="CL21" s="101">
        <f>第十二期!$CZ$52</f>
        <v>0</v>
      </c>
      <c r="CM21" s="101">
        <f>第十二期!$CZ$53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第十二期!Y11</f>
        <v>0</v>
      </c>
      <c r="BT22" s="182">
        <f>第十二期!Z11</f>
        <v>0</v>
      </c>
      <c r="BU22" s="182">
        <f>第十二期!AA11</f>
        <v>0</v>
      </c>
      <c r="BV22" s="182">
        <f>第十二期!AB11</f>
        <v>0</v>
      </c>
      <c r="BW22" s="184">
        <f>第十二期!AJ36</f>
        <v>0</v>
      </c>
      <c r="CA22" s="194"/>
      <c r="CB22" s="180" t="s">
        <v>59</v>
      </c>
      <c r="CC22" s="101">
        <f>第十二期!$DA$68</f>
        <v>0</v>
      </c>
      <c r="CD22" s="101">
        <f>第十二期!$DA$69</f>
        <v>0</v>
      </c>
      <c r="CE22" s="101">
        <f>第十二期!$DA$70</f>
        <v>0</v>
      </c>
      <c r="CF22" s="101">
        <f>第十二期!$DA$71</f>
        <v>0</v>
      </c>
      <c r="CG22" s="50"/>
      <c r="CH22" s="201"/>
      <c r="CI22" s="203" t="s">
        <v>59</v>
      </c>
      <c r="CJ22" s="101">
        <f>第十二期!$DA$50</f>
        <v>0</v>
      </c>
      <c r="CK22" s="101">
        <f>第十二期!$DA$51</f>
        <v>0</v>
      </c>
      <c r="CL22" s="101">
        <f>第十二期!$DA$52</f>
        <v>0</v>
      </c>
      <c r="CM22" s="101">
        <f>第十二期!$DA$53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第十二期!Y12</f>
        <v>0</v>
      </c>
      <c r="BT23" s="182">
        <f>第十二期!Z12</f>
        <v>0</v>
      </c>
      <c r="BU23" s="182">
        <f>第十二期!AA12</f>
        <v>0</v>
      </c>
      <c r="BV23" s="182">
        <f>第十二期!AB12</f>
        <v>0</v>
      </c>
      <c r="BW23" s="184">
        <f>第十二期!AJ37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第十二期!BV57-第十二期!BV76</f>
        <v>0</v>
      </c>
      <c r="AJ26" s="60">
        <f>第十二期!K9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第十二期!DB50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第十二期!Y18</f>
        <v>0</v>
      </c>
      <c r="BT26" s="182">
        <f>第十二期!AA18</f>
        <v>0</v>
      </c>
      <c r="BU26" s="182">
        <f>第十二期!AF18</f>
        <v>0</v>
      </c>
      <c r="BV26" s="186">
        <f>第十二期!AC18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第十二期!DB51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第十二期!DB52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第十二期!DB53</f>
        <v>0</v>
      </c>
      <c r="BQ29" s="162"/>
      <c r="BS29" s="186">
        <f>第十二期!AH14</f>
        <v>0</v>
      </c>
      <c r="BT29" s="186">
        <f>第十二期!AH15</f>
        <v>0</v>
      </c>
      <c r="BU29" s="182">
        <f>第十二期!AF20</f>
        <v>0</v>
      </c>
      <c r="BV29" s="186">
        <f>第十二期!AJ18</f>
        <v>0</v>
      </c>
      <c r="BW29" s="182">
        <f>第十二期!AH18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INT(第十二期!DV26)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INT(第十二期!DV27)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INT(第十二期!DV28)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INT(第十二期!DV29)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第十二期!DG56*第十二期!DG50+第十二期!DG64*第十二期!Y88</f>
        <v>0</v>
      </c>
      <c r="CD38" s="102">
        <f>第十二期!DH56*第十二期!DH50+第十二期!DH64*第十二期!Z88</f>
        <v>0</v>
      </c>
      <c r="CE38" s="102">
        <f>第十二期!DI56*第十二期!DI50+第十二期!DI64*第十二期!AA88</f>
        <v>0</v>
      </c>
      <c r="CF38" s="102">
        <f>第十二期!DJ56*第十二期!DJ50+第十二期!DJ64*第十二期!AB88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第十二期!DG57*第十二期!DG51+第十二期!DG65*第十二期!Y89</f>
        <v>0</v>
      </c>
      <c r="CD39" s="102">
        <f>第十二期!DH57*第十二期!DH51+第十二期!DH65*第十二期!Z89</f>
        <v>0</v>
      </c>
      <c r="CE39" s="102">
        <f>第十二期!DI57*第十二期!DI51+第十二期!DI65*第十二期!AA89</f>
        <v>0</v>
      </c>
      <c r="CF39" s="102">
        <f>第十二期!DJ57*第十二期!DJ51+第十二期!DJ65*第十二期!AB89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第十二期!DG58*第十二期!DG52+第十二期!DG66*第十二期!Y90</f>
        <v>0</v>
      </c>
      <c r="CD40" s="102">
        <f>第十二期!DH58*第十二期!DH52+第十二期!DH66*第十二期!Z90</f>
        <v>0</v>
      </c>
      <c r="CE40" s="102">
        <f>第十二期!DI58*第十二期!DI52+第十二期!DI66*第十二期!AA90</f>
        <v>0</v>
      </c>
      <c r="CF40" s="102">
        <f>第十二期!DJ58*第十二期!DJ52+第十二期!DJ66*第十二期!AB90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第十二期!DG59*第十二期!DG53+第十二期!DG67*第十二期!Y91</f>
        <v>0</v>
      </c>
      <c r="CD41" s="102">
        <f>第十二期!DH59*第十二期!DH53+第十二期!DH67*第十二期!Z91</f>
        <v>0</v>
      </c>
      <c r="CE41" s="102">
        <f>第十二期!DI59*第十二期!DI53+第十二期!DI67*第十二期!AA91</f>
        <v>0</v>
      </c>
      <c r="CF41" s="102">
        <f>第十二期!DJ59*第十二期!DJ53+第十二期!DJ67*第十二期!AB91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第十二期!Y9*第十二期!CQ62*比赛参数!D65</f>
        <v>0</v>
      </c>
      <c r="CR50" s="60">
        <f>第十二期!Z9*第十二期!CR62*比赛参数!E65</f>
        <v>0</v>
      </c>
      <c r="CS50" s="60">
        <f>第十二期!AA9*第十二期!CS62*比赛参数!F65</f>
        <v>0</v>
      </c>
      <c r="CT50" s="60">
        <f>第十二期!AB9*第十二期!CT62*比赛参数!G65</f>
        <v>0</v>
      </c>
      <c r="CU50" s="60">
        <f>IF(第十二期!AC9&gt;0,SUM(CQ50:CT50)/第十二期!AC9,0)</f>
        <v>0</v>
      </c>
      <c r="CW50" s="9" t="s">
        <v>38</v>
      </c>
      <c r="CX50" s="215">
        <f>IF(第十二期!$CU$50*第十二期!CQ93&gt;0,第十二期!$CU$50+第十二期!CQ68+第十二期!CQ93+第十二期!CQ74,0)</f>
        <v>0</v>
      </c>
      <c r="CY50" s="215">
        <f>IF(第十二期!$CU$50*第十二期!CR93&gt;0,第十二期!$CU$50+第十二期!CR68+第十二期!CR93+第十二期!CR74,0)</f>
        <v>0</v>
      </c>
      <c r="CZ50" s="215">
        <f>IF(第十二期!$CU$50*第十二期!CS93&gt;0,第十二期!$CU$50+第十二期!CS68+第十二期!CS93+第十二期!CS74,0)</f>
        <v>0</v>
      </c>
      <c r="DA50" s="215">
        <f>IF(第十二期!$CU$50*第十二期!CT93&gt;0,第十二期!$CU$50+第十二期!CT68+第十二期!CT93+第十二期!CT74,0)</f>
        <v>0</v>
      </c>
      <c r="DB50" s="215">
        <f>AVERAGE(CX50:DA50)</f>
        <v>0</v>
      </c>
      <c r="DF50" s="60" t="s">
        <v>56</v>
      </c>
      <c r="DG50" s="218">
        <f>IF(第十二期!Y88&gt;0,1,0)</f>
        <v>0</v>
      </c>
      <c r="DH50" s="218">
        <f>IF(第十二期!Z88&gt;0,1,0)</f>
        <v>0</v>
      </c>
      <c r="DI50" s="218">
        <f>IF(第十二期!AA88&gt;0,1,0)</f>
        <v>0</v>
      </c>
      <c r="DJ50" s="218">
        <f>IF(第十二期!AB88&gt;0,1,0)</f>
        <v>0</v>
      </c>
      <c r="DL50" s="218" t="s">
        <v>21</v>
      </c>
      <c r="DM50" s="219">
        <f>IF(第十二期!Y9+第十二期!Z9&gt;0,1,0)</f>
        <v>0</v>
      </c>
      <c r="DN50" s="219">
        <f>IF(第十二期!AA9+第十二期!AB9&gt;0,1,0)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第十二期!Y10*第十二期!CQ63*比赛参数!D65</f>
        <v>0</v>
      </c>
      <c r="CR51" s="60">
        <f>第十二期!Z10*第十二期!CR63*比赛参数!E65</f>
        <v>0</v>
      </c>
      <c r="CS51" s="60">
        <f>第十二期!AA10*第十二期!CS63*比赛参数!F65</f>
        <v>0</v>
      </c>
      <c r="CT51" s="60">
        <f>第十二期!AB10*第十二期!CT63*比赛参数!G65</f>
        <v>0</v>
      </c>
      <c r="CU51" s="60">
        <f>IF(第十二期!AC10&gt;0,SUM(CQ51:CT51)/第十二期!AC10,0)</f>
        <v>0</v>
      </c>
      <c r="CW51" s="9" t="s">
        <v>39</v>
      </c>
      <c r="CX51" s="215">
        <f>IF(第十二期!$CU$51*第十二期!CQ94&gt;0,第十二期!$CU$51+第十二期!CQ69+第十二期!CQ94+第十二期!CQ75,0)</f>
        <v>0</v>
      </c>
      <c r="CY51" s="215">
        <f>IF(第十二期!$CU$51*第十二期!CR94&gt;0,第十二期!$CU$51+第十二期!CR69+第十二期!CR94+第十二期!CR75,0)</f>
        <v>0</v>
      </c>
      <c r="CZ51" s="215">
        <f>IF(第十二期!$CU$51*第十二期!CS94&gt;0,第十二期!$CU$51+第十二期!CS69+第十二期!CS94+第十二期!CS75,0)</f>
        <v>0</v>
      </c>
      <c r="DA51" s="215">
        <f>IF(第十二期!$CU$51*第十二期!CT94&gt;0,第十二期!$CU$51+第十二期!CT69+第十二期!CT94+第十二期!CT75,0)</f>
        <v>0</v>
      </c>
      <c r="DB51" s="215">
        <f>AVERAGE(CX51:DA51)</f>
        <v>0</v>
      </c>
      <c r="DF51" s="60" t="s">
        <v>57</v>
      </c>
      <c r="DG51" s="218">
        <f>IF(第十二期!Y89&gt;0,1,0)</f>
        <v>0</v>
      </c>
      <c r="DH51" s="218">
        <f>IF(第十二期!Z89&gt;0,1,0)</f>
        <v>0</v>
      </c>
      <c r="DI51" s="218">
        <f>IF(第十二期!AA89&gt;0,1,0)</f>
        <v>0</v>
      </c>
      <c r="DJ51" s="218">
        <f>IF(第十二期!AB89&gt;0,1,0)</f>
        <v>0</v>
      </c>
      <c r="DL51" s="218" t="s">
        <v>22</v>
      </c>
      <c r="DM51" s="219">
        <f>IF(第十二期!Y10+第十二期!Z10&gt;0,1,0)</f>
        <v>0</v>
      </c>
      <c r="DN51" s="219">
        <f>IF(第十二期!AA10+第十二期!AB10&gt;0,1,0)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第十二期!Y11*第十二期!CQ64*比赛参数!D65</f>
        <v>0</v>
      </c>
      <c r="CR52" s="60">
        <f>第十二期!Z11*第十二期!CR64*比赛参数!E65</f>
        <v>0</v>
      </c>
      <c r="CS52" s="60">
        <f>第十二期!AA11*第十二期!CS64*比赛参数!F65</f>
        <v>0</v>
      </c>
      <c r="CT52" s="60">
        <f>第十二期!AB11*第十二期!CT64*比赛参数!G65</f>
        <v>0</v>
      </c>
      <c r="CU52" s="60">
        <f>IF(第十二期!AC11&gt;0,SUM(CQ52:CT52)/第十二期!AC11,0)</f>
        <v>0</v>
      </c>
      <c r="CW52" s="9" t="s">
        <v>40</v>
      </c>
      <c r="CX52" s="215">
        <f>IF(第十二期!$CU$52*第十二期!CQ95&gt;0,第十二期!$CU$52+第十二期!CQ70+第十二期!CQ95+第十二期!CQ76,0)</f>
        <v>0</v>
      </c>
      <c r="CY52" s="215">
        <f>IF(第十二期!$CU$52*第十二期!CR95&gt;0,第十二期!$CU$52+第十二期!CR70+第十二期!CR95+第十二期!CR76,0)</f>
        <v>0</v>
      </c>
      <c r="CZ52" s="215">
        <f>IF(第十二期!$CU$52*第十二期!CS95&gt;0,第十二期!$CU$52+第十二期!CS70+第十二期!CS95+第十二期!CS76,0)</f>
        <v>0</v>
      </c>
      <c r="DA52" s="215">
        <f>IF(第十二期!$CU$52*第十二期!CT95&gt;0,第十二期!$CU$52+第十二期!CT70+第十二期!CT95+第十二期!CT76,0)</f>
        <v>0</v>
      </c>
      <c r="DB52" s="215">
        <f>AVERAGE(CX52:DA52)</f>
        <v>0</v>
      </c>
      <c r="DF52" s="60" t="s">
        <v>58</v>
      </c>
      <c r="DG52" s="218">
        <f>IF(第十二期!Y90&gt;0,1,0)</f>
        <v>0</v>
      </c>
      <c r="DH52" s="218">
        <f>IF(第十二期!Z90&gt;0,1,0)</f>
        <v>0</v>
      </c>
      <c r="DI52" s="218">
        <f>IF(第十二期!AA90&gt;0,1,0)</f>
        <v>0</v>
      </c>
      <c r="DJ52" s="218">
        <f>IF(第十二期!AB90&gt;0,1,0)</f>
        <v>0</v>
      </c>
      <c r="DL52" s="218" t="s">
        <v>23</v>
      </c>
      <c r="DM52" s="219">
        <f>IF(第十二期!Y11+第十二期!Z11&gt;0,1,0)</f>
        <v>0</v>
      </c>
      <c r="DN52" s="219">
        <f>IF(第十二期!AA11+第十二期!AB11&gt;0,1,0)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第十二期!Y12*第十二期!CQ65*比赛参数!D65</f>
        <v>0</v>
      </c>
      <c r="CR53" s="60">
        <f>第十二期!Z12*第十二期!CR65*比赛参数!E65</f>
        <v>0</v>
      </c>
      <c r="CS53" s="60">
        <f>第十二期!AA12*第十二期!CS65*比赛参数!F65</f>
        <v>0</v>
      </c>
      <c r="CT53" s="60">
        <f>第十二期!AB12*第十二期!CT65*比赛参数!G65</f>
        <v>0</v>
      </c>
      <c r="CU53" s="60">
        <f>IF(第十二期!AC12&gt;0,SUM(CQ53:CT53)/第十二期!AC12,0)</f>
        <v>0</v>
      </c>
      <c r="CW53" s="9" t="s">
        <v>41</v>
      </c>
      <c r="CX53" s="215">
        <f>IF(第十二期!$CU$53*第十二期!CQ96&gt;0,第十二期!$CU$53+第十二期!CQ71+第十二期!CQ96+第十二期!CQ77,0)</f>
        <v>0</v>
      </c>
      <c r="CY53" s="215">
        <f>IF(第十二期!$CU$53*第十二期!CR96&gt;0,第十二期!$CU$53+第十二期!CR71+第十二期!CR96+第十二期!CR77,0)</f>
        <v>0</v>
      </c>
      <c r="CZ53" s="215">
        <f>IF(第十二期!$CU$53*第十二期!CS96&gt;0,第十二期!$CU$53+第十二期!CS71+第十二期!CS96+第十二期!CS77,0)</f>
        <v>0</v>
      </c>
      <c r="DA53" s="215">
        <f>IF(第十二期!$CU$53*第十二期!CT96&gt;0,第十二期!$CU$53+第十二期!CT71+第十二期!CT96+第十二期!CT77,0)</f>
        <v>0</v>
      </c>
      <c r="DB53" s="215">
        <f>AVERAGE(CX53:DA53)</f>
        <v>0</v>
      </c>
      <c r="DF53" s="60" t="s">
        <v>59</v>
      </c>
      <c r="DG53" s="218">
        <f>IF(第十二期!Y91&gt;0,1,0)</f>
        <v>0</v>
      </c>
      <c r="DH53" s="218">
        <f>IF(第十二期!Z91&gt;0,1,0)</f>
        <v>0</v>
      </c>
      <c r="DI53" s="218">
        <f>IF(第十二期!AA91&gt;0,1,0)</f>
        <v>0</v>
      </c>
      <c r="DJ53" s="218">
        <f>IF(第十二期!AB91&gt;0,1,0)</f>
        <v>0</v>
      </c>
      <c r="DL53" s="218" t="s">
        <v>24</v>
      </c>
      <c r="DM53" s="219">
        <f>IF(第十二期!Y12+第十二期!Z12&gt;0,1,0)</f>
        <v>0</v>
      </c>
      <c r="DN53" s="219">
        <f>IF(第十二期!AA12+第十二期!AB12&gt;0,1,0)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第十二期!K11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第十二期!AH14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第十二期!DU26</f>
        <v>0</v>
      </c>
      <c r="CD56" s="102">
        <f>第十二期!DU27</f>
        <v>0</v>
      </c>
      <c r="CE56" s="102">
        <f>第十二期!DU28</f>
        <v>0</v>
      </c>
      <c r="CF56" s="102">
        <f>第十二期!DU29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第十二期!BS7-第十二期!CX50</f>
        <v>0</v>
      </c>
      <c r="CY56" s="215">
        <f>第十二期!BT7-第十二期!CY50</f>
        <v>0</v>
      </c>
      <c r="CZ56" s="215">
        <f>第十二期!BU7-第十二期!CZ50</f>
        <v>0</v>
      </c>
      <c r="DA56" s="215">
        <f>第十二期!BV7-第十二期!DA50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第十二期!DX6</f>
        <v>0</v>
      </c>
      <c r="Z57" s="102">
        <f>第十二期!DX10</f>
        <v>0</v>
      </c>
      <c r="AA57" s="102">
        <f>第十二期!DX14</f>
        <v>0</v>
      </c>
      <c r="AB57" s="102">
        <f>第十二期!DX18</f>
        <v>0</v>
      </c>
      <c r="AC57" s="119"/>
      <c r="AE57" s="59" t="s">
        <v>56</v>
      </c>
      <c r="AF57" s="102">
        <f>第十二期!DW6</f>
        <v>0</v>
      </c>
      <c r="AG57" s="102">
        <f>第十二期!DW10</f>
        <v>0</v>
      </c>
      <c r="AH57" s="102">
        <f>第十二期!DW14</f>
        <v>0</v>
      </c>
      <c r="AI57" s="102">
        <f>第十二期!DW18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第十二期!AH15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第十二期!BS8-第十二期!CX51</f>
        <v>0</v>
      </c>
      <c r="CY57" s="215">
        <f>第十二期!BT8-第十二期!CY51</f>
        <v>0</v>
      </c>
      <c r="CZ57" s="215">
        <f>第十二期!BU8-第十二期!CZ51</f>
        <v>0</v>
      </c>
      <c r="DA57" s="215">
        <f>第十二期!BV8-第十二期!DA51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第十二期!DX7</f>
        <v>0</v>
      </c>
      <c r="Z58" s="102">
        <f>第十二期!DX11</f>
        <v>0</v>
      </c>
      <c r="AA58" s="102">
        <f>第十二期!DX15</f>
        <v>0</v>
      </c>
      <c r="AB58" s="102">
        <f>第十二期!DX19</f>
        <v>0</v>
      </c>
      <c r="AC58" s="119"/>
      <c r="AE58" s="9" t="s">
        <v>57</v>
      </c>
      <c r="AF58" s="102">
        <f>第十二期!DW7</f>
        <v>0</v>
      </c>
      <c r="AG58" s="102">
        <f>第十二期!DW11</f>
        <v>0</v>
      </c>
      <c r="AH58" s="102">
        <f>第十二期!DW15</f>
        <v>0</v>
      </c>
      <c r="AI58" s="102">
        <f>第十二期!DW19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第十二期!H5+第十二期!H4*比赛参数!F71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第十二期!BS9-第十二期!CX52</f>
        <v>0</v>
      </c>
      <c r="CY58" s="215">
        <f>第十二期!BT9-第十二期!CY52</f>
        <v>0</v>
      </c>
      <c r="CZ58" s="215">
        <f>第十二期!BU9-第十二期!CZ52</f>
        <v>0</v>
      </c>
      <c r="DA58" s="215">
        <f>第十二期!BV9-第十二期!DA52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第十二期!DX8</f>
        <v>0</v>
      </c>
      <c r="Z59" s="102">
        <f>第十二期!DX12</f>
        <v>0</v>
      </c>
      <c r="AA59" s="102">
        <f>第十二期!DX16</f>
        <v>0</v>
      </c>
      <c r="AB59" s="102">
        <f>第十二期!DX20</f>
        <v>0</v>
      </c>
      <c r="AC59" s="120"/>
      <c r="AE59" s="9" t="s">
        <v>58</v>
      </c>
      <c r="AF59" s="102">
        <f>第十二期!DW8</f>
        <v>0</v>
      </c>
      <c r="AG59" s="102">
        <f>第十二期!DW12</f>
        <v>0</v>
      </c>
      <c r="AH59" s="102">
        <f>第十二期!DW16</f>
        <v>0</v>
      </c>
      <c r="AI59" s="102">
        <f>第十二期!DW20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第十二期!K14*比赛参数!D71/4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第十二期!BS10-第十二期!CX53</f>
        <v>0</v>
      </c>
      <c r="CY59" s="215">
        <f>第十二期!BT10-第十二期!CY53</f>
        <v>0</v>
      </c>
      <c r="CZ59" s="215">
        <f>第十二期!BU10-第十二期!CZ53</f>
        <v>0</v>
      </c>
      <c r="DA59" s="215">
        <f>第十二期!BV10-第十二期!DA53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第十二期!DX9</f>
        <v>0</v>
      </c>
      <c r="Z60" s="102">
        <f>第十二期!DX13</f>
        <v>0</v>
      </c>
      <c r="AA60" s="102">
        <f>第十二期!DX17</f>
        <v>0</v>
      </c>
      <c r="AB60" s="102">
        <f>第十二期!DX21</f>
        <v>0</v>
      </c>
      <c r="AC60" s="102" t="s">
        <v>415</v>
      </c>
      <c r="AE60" s="9" t="s">
        <v>59</v>
      </c>
      <c r="AF60" s="102">
        <f>第十二期!DW9</f>
        <v>0</v>
      </c>
      <c r="AG60" s="102">
        <f>第十二期!DW13</f>
        <v>0</v>
      </c>
      <c r="AH60" s="102">
        <f>第十二期!DW17</f>
        <v>0</v>
      </c>
      <c r="AI60" s="102">
        <f>第十二期!DW21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第十二期!Y18*比赛参数!D58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第十二期!AA18*比赛参数!D62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((第十二期!K8-第十二期!AA18)*比赛参数!D65+第十二期!Y18*比赛参数!D59*比赛参数!D65)*第十二期!AH18*520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CX56/第十二期!CQ56</f>
        <v>0</v>
      </c>
      <c r="CY62" s="215">
        <f>CY56/第十二期!CR56</f>
        <v>0</v>
      </c>
      <c r="CZ62" s="215">
        <f>CZ56/第十二期!CS56</f>
        <v>0</v>
      </c>
      <c r="DA62" s="215">
        <f>DA56/第十二期!CT56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第十二期!K9*比赛参数!D49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CX57/第十二期!CQ57</f>
        <v>0</v>
      </c>
      <c r="CY63" s="215">
        <f>CY57/第十二期!CR57</f>
        <v>0</v>
      </c>
      <c r="CZ63" s="215">
        <f>CZ57/第十二期!CS57</f>
        <v>0</v>
      </c>
      <c r="DA63" s="215">
        <f>DA57/第十二期!CT57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第十二期!AL37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CX58/第十二期!CQ58</f>
        <v>0</v>
      </c>
      <c r="CY64" s="215">
        <f>CY58/第十二期!CR58</f>
        <v>0</v>
      </c>
      <c r="CZ64" s="215">
        <f>CZ58/第十二期!CS58</f>
        <v>0</v>
      </c>
      <c r="DA64" s="215">
        <f>DA58/第十二期!CT58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0.5*第十二期!AL37+0.5*第十二期!DV23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CX59/第十二期!CQ59</f>
        <v>0</v>
      </c>
      <c r="CY65" s="215">
        <f>CY59/第十二期!CR59</f>
        <v>0</v>
      </c>
      <c r="CZ65" s="215">
        <f>CZ59/第十二期!CS59</f>
        <v>0</v>
      </c>
      <c r="DA65" s="215">
        <f>DA59/第十二期!CT59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第十二期!AC18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二期!AC18&gt;=比赛参数!D33,(1-比赛参数!E33)*第十二期!AC18,0)+IF(AND(第十二期!AC18&gt;=比赛参数!D34,第十二期!AC18&lt;比赛参数!D33),(1-比赛参数!E34)*第十二期!AC18,0)+IF(AND(第十二期!AC18&gt;=比赛参数!D35,第十二期!AC18&lt;比赛参数!D34),(1-比赛参数!E35)*第十二期!AC18,0)+IF(AND(第十二期!AC18&gt;=比赛参数!D36,第十二期!AC18&lt;比赛参数!D35),(1-比赛参数!E36)*第十二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第十二期!DV6</f>
        <v>0</v>
      </c>
      <c r="AG70" s="121">
        <f>第十二期!DV10</f>
        <v>0</v>
      </c>
      <c r="AH70" s="121">
        <f>第十二期!DV14</f>
        <v>0</v>
      </c>
      <c r="AI70" s="121">
        <f>第十二期!DV18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IF(第十二期!AC18&gt;0,第十二期!AC18*比赛参数!E40+比赛参数!E39,0)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第十二期!DV7</f>
        <v>0</v>
      </c>
      <c r="AG71" s="121">
        <f>第十二期!DV11</f>
        <v>0</v>
      </c>
      <c r="AH71" s="121">
        <f>第十二期!DV15</f>
        <v>0</v>
      </c>
      <c r="AI71" s="121">
        <f>第十二期!DV19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(第十二期!Z13*比赛参数!E65*260+第十二期!AA13*(比赛参数!F65-比赛参数!D65)*520+第十二期!AB13*比赛参数!G65*260)*第十二期!AH18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第十二期!DV8</f>
        <v>0</v>
      </c>
      <c r="AG72" s="121">
        <f>第十二期!DV12</f>
        <v>0</v>
      </c>
      <c r="AH72" s="121">
        <f>第十二期!DV16</f>
        <v>0</v>
      </c>
      <c r="AI72" s="121">
        <f>第十二期!DV20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第十二期!DM60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第十二期!DV9</f>
        <v>0</v>
      </c>
      <c r="AG73" s="121">
        <f>第十二期!DV13</f>
        <v>0</v>
      </c>
      <c r="AH73" s="121">
        <f>第十二期!DV17</f>
        <v>0</v>
      </c>
      <c r="AI73" s="121">
        <f>第十二期!DV21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第十二期!AC21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第十二期!CG42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SUM(第十二期!AF80:AI80)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SUM(第十二期!AJ76:AJ79)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第十二期!CG53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第十二期!CN53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第十二期!K9*比赛参数!D30*比赛参数!F30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第十二期!CG65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第十二期!Y9*第十二期!CQ56</f>
        <v>0</v>
      </c>
      <c r="CR80" s="60">
        <f>第十二期!Z9*第十二期!CR56</f>
        <v>0</v>
      </c>
      <c r="CS80" s="60">
        <f>第十二期!AA9*第十二期!CS56</f>
        <v>0</v>
      </c>
      <c r="CT80" s="60">
        <f>第十二期!AB9*第十二期!CT56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(第十二期!K10+(第十二期!AC18+第十二期!K10-第十二期!AC21))/2*比赛参数!D16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第十二期!Y10*第十二期!CQ57</f>
        <v>0</v>
      </c>
      <c r="CR81" s="60">
        <f>第十二期!Z10*第十二期!CR57</f>
        <v>0</v>
      </c>
      <c r="CS81" s="60">
        <f>第十二期!AA10*第十二期!CS57</f>
        <v>0</v>
      </c>
      <c r="CT81" s="60">
        <f>第十二期!AB10*第十二期!CT57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第十二期!CG67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第十二期!Y11*第十二期!CQ58</f>
        <v>0</v>
      </c>
      <c r="CR82" s="60">
        <f>第十二期!Z11*第十二期!CR58</f>
        <v>0</v>
      </c>
      <c r="CS82" s="60">
        <f>第十二期!AA11*第十二期!CS58</f>
        <v>0</v>
      </c>
      <c r="CT82" s="60">
        <f>第十二期!AB11*第十二期!CT58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第十二期!K13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第十二期!Y12*第十二期!CQ59</f>
        <v>0</v>
      </c>
      <c r="CR83" s="60">
        <f>第十二期!Z12*第十二期!CR59</f>
        <v>0</v>
      </c>
      <c r="CS83" s="60">
        <f>第十二期!AA12*第十二期!CS59</f>
        <v>0</v>
      </c>
      <c r="CT83" s="60">
        <f>第十二期!AB12*第十二期!CT59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第十二期!K13*比赛参数!D70/4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第十二期!AH14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第十二期!DS33</f>
        <v>0</v>
      </c>
      <c r="AG86" s="121">
        <f>第十二期!DW33</f>
        <v>0</v>
      </c>
      <c r="AH86" s="121">
        <f>第十二期!EA33</f>
        <v>0</v>
      </c>
      <c r="AI86" s="121">
        <f>第十二期!EE33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第十二期!AH14*比赛参数!D69/4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第十二期!DT33</f>
        <v>0</v>
      </c>
      <c r="AG87" s="121">
        <f>第十二期!DX33</f>
        <v>0</v>
      </c>
      <c r="AH87" s="121">
        <f>第十二期!EB33</f>
        <v>0</v>
      </c>
      <c r="AI87" s="121">
        <f>第十二期!EF33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IF(第十二期!BW92&gt;0,IF((第十二期!K15+第十二期!BW92*比赛参数!D72)&gt;0,第十二期!K15+第十二期!BW92*比赛参数!D72,0))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第十二期!DU33</f>
        <v>0</v>
      </c>
      <c r="AG88" s="121">
        <f>第十二期!DY33</f>
        <v>0</v>
      </c>
      <c r="AH88" s="121">
        <f>第十二期!EC33</f>
        <v>0</v>
      </c>
      <c r="AI88" s="121">
        <f>第十二期!EG33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第十二期!AF18*比赛参数!D30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第十二期!DV33</f>
        <v>0</v>
      </c>
      <c r="AG89" s="121">
        <f>第十二期!DZ33</f>
        <v>0</v>
      </c>
      <c r="AH89" s="121">
        <f>第十二期!ED33</f>
        <v>0</v>
      </c>
      <c r="AI89" s="121">
        <f>第十二期!EH33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第十二期!AJ18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第十二期!AF20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第十二期!BT84</f>
        <v>0</v>
      </c>
      <c r="BT92" s="291" t="s">
        <v>282</v>
      </c>
      <c r="BU92" s="86">
        <f>第十二期!BU86</f>
        <v>0</v>
      </c>
      <c r="BV92" s="293" t="s">
        <v>200</v>
      </c>
      <c r="BW92" s="294">
        <f>第十二期!BT84-第十二期!BU86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AC9*比赛参数!D6+第十二期!DU26</f>
        <v>0</v>
      </c>
      <c r="Z93" s="35">
        <f>AC10*比赛参数!D6+第十二期!DU27</f>
        <v>0</v>
      </c>
      <c r="AA93" s="35">
        <f>AC11*比赛参数!D6+第十二期!DU28</f>
        <v>0</v>
      </c>
      <c r="AB93" s="35">
        <f>AC12*比赛参数!D6+第十二期!DU29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IF(第十二期!$AC$9&gt;0,第十二期!$K$9*比赛参数!$D$30*比赛参数!$F$30*$CU$87/第十二期!$AC$9,0)</f>
        <v>0</v>
      </c>
      <c r="CR93" s="60">
        <f>IF(第十二期!$AC$9&gt;0,第十二期!$K$9*比赛参数!$D$30*比赛参数!$F$30*$CU$87/第十二期!$AC$9,0)</f>
        <v>0</v>
      </c>
      <c r="CS93" s="60">
        <f>IF(第十二期!$AC$9&gt;0,第十二期!$K$9*比赛参数!$D$30*比赛参数!$F$30*$CU$87/第十二期!$AC$9,0)</f>
        <v>0</v>
      </c>
      <c r="CT93" s="60">
        <f>IF(第十二期!$AC$9&gt;0,第十二期!$K$9*比赛参数!$D$30*比赛参数!$F$30*$CU$87/第十二期!$AC$9,0)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IF(第十二期!$AC$10&gt;0,第十二期!$K$9*比赛参数!$D$30*比赛参数!$F$30*$CU$88/第十二期!$AC$10,0)</f>
        <v>0</v>
      </c>
      <c r="CR94" s="60">
        <f>IF(第十二期!$AC$10&gt;0,第十二期!$K$9*比赛参数!$D$30*比赛参数!$F$30*$CU$88/第十二期!$AC$10,0)</f>
        <v>0</v>
      </c>
      <c r="CS94" s="60">
        <f>IF(第十二期!$AC$10&gt;0,第十二期!$K$9*比赛参数!$D$30*比赛参数!$F$30*$CU$88/第十二期!$AC$10,0)</f>
        <v>0</v>
      </c>
      <c r="CT94" s="60">
        <f>IF(第十二期!$AC$10&gt;0,第十二期!$K$9*比赛参数!$D$30*比赛参数!$F$30*$CU$88/第十二期!$AC$10,0)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IF(第十二期!$AC$11&gt;0,第十二期!$K$9*比赛参数!$D$30*比赛参数!$F$30*$CU$89/第十二期!$AC$11,0)</f>
        <v>0</v>
      </c>
      <c r="CR95" s="60">
        <f>IF(第十二期!$AC$11&gt;0,第十二期!$K$9*比赛参数!$D$30*比赛参数!$F$30*$CU$89/第十二期!$AC$11,0)</f>
        <v>0</v>
      </c>
      <c r="CS95" s="60">
        <f>IF(第十二期!$AC$11&gt;0,第十二期!$K$9*比赛参数!$D$30*比赛参数!$F$30*$CU$89/第十二期!$AC$11,0)</f>
        <v>0</v>
      </c>
      <c r="CT95" s="60">
        <f>IF(第十二期!$AC$11&gt;0,第十二期!$K$9*比赛参数!$D$30*比赛参数!$F$30*$CU$89/第十二期!$AC$11,0)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第十二期!CX62</f>
        <v>0</v>
      </c>
      <c r="Z96" s="89">
        <f>第十二期!CX63</f>
        <v>0</v>
      </c>
      <c r="AA96" s="89">
        <f>第十二期!CX64</f>
        <v>0</v>
      </c>
      <c r="AB96" s="89">
        <f>第十二期!CX65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IF(第十二期!$AC$12&gt;0,第十二期!$K$9*比赛参数!$D$30*比赛参数!$F$30*$CU$90/第十二期!$AC$12,0)</f>
        <v>0</v>
      </c>
      <c r="CR96" s="60">
        <f>IF(第十二期!$AC$12&gt;0,第十二期!$K$9*比赛参数!$D$30*比赛参数!$F$30*$CU$90/第十二期!$AC$12,0)</f>
        <v>0</v>
      </c>
      <c r="CS96" s="60">
        <f>IF(第十二期!$AC$12&gt;0,第十二期!$K$9*比赛参数!$D$30*比赛参数!$F$30*$CU$90/第十二期!$AC$12,0)</f>
        <v>0</v>
      </c>
      <c r="CT96" s="60">
        <f>IF(第十二期!$AC$12&gt;0,第十二期!$K$9*比赛参数!$D$30*比赛参数!$F$30*$CU$90/第十二期!$AC$12,0)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第十二期!CY62</f>
        <v>0</v>
      </c>
      <c r="Z97" s="89">
        <f>第十二期!CY63</f>
        <v>0</v>
      </c>
      <c r="AA97" s="89">
        <f>第十二期!CY64</f>
        <v>0</v>
      </c>
      <c r="AB97" s="89">
        <f>第十二期!CY65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第十二期!CZ62</f>
        <v>0</v>
      </c>
      <c r="Z98" s="89">
        <f>第十二期!CZ63</f>
        <v>0</v>
      </c>
      <c r="AA98" s="89">
        <f>第十二期!CZ64</f>
        <v>0</v>
      </c>
      <c r="AB98" s="89">
        <f>第十二期!CZ65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第十二期!DA62</f>
        <v>0</v>
      </c>
      <c r="Z99" s="89">
        <f>第十二期!DA63</f>
        <v>0</v>
      </c>
      <c r="AA99" s="89">
        <f>第十二期!DA64</f>
        <v>0</v>
      </c>
      <c r="AB99" s="89">
        <f>第十二期!DA65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(第十二期!#REF!-$BE$54)&lt;0</formula>
    </cfRule>
  </conditionalFormatting>
  <conditionalFormatting sqref="BF132:BF133">
    <cfRule type="expression" dxfId="6" priority="26" stopIfTrue="1">
      <formula>(第十二期!#REF!-$BF$54)&lt;0</formula>
    </cfRule>
  </conditionalFormatting>
  <conditionalFormatting sqref="BG132:BG133">
    <cfRule type="expression" dxfId="6" priority="25" stopIfTrue="1">
      <formula>(第十二期!#REF!-$BG$54)&lt;0</formula>
    </cfRule>
  </conditionalFormatting>
  <conditionalFormatting sqref="BH132:BH133">
    <cfRule type="expression" dxfId="6" priority="24" stopIfTrue="1">
      <formula>(第十二期!#REF!-$BH$54)&lt;0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S1" workbookViewId="0">
      <selection activeCell="Y23" sqref="Y23:AB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第十三期!AF76</f>
        <v>0</v>
      </c>
      <c r="BT7" s="182">
        <f>第十三期!AF77</f>
        <v>0</v>
      </c>
      <c r="BU7" s="182">
        <f>第十三期!AF78</f>
        <v>0</v>
      </c>
      <c r="BV7" s="182">
        <f>第十三期!AF79</f>
        <v>0</v>
      </c>
      <c r="BW7" s="184">
        <f>第十三期!$AF$80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第十三期!$AG$76</f>
        <v>0</v>
      </c>
      <c r="BT8" s="182">
        <f>第十三期!$AG$77</f>
        <v>0</v>
      </c>
      <c r="BU8" s="182">
        <f>第十三期!$AG$78</f>
        <v>0</v>
      </c>
      <c r="BV8" s="182">
        <f>第十三期!$AG$79</f>
        <v>0</v>
      </c>
      <c r="BW8" s="184">
        <f>第十三期!$AG$80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第十三期!DB56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第十三期!$AH$76</f>
        <v>0</v>
      </c>
      <c r="BT9" s="182">
        <f>第十三期!$AH$77</f>
        <v>0</v>
      </c>
      <c r="BU9" s="182">
        <f>第十三期!$AH$78</f>
        <v>0</v>
      </c>
      <c r="BV9" s="182">
        <f>第十三期!$AH$79</f>
        <v>0</v>
      </c>
      <c r="BW9" s="184">
        <f>第十三期!$AH$80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第十三期!DB57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第十三期!$AI$76</f>
        <v>0</v>
      </c>
      <c r="BT10" s="182">
        <f>第十三期!$AI$77</f>
        <v>0</v>
      </c>
      <c r="BU10" s="182">
        <f>第十三期!$AI$78</f>
        <v>0</v>
      </c>
      <c r="BV10" s="182">
        <f>第十三期!$AI$79</f>
        <v>0</v>
      </c>
      <c r="BW10" s="184">
        <f>第十三期!$AI$80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第十三期!DB58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第十三期!$AJ$76</f>
        <v>0</v>
      </c>
      <c r="BT11" s="184">
        <f>第十三期!$AJ$77</f>
        <v>0</v>
      </c>
      <c r="BU11" s="184">
        <f>第十三期!$AJ$78</f>
        <v>0</v>
      </c>
      <c r="BV11" s="184">
        <f>第十三期!$AJ$79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第十三期!DB59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第十三期!BU86</f>
        <v>0</v>
      </c>
      <c r="AG13" s="124" t="s">
        <v>309</v>
      </c>
      <c r="AH13" s="125">
        <f>第十三期!BV76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第十三期!BW92</f>
        <v>0</v>
      </c>
      <c r="AG14" s="68" t="s">
        <v>315</v>
      </c>
      <c r="AH14" s="127"/>
      <c r="AI14" s="39" t="s">
        <v>189</v>
      </c>
      <c r="AJ14" s="128">
        <f>第十三期!K12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第十三期!Y88</f>
        <v>0</v>
      </c>
      <c r="BT14" s="182">
        <f>第十三期!Y89</f>
        <v>0</v>
      </c>
      <c r="BU14" s="182">
        <f>第十三期!Y90</f>
        <v>0</v>
      </c>
      <c r="BV14" s="182">
        <f>第十三期!Y91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AF14/(Y18+第十三期!K8-AA18)</f>
        <v>#DIV/0!</v>
      </c>
      <c r="AG15" s="68" t="s">
        <v>321</v>
      </c>
      <c r="AH15" s="127"/>
      <c r="AI15" s="39" t="s">
        <v>322</v>
      </c>
      <c r="AJ15" s="128">
        <f>第十三期!K16*0.5-第十三期!K14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第十三期!Z88</f>
        <v>0</v>
      </c>
      <c r="BT15" s="182">
        <f>第十三期!Z89</f>
        <v>0</v>
      </c>
      <c r="BU15" s="182">
        <f>第十三期!Z90</f>
        <v>0</v>
      </c>
      <c r="BV15" s="182">
        <f>第十三期!Z91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第十三期!DM60</f>
        <v>0</v>
      </c>
      <c r="Z16" s="87" t="s">
        <v>325</v>
      </c>
      <c r="AA16" s="88">
        <f>AH20+Y16+第十三期!K9*比赛参数!D30*比赛参数!F30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第十三期!AA88</f>
        <v>0</v>
      </c>
      <c r="BT16" s="182">
        <f>第十三期!AA89</f>
        <v>0</v>
      </c>
      <c r="BU16" s="182">
        <f>第十三期!AA90</f>
        <v>0</v>
      </c>
      <c r="BV16" s="182">
        <f>第十三期!AA91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第十三期!AB88</f>
        <v>0</v>
      </c>
      <c r="BT17" s="182">
        <f>第十三期!AB89</f>
        <v>0</v>
      </c>
      <c r="BU17" s="182">
        <f>第十三期!AB90</f>
        <v>0</v>
      </c>
      <c r="BV17" s="182">
        <f>第十三期!AB91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第十三期!K8*比赛参数!D57</f>
        <v>0</v>
      </c>
      <c r="Z19" s="48" t="s">
        <v>351</v>
      </c>
      <c r="AA19" s="94">
        <f>第十三期!K8*比赛参数!D60</f>
        <v>0</v>
      </c>
      <c r="AB19" s="48" t="s">
        <v>351</v>
      </c>
      <c r="AC19" s="99">
        <f>IF((AC21-第十三期!K10)/比赛参数!D41&gt;0,(AC21-第十三期!K10)/比赛参数!D41,0)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IF((第十三期!BW92-第十三期!BS87)&gt;0,第十三期!BW92-第十三期!BS87,0)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第十三期!$CX$68</f>
        <v>0</v>
      </c>
      <c r="CD19" s="101">
        <f>第十三期!$CX$69</f>
        <v>0</v>
      </c>
      <c r="CE19" s="101">
        <f>第十三期!$CX$70</f>
        <v>0</v>
      </c>
      <c r="CF19" s="101">
        <f>第十三期!$CX$71</f>
        <v>0</v>
      </c>
      <c r="CG19" s="50"/>
      <c r="CH19" s="201"/>
      <c r="CI19" s="202" t="s">
        <v>56</v>
      </c>
      <c r="CJ19" s="101">
        <f>第十三期!$CX$50</f>
        <v>0</v>
      </c>
      <c r="CK19" s="101">
        <f>第十三期!$CX$51</f>
        <v>0</v>
      </c>
      <c r="CL19" s="101">
        <f>第十三期!$CX$52</f>
        <v>0</v>
      </c>
      <c r="CM19" s="101">
        <f>第十三期!$CX$53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第十三期!K8+第十三期!Y18*比赛参数!D59-第十三期!AA18</f>
        <v>0</v>
      </c>
      <c r="Z20" s="39" t="s">
        <v>346</v>
      </c>
      <c r="AA20" s="102">
        <f>第十三期!K9</f>
        <v>0</v>
      </c>
      <c r="AB20" s="39" t="s">
        <v>358</v>
      </c>
      <c r="AC20" s="103">
        <f>AC18*比赛参数!D41+第十三期!K10</f>
        <v>0</v>
      </c>
      <c r="AE20" s="9" t="s">
        <v>359</v>
      </c>
      <c r="AF20" s="96"/>
      <c r="AG20" s="39" t="s">
        <v>178</v>
      </c>
      <c r="AH20" s="136">
        <f>第十三期!BS62+第十三期!BS71</f>
        <v>0</v>
      </c>
      <c r="AI20" s="68" t="s">
        <v>360</v>
      </c>
      <c r="AJ20" s="103">
        <f>第十三期!BV90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第十三期!Y9</f>
        <v>0</v>
      </c>
      <c r="BT20" s="182">
        <f>第十三期!Z9</f>
        <v>0</v>
      </c>
      <c r="BU20" s="182">
        <f>第十三期!AA9</f>
        <v>0</v>
      </c>
      <c r="BV20" s="182">
        <f>第十三期!AB9</f>
        <v>0</v>
      </c>
      <c r="BW20" s="184">
        <f>第十三期!AJ34</f>
        <v>0</v>
      </c>
      <c r="CA20" s="194"/>
      <c r="CB20" s="180" t="s">
        <v>57</v>
      </c>
      <c r="CC20" s="101">
        <f>第十三期!$CY$68</f>
        <v>0</v>
      </c>
      <c r="CD20" s="101">
        <f>第十三期!$CY$69</f>
        <v>0</v>
      </c>
      <c r="CE20" s="101">
        <f>第十三期!$CY$70</f>
        <v>0</v>
      </c>
      <c r="CF20" s="101">
        <f>第十三期!$CY$71</f>
        <v>0</v>
      </c>
      <c r="CG20" s="50"/>
      <c r="CH20" s="201"/>
      <c r="CI20" s="203" t="s">
        <v>57</v>
      </c>
      <c r="CJ20" s="101">
        <f>第十三期!$CY$50</f>
        <v>0</v>
      </c>
      <c r="CK20" s="101">
        <f>第十三期!$CY$51</f>
        <v>0</v>
      </c>
      <c r="CL20" s="101">
        <f>第十三期!$CY$52</f>
        <v>0</v>
      </c>
      <c r="CM20" s="101">
        <f>第十三期!$CY$53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第十三期!Y10</f>
        <v>0</v>
      </c>
      <c r="BT21" s="182">
        <f>第十三期!Z10</f>
        <v>0</v>
      </c>
      <c r="BU21" s="182">
        <f>第十三期!AA10</f>
        <v>0</v>
      </c>
      <c r="BV21" s="182">
        <f>第十三期!AB10</f>
        <v>0</v>
      </c>
      <c r="BW21" s="184">
        <f>第十三期!AJ35</f>
        <v>0</v>
      </c>
      <c r="CA21" s="194"/>
      <c r="CB21" s="180" t="s">
        <v>58</v>
      </c>
      <c r="CC21" s="101">
        <f>第十三期!$CZ$68</f>
        <v>0</v>
      </c>
      <c r="CD21" s="101">
        <f>第十三期!$CZ$69</f>
        <v>0</v>
      </c>
      <c r="CE21" s="101">
        <f>第十三期!$CZ$70</f>
        <v>0</v>
      </c>
      <c r="CF21" s="101">
        <f>第十三期!$CZ$71</f>
        <v>0</v>
      </c>
      <c r="CG21" s="50"/>
      <c r="CH21" s="201"/>
      <c r="CI21" s="203" t="s">
        <v>58</v>
      </c>
      <c r="CJ21" s="101">
        <f>第十三期!$CZ$50</f>
        <v>0</v>
      </c>
      <c r="CK21" s="101">
        <f>第十三期!$CZ$51</f>
        <v>0</v>
      </c>
      <c r="CL21" s="101">
        <f>第十三期!$CZ$52</f>
        <v>0</v>
      </c>
      <c r="CM21" s="101">
        <f>第十三期!$CZ$53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第十三期!Y11</f>
        <v>0</v>
      </c>
      <c r="BT22" s="182">
        <f>第十三期!Z11</f>
        <v>0</v>
      </c>
      <c r="BU22" s="182">
        <f>第十三期!AA11</f>
        <v>0</v>
      </c>
      <c r="BV22" s="182">
        <f>第十三期!AB11</f>
        <v>0</v>
      </c>
      <c r="BW22" s="184">
        <f>第十三期!AJ36</f>
        <v>0</v>
      </c>
      <c r="CA22" s="194"/>
      <c r="CB22" s="180" t="s">
        <v>59</v>
      </c>
      <c r="CC22" s="101">
        <f>第十三期!$DA$68</f>
        <v>0</v>
      </c>
      <c r="CD22" s="101">
        <f>第十三期!$DA$69</f>
        <v>0</v>
      </c>
      <c r="CE22" s="101">
        <f>第十三期!$DA$70</f>
        <v>0</v>
      </c>
      <c r="CF22" s="101">
        <f>第十三期!$DA$71</f>
        <v>0</v>
      </c>
      <c r="CG22" s="50"/>
      <c r="CH22" s="201"/>
      <c r="CI22" s="203" t="s">
        <v>59</v>
      </c>
      <c r="CJ22" s="101">
        <f>第十三期!$DA$50</f>
        <v>0</v>
      </c>
      <c r="CK22" s="101">
        <f>第十三期!$DA$51</f>
        <v>0</v>
      </c>
      <c r="CL22" s="101">
        <f>第十三期!$DA$52</f>
        <v>0</v>
      </c>
      <c r="CM22" s="101">
        <f>第十三期!$DA$53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第十三期!Y12</f>
        <v>0</v>
      </c>
      <c r="BT23" s="182">
        <f>第十三期!Z12</f>
        <v>0</v>
      </c>
      <c r="BU23" s="182">
        <f>第十三期!AA12</f>
        <v>0</v>
      </c>
      <c r="BV23" s="182">
        <f>第十三期!AB12</f>
        <v>0</v>
      </c>
      <c r="BW23" s="184">
        <f>第十三期!AJ37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第十三期!BV57-第十三期!BV76</f>
        <v>0</v>
      </c>
      <c r="AJ26" s="60">
        <f>第十三期!K9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第十三期!DB50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第十三期!Y18</f>
        <v>0</v>
      </c>
      <c r="BT26" s="182">
        <f>第十三期!AA18</f>
        <v>0</v>
      </c>
      <c r="BU26" s="182">
        <f>第十三期!AF18</f>
        <v>0</v>
      </c>
      <c r="BV26" s="186">
        <f>第十三期!AC18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第十三期!DB51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第十三期!DB52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第十三期!DB53</f>
        <v>0</v>
      </c>
      <c r="BQ29" s="162"/>
      <c r="BS29" s="186">
        <f>第十三期!AH14</f>
        <v>0</v>
      </c>
      <c r="BT29" s="186">
        <f>第十三期!AH15</f>
        <v>0</v>
      </c>
      <c r="BU29" s="182">
        <f>第十三期!AF20</f>
        <v>0</v>
      </c>
      <c r="BV29" s="186">
        <f>第十三期!AJ18</f>
        <v>0</v>
      </c>
      <c r="BW29" s="182">
        <f>第十三期!AH18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INT(第十三期!DV26)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INT(第十三期!DV27)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INT(第十三期!DV28)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INT(第十三期!DV29)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第十三期!DG56*第十三期!DG50+第十三期!DG64*第十三期!Y88</f>
        <v>0</v>
      </c>
      <c r="CD38" s="102">
        <f>第十三期!DH56*第十三期!DH50+第十三期!DH64*第十三期!Z88</f>
        <v>0</v>
      </c>
      <c r="CE38" s="102">
        <f>第十三期!DI56*第十三期!DI50+第十三期!DI64*第十三期!AA88</f>
        <v>0</v>
      </c>
      <c r="CF38" s="102">
        <f>第十三期!DJ56*第十三期!DJ50+第十三期!DJ64*第十三期!AB88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第十三期!DG57*第十三期!DG51+第十三期!DG65*第十三期!Y89</f>
        <v>0</v>
      </c>
      <c r="CD39" s="102">
        <f>第十三期!DH57*第十三期!DH51+第十三期!DH65*第十三期!Z89</f>
        <v>0</v>
      </c>
      <c r="CE39" s="102">
        <f>第十三期!DI57*第十三期!DI51+第十三期!DI65*第十三期!AA89</f>
        <v>0</v>
      </c>
      <c r="CF39" s="102">
        <f>第十三期!DJ57*第十三期!DJ51+第十三期!DJ65*第十三期!AB89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第十三期!DG58*第十三期!DG52+第十三期!DG66*第十三期!Y90</f>
        <v>0</v>
      </c>
      <c r="CD40" s="102">
        <f>第十三期!DH58*第十三期!DH52+第十三期!DH66*第十三期!Z90</f>
        <v>0</v>
      </c>
      <c r="CE40" s="102">
        <f>第十三期!DI58*第十三期!DI52+第十三期!DI66*第十三期!AA90</f>
        <v>0</v>
      </c>
      <c r="CF40" s="102">
        <f>第十三期!DJ58*第十三期!DJ52+第十三期!DJ66*第十三期!AB90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第十三期!DG59*第十三期!DG53+第十三期!DG67*第十三期!Y91</f>
        <v>0</v>
      </c>
      <c r="CD41" s="102">
        <f>第十三期!DH59*第十三期!DH53+第十三期!DH67*第十三期!Z91</f>
        <v>0</v>
      </c>
      <c r="CE41" s="102">
        <f>第十三期!DI59*第十三期!DI53+第十三期!DI67*第十三期!AA91</f>
        <v>0</v>
      </c>
      <c r="CF41" s="102">
        <f>第十三期!DJ59*第十三期!DJ53+第十三期!DJ67*第十三期!AB91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第十三期!Y9*第十三期!CQ62*比赛参数!D65</f>
        <v>0</v>
      </c>
      <c r="CR50" s="60">
        <f>第十三期!Z9*第十三期!CR62*比赛参数!E65</f>
        <v>0</v>
      </c>
      <c r="CS50" s="60">
        <f>第十三期!AA9*第十三期!CS62*比赛参数!F65</f>
        <v>0</v>
      </c>
      <c r="CT50" s="60">
        <f>第十三期!AB9*第十三期!CT62*比赛参数!G65</f>
        <v>0</v>
      </c>
      <c r="CU50" s="60">
        <f>IF(第十三期!AC9&gt;0,SUM(CQ50:CT50)/第十三期!AC9,0)</f>
        <v>0</v>
      </c>
      <c r="CW50" s="9" t="s">
        <v>38</v>
      </c>
      <c r="CX50" s="215">
        <f>IF(第十三期!$CU$50*第十三期!CQ93&gt;0,第十三期!$CU$50+第十三期!CQ68+第十三期!CQ93+第十三期!CQ74,0)</f>
        <v>0</v>
      </c>
      <c r="CY50" s="215">
        <f>IF(第十三期!$CU$50*第十三期!CR93&gt;0,第十三期!$CU$50+第十三期!CR68+第十三期!CR93+第十三期!CR74,0)</f>
        <v>0</v>
      </c>
      <c r="CZ50" s="215">
        <f>IF(第十三期!$CU$50*第十三期!CS93&gt;0,第十三期!$CU$50+第十三期!CS68+第十三期!CS93+第十三期!CS74,0)</f>
        <v>0</v>
      </c>
      <c r="DA50" s="215">
        <f>IF(第十三期!$CU$50*第十三期!CT93&gt;0,第十三期!$CU$50+第十三期!CT68+第十三期!CT93+第十三期!CT74,0)</f>
        <v>0</v>
      </c>
      <c r="DB50" s="215">
        <f>AVERAGE(CX50:DA50)</f>
        <v>0</v>
      </c>
      <c r="DF50" s="60" t="s">
        <v>56</v>
      </c>
      <c r="DG50" s="218">
        <f>IF(第十三期!Y88&gt;0,1,0)</f>
        <v>0</v>
      </c>
      <c r="DH50" s="218">
        <f>IF(第十三期!Z88&gt;0,1,0)</f>
        <v>0</v>
      </c>
      <c r="DI50" s="218">
        <f>IF(第十三期!AA88&gt;0,1,0)</f>
        <v>0</v>
      </c>
      <c r="DJ50" s="218">
        <f>IF(第十三期!AB88&gt;0,1,0)</f>
        <v>0</v>
      </c>
      <c r="DL50" s="218" t="s">
        <v>21</v>
      </c>
      <c r="DM50" s="219">
        <f>IF(第十三期!Y9+第十三期!Z9&gt;0,1,0)</f>
        <v>0</v>
      </c>
      <c r="DN50" s="219">
        <f>IF(第十三期!AA9+第十三期!AB9&gt;0,1,0)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第十三期!Y10*第十三期!CQ63*比赛参数!D65</f>
        <v>0</v>
      </c>
      <c r="CR51" s="60">
        <f>第十三期!Z10*第十三期!CR63*比赛参数!E65</f>
        <v>0</v>
      </c>
      <c r="CS51" s="60">
        <f>第十三期!AA10*第十三期!CS63*比赛参数!F65</f>
        <v>0</v>
      </c>
      <c r="CT51" s="60">
        <f>第十三期!AB10*第十三期!CT63*比赛参数!G65</f>
        <v>0</v>
      </c>
      <c r="CU51" s="60">
        <f>IF(第十三期!AC10&gt;0,SUM(CQ51:CT51)/第十三期!AC10,0)</f>
        <v>0</v>
      </c>
      <c r="CW51" s="9" t="s">
        <v>39</v>
      </c>
      <c r="CX51" s="215">
        <f>IF(第十三期!$CU$51*第十三期!CQ94&gt;0,第十三期!$CU$51+第十三期!CQ69+第十三期!CQ94+第十三期!CQ75,0)</f>
        <v>0</v>
      </c>
      <c r="CY51" s="215">
        <f>IF(第十三期!$CU$51*第十三期!CR94&gt;0,第十三期!$CU$51+第十三期!CR69+第十三期!CR94+第十三期!CR75,0)</f>
        <v>0</v>
      </c>
      <c r="CZ51" s="215">
        <f>IF(第十三期!$CU$51*第十三期!CS94&gt;0,第十三期!$CU$51+第十三期!CS69+第十三期!CS94+第十三期!CS75,0)</f>
        <v>0</v>
      </c>
      <c r="DA51" s="215">
        <f>IF(第十三期!$CU$51*第十三期!CT94&gt;0,第十三期!$CU$51+第十三期!CT69+第十三期!CT94+第十三期!CT75,0)</f>
        <v>0</v>
      </c>
      <c r="DB51" s="215">
        <f>AVERAGE(CX51:DA51)</f>
        <v>0</v>
      </c>
      <c r="DF51" s="60" t="s">
        <v>57</v>
      </c>
      <c r="DG51" s="218">
        <f>IF(第十三期!Y89&gt;0,1,0)</f>
        <v>0</v>
      </c>
      <c r="DH51" s="218">
        <f>IF(第十三期!Z89&gt;0,1,0)</f>
        <v>0</v>
      </c>
      <c r="DI51" s="218">
        <f>IF(第十三期!AA89&gt;0,1,0)</f>
        <v>0</v>
      </c>
      <c r="DJ51" s="218">
        <f>IF(第十三期!AB89&gt;0,1,0)</f>
        <v>0</v>
      </c>
      <c r="DL51" s="218" t="s">
        <v>22</v>
      </c>
      <c r="DM51" s="219">
        <f>IF(第十三期!Y10+第十三期!Z10&gt;0,1,0)</f>
        <v>0</v>
      </c>
      <c r="DN51" s="219">
        <f>IF(第十三期!AA10+第十三期!AB10&gt;0,1,0)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第十三期!Y11*第十三期!CQ64*比赛参数!D65</f>
        <v>0</v>
      </c>
      <c r="CR52" s="60">
        <f>第十三期!Z11*第十三期!CR64*比赛参数!E65</f>
        <v>0</v>
      </c>
      <c r="CS52" s="60">
        <f>第十三期!AA11*第十三期!CS64*比赛参数!F65</f>
        <v>0</v>
      </c>
      <c r="CT52" s="60">
        <f>第十三期!AB11*第十三期!CT64*比赛参数!G65</f>
        <v>0</v>
      </c>
      <c r="CU52" s="60">
        <f>IF(第十三期!AC11&gt;0,SUM(CQ52:CT52)/第十三期!AC11,0)</f>
        <v>0</v>
      </c>
      <c r="CW52" s="9" t="s">
        <v>40</v>
      </c>
      <c r="CX52" s="215">
        <f>IF(第十三期!$CU$52*第十三期!CQ95&gt;0,第十三期!$CU$52+第十三期!CQ70+第十三期!CQ95+第十三期!CQ76,0)</f>
        <v>0</v>
      </c>
      <c r="CY52" s="215">
        <f>IF(第十三期!$CU$52*第十三期!CR95&gt;0,第十三期!$CU$52+第十三期!CR70+第十三期!CR95+第十三期!CR76,0)</f>
        <v>0</v>
      </c>
      <c r="CZ52" s="215">
        <f>IF(第十三期!$CU$52*第十三期!CS95&gt;0,第十三期!$CU$52+第十三期!CS70+第十三期!CS95+第十三期!CS76,0)</f>
        <v>0</v>
      </c>
      <c r="DA52" s="215">
        <f>IF(第十三期!$CU$52*第十三期!CT95&gt;0,第十三期!$CU$52+第十三期!CT70+第十三期!CT95+第十三期!CT76,0)</f>
        <v>0</v>
      </c>
      <c r="DB52" s="215">
        <f>AVERAGE(CX52:DA52)</f>
        <v>0</v>
      </c>
      <c r="DF52" s="60" t="s">
        <v>58</v>
      </c>
      <c r="DG52" s="218">
        <f>IF(第十三期!Y90&gt;0,1,0)</f>
        <v>0</v>
      </c>
      <c r="DH52" s="218">
        <f>IF(第十三期!Z90&gt;0,1,0)</f>
        <v>0</v>
      </c>
      <c r="DI52" s="218">
        <f>IF(第十三期!AA90&gt;0,1,0)</f>
        <v>0</v>
      </c>
      <c r="DJ52" s="218">
        <f>IF(第十三期!AB90&gt;0,1,0)</f>
        <v>0</v>
      </c>
      <c r="DL52" s="218" t="s">
        <v>23</v>
      </c>
      <c r="DM52" s="219">
        <f>IF(第十三期!Y11+第十三期!Z11&gt;0,1,0)</f>
        <v>0</v>
      </c>
      <c r="DN52" s="219">
        <f>IF(第十三期!AA11+第十三期!AB11&gt;0,1,0)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第十三期!Y12*第十三期!CQ65*比赛参数!D65</f>
        <v>0</v>
      </c>
      <c r="CR53" s="60">
        <f>第十三期!Z12*第十三期!CR65*比赛参数!E65</f>
        <v>0</v>
      </c>
      <c r="CS53" s="60">
        <f>第十三期!AA12*第十三期!CS65*比赛参数!F65</f>
        <v>0</v>
      </c>
      <c r="CT53" s="60">
        <f>第十三期!AB12*第十三期!CT65*比赛参数!G65</f>
        <v>0</v>
      </c>
      <c r="CU53" s="60">
        <f>IF(第十三期!AC12&gt;0,SUM(CQ53:CT53)/第十三期!AC12,0)</f>
        <v>0</v>
      </c>
      <c r="CW53" s="9" t="s">
        <v>41</v>
      </c>
      <c r="CX53" s="215">
        <f>IF(第十三期!$CU$53*第十三期!CQ96&gt;0,第十三期!$CU$53+第十三期!CQ71+第十三期!CQ96+第十三期!CQ77,0)</f>
        <v>0</v>
      </c>
      <c r="CY53" s="215">
        <f>IF(第十三期!$CU$53*第十三期!CR96&gt;0,第十三期!$CU$53+第十三期!CR71+第十三期!CR96+第十三期!CR77,0)</f>
        <v>0</v>
      </c>
      <c r="CZ53" s="215">
        <f>IF(第十三期!$CU$53*第十三期!CS96&gt;0,第十三期!$CU$53+第十三期!CS71+第十三期!CS96+第十三期!CS77,0)</f>
        <v>0</v>
      </c>
      <c r="DA53" s="215">
        <f>IF(第十三期!$CU$53*第十三期!CT96&gt;0,第十三期!$CU$53+第十三期!CT71+第十三期!CT96+第十三期!CT77,0)</f>
        <v>0</v>
      </c>
      <c r="DB53" s="215">
        <f>AVERAGE(CX53:DA53)</f>
        <v>0</v>
      </c>
      <c r="DF53" s="60" t="s">
        <v>59</v>
      </c>
      <c r="DG53" s="218">
        <f>IF(第十三期!Y91&gt;0,1,0)</f>
        <v>0</v>
      </c>
      <c r="DH53" s="218">
        <f>IF(第十三期!Z91&gt;0,1,0)</f>
        <v>0</v>
      </c>
      <c r="DI53" s="218">
        <f>IF(第十三期!AA91&gt;0,1,0)</f>
        <v>0</v>
      </c>
      <c r="DJ53" s="218">
        <f>IF(第十三期!AB91&gt;0,1,0)</f>
        <v>0</v>
      </c>
      <c r="DL53" s="218" t="s">
        <v>24</v>
      </c>
      <c r="DM53" s="219">
        <f>IF(第十三期!Y12+第十三期!Z12&gt;0,1,0)</f>
        <v>0</v>
      </c>
      <c r="DN53" s="219">
        <f>IF(第十三期!AA12+第十三期!AB12&gt;0,1,0)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第十三期!K11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第十三期!AH14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第十三期!DU26</f>
        <v>0</v>
      </c>
      <c r="CD56" s="102">
        <f>第十三期!DU27</f>
        <v>0</v>
      </c>
      <c r="CE56" s="102">
        <f>第十三期!DU28</f>
        <v>0</v>
      </c>
      <c r="CF56" s="102">
        <f>第十三期!DU29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第十三期!BS7-第十三期!CX50</f>
        <v>0</v>
      </c>
      <c r="CY56" s="215">
        <f>第十三期!BT7-第十三期!CY50</f>
        <v>0</v>
      </c>
      <c r="CZ56" s="215">
        <f>第十三期!BU7-第十三期!CZ50</f>
        <v>0</v>
      </c>
      <c r="DA56" s="215">
        <f>第十三期!BV7-第十三期!DA50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第十三期!DX6</f>
        <v>0</v>
      </c>
      <c r="Z57" s="102">
        <f>第十三期!DX10</f>
        <v>0</v>
      </c>
      <c r="AA57" s="102">
        <f>第十三期!DX14</f>
        <v>0</v>
      </c>
      <c r="AB57" s="102">
        <f>第十三期!DX18</f>
        <v>0</v>
      </c>
      <c r="AC57" s="119"/>
      <c r="AE57" s="59" t="s">
        <v>56</v>
      </c>
      <c r="AF57" s="102">
        <f>第十三期!DW6</f>
        <v>0</v>
      </c>
      <c r="AG57" s="102">
        <f>第十三期!DW10</f>
        <v>0</v>
      </c>
      <c r="AH57" s="102">
        <f>第十三期!DW14</f>
        <v>0</v>
      </c>
      <c r="AI57" s="102">
        <f>第十三期!DW18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第十三期!AH15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第十三期!BS8-第十三期!CX51</f>
        <v>0</v>
      </c>
      <c r="CY57" s="215">
        <f>第十三期!BT8-第十三期!CY51</f>
        <v>0</v>
      </c>
      <c r="CZ57" s="215">
        <f>第十三期!BU8-第十三期!CZ51</f>
        <v>0</v>
      </c>
      <c r="DA57" s="215">
        <f>第十三期!BV8-第十三期!DA51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第十三期!DX7</f>
        <v>0</v>
      </c>
      <c r="Z58" s="102">
        <f>第十三期!DX11</f>
        <v>0</v>
      </c>
      <c r="AA58" s="102">
        <f>第十三期!DX15</f>
        <v>0</v>
      </c>
      <c r="AB58" s="102">
        <f>第十三期!DX19</f>
        <v>0</v>
      </c>
      <c r="AC58" s="119"/>
      <c r="AE58" s="9" t="s">
        <v>57</v>
      </c>
      <c r="AF58" s="102">
        <f>第十三期!DW7</f>
        <v>0</v>
      </c>
      <c r="AG58" s="102">
        <f>第十三期!DW11</f>
        <v>0</v>
      </c>
      <c r="AH58" s="102">
        <f>第十三期!DW15</f>
        <v>0</v>
      </c>
      <c r="AI58" s="102">
        <f>第十三期!DW19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第十三期!H5+第十三期!H4*比赛参数!F71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第十三期!BS9-第十三期!CX52</f>
        <v>0</v>
      </c>
      <c r="CY58" s="215">
        <f>第十三期!BT9-第十三期!CY52</f>
        <v>0</v>
      </c>
      <c r="CZ58" s="215">
        <f>第十三期!BU9-第十三期!CZ52</f>
        <v>0</v>
      </c>
      <c r="DA58" s="215">
        <f>第十三期!BV9-第十三期!DA52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第十三期!DX8</f>
        <v>0</v>
      </c>
      <c r="Z59" s="102">
        <f>第十三期!DX12</f>
        <v>0</v>
      </c>
      <c r="AA59" s="102">
        <f>第十三期!DX16</f>
        <v>0</v>
      </c>
      <c r="AB59" s="102">
        <f>第十三期!DX20</f>
        <v>0</v>
      </c>
      <c r="AC59" s="120"/>
      <c r="AE59" s="9" t="s">
        <v>58</v>
      </c>
      <c r="AF59" s="102">
        <f>第十三期!DW8</f>
        <v>0</v>
      </c>
      <c r="AG59" s="102">
        <f>第十三期!DW12</f>
        <v>0</v>
      </c>
      <c r="AH59" s="102">
        <f>第十三期!DW16</f>
        <v>0</v>
      </c>
      <c r="AI59" s="102">
        <f>第十三期!DW20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第十三期!K14*比赛参数!D71/4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第十三期!BS10-第十三期!CX53</f>
        <v>0</v>
      </c>
      <c r="CY59" s="215">
        <f>第十三期!BT10-第十三期!CY53</f>
        <v>0</v>
      </c>
      <c r="CZ59" s="215">
        <f>第十三期!BU10-第十三期!CZ53</f>
        <v>0</v>
      </c>
      <c r="DA59" s="215">
        <f>第十三期!BV10-第十三期!DA53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第十三期!DX9</f>
        <v>0</v>
      </c>
      <c r="Z60" s="102">
        <f>第十三期!DX13</f>
        <v>0</v>
      </c>
      <c r="AA60" s="102">
        <f>第十三期!DX17</f>
        <v>0</v>
      </c>
      <c r="AB60" s="102">
        <f>第十三期!DX21</f>
        <v>0</v>
      </c>
      <c r="AC60" s="102" t="s">
        <v>415</v>
      </c>
      <c r="AE60" s="9" t="s">
        <v>59</v>
      </c>
      <c r="AF60" s="102">
        <f>第十三期!DW9</f>
        <v>0</v>
      </c>
      <c r="AG60" s="102">
        <f>第十三期!DW13</f>
        <v>0</v>
      </c>
      <c r="AH60" s="102">
        <f>第十三期!DW17</f>
        <v>0</v>
      </c>
      <c r="AI60" s="102">
        <f>第十三期!DW21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第十三期!Y18*比赛参数!D58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第十三期!AA18*比赛参数!D62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((第十三期!K8-第十三期!AA18)*比赛参数!D65+第十三期!Y18*比赛参数!D59*比赛参数!D65)*第十三期!AH18*520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CX56/第十三期!CQ56</f>
        <v>0</v>
      </c>
      <c r="CY62" s="215">
        <f>CY56/第十三期!CR56</f>
        <v>0</v>
      </c>
      <c r="CZ62" s="215">
        <f>CZ56/第十三期!CS56</f>
        <v>0</v>
      </c>
      <c r="DA62" s="215">
        <f>DA56/第十三期!CT56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第十三期!K9*比赛参数!D49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CX57/第十三期!CQ57</f>
        <v>0</v>
      </c>
      <c r="CY63" s="215">
        <f>CY57/第十三期!CR57</f>
        <v>0</v>
      </c>
      <c r="CZ63" s="215">
        <f>CZ57/第十三期!CS57</f>
        <v>0</v>
      </c>
      <c r="DA63" s="215">
        <f>DA57/第十三期!CT57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第十三期!AL37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CX58/第十三期!CQ58</f>
        <v>0</v>
      </c>
      <c r="CY64" s="215">
        <f>CY58/第十三期!CR58</f>
        <v>0</v>
      </c>
      <c r="CZ64" s="215">
        <f>CZ58/第十三期!CS58</f>
        <v>0</v>
      </c>
      <c r="DA64" s="215">
        <f>DA58/第十三期!CT58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0.5*第十三期!AL37+0.5*第十三期!DV23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CX59/第十三期!CQ59</f>
        <v>0</v>
      </c>
      <c r="CY65" s="215">
        <f>CY59/第十三期!CR59</f>
        <v>0</v>
      </c>
      <c r="CZ65" s="215">
        <f>CZ59/第十三期!CS59</f>
        <v>0</v>
      </c>
      <c r="DA65" s="215">
        <f>DA59/第十三期!CT59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第十三期!AC18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三期!AC18&gt;=比赛参数!D33,(1-比赛参数!E33)*第十三期!AC18,0)+IF(AND(第十三期!AC18&gt;=比赛参数!D34,第十三期!AC18&lt;比赛参数!D33),(1-比赛参数!E34)*第十三期!AC18,0)+IF(AND(第十三期!AC18&gt;=比赛参数!D35,第十三期!AC18&lt;比赛参数!D34),(1-比赛参数!E35)*第十三期!AC18,0)+IF(AND(第十三期!AC18&gt;=比赛参数!D36,第十三期!AC18&lt;比赛参数!D35),(1-比赛参数!E36)*第十三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第十三期!DV6</f>
        <v>0</v>
      </c>
      <c r="AG70" s="121">
        <f>第十三期!DV10</f>
        <v>0</v>
      </c>
      <c r="AH70" s="121">
        <f>第十三期!DV14</f>
        <v>0</v>
      </c>
      <c r="AI70" s="121">
        <f>第十三期!DV18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IF(第十三期!AC18&gt;0,第十三期!AC18*比赛参数!E40+比赛参数!E39,0)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第十三期!DV7</f>
        <v>0</v>
      </c>
      <c r="AG71" s="121">
        <f>第十三期!DV11</f>
        <v>0</v>
      </c>
      <c r="AH71" s="121">
        <f>第十三期!DV15</f>
        <v>0</v>
      </c>
      <c r="AI71" s="121">
        <f>第十三期!DV19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(第十三期!Z13*比赛参数!E65*260+第十三期!AA13*(比赛参数!F65-比赛参数!D65)*520+第十三期!AB13*比赛参数!G65*260)*第十三期!AH18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第十三期!DV8</f>
        <v>0</v>
      </c>
      <c r="AG72" s="121">
        <f>第十三期!DV12</f>
        <v>0</v>
      </c>
      <c r="AH72" s="121">
        <f>第十三期!DV16</f>
        <v>0</v>
      </c>
      <c r="AI72" s="121">
        <f>第十三期!DV20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第十三期!DM60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第十三期!DV9</f>
        <v>0</v>
      </c>
      <c r="AG73" s="121">
        <f>第十三期!DV13</f>
        <v>0</v>
      </c>
      <c r="AH73" s="121">
        <f>第十三期!DV17</f>
        <v>0</v>
      </c>
      <c r="AI73" s="121">
        <f>第十三期!DV21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第十三期!AC21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第十三期!CG42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SUM(第十三期!AF80:AI80)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SUM(第十三期!AJ76:AJ79)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第十三期!CG53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第十三期!CN53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第十三期!K9*比赛参数!D30*比赛参数!F30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第十三期!CG65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第十三期!Y9*第十三期!CQ56</f>
        <v>0</v>
      </c>
      <c r="CR80" s="60">
        <f>第十三期!Z9*第十三期!CR56</f>
        <v>0</v>
      </c>
      <c r="CS80" s="60">
        <f>第十三期!AA9*第十三期!CS56</f>
        <v>0</v>
      </c>
      <c r="CT80" s="60">
        <f>第十三期!AB9*第十三期!CT56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(第十三期!K10+(第十三期!AC18+第十三期!K10-第十三期!AC21))/2*比赛参数!D16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第十三期!Y10*第十三期!CQ57</f>
        <v>0</v>
      </c>
      <c r="CR81" s="60">
        <f>第十三期!Z10*第十三期!CR57</f>
        <v>0</v>
      </c>
      <c r="CS81" s="60">
        <f>第十三期!AA10*第十三期!CS57</f>
        <v>0</v>
      </c>
      <c r="CT81" s="60">
        <f>第十三期!AB10*第十三期!CT57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第十三期!CG67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第十三期!Y11*第十三期!CQ58</f>
        <v>0</v>
      </c>
      <c r="CR82" s="60">
        <f>第十三期!Z11*第十三期!CR58</f>
        <v>0</v>
      </c>
      <c r="CS82" s="60">
        <f>第十三期!AA11*第十三期!CS58</f>
        <v>0</v>
      </c>
      <c r="CT82" s="60">
        <f>第十三期!AB11*第十三期!CT58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第十三期!K13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第十三期!Y12*第十三期!CQ59</f>
        <v>0</v>
      </c>
      <c r="CR83" s="60">
        <f>第十三期!Z12*第十三期!CR59</f>
        <v>0</v>
      </c>
      <c r="CS83" s="60">
        <f>第十三期!AA12*第十三期!CS59</f>
        <v>0</v>
      </c>
      <c r="CT83" s="60">
        <f>第十三期!AB12*第十三期!CT59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第十三期!K13*比赛参数!D70/4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第十三期!AH14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第十三期!DS33</f>
        <v>0</v>
      </c>
      <c r="AG86" s="121">
        <f>第十三期!DW33</f>
        <v>0</v>
      </c>
      <c r="AH86" s="121">
        <f>第十三期!EA33</f>
        <v>0</v>
      </c>
      <c r="AI86" s="121">
        <f>第十三期!EE33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第十三期!AH14*比赛参数!D69/4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第十三期!DT33</f>
        <v>0</v>
      </c>
      <c r="AG87" s="121">
        <f>第十三期!DX33</f>
        <v>0</v>
      </c>
      <c r="AH87" s="121">
        <f>第十三期!EB33</f>
        <v>0</v>
      </c>
      <c r="AI87" s="121">
        <f>第十三期!EF33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IF(第十三期!BW92&gt;0,IF((第十三期!K15+第十三期!BW92*比赛参数!D72)&gt;0,第十三期!K15+第十三期!BW92*比赛参数!D72,0))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第十三期!DU33</f>
        <v>0</v>
      </c>
      <c r="AG88" s="121">
        <f>第十三期!DY33</f>
        <v>0</v>
      </c>
      <c r="AH88" s="121">
        <f>第十三期!EC33</f>
        <v>0</v>
      </c>
      <c r="AI88" s="121">
        <f>第十三期!EG33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第十三期!AF18*比赛参数!D30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第十三期!DV33</f>
        <v>0</v>
      </c>
      <c r="AG89" s="121">
        <f>第十三期!DZ33</f>
        <v>0</v>
      </c>
      <c r="AH89" s="121">
        <f>第十三期!ED33</f>
        <v>0</v>
      </c>
      <c r="AI89" s="121">
        <f>第十三期!EH33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第十三期!AJ18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第十三期!AF20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第十三期!BT84</f>
        <v>0</v>
      </c>
      <c r="BT92" s="291" t="s">
        <v>282</v>
      </c>
      <c r="BU92" s="86">
        <f>第十三期!BU86</f>
        <v>0</v>
      </c>
      <c r="BV92" s="293" t="s">
        <v>200</v>
      </c>
      <c r="BW92" s="294">
        <f>第十三期!BT84-第十三期!BU86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AC9*比赛参数!D6+第十三期!DU26</f>
        <v>0</v>
      </c>
      <c r="Z93" s="35">
        <f>AC10*比赛参数!D6+第十三期!DU27</f>
        <v>0</v>
      </c>
      <c r="AA93" s="35">
        <f>AC11*比赛参数!D6+第十三期!DU28</f>
        <v>0</v>
      </c>
      <c r="AB93" s="35">
        <f>AC12*比赛参数!D6+第十三期!DU29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IF(第十三期!$AC$9&gt;0,第十三期!$K$9*比赛参数!$D$30*比赛参数!$F$30*$CU$87/第十三期!$AC$9,0)</f>
        <v>0</v>
      </c>
      <c r="CR93" s="60">
        <f>IF(第十三期!$AC$9&gt;0,第十三期!$K$9*比赛参数!$D$30*比赛参数!$F$30*$CU$87/第十三期!$AC$9,0)</f>
        <v>0</v>
      </c>
      <c r="CS93" s="60">
        <f>IF(第十三期!$AC$9&gt;0,第十三期!$K$9*比赛参数!$D$30*比赛参数!$F$30*$CU$87/第十三期!$AC$9,0)</f>
        <v>0</v>
      </c>
      <c r="CT93" s="60">
        <f>IF(第十三期!$AC$9&gt;0,第十三期!$K$9*比赛参数!$D$30*比赛参数!$F$30*$CU$87/第十三期!$AC$9,0)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IF(第十三期!$AC$10&gt;0,第十三期!$K$9*比赛参数!$D$30*比赛参数!$F$30*$CU$88/第十三期!$AC$10,0)</f>
        <v>0</v>
      </c>
      <c r="CR94" s="60">
        <f>IF(第十三期!$AC$10&gt;0,第十三期!$K$9*比赛参数!$D$30*比赛参数!$F$30*$CU$88/第十三期!$AC$10,0)</f>
        <v>0</v>
      </c>
      <c r="CS94" s="60">
        <f>IF(第十三期!$AC$10&gt;0,第十三期!$K$9*比赛参数!$D$30*比赛参数!$F$30*$CU$88/第十三期!$AC$10,0)</f>
        <v>0</v>
      </c>
      <c r="CT94" s="60">
        <f>IF(第十三期!$AC$10&gt;0,第十三期!$K$9*比赛参数!$D$30*比赛参数!$F$30*$CU$88/第十三期!$AC$10,0)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IF(第十三期!$AC$11&gt;0,第十三期!$K$9*比赛参数!$D$30*比赛参数!$F$30*$CU$89/第十三期!$AC$11,0)</f>
        <v>0</v>
      </c>
      <c r="CR95" s="60">
        <f>IF(第十三期!$AC$11&gt;0,第十三期!$K$9*比赛参数!$D$30*比赛参数!$F$30*$CU$89/第十三期!$AC$11,0)</f>
        <v>0</v>
      </c>
      <c r="CS95" s="60">
        <f>IF(第十三期!$AC$11&gt;0,第十三期!$K$9*比赛参数!$D$30*比赛参数!$F$30*$CU$89/第十三期!$AC$11,0)</f>
        <v>0</v>
      </c>
      <c r="CT95" s="60">
        <f>IF(第十三期!$AC$11&gt;0,第十三期!$K$9*比赛参数!$D$30*比赛参数!$F$30*$CU$89/第十三期!$AC$11,0)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第十三期!CX62</f>
        <v>0</v>
      </c>
      <c r="Z96" s="89">
        <f>第十三期!CX63</f>
        <v>0</v>
      </c>
      <c r="AA96" s="89">
        <f>第十三期!CX64</f>
        <v>0</v>
      </c>
      <c r="AB96" s="89">
        <f>第十三期!CX65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IF(第十三期!$AC$12&gt;0,第十三期!$K$9*比赛参数!$D$30*比赛参数!$F$30*$CU$90/第十三期!$AC$12,0)</f>
        <v>0</v>
      </c>
      <c r="CR96" s="60">
        <f>IF(第十三期!$AC$12&gt;0,第十三期!$K$9*比赛参数!$D$30*比赛参数!$F$30*$CU$90/第十三期!$AC$12,0)</f>
        <v>0</v>
      </c>
      <c r="CS96" s="60">
        <f>IF(第十三期!$AC$12&gt;0,第十三期!$K$9*比赛参数!$D$30*比赛参数!$F$30*$CU$90/第十三期!$AC$12,0)</f>
        <v>0</v>
      </c>
      <c r="CT96" s="60">
        <f>IF(第十三期!$AC$12&gt;0,第十三期!$K$9*比赛参数!$D$30*比赛参数!$F$30*$CU$90/第十三期!$AC$12,0)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第十三期!CY62</f>
        <v>0</v>
      </c>
      <c r="Z97" s="89">
        <f>第十三期!CY63</f>
        <v>0</v>
      </c>
      <c r="AA97" s="89">
        <f>第十三期!CY64</f>
        <v>0</v>
      </c>
      <c r="AB97" s="89">
        <f>第十三期!CY65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第十三期!CZ62</f>
        <v>0</v>
      </c>
      <c r="Z98" s="89">
        <f>第十三期!CZ63</f>
        <v>0</v>
      </c>
      <c r="AA98" s="89">
        <f>第十三期!CZ64</f>
        <v>0</v>
      </c>
      <c r="AB98" s="89">
        <f>第十三期!CZ65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第十三期!DA62</f>
        <v>0</v>
      </c>
      <c r="Z99" s="89">
        <f>第十三期!DA63</f>
        <v>0</v>
      </c>
      <c r="AA99" s="89">
        <f>第十三期!DA64</f>
        <v>0</v>
      </c>
      <c r="AB99" s="89">
        <f>第十三期!DA65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(第十三期!#REF!-$BE$54)&lt;0</formula>
    </cfRule>
  </conditionalFormatting>
  <conditionalFormatting sqref="BF132:BF133">
    <cfRule type="expression" dxfId="6" priority="26" stopIfTrue="1">
      <formula>(第十三期!#REF!-$BF$54)&lt;0</formula>
    </cfRule>
  </conditionalFormatting>
  <conditionalFormatting sqref="BG132:BG133">
    <cfRule type="expression" dxfId="6" priority="25" stopIfTrue="1">
      <formula>(第十三期!#REF!-$BG$54)&lt;0</formula>
    </cfRule>
  </conditionalFormatting>
  <conditionalFormatting sqref="BH132:BH133">
    <cfRule type="expression" dxfId="6" priority="24" stopIfTrue="1">
      <formula>(第十三期!#REF!-$BH$54)&lt;0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S1" workbookViewId="0">
      <selection activeCell="Y23" sqref="Y23:AB23"/>
    </sheetView>
  </sheetViews>
  <sheetFormatPr defaultColWidth="9" defaultRowHeight="18" customHeight="1"/>
  <cols>
    <col min="1" max="1" width="9" style="1" customWidth="1"/>
    <col min="2" max="2" width="2.4" style="2" customWidth="1"/>
    <col min="3" max="3" width="11.7" style="2" customWidth="1"/>
    <col min="4" max="4" width="16.7" style="2" customWidth="1"/>
    <col min="5" max="5" width="9.4" style="2" customWidth="1"/>
    <col min="6" max="6" width="13" style="2" customWidth="1"/>
    <col min="7" max="18" width="9.4" style="2" customWidth="1"/>
    <col min="19" max="19" width="9.2" style="2" customWidth="1"/>
    <col min="20" max="20" width="9" style="2" customWidth="1"/>
    <col min="21" max="21" width="9" style="1" customWidth="1"/>
    <col min="22" max="22" width="10.4" style="2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 customWidth="1"/>
    <col min="43" max="67" width="13.6" style="2" customWidth="1"/>
    <col min="68" max="68" width="9" style="1" customWidth="1"/>
    <col min="69" max="76" width="13.6" style="2" customWidth="1"/>
    <col min="77" max="77" width="9" style="1" customWidth="1"/>
    <col min="78" max="80" width="13.6" style="2" customWidth="1"/>
    <col min="81" max="134" width="9" style="2" customWidth="1"/>
    <col min="135" max="135" width="11.6" style="2" customWidth="1"/>
    <col min="136" max="137" width="9" style="2" customWidth="1"/>
    <col min="138" max="138" width="10" style="2" customWidth="1"/>
    <col min="139" max="16384" width="9" style="2" customWidth="1"/>
  </cols>
  <sheetData>
    <row r="1" ht="15.6" spans="1:77">
      <c r="A1" s="2"/>
      <c r="U1" s="2"/>
      <c r="AP1" s="2"/>
      <c r="BP1" s="2"/>
      <c r="BY1" s="2"/>
    </row>
    <row r="2" ht="60.75" customHeight="1" spans="2:69">
      <c r="B2" s="3" t="s">
        <v>239</v>
      </c>
      <c r="V2" s="3" t="s">
        <v>240</v>
      </c>
      <c r="AQ2" s="3" t="s">
        <v>241</v>
      </c>
      <c r="BQ2" s="3" t="s">
        <v>242</v>
      </c>
    </row>
    <row r="3" ht="16.35" spans="3:67">
      <c r="C3" s="4"/>
      <c r="D3" s="4"/>
      <c r="E3" s="4"/>
      <c r="X3" s="39" t="s">
        <v>243</v>
      </c>
      <c r="Y3" s="39" t="s">
        <v>244</v>
      </c>
      <c r="Z3" s="39" t="s">
        <v>245</v>
      </c>
      <c r="AB3" s="61" t="s">
        <v>246</v>
      </c>
      <c r="AC3" s="61" t="s">
        <v>247</v>
      </c>
      <c r="AE3" s="39" t="s">
        <v>248</v>
      </c>
      <c r="AF3" s="39" t="s">
        <v>249</v>
      </c>
      <c r="AG3" s="39" t="s">
        <v>250</v>
      </c>
      <c r="AH3" s="39" t="s">
        <v>251</v>
      </c>
      <c r="AJ3" s="39" t="s">
        <v>252</v>
      </c>
      <c r="AK3" s="39" t="s">
        <v>253</v>
      </c>
      <c r="AL3" s="39" t="s">
        <v>254</v>
      </c>
      <c r="AM3" s="39" t="s">
        <v>247</v>
      </c>
      <c r="AN3" s="39" t="s">
        <v>255</v>
      </c>
      <c r="AO3" s="39" t="s">
        <v>256</v>
      </c>
      <c r="AQ3" s="50"/>
      <c r="AR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</row>
    <row r="4" ht="15.6" spans="2:67">
      <c r="B4" s="5"/>
      <c r="C4" s="6" t="s">
        <v>257</v>
      </c>
      <c r="D4" s="7"/>
      <c r="E4" s="7"/>
      <c r="F4" s="8"/>
      <c r="G4" s="9" t="s">
        <v>258</v>
      </c>
      <c r="H4" s="10"/>
      <c r="W4" s="40">
        <f>AC4-X4</f>
        <v>0</v>
      </c>
      <c r="X4" s="30">
        <f>SUM(AF70:AF73)</f>
        <v>0</v>
      </c>
      <c r="Y4" s="62" t="e">
        <f>AVERAGE(Y76:Y79)</f>
        <v>#DIV/0!</v>
      </c>
      <c r="Z4" s="62">
        <f>1/比赛参数!$G$4</f>
        <v>0.0526315789473684</v>
      </c>
      <c r="AA4" s="63" t="e">
        <f>(AC4-X4)/X4</f>
        <v>#DIV/0!</v>
      </c>
      <c r="AB4" s="64" t="e">
        <f>SUM(Y232:AB232)/比赛参数!$G$4</f>
        <v>#DIV/0!</v>
      </c>
      <c r="AC4" s="65">
        <f>AN4+SUM(Y57:Y60)-SUM(AF57:AF60)-SUM(Y108:Y111)</f>
        <v>0</v>
      </c>
      <c r="AD4" s="2">
        <v>571</v>
      </c>
      <c r="AE4" s="66" t="e">
        <f>DK29</f>
        <v>#DIV/0!</v>
      </c>
      <c r="AF4" s="67" t="e">
        <f>DK41</f>
        <v>#DIV/0!</v>
      </c>
      <c r="AG4" s="66" t="e">
        <f>DQ29</f>
        <v>#DIV/0!</v>
      </c>
      <c r="AH4" s="72" t="e">
        <f>DK35*15</f>
        <v>#DIV/0!</v>
      </c>
      <c r="AJ4" s="67" t="e">
        <f>DD29</f>
        <v>#DIV/0!</v>
      </c>
      <c r="AK4" s="72" t="e">
        <f>DD35*15</f>
        <v>#DIV/0!</v>
      </c>
      <c r="AL4" s="122" t="e">
        <f>CJ24/比赛参数!D26</f>
        <v>#DIV/0!</v>
      </c>
      <c r="AM4" s="30">
        <f>AF68</f>
        <v>0</v>
      </c>
      <c r="AN4" s="30">
        <f>Y93</f>
        <v>0</v>
      </c>
      <c r="AO4" s="30">
        <f>AC9+D42-Y92</f>
        <v>0</v>
      </c>
      <c r="AQ4" s="50"/>
      <c r="AR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ht="16.35" spans="2:128">
      <c r="B5" s="5"/>
      <c r="C5" s="6" t="s">
        <v>259</v>
      </c>
      <c r="D5" s="7"/>
      <c r="E5" s="7"/>
      <c r="F5" s="8"/>
      <c r="G5" s="9" t="s">
        <v>260</v>
      </c>
      <c r="H5" s="11"/>
      <c r="M5" s="25"/>
      <c r="N5" s="26"/>
      <c r="O5" s="27"/>
      <c r="P5" s="27"/>
      <c r="Q5" s="41"/>
      <c r="W5" s="40">
        <f>AC5-X5</f>
        <v>0</v>
      </c>
      <c r="X5" s="30">
        <f>SUM(AG70:AG73)</f>
        <v>0</v>
      </c>
      <c r="Y5" s="62" t="e">
        <f>AVERAGE(Z76:Z79)</f>
        <v>#DIV/0!</v>
      </c>
      <c r="Z5" s="62">
        <f>1/比赛参数!$G$4</f>
        <v>0.0526315789473684</v>
      </c>
      <c r="AA5" s="63" t="e">
        <f>(AC5-X5)/X5</f>
        <v>#DIV/0!</v>
      </c>
      <c r="AB5" s="64" t="e">
        <f>SUM(AC232:AF232)/比赛参数!$G$4</f>
        <v>#DIV/0!</v>
      </c>
      <c r="AC5" s="65">
        <f>AN5+SUM(Z57:Z60)-SUM(AG57:AG60)-SUM(Z108:Z111)</f>
        <v>0</v>
      </c>
      <c r="AD5" s="2">
        <v>679.25</v>
      </c>
      <c r="AE5" s="66" t="e">
        <f>DK30</f>
        <v>#DIV/0!</v>
      </c>
      <c r="AF5" s="67" t="e">
        <f>DK42</f>
        <v>#DIV/0!</v>
      </c>
      <c r="AG5" s="66" t="e">
        <f>DQ30</f>
        <v>#DIV/0!</v>
      </c>
      <c r="AH5" s="72" t="e">
        <f>DK36*15</f>
        <v>#DIV/0!</v>
      </c>
      <c r="AJ5" s="67" t="e">
        <f>DD30</f>
        <v>#DIV/0!</v>
      </c>
      <c r="AK5" s="72" t="e">
        <f>DD36*15</f>
        <v>#DIV/0!</v>
      </c>
      <c r="AL5" s="122" t="e">
        <f>CK24/比赛参数!E26</f>
        <v>#DIV/0!</v>
      </c>
      <c r="AM5" s="30">
        <f>AG68</f>
        <v>0</v>
      </c>
      <c r="AN5" s="30">
        <f>Z93</f>
        <v>0</v>
      </c>
      <c r="AO5" s="30">
        <f>AC10+D43-Z92</f>
        <v>0</v>
      </c>
      <c r="AQ5" s="50"/>
      <c r="AR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DT5" s="180" t="s">
        <v>261</v>
      </c>
      <c r="DU5" s="179" t="s">
        <v>262</v>
      </c>
      <c r="DV5" s="180" t="s">
        <v>263</v>
      </c>
      <c r="DW5" s="180" t="s">
        <v>264</v>
      </c>
      <c r="DX5" s="180" t="s">
        <v>265</v>
      </c>
    </row>
    <row r="6" ht="17.1" spans="2:128">
      <c r="B6" s="5"/>
      <c r="C6" s="6" t="s">
        <v>266</v>
      </c>
      <c r="D6" s="12"/>
      <c r="E6" s="7"/>
      <c r="F6" s="8"/>
      <c r="M6" s="28"/>
      <c r="N6" s="29" t="s">
        <v>257</v>
      </c>
      <c r="O6" s="30">
        <f>K8+Y18-AA18</f>
        <v>0</v>
      </c>
      <c r="P6" s="31" t="s">
        <v>267</v>
      </c>
      <c r="Q6" s="30">
        <f>AH15</f>
        <v>0</v>
      </c>
      <c r="W6" s="40">
        <f>AC6-X6</f>
        <v>0</v>
      </c>
      <c r="X6" s="30">
        <f>SUM(AH70:AH73)</f>
        <v>0</v>
      </c>
      <c r="Y6" s="62" t="e">
        <f>AVERAGE(AA76:AA79)</f>
        <v>#DIV/0!</v>
      </c>
      <c r="Z6" s="62">
        <f>1/比赛参数!$G$4</f>
        <v>0.0526315789473684</v>
      </c>
      <c r="AA6" s="63" t="e">
        <f>(AC6-X6)/X6</f>
        <v>#DIV/0!</v>
      </c>
      <c r="AB6" s="64">
        <f>SUM(AG232:AJ232)/比赛参数!$G$4</f>
        <v>0</v>
      </c>
      <c r="AC6" s="65">
        <f>AN6+SUM(AA57:AA60)-SUM(AH57:AH60)-SUM(AA108:AA111)</f>
        <v>0</v>
      </c>
      <c r="AD6" s="2">
        <v>294</v>
      </c>
      <c r="AE6" s="66" t="e">
        <f>DK31</f>
        <v>#DIV/0!</v>
      </c>
      <c r="AF6" s="67" t="e">
        <f>DK43</f>
        <v>#DIV/0!</v>
      </c>
      <c r="AG6" s="66" t="e">
        <f>DQ31</f>
        <v>#DIV/0!</v>
      </c>
      <c r="AH6" s="72" t="e">
        <f>DK37*15</f>
        <v>#DIV/0!</v>
      </c>
      <c r="AJ6" s="67" t="e">
        <f>DD31</f>
        <v>#DIV/0!</v>
      </c>
      <c r="AK6" s="72" t="e">
        <f>DD37*15</f>
        <v>#DIV/0!</v>
      </c>
      <c r="AL6" s="122" t="e">
        <f>CL24/比赛参数!F26</f>
        <v>#DIV/0!</v>
      </c>
      <c r="AM6" s="30">
        <f>AH68</f>
        <v>0</v>
      </c>
      <c r="AN6" s="30">
        <f>AA93</f>
        <v>0</v>
      </c>
      <c r="AO6" s="30">
        <f>AC11+D44-AA92</f>
        <v>0</v>
      </c>
      <c r="AR6" s="9" t="s">
        <v>199</v>
      </c>
      <c r="BR6" s="178" t="s">
        <v>268</v>
      </c>
      <c r="BS6" s="179" t="s">
        <v>56</v>
      </c>
      <c r="BT6" s="180" t="s">
        <v>57</v>
      </c>
      <c r="BU6" s="180" t="s">
        <v>58</v>
      </c>
      <c r="BV6" s="180" t="s">
        <v>59</v>
      </c>
      <c r="BW6" s="183" t="s">
        <v>269</v>
      </c>
      <c r="DT6" s="220" t="s">
        <v>21</v>
      </c>
      <c r="DU6" s="32">
        <v>1</v>
      </c>
      <c r="DV6" s="221">
        <f t="shared" ref="DV6:DV21" si="0">F24</f>
        <v>0</v>
      </c>
      <c r="DW6" s="221">
        <f t="shared" ref="DW6:DW21" si="1">I24</f>
        <v>0</v>
      </c>
      <c r="DX6" s="221">
        <f t="shared" ref="DX6:DX21" si="2">J24</f>
        <v>0</v>
      </c>
    </row>
    <row r="7" ht="17.1" spans="2:128">
      <c r="B7" s="5"/>
      <c r="C7" s="6" t="s">
        <v>270</v>
      </c>
      <c r="D7" s="12"/>
      <c r="E7" s="7"/>
      <c r="F7" s="8"/>
      <c r="M7" s="28"/>
      <c r="N7" s="29" t="s">
        <v>259</v>
      </c>
      <c r="O7" s="30"/>
      <c r="P7" s="31" t="s">
        <v>271</v>
      </c>
      <c r="Q7" s="30">
        <f>BS58</f>
        <v>0</v>
      </c>
      <c r="W7" s="40">
        <f>AC7-X7</f>
        <v>0</v>
      </c>
      <c r="X7" s="30">
        <f>SUM(AI70:AI73)</f>
        <v>0</v>
      </c>
      <c r="Y7" s="62" t="e">
        <f>AVERAGE(AB76:AB79)</f>
        <v>#DIV/0!</v>
      </c>
      <c r="Z7" s="62">
        <f>1/比赛参数!$G$4</f>
        <v>0.0526315789473684</v>
      </c>
      <c r="AA7" s="63" t="e">
        <f>(AC7-X7)/X7</f>
        <v>#DIV/0!</v>
      </c>
      <c r="AB7" s="64">
        <f>SUM(AK232:AN232)/比赛参数!$G$4</f>
        <v>0</v>
      </c>
      <c r="AC7" s="65">
        <f>AN7+SUM(AB57:AB60)-SUM(AI57:AI60)-SUM(AB108:AB111)</f>
        <v>0</v>
      </c>
      <c r="AE7" s="66" t="e">
        <f>DK32</f>
        <v>#DIV/0!</v>
      </c>
      <c r="AF7" s="67" t="e">
        <f>DK44</f>
        <v>#DIV/0!</v>
      </c>
      <c r="AG7" s="66" t="e">
        <f>DQ32</f>
        <v>#DIV/0!</v>
      </c>
      <c r="AH7" s="72" t="e">
        <f>DK38*15</f>
        <v>#DIV/0!</v>
      </c>
      <c r="AJ7" s="67" t="e">
        <f>DD32</f>
        <v>#DIV/0!</v>
      </c>
      <c r="AK7" s="72" t="e">
        <f>DD38*15</f>
        <v>#DIV/0!</v>
      </c>
      <c r="AL7" s="122" t="e">
        <f>CM24/比赛参数!G26</f>
        <v>#DIV/0!</v>
      </c>
      <c r="AM7" s="30">
        <f>AI68</f>
        <v>0</v>
      </c>
      <c r="AN7" s="30">
        <f>AB93</f>
        <v>0</v>
      </c>
      <c r="AO7" s="30">
        <f>AC12+D45-AB92</f>
        <v>0</v>
      </c>
      <c r="AR7" s="60" t="s">
        <v>207</v>
      </c>
      <c r="BR7" s="181" t="s">
        <v>21</v>
      </c>
      <c r="BS7" s="182">
        <f>第十四期!AF76</f>
        <v>0</v>
      </c>
      <c r="BT7" s="182">
        <f>第十四期!AF77</f>
        <v>0</v>
      </c>
      <c r="BU7" s="182">
        <f>第十四期!AF78</f>
        <v>0</v>
      </c>
      <c r="BV7" s="182">
        <f>第十四期!AF79</f>
        <v>0</v>
      </c>
      <c r="BW7" s="184">
        <f>第十四期!$AF$80</f>
        <v>0</v>
      </c>
      <c r="DT7" s="32" t="s">
        <v>21</v>
      </c>
      <c r="DU7" s="32">
        <v>2</v>
      </c>
      <c r="DV7" s="221">
        <f t="shared" si="0"/>
        <v>0</v>
      </c>
      <c r="DW7" s="221">
        <f t="shared" si="1"/>
        <v>0</v>
      </c>
      <c r="DX7" s="221">
        <f t="shared" si="2"/>
        <v>0</v>
      </c>
    </row>
    <row r="8" ht="17.1" spans="2:128">
      <c r="B8" s="5"/>
      <c r="C8" s="6" t="s">
        <v>272</v>
      </c>
      <c r="D8" s="12"/>
      <c r="E8" s="7"/>
      <c r="F8" s="8"/>
      <c r="J8" s="9" t="s">
        <v>257</v>
      </c>
      <c r="K8" s="32">
        <f>D4</f>
        <v>0</v>
      </c>
      <c r="M8" s="28"/>
      <c r="N8" s="29" t="s">
        <v>266</v>
      </c>
      <c r="O8" s="30">
        <f>AL23</f>
        <v>0</v>
      </c>
      <c r="P8" s="33"/>
      <c r="Q8" s="42"/>
      <c r="X8" s="43" t="s">
        <v>273</v>
      </c>
      <c r="Y8" s="68" t="s">
        <v>179</v>
      </c>
      <c r="Z8" s="9" t="s">
        <v>180</v>
      </c>
      <c r="AA8" s="9" t="s">
        <v>181</v>
      </c>
      <c r="AB8" s="69" t="s">
        <v>182</v>
      </c>
      <c r="AC8" s="39" t="s">
        <v>20</v>
      </c>
      <c r="AE8" s="39" t="s">
        <v>274</v>
      </c>
      <c r="AF8" s="39" t="s">
        <v>253</v>
      </c>
      <c r="AG8" s="39" t="s">
        <v>275</v>
      </c>
      <c r="AH8" s="39" t="s">
        <v>276</v>
      </c>
      <c r="AI8" s="39" t="s">
        <v>277</v>
      </c>
      <c r="AJ8" s="60" t="s">
        <v>179</v>
      </c>
      <c r="AK8" s="60" t="s">
        <v>180</v>
      </c>
      <c r="AL8" s="60" t="s">
        <v>181</v>
      </c>
      <c r="AM8" s="60" t="s">
        <v>182</v>
      </c>
      <c r="AQ8" s="50"/>
      <c r="AR8" s="9" t="s">
        <v>278</v>
      </c>
      <c r="AS8" s="9" t="s">
        <v>279</v>
      </c>
      <c r="AT8" s="9" t="s">
        <v>280</v>
      </c>
      <c r="AU8" s="9" t="s">
        <v>200</v>
      </c>
      <c r="AV8" s="9" t="s">
        <v>281</v>
      </c>
      <c r="AW8" s="9" t="s">
        <v>282</v>
      </c>
      <c r="AX8" s="9" t="s">
        <v>283</v>
      </c>
      <c r="AY8" s="9" t="s">
        <v>284</v>
      </c>
      <c r="AZ8" s="9" t="s">
        <v>285</v>
      </c>
      <c r="BA8" s="9" t="s">
        <v>36</v>
      </c>
      <c r="BB8" s="9" t="s">
        <v>286</v>
      </c>
      <c r="BC8" s="9" t="s">
        <v>287</v>
      </c>
      <c r="BD8" s="9" t="s">
        <v>288</v>
      </c>
      <c r="BE8" s="9" t="s">
        <v>289</v>
      </c>
      <c r="BF8" s="9" t="s">
        <v>290</v>
      </c>
      <c r="BQ8" s="50"/>
      <c r="BR8" s="180" t="s">
        <v>22</v>
      </c>
      <c r="BS8" s="182">
        <f>第十四期!$AG$76</f>
        <v>0</v>
      </c>
      <c r="BT8" s="182">
        <f>第十四期!$AG$77</f>
        <v>0</v>
      </c>
      <c r="BU8" s="182">
        <f>第十四期!$AG$78</f>
        <v>0</v>
      </c>
      <c r="BV8" s="182">
        <f>第十四期!$AG$79</f>
        <v>0</v>
      </c>
      <c r="BW8" s="184">
        <f>第十四期!$AG$80</f>
        <v>0</v>
      </c>
      <c r="BX8" s="50"/>
      <c r="DT8" s="222" t="s">
        <v>21</v>
      </c>
      <c r="DU8" s="222">
        <v>3</v>
      </c>
      <c r="DV8" s="223">
        <f t="shared" si="0"/>
        <v>0</v>
      </c>
      <c r="DW8" s="223">
        <f t="shared" si="1"/>
        <v>0</v>
      </c>
      <c r="DX8" s="223">
        <f t="shared" si="2"/>
        <v>0</v>
      </c>
    </row>
    <row r="9" ht="32.7" spans="2:128">
      <c r="B9" s="5"/>
      <c r="C9" s="6" t="s">
        <v>291</v>
      </c>
      <c r="D9" s="12"/>
      <c r="E9" s="7"/>
      <c r="F9" s="8"/>
      <c r="J9" s="9" t="s">
        <v>259</v>
      </c>
      <c r="K9" s="32">
        <f>D5</f>
        <v>0</v>
      </c>
      <c r="M9" s="34" t="s">
        <v>292</v>
      </c>
      <c r="N9" s="29" t="s">
        <v>293</v>
      </c>
      <c r="O9" s="30">
        <f>AJ20</f>
        <v>0</v>
      </c>
      <c r="P9" s="33"/>
      <c r="Q9" s="42"/>
      <c r="X9" s="44" t="s">
        <v>294</v>
      </c>
      <c r="Y9" s="70"/>
      <c r="Z9" s="70"/>
      <c r="AA9" s="70"/>
      <c r="AB9" s="70"/>
      <c r="AC9" s="71">
        <f>SUM(Y9:AB9)</f>
        <v>0</v>
      </c>
      <c r="AE9" s="67" t="e">
        <f>SUMPRODUCT(Y96:Y99,AF64:AF67)/SUM(AF64:AF67)</f>
        <v>#DIV/0!</v>
      </c>
      <c r="AF9" s="72" t="e">
        <f>CC24*15</f>
        <v>#DIV/0!</v>
      </c>
      <c r="AG9" s="123" t="e">
        <f>SUMPRODUCT(Y102:Y105,AF64:AF67)/SUM(AF64:AF67)*20</f>
        <v>#DIV/0!</v>
      </c>
      <c r="AH9" s="30">
        <f>AC9*比赛参数!D26</f>
        <v>0</v>
      </c>
      <c r="AI9" s="94">
        <f>第十四期!DB56</f>
        <v>0</v>
      </c>
      <c r="AJ9" s="60" t="e">
        <f>CS17+CS35+AVERAGE($CS41:$CV41)</f>
        <v>#DIV/0!</v>
      </c>
      <c r="AK9" s="60" t="e">
        <f>CT17+CT35+AVERAGE($CS41:$CV41)</f>
        <v>#DIV/0!</v>
      </c>
      <c r="AL9" s="60" t="e">
        <f>CU17+CU35+AVERAGE($CS41:$CV41)</f>
        <v>#DIV/0!</v>
      </c>
      <c r="AM9" s="60" t="e">
        <f>CV17+CV35+AVERAGE($CS41:$CV41)</f>
        <v>#DIV/0!</v>
      </c>
      <c r="AQ9" s="50"/>
      <c r="AR9" s="9">
        <v>1</v>
      </c>
      <c r="AS9" s="60" t="e">
        <f>SUM(AB131:AE131)*比赛参数!$D$26+SUM(AL131:AO131)*比赛参数!$E$26+SUM(AB154:AE154)*比赛参数!$F$26+SUM(AL154:AO154)*比赛参数!$G$26</f>
        <v>#DIV/0!</v>
      </c>
      <c r="AT9" s="51" t="e">
        <f t="shared" ref="AT9:AT28" si="3">AS9/1300</f>
        <v>#DIV/0!</v>
      </c>
      <c r="AU9" s="160">
        <f t="shared" ref="AU9:AU28" si="4">F95</f>
        <v>0</v>
      </c>
      <c r="AV9" s="161" t="e">
        <f t="shared" ref="AV9:AV28" si="5">AU9/AS9</f>
        <v>#DIV/0!</v>
      </c>
      <c r="AW9" s="160">
        <f t="shared" ref="AW9:AW28" si="6">E95</f>
        <v>0</v>
      </c>
      <c r="AX9" s="176" t="e">
        <f t="shared" ref="AX9:AX28" si="7">AU9/AW9</f>
        <v>#DIV/0!</v>
      </c>
      <c r="AY9" s="60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77">
        <f t="shared" ref="AZ9:AZ28" si="9">D95</f>
        <v>0</v>
      </c>
      <c r="BA9" s="60" t="e">
        <f t="shared" ref="BA9:BA28" si="10">AZ9-AY9</f>
        <v>#DIV/0!</v>
      </c>
      <c r="BB9" s="60" t="e">
        <f>IF(BA9&lt;比赛参数!$K$34,0,IF(BA9&lt;比赛参数!$K$35,BA9/(1-比赛参数!$E$36),IF(BA9&lt;比赛参数!$K$36,BA9/(1-比赛参数!$E$34))))</f>
        <v>#DIV/0!</v>
      </c>
      <c r="BC9" s="60" t="e">
        <f t="shared" ref="BC9:BC28" si="11">AU9-BA9</f>
        <v>#DIV/0!</v>
      </c>
      <c r="BD9" s="96"/>
      <c r="BE9" s="60" t="e">
        <f t="shared" ref="BE9:BE28" si="12">BC9-BD9</f>
        <v>#DIV/0!</v>
      </c>
      <c r="BF9" s="161" t="e">
        <f t="shared" ref="BF9:BF28" si="13">BE9/AS9</f>
        <v>#DIV/0!</v>
      </c>
      <c r="BQ9" s="50"/>
      <c r="BR9" s="180" t="s">
        <v>23</v>
      </c>
      <c r="BS9" s="182">
        <f>第十四期!$AH$76</f>
        <v>0</v>
      </c>
      <c r="BT9" s="182">
        <f>第十四期!$AH$77</f>
        <v>0</v>
      </c>
      <c r="BU9" s="182">
        <f>第十四期!$AH$78</f>
        <v>0</v>
      </c>
      <c r="BV9" s="182">
        <f>第十四期!$AH$79</f>
        <v>0</v>
      </c>
      <c r="BW9" s="184">
        <f>第十四期!$AH$80</f>
        <v>0</v>
      </c>
      <c r="BX9" s="50"/>
      <c r="DT9" s="224" t="s">
        <v>21</v>
      </c>
      <c r="DU9" s="225">
        <v>4</v>
      </c>
      <c r="DV9" s="226">
        <f t="shared" si="0"/>
        <v>0</v>
      </c>
      <c r="DW9" s="226">
        <f t="shared" si="1"/>
        <v>0</v>
      </c>
      <c r="DX9" s="227">
        <f t="shared" si="2"/>
        <v>0</v>
      </c>
    </row>
    <row r="10" ht="16.35" spans="2:128">
      <c r="B10" s="5"/>
      <c r="C10" s="6" t="s">
        <v>295</v>
      </c>
      <c r="D10" s="7"/>
      <c r="E10" s="7"/>
      <c r="F10" s="8"/>
      <c r="J10" s="9" t="s">
        <v>266</v>
      </c>
      <c r="K10" s="32">
        <f>D6</f>
        <v>0</v>
      </c>
      <c r="M10" s="28"/>
      <c r="N10" s="29" t="s">
        <v>272</v>
      </c>
      <c r="O10" s="35"/>
      <c r="P10" s="33"/>
      <c r="Q10" s="42"/>
      <c r="X10" s="9" t="s">
        <v>296</v>
      </c>
      <c r="Y10" s="70"/>
      <c r="Z10" s="70"/>
      <c r="AA10" s="70"/>
      <c r="AB10" s="70"/>
      <c r="AC10" s="71">
        <f>SUM(Y10:AB10)</f>
        <v>0</v>
      </c>
      <c r="AE10" s="67" t="e">
        <f>SUMPRODUCT(Z96:Z99,AG64:AG67)/SUM(AG64:AG67)</f>
        <v>#DIV/0!</v>
      </c>
      <c r="AF10" s="72" t="e">
        <f>CD24*15</f>
        <v>#DIV/0!</v>
      </c>
      <c r="AG10" s="123" t="e">
        <f>SUMPRODUCT(Z102:Z105,AG64:AG67)/SUM(AG64:AG67)*20</f>
        <v>#DIV/0!</v>
      </c>
      <c r="AH10" s="30">
        <f>AC10*比赛参数!E26</f>
        <v>0</v>
      </c>
      <c r="AI10" s="94">
        <f>第十四期!DB57</f>
        <v>0</v>
      </c>
      <c r="AJ10" s="60" t="e">
        <f>CS18+CS36+AVERAGE($CS42:$CV42)</f>
        <v>#DIV/0!</v>
      </c>
      <c r="AK10" s="60" t="e">
        <f>CT18+CT36+AVERAGE($CS42:$CV42)</f>
        <v>#DIV/0!</v>
      </c>
      <c r="AL10" s="60" t="e">
        <f>CU18+CU36+AVERAGE($CS42:$CV42)</f>
        <v>#DIV/0!</v>
      </c>
      <c r="AM10" s="60" t="e">
        <f>CV18+CV36+AVERAGE($CS42:$CV42)</f>
        <v>#DIV/0!</v>
      </c>
      <c r="AQ10" s="50"/>
      <c r="AR10" s="9">
        <v>2</v>
      </c>
      <c r="AS10" s="60" t="e">
        <f>SUM(AB132:AE132)*比赛参数!$D$26+SUM(AL132:AO132)*比赛参数!$E$26+SUM(AB155:AE155)*比赛参数!$F$26+SUM(AL155:AO155)*比赛参数!$G$26</f>
        <v>#DIV/0!</v>
      </c>
      <c r="AT10" s="51" t="e">
        <f t="shared" si="3"/>
        <v>#DIV/0!</v>
      </c>
      <c r="AU10" s="160">
        <f t="shared" si="4"/>
        <v>0</v>
      </c>
      <c r="AV10" s="161" t="e">
        <f t="shared" si="5"/>
        <v>#DIV/0!</v>
      </c>
      <c r="AW10" s="160">
        <f t="shared" si="6"/>
        <v>0</v>
      </c>
      <c r="AX10" s="176" t="e">
        <f t="shared" si="7"/>
        <v>#DIV/0!</v>
      </c>
      <c r="AY10" s="60" t="e">
        <f t="shared" si="8"/>
        <v>#DIV/0!</v>
      </c>
      <c r="AZ10" s="177">
        <f t="shared" si="9"/>
        <v>0</v>
      </c>
      <c r="BA10" s="60" t="e">
        <f t="shared" si="10"/>
        <v>#DIV/0!</v>
      </c>
      <c r="BB10" s="60" t="e">
        <f>IF(BA10&lt;比赛参数!$K$34,0,IF(BA10&lt;比赛参数!$K$35,BA10/(1-比赛参数!$E$36),IF(BA10&lt;比赛参数!$K$36,BA10/(1-比赛参数!$E$34))))</f>
        <v>#DIV/0!</v>
      </c>
      <c r="BC10" s="60" t="e">
        <f t="shared" si="11"/>
        <v>#DIV/0!</v>
      </c>
      <c r="BD10" s="96"/>
      <c r="BE10" s="60" t="e">
        <f t="shared" si="12"/>
        <v>#DIV/0!</v>
      </c>
      <c r="BF10" s="161" t="e">
        <f t="shared" si="13"/>
        <v>#DIV/0!</v>
      </c>
      <c r="BQ10" s="50"/>
      <c r="BR10" s="180" t="s">
        <v>24</v>
      </c>
      <c r="BS10" s="182">
        <f>第十四期!$AI$76</f>
        <v>0</v>
      </c>
      <c r="BT10" s="182">
        <f>第十四期!$AI$77</f>
        <v>0</v>
      </c>
      <c r="BU10" s="182">
        <f>第十四期!$AI$78</f>
        <v>0</v>
      </c>
      <c r="BV10" s="182">
        <f>第十四期!$AI$79</f>
        <v>0</v>
      </c>
      <c r="BW10" s="184">
        <f>第十四期!$AI$80</f>
        <v>0</v>
      </c>
      <c r="BX10" s="50"/>
      <c r="DT10" s="220" t="s">
        <v>22</v>
      </c>
      <c r="DU10" s="220">
        <v>1</v>
      </c>
      <c r="DV10" s="228">
        <f t="shared" si="0"/>
        <v>0</v>
      </c>
      <c r="DW10" s="228">
        <f t="shared" si="1"/>
        <v>0</v>
      </c>
      <c r="DX10" s="228">
        <f t="shared" si="2"/>
        <v>0</v>
      </c>
    </row>
    <row r="11" ht="17.4" spans="2:128">
      <c r="B11" s="5"/>
      <c r="C11" s="6" t="s">
        <v>297</v>
      </c>
      <c r="D11" s="12"/>
      <c r="E11" s="7"/>
      <c r="F11" s="8"/>
      <c r="J11" s="9" t="s">
        <v>298</v>
      </c>
      <c r="K11" s="32">
        <f>D7</f>
        <v>0</v>
      </c>
      <c r="M11" s="34" t="s">
        <v>299</v>
      </c>
      <c r="N11" s="30" t="s">
        <v>300</v>
      </c>
      <c r="O11" s="30">
        <f>AL14</f>
        <v>0</v>
      </c>
      <c r="P11" s="33"/>
      <c r="Q11" s="42"/>
      <c r="X11" s="9" t="s">
        <v>301</v>
      </c>
      <c r="Y11" s="70"/>
      <c r="Z11" s="70"/>
      <c r="AA11" s="70"/>
      <c r="AB11" s="70"/>
      <c r="AC11" s="71">
        <f>SUM(Y11:AB11)</f>
        <v>0</v>
      </c>
      <c r="AE11" s="67" t="e">
        <f>SUMPRODUCT(AA96:AA99,AH64:AH67)/SUM(AH64:AH67)</f>
        <v>#DIV/0!</v>
      </c>
      <c r="AF11" s="72" t="e">
        <f>CE24*15</f>
        <v>#DIV/0!</v>
      </c>
      <c r="AG11" s="123" t="e">
        <f>SUMPRODUCT(AA102:AA105,AH64:AH67)/SUM(AH64:AH67)*20</f>
        <v>#DIV/0!</v>
      </c>
      <c r="AH11" s="30">
        <f>AC11*比赛参数!F26</f>
        <v>0</v>
      </c>
      <c r="AI11" s="94">
        <f>第十四期!DB58</f>
        <v>0</v>
      </c>
      <c r="AJ11" s="60" t="e">
        <f>CS19+CS37+AVERAGE($CS43:$CV43)</f>
        <v>#DIV/0!</v>
      </c>
      <c r="AK11" s="60" t="e">
        <f>CT19+CT37+AVERAGE($CS43:$CV43)</f>
        <v>#DIV/0!</v>
      </c>
      <c r="AL11" s="60" t="e">
        <f>CU19+CU37+AVERAGE($CS43:$CV43)</f>
        <v>#DIV/0!</v>
      </c>
      <c r="AM11" s="60" t="e">
        <f>CV19+CV37+AVERAGE($CS43:$CV43)</f>
        <v>#DIV/0!</v>
      </c>
      <c r="AQ11" s="50"/>
      <c r="AR11" s="9">
        <v>3</v>
      </c>
      <c r="AS11" s="60" t="e">
        <f>SUM(AB133:AE133)*比赛参数!$D$26+SUM(AL133:AO133)*比赛参数!$E$26+SUM(AB156:AE156)*比赛参数!$F$26+SUM(AL156:AO156)*比赛参数!$G$26</f>
        <v>#DIV/0!</v>
      </c>
      <c r="AT11" s="51" t="e">
        <f t="shared" si="3"/>
        <v>#DIV/0!</v>
      </c>
      <c r="AU11" s="160">
        <f t="shared" si="4"/>
        <v>0</v>
      </c>
      <c r="AV11" s="161" t="e">
        <f t="shared" si="5"/>
        <v>#DIV/0!</v>
      </c>
      <c r="AW11" s="160">
        <f t="shared" si="6"/>
        <v>0</v>
      </c>
      <c r="AX11" s="176" t="e">
        <f t="shared" si="7"/>
        <v>#DIV/0!</v>
      </c>
      <c r="AY11" s="60" t="e">
        <f t="shared" si="8"/>
        <v>#DIV/0!</v>
      </c>
      <c r="AZ11" s="177">
        <f t="shared" si="9"/>
        <v>0</v>
      </c>
      <c r="BA11" s="60" t="e">
        <f t="shared" si="10"/>
        <v>#DIV/0!</v>
      </c>
      <c r="BB11" s="60" t="e">
        <f>IF(BA11&lt;比赛参数!$K$34,0,IF(BA11&lt;比赛参数!$K$35,BA11/(1-比赛参数!$E$36),IF(BA11&lt;比赛参数!$K$36,BA11/(1-比赛参数!$E$34))))</f>
        <v>#DIV/0!</v>
      </c>
      <c r="BC11" s="60" t="e">
        <f t="shared" si="11"/>
        <v>#DIV/0!</v>
      </c>
      <c r="BD11" s="96"/>
      <c r="BE11" s="60" t="e">
        <f t="shared" si="12"/>
        <v>#DIV/0!</v>
      </c>
      <c r="BF11" s="161" t="e">
        <f t="shared" si="13"/>
        <v>#DIV/0!</v>
      </c>
      <c r="BQ11" s="50"/>
      <c r="BR11" s="183" t="s">
        <v>302</v>
      </c>
      <c r="BS11" s="184">
        <f>第十四期!$AJ$76</f>
        <v>0</v>
      </c>
      <c r="BT11" s="184">
        <f>第十四期!$AJ$77</f>
        <v>0</v>
      </c>
      <c r="BU11" s="184">
        <f>第十四期!$AJ$78</f>
        <v>0</v>
      </c>
      <c r="BV11" s="184">
        <f>第十四期!$AJ$79</f>
        <v>0</v>
      </c>
      <c r="BW11" s="191"/>
      <c r="BX11" s="50"/>
      <c r="DT11" s="32" t="s">
        <v>22</v>
      </c>
      <c r="DU11" s="32">
        <v>2</v>
      </c>
      <c r="DV11" s="221">
        <f t="shared" si="0"/>
        <v>0</v>
      </c>
      <c r="DW11" s="221">
        <f t="shared" si="1"/>
        <v>0</v>
      </c>
      <c r="DX11" s="221">
        <f t="shared" si="2"/>
        <v>0</v>
      </c>
    </row>
    <row r="12" ht="17.25" customHeight="1" spans="2:128">
      <c r="B12" s="5"/>
      <c r="C12" s="6" t="s">
        <v>303</v>
      </c>
      <c r="D12" s="12"/>
      <c r="E12" s="7"/>
      <c r="F12" s="8"/>
      <c r="J12" s="9" t="s">
        <v>291</v>
      </c>
      <c r="K12" s="32">
        <f>D9</f>
        <v>0</v>
      </c>
      <c r="M12" s="28"/>
      <c r="N12" s="30" t="s">
        <v>304</v>
      </c>
      <c r="O12" s="30">
        <f>AF20</f>
        <v>0</v>
      </c>
      <c r="P12" s="33"/>
      <c r="Q12" s="42"/>
      <c r="X12" s="9" t="s">
        <v>305</v>
      </c>
      <c r="Y12" s="70"/>
      <c r="Z12" s="70"/>
      <c r="AA12" s="70"/>
      <c r="AB12" s="70"/>
      <c r="AC12" s="73">
        <f>SUM(Y12:AB12)</f>
        <v>0</v>
      </c>
      <c r="AE12" s="67" t="e">
        <f>SUMPRODUCT(AB96:AB99,AI64:AI67)/SUM(AI64:AI67)</f>
        <v>#DIV/0!</v>
      </c>
      <c r="AF12" s="72" t="e">
        <f>CF24*15</f>
        <v>#DIV/0!</v>
      </c>
      <c r="AG12" s="123" t="e">
        <f>SUMPRODUCT(AB102:AB105,AI64:AI67)/SUM(AI64:AI67)*20</f>
        <v>#DIV/0!</v>
      </c>
      <c r="AH12" s="30">
        <f>AC12*比赛参数!G26</f>
        <v>0</v>
      </c>
      <c r="AI12" s="94">
        <f>第十四期!DB59</f>
        <v>0</v>
      </c>
      <c r="AJ12" s="60" t="e">
        <f>CS20+CS38+AVERAGE($CS44:$CV44)</f>
        <v>#DIV/0!</v>
      </c>
      <c r="AK12" s="60" t="e">
        <f>CT20+CT38+AVERAGE($CS44:$CV44)</f>
        <v>#DIV/0!</v>
      </c>
      <c r="AL12" s="60" t="e">
        <f>CU20+CU38+AVERAGE($CS44:$CV44)</f>
        <v>#DIV/0!</v>
      </c>
      <c r="AM12" s="60" t="e">
        <f>CV20+CV38+AVERAGE($CS44:$CV44)</f>
        <v>#DIV/0!</v>
      </c>
      <c r="AQ12" s="50"/>
      <c r="AR12" s="9">
        <v>4</v>
      </c>
      <c r="AS12" s="60" t="e">
        <f>SUM(AB134:AE134)*比赛参数!$D$26+SUM(AL134:AO134)*比赛参数!$E$26+SUM(AB157:AE157)*比赛参数!$F$26+SUM(AL157:AO157)*比赛参数!$G$26</f>
        <v>#DIV/0!</v>
      </c>
      <c r="AT12" s="51" t="e">
        <f t="shared" si="3"/>
        <v>#DIV/0!</v>
      </c>
      <c r="AU12" s="160">
        <f t="shared" si="4"/>
        <v>0</v>
      </c>
      <c r="AV12" s="161" t="e">
        <f t="shared" si="5"/>
        <v>#DIV/0!</v>
      </c>
      <c r="AW12" s="160">
        <f t="shared" si="6"/>
        <v>0</v>
      </c>
      <c r="AX12" s="176" t="e">
        <f t="shared" si="7"/>
        <v>#DIV/0!</v>
      </c>
      <c r="AY12" s="60" t="e">
        <f t="shared" si="8"/>
        <v>#DIV/0!</v>
      </c>
      <c r="AZ12" s="177">
        <f t="shared" si="9"/>
        <v>0</v>
      </c>
      <c r="BA12" s="60" t="e">
        <f t="shared" si="10"/>
        <v>#DIV/0!</v>
      </c>
      <c r="BB12" s="60" t="e">
        <f>IF(BA12&lt;比赛参数!$K$34,0,IF(BA12&lt;比赛参数!$K$35,BA12/(1-比赛参数!$E$36),IF(BA12&lt;比赛参数!$K$36,BA12/(1-比赛参数!$E$34))))</f>
        <v>#DIV/0!</v>
      </c>
      <c r="BC12" s="60" t="e">
        <f t="shared" si="11"/>
        <v>#DIV/0!</v>
      </c>
      <c r="BD12" s="96"/>
      <c r="BE12" s="60" t="e">
        <f t="shared" si="12"/>
        <v>#DIV/0!</v>
      </c>
      <c r="BF12" s="161" t="e">
        <f t="shared" si="13"/>
        <v>#DIV/0!</v>
      </c>
      <c r="BQ12" s="50"/>
      <c r="BS12" s="185"/>
      <c r="BT12" s="185"/>
      <c r="BU12" s="185"/>
      <c r="BV12" s="185"/>
      <c r="BW12" s="185"/>
      <c r="BX12" s="50"/>
      <c r="DT12" s="32" t="s">
        <v>22</v>
      </c>
      <c r="DU12" s="32">
        <v>3</v>
      </c>
      <c r="DV12" s="221">
        <f t="shared" si="0"/>
        <v>0</v>
      </c>
      <c r="DW12" s="221">
        <f t="shared" si="1"/>
        <v>0</v>
      </c>
      <c r="DX12" s="221">
        <f t="shared" si="2"/>
        <v>0</v>
      </c>
    </row>
    <row r="13" ht="18.9" spans="2:128">
      <c r="B13" s="5"/>
      <c r="C13" s="6" t="s">
        <v>200</v>
      </c>
      <c r="D13" s="12"/>
      <c r="E13" s="7"/>
      <c r="F13" s="8"/>
      <c r="J13" s="9" t="s">
        <v>304</v>
      </c>
      <c r="K13" s="32">
        <f>D10</f>
        <v>0</v>
      </c>
      <c r="M13" s="34" t="s">
        <v>306</v>
      </c>
      <c r="N13" s="30" t="s">
        <v>307</v>
      </c>
      <c r="O13" s="30">
        <f>K14-BS58+AH15</f>
        <v>0</v>
      </c>
      <c r="P13" s="33"/>
      <c r="Q13" s="42"/>
      <c r="X13" s="45" t="s">
        <v>308</v>
      </c>
      <c r="Y13" s="67">
        <f>(Y9*比赛参数!D27+Y10*比赛参数!E27+Y11*比赛参数!F27+Y12*比赛参数!G27)/520</f>
        <v>0</v>
      </c>
      <c r="Z13" s="67">
        <f>(Z9*比赛参数!D27+Z10*比赛参数!E27+Z11*比赛参数!F27+Z12*比赛参数!G27)/260</f>
        <v>0</v>
      </c>
      <c r="AA13" s="67">
        <f>(AA9*比赛参数!D27+AA10*比赛参数!E27+AA11*比赛参数!F27+AA12*比赛参数!G27)/520</f>
        <v>0</v>
      </c>
      <c r="AB13" s="74">
        <f>(AB9*比赛参数!D27+AB10*比赛参数!E27+AB11*比赛参数!F27+AB12*比赛参数!G27)/260</f>
        <v>0</v>
      </c>
      <c r="AC13" s="75" t="str">
        <f>IF(Y21&lt;=Y20,IF(Z13&lt;=Y13,IF(AB13&lt;=AA13,"人数 YES","人数 NO"),"人数 NO"),"人数 NO")</f>
        <v>人数 YES</v>
      </c>
      <c r="AE13" s="39" t="s">
        <v>282</v>
      </c>
      <c r="AF13" s="76">
        <f>第十四期!BU86</f>
        <v>0</v>
      </c>
      <c r="AG13" s="124" t="s">
        <v>309</v>
      </c>
      <c r="AH13" s="125">
        <f>第十四期!BV76</f>
        <v>0</v>
      </c>
      <c r="AI13" s="39" t="s">
        <v>310</v>
      </c>
      <c r="AJ13" s="126" t="e">
        <f>SUMPRODUCT(AE4:AE7,AH9:AH12)</f>
        <v>#DIV/0!</v>
      </c>
      <c r="AQ13" s="50"/>
      <c r="AR13" s="9">
        <v>5</v>
      </c>
      <c r="AS13" s="60" t="e">
        <f>SUM(AB135:AE135)*比赛参数!$D$26+SUM(AL135:AO135)*比赛参数!$E$26+SUM(AB158:AE158)*比赛参数!$F$26+SUM(AL158:AO158)*比赛参数!$G$26</f>
        <v>#DIV/0!</v>
      </c>
      <c r="AT13" s="51" t="e">
        <f t="shared" si="3"/>
        <v>#DIV/0!</v>
      </c>
      <c r="AU13" s="160">
        <f t="shared" si="4"/>
        <v>0</v>
      </c>
      <c r="AV13" s="161" t="e">
        <f t="shared" si="5"/>
        <v>#DIV/0!</v>
      </c>
      <c r="AW13" s="160">
        <f t="shared" si="6"/>
        <v>0</v>
      </c>
      <c r="AX13" s="176" t="e">
        <f t="shared" si="7"/>
        <v>#DIV/0!</v>
      </c>
      <c r="AY13" s="60" t="e">
        <f t="shared" si="8"/>
        <v>#DIV/0!</v>
      </c>
      <c r="AZ13" s="177">
        <f t="shared" si="9"/>
        <v>0</v>
      </c>
      <c r="BA13" s="60" t="e">
        <f t="shared" si="10"/>
        <v>#DIV/0!</v>
      </c>
      <c r="BB13" s="60" t="e">
        <f>IF(BA13&lt;比赛参数!$K$34,0,IF(BA13&lt;比赛参数!$K$35,BA13/(1-比赛参数!$E$36),IF(BA13&lt;比赛参数!$K$36,BA13/(1-比赛参数!$E$34))))</f>
        <v>#DIV/0!</v>
      </c>
      <c r="BC13" s="60" t="e">
        <f t="shared" si="11"/>
        <v>#DIV/0!</v>
      </c>
      <c r="BD13" s="96"/>
      <c r="BE13" s="60" t="e">
        <f t="shared" si="12"/>
        <v>#DIV/0!</v>
      </c>
      <c r="BF13" s="161" t="e">
        <f t="shared" si="13"/>
        <v>#DIV/0!</v>
      </c>
      <c r="BQ13" s="50"/>
      <c r="BR13" s="178" t="s">
        <v>311</v>
      </c>
      <c r="BS13" s="179" t="s">
        <v>56</v>
      </c>
      <c r="BT13" s="180" t="s">
        <v>57</v>
      </c>
      <c r="BU13" s="180" t="s">
        <v>58</v>
      </c>
      <c r="BV13" s="180" t="s">
        <v>59</v>
      </c>
      <c r="BW13" s="185"/>
      <c r="BX13" s="50"/>
      <c r="DT13" s="229" t="s">
        <v>22</v>
      </c>
      <c r="DU13" s="230">
        <v>4</v>
      </c>
      <c r="DV13" s="231">
        <f t="shared" si="0"/>
        <v>0</v>
      </c>
      <c r="DW13" s="231">
        <f t="shared" si="1"/>
        <v>0</v>
      </c>
      <c r="DX13" s="232">
        <f t="shared" si="2"/>
        <v>0</v>
      </c>
    </row>
    <row r="14" ht="31.95" spans="2:128">
      <c r="B14" s="5"/>
      <c r="C14" s="6" t="s">
        <v>312</v>
      </c>
      <c r="D14" s="7"/>
      <c r="E14" s="7"/>
      <c r="F14" s="8"/>
      <c r="J14" s="9" t="s">
        <v>313</v>
      </c>
      <c r="K14" s="32">
        <f>D11</f>
        <v>0</v>
      </c>
      <c r="M14" s="28"/>
      <c r="N14" s="29" t="s">
        <v>303</v>
      </c>
      <c r="O14" s="35"/>
      <c r="P14" s="33"/>
      <c r="Q14" s="42"/>
      <c r="W14" s="46"/>
      <c r="X14" s="45" t="s">
        <v>314</v>
      </c>
      <c r="Y14" s="67">
        <f>(Y9*比赛参数!D26+Y10*比赛参数!E26+Y11*比赛参数!F26+Y12*比赛参数!G26)/520</f>
        <v>0</v>
      </c>
      <c r="Z14" s="67">
        <f>(Z9*比赛参数!D26+Z10*比赛参数!E26+Z11*比赛参数!F26+Z12*比赛参数!G26)/260</f>
        <v>0</v>
      </c>
      <c r="AA14" s="67">
        <f>(AA9*比赛参数!D26+AA10*比赛参数!E26+AA11*比赛参数!F26+AA12*比赛参数!G26)/520</f>
        <v>0</v>
      </c>
      <c r="AB14" s="74">
        <f>(AB9*比赛参数!D26+AB10*比赛参数!E26+AB11*比赛参数!F26+AB12*比赛参数!G26)/260</f>
        <v>0</v>
      </c>
      <c r="AC14" s="77" t="str">
        <f>IF(AA21&lt;=AA20,IF((Z14+AA14)&lt;=AA20,"机器 YES","机器 NO"),"机器 NO")</f>
        <v>机器 YES</v>
      </c>
      <c r="AE14" s="78" t="s">
        <v>200</v>
      </c>
      <c r="AF14" s="79">
        <f>第十四期!BW92</f>
        <v>0</v>
      </c>
      <c r="AG14" s="68" t="s">
        <v>315</v>
      </c>
      <c r="AH14" s="127"/>
      <c r="AI14" s="39" t="s">
        <v>189</v>
      </c>
      <c r="AJ14" s="128">
        <f>第十四期!K12</f>
        <v>0</v>
      </c>
      <c r="AK14" s="39" t="s">
        <v>316</v>
      </c>
      <c r="AL14" s="86">
        <f>AJ14-AH14</f>
        <v>0</v>
      </c>
      <c r="AQ14" s="50"/>
      <c r="AR14" s="9">
        <v>6</v>
      </c>
      <c r="AS14" s="60" t="e">
        <f>SUM(AB136:AE136)*比赛参数!$D$26+SUM(AL136:AO136)*比赛参数!$E$26+SUM(AB159:AE159)*比赛参数!$F$26+SUM(AL159:AO159)*比赛参数!$G$26</f>
        <v>#DIV/0!</v>
      </c>
      <c r="AT14" s="51" t="e">
        <f t="shared" si="3"/>
        <v>#DIV/0!</v>
      </c>
      <c r="AU14" s="160">
        <f t="shared" si="4"/>
        <v>0</v>
      </c>
      <c r="AV14" s="161" t="e">
        <f t="shared" si="5"/>
        <v>#DIV/0!</v>
      </c>
      <c r="AW14" s="160">
        <f t="shared" si="6"/>
        <v>0</v>
      </c>
      <c r="AX14" s="176" t="e">
        <f t="shared" si="7"/>
        <v>#DIV/0!</v>
      </c>
      <c r="AY14" s="60" t="e">
        <f t="shared" si="8"/>
        <v>#DIV/0!</v>
      </c>
      <c r="AZ14" s="177">
        <f t="shared" si="9"/>
        <v>0</v>
      </c>
      <c r="BA14" s="60" t="e">
        <f t="shared" si="10"/>
        <v>#DIV/0!</v>
      </c>
      <c r="BB14" s="60" t="e">
        <f>IF(BA14&lt;比赛参数!$K$34,0,IF(BA14&lt;比赛参数!$K$35,BA14/(1-比赛参数!$E$36),IF(BA14&lt;比赛参数!$K$36,BA14/(1-比赛参数!$E$34))))</f>
        <v>#DIV/0!</v>
      </c>
      <c r="BC14" s="60" t="e">
        <f t="shared" si="11"/>
        <v>#DIV/0!</v>
      </c>
      <c r="BD14" s="96"/>
      <c r="BE14" s="60" t="e">
        <f t="shared" si="12"/>
        <v>#DIV/0!</v>
      </c>
      <c r="BF14" s="161" t="e">
        <f t="shared" si="13"/>
        <v>#DIV/0!</v>
      </c>
      <c r="BQ14" s="50"/>
      <c r="BR14" s="181" t="s">
        <v>21</v>
      </c>
      <c r="BS14" s="182">
        <f>第十四期!Y88</f>
        <v>0</v>
      </c>
      <c r="BT14" s="182">
        <f>第十四期!Y89</f>
        <v>0</v>
      </c>
      <c r="BU14" s="182">
        <f>第十四期!Y90</f>
        <v>0</v>
      </c>
      <c r="BV14" s="182">
        <f>第十四期!Y91</f>
        <v>0</v>
      </c>
      <c r="BW14" s="185"/>
      <c r="BX14" s="50"/>
      <c r="DT14" s="220" t="s">
        <v>23</v>
      </c>
      <c r="DU14" s="220">
        <v>1</v>
      </c>
      <c r="DV14" s="228">
        <f t="shared" si="0"/>
        <v>0</v>
      </c>
      <c r="DW14" s="228">
        <f t="shared" si="1"/>
        <v>0</v>
      </c>
      <c r="DX14" s="228">
        <f t="shared" si="2"/>
        <v>0</v>
      </c>
    </row>
    <row r="15" ht="18.15" spans="2:128">
      <c r="B15" s="5"/>
      <c r="C15" s="6" t="s">
        <v>317</v>
      </c>
      <c r="D15" s="7"/>
      <c r="E15" s="7"/>
      <c r="F15" s="8"/>
      <c r="J15" s="9" t="s">
        <v>318</v>
      </c>
      <c r="K15" s="32">
        <f>D16</f>
        <v>0</v>
      </c>
      <c r="M15" s="34" t="s">
        <v>319</v>
      </c>
      <c r="N15" s="29" t="s">
        <v>200</v>
      </c>
      <c r="O15" s="35"/>
      <c r="P15" s="33"/>
      <c r="Q15" s="42"/>
      <c r="W15" s="46"/>
      <c r="X15" s="45" t="s">
        <v>320</v>
      </c>
      <c r="Y15" s="80" t="e">
        <f>Y14/AA20</f>
        <v>#DIV/0!</v>
      </c>
      <c r="Z15" s="81" t="e">
        <f>(Z14+AA14)/AA20</f>
        <v>#DIV/0!</v>
      </c>
      <c r="AA15" s="82"/>
      <c r="AB15" s="83" t="e">
        <f>AB14/AA20</f>
        <v>#DIV/0!</v>
      </c>
      <c r="AC15" s="84" t="str">
        <f>IF(AC21&lt;=AC20,"材料 YES","材料 NO")</f>
        <v>材料 YES</v>
      </c>
      <c r="AE15" s="78" t="s">
        <v>205</v>
      </c>
      <c r="AF15" s="85" t="e">
        <f>AF14/(Y18+第十四期!K8-AA18)</f>
        <v>#DIV/0!</v>
      </c>
      <c r="AG15" s="68" t="s">
        <v>321</v>
      </c>
      <c r="AH15" s="127"/>
      <c r="AI15" s="39" t="s">
        <v>322</v>
      </c>
      <c r="AJ15" s="128">
        <f>第十四期!K16*0.5-第十四期!K14</f>
        <v>0</v>
      </c>
      <c r="AK15" s="39" t="s">
        <v>323</v>
      </c>
      <c r="AL15" s="103">
        <f>O20*0.5-O13</f>
        <v>0</v>
      </c>
      <c r="AQ15" s="50"/>
      <c r="AR15" s="9">
        <v>7</v>
      </c>
      <c r="AS15" s="60" t="e">
        <f>SUM(AB137:AE137)*比赛参数!$D$26+SUM(AL137:AO137)*比赛参数!$E$26+SUM(AB160:AE160)*比赛参数!$F$26+SUM(AL160:AO160)*比赛参数!$G$26</f>
        <v>#DIV/0!</v>
      </c>
      <c r="AT15" s="51" t="e">
        <f t="shared" si="3"/>
        <v>#DIV/0!</v>
      </c>
      <c r="AU15" s="160">
        <f t="shared" si="4"/>
        <v>0</v>
      </c>
      <c r="AV15" s="161" t="e">
        <f t="shared" si="5"/>
        <v>#DIV/0!</v>
      </c>
      <c r="AW15" s="160">
        <f t="shared" si="6"/>
        <v>0</v>
      </c>
      <c r="AX15" s="176" t="e">
        <f t="shared" si="7"/>
        <v>#DIV/0!</v>
      </c>
      <c r="AY15" s="60" t="e">
        <f t="shared" si="8"/>
        <v>#DIV/0!</v>
      </c>
      <c r="AZ15" s="177">
        <f t="shared" si="9"/>
        <v>0</v>
      </c>
      <c r="BA15" s="60" t="e">
        <f t="shared" si="10"/>
        <v>#DIV/0!</v>
      </c>
      <c r="BB15" s="60" t="e">
        <f>IF(BA15&lt;比赛参数!$K$34,0,IF(BA15&lt;比赛参数!$K$35,BA15/(1-比赛参数!$E$36),IF(BA15&lt;比赛参数!$K$36,BA15/(1-比赛参数!$E$34))))</f>
        <v>#DIV/0!</v>
      </c>
      <c r="BC15" s="60" t="e">
        <f t="shared" si="11"/>
        <v>#DIV/0!</v>
      </c>
      <c r="BD15" s="96"/>
      <c r="BE15" s="60" t="e">
        <f t="shared" si="12"/>
        <v>#DIV/0!</v>
      </c>
      <c r="BF15" s="161" t="e">
        <f t="shared" si="13"/>
        <v>#DIV/0!</v>
      </c>
      <c r="BQ15" s="50"/>
      <c r="BR15" s="180" t="s">
        <v>22</v>
      </c>
      <c r="BS15" s="182">
        <f>第十四期!Z88</f>
        <v>0</v>
      </c>
      <c r="BT15" s="182">
        <f>第十四期!Z89</f>
        <v>0</v>
      </c>
      <c r="BU15" s="182">
        <f>第十四期!Z90</f>
        <v>0</v>
      </c>
      <c r="BV15" s="182">
        <f>第十四期!Z91</f>
        <v>0</v>
      </c>
      <c r="BW15" s="185"/>
      <c r="BX15" s="50"/>
      <c r="DT15" s="32" t="s">
        <v>23</v>
      </c>
      <c r="DU15" s="32">
        <v>2</v>
      </c>
      <c r="DV15" s="221">
        <f t="shared" si="0"/>
        <v>0</v>
      </c>
      <c r="DW15" s="221">
        <f t="shared" si="1"/>
        <v>0</v>
      </c>
      <c r="DX15" s="221">
        <f t="shared" si="2"/>
        <v>0</v>
      </c>
    </row>
    <row r="16" ht="16.35" spans="2:130">
      <c r="B16" s="5"/>
      <c r="C16" s="6" t="s">
        <v>318</v>
      </c>
      <c r="D16" s="12"/>
      <c r="E16" s="7"/>
      <c r="F16" s="8">
        <f>D16*4</f>
        <v>0</v>
      </c>
      <c r="J16" s="9" t="s">
        <v>204</v>
      </c>
      <c r="K16" s="32">
        <f>D18</f>
        <v>0</v>
      </c>
      <c r="M16" s="28"/>
      <c r="N16" s="29" t="s">
        <v>312</v>
      </c>
      <c r="O16" s="35"/>
      <c r="P16" s="33"/>
      <c r="Q16" s="42"/>
      <c r="W16" s="46"/>
      <c r="X16" s="9" t="s">
        <v>324</v>
      </c>
      <c r="Y16" s="86">
        <f>第十四期!DM60</f>
        <v>0</v>
      </c>
      <c r="Z16" s="87" t="s">
        <v>325</v>
      </c>
      <c r="AA16" s="88">
        <f>AH20+Y16+第十四期!K9*比赛参数!D30*比赛参数!F30</f>
        <v>0</v>
      </c>
      <c r="AB16" s="68" t="s">
        <v>326</v>
      </c>
      <c r="AC16" s="89">
        <f>Y20-Y21</f>
        <v>0</v>
      </c>
      <c r="AE16" s="78" t="s">
        <v>327</v>
      </c>
      <c r="AF16" s="90" t="e">
        <f>AJ13/SUM(AH9:AH12)</f>
        <v>#DIV/0!</v>
      </c>
      <c r="AG16" s="78" t="s">
        <v>328</v>
      </c>
      <c r="AH16" s="129" t="e">
        <f>AF14/AL111</f>
        <v>#DIV/0!</v>
      </c>
      <c r="AI16" s="39" t="s">
        <v>329</v>
      </c>
      <c r="AJ16" s="130">
        <f>BS75+BS76</f>
        <v>0</v>
      </c>
      <c r="AK16" s="131" t="e">
        <f>AJ16/BS77</f>
        <v>#DIV/0!</v>
      </c>
      <c r="AL16" s="132"/>
      <c r="AQ16" s="50"/>
      <c r="AR16" s="9">
        <v>8</v>
      </c>
      <c r="AS16" s="60" t="e">
        <f>SUM(AB138:AE138)*比赛参数!$D$26+SUM(AL138:AO138)*比赛参数!$E$26+SUM(AB161:AE161)*比赛参数!$F$26+SUM(AL161:AO161)*比赛参数!$G$26</f>
        <v>#DIV/0!</v>
      </c>
      <c r="AT16" s="51" t="e">
        <f t="shared" si="3"/>
        <v>#DIV/0!</v>
      </c>
      <c r="AU16" s="160">
        <f t="shared" si="4"/>
        <v>0</v>
      </c>
      <c r="AV16" s="161" t="e">
        <f t="shared" si="5"/>
        <v>#DIV/0!</v>
      </c>
      <c r="AW16" s="160">
        <f t="shared" si="6"/>
        <v>0</v>
      </c>
      <c r="AX16" s="176" t="e">
        <f t="shared" si="7"/>
        <v>#DIV/0!</v>
      </c>
      <c r="AY16" s="60" t="e">
        <f t="shared" si="8"/>
        <v>#DIV/0!</v>
      </c>
      <c r="AZ16" s="177">
        <f t="shared" si="9"/>
        <v>0</v>
      </c>
      <c r="BA16" s="60" t="e">
        <f t="shared" si="10"/>
        <v>#DIV/0!</v>
      </c>
      <c r="BB16" s="60" t="e">
        <f>IF(BA16&lt;比赛参数!$K$34,0,IF(BA16&lt;比赛参数!$K$35,BA16/(1-比赛参数!$E$36),IF(BA16&lt;比赛参数!$K$36,BA16/(1-比赛参数!$E$34))))</f>
        <v>#DIV/0!</v>
      </c>
      <c r="BC16" s="60" t="e">
        <f t="shared" si="11"/>
        <v>#DIV/0!</v>
      </c>
      <c r="BD16" s="96"/>
      <c r="BE16" s="60" t="e">
        <f t="shared" si="12"/>
        <v>#DIV/0!</v>
      </c>
      <c r="BF16" s="161" t="e">
        <f t="shared" si="13"/>
        <v>#DIV/0!</v>
      </c>
      <c r="BQ16" s="50"/>
      <c r="BR16" s="180" t="s">
        <v>23</v>
      </c>
      <c r="BS16" s="182">
        <f>第十四期!AA88</f>
        <v>0</v>
      </c>
      <c r="BT16" s="182">
        <f>第十四期!AA89</f>
        <v>0</v>
      </c>
      <c r="BU16" s="182">
        <f>第十四期!AA90</f>
        <v>0</v>
      </c>
      <c r="BV16" s="182">
        <f>第十四期!AA91</f>
        <v>0</v>
      </c>
      <c r="BW16" s="185"/>
      <c r="BX16" s="50"/>
      <c r="CR16" s="2" t="s">
        <v>330</v>
      </c>
      <c r="CS16" s="2" t="s">
        <v>331</v>
      </c>
      <c r="CT16" s="2" t="s">
        <v>332</v>
      </c>
      <c r="CU16" s="2" t="s">
        <v>333</v>
      </c>
      <c r="CV16" s="2" t="s">
        <v>334</v>
      </c>
      <c r="CW16" s="2" t="s">
        <v>335</v>
      </c>
      <c r="CY16" s="2" t="s">
        <v>336</v>
      </c>
      <c r="CZ16" s="2" t="s">
        <v>56</v>
      </c>
      <c r="DA16" s="2" t="s">
        <v>57</v>
      </c>
      <c r="DB16" s="2" t="s">
        <v>58</v>
      </c>
      <c r="DC16" s="2" t="s">
        <v>59</v>
      </c>
      <c r="DF16" s="2" t="s">
        <v>337</v>
      </c>
      <c r="DG16" s="2" t="s">
        <v>56</v>
      </c>
      <c r="DH16" s="2" t="s">
        <v>57</v>
      </c>
      <c r="DI16" s="2" t="s">
        <v>58</v>
      </c>
      <c r="DJ16" s="2" t="s">
        <v>59</v>
      </c>
      <c r="DT16" s="32" t="s">
        <v>23</v>
      </c>
      <c r="DU16" s="32">
        <v>3</v>
      </c>
      <c r="DV16" s="221">
        <f t="shared" si="0"/>
        <v>0</v>
      </c>
      <c r="DW16" s="221">
        <f t="shared" si="1"/>
        <v>0</v>
      </c>
      <c r="DX16" s="221">
        <f t="shared" si="2"/>
        <v>0</v>
      </c>
      <c r="DZ16" s="40"/>
    </row>
    <row r="17" ht="18.9" spans="2:128">
      <c r="B17" s="5"/>
      <c r="C17" s="6" t="s">
        <v>202</v>
      </c>
      <c r="D17" s="7"/>
      <c r="E17" s="7"/>
      <c r="F17" s="8"/>
      <c r="M17" s="34" t="s">
        <v>338</v>
      </c>
      <c r="N17" s="29" t="s">
        <v>317</v>
      </c>
      <c r="O17" s="35"/>
      <c r="P17" s="33"/>
      <c r="Q17" s="42"/>
      <c r="X17" s="47"/>
      <c r="Y17" s="91"/>
      <c r="Z17" s="91"/>
      <c r="AA17" s="92"/>
      <c r="AB17" s="93" t="s">
        <v>339</v>
      </c>
      <c r="AC17" s="94">
        <f>AC16*比赛参数!D65*520</f>
        <v>0</v>
      </c>
      <c r="AE17" s="78" t="s">
        <v>340</v>
      </c>
      <c r="AF17" s="95" t="e">
        <f>(AE9*SUM(AF64:AF67)+AE10*SUM(AG64:AG67)+AE11*SUM(AH64:AH67)+AE12*SUM(AI64:AI67))/SUM(AF64:AI67)</f>
        <v>#DIV/0!</v>
      </c>
      <c r="AG17" s="2" t="s">
        <v>206</v>
      </c>
      <c r="AH17" s="2" t="e">
        <f>AF14/(O20+O13)</f>
        <v>#DIV/0!</v>
      </c>
      <c r="AQ17" s="50"/>
      <c r="AR17" s="9">
        <v>9</v>
      </c>
      <c r="AS17" s="60" t="e">
        <f>SUM(AB139:AE139)*比赛参数!$D$26+SUM(AL139:AO139)*比赛参数!$E$26+SUM(AB162:AE162)*比赛参数!$F$26+SUM(AL162:AO162)*比赛参数!$G$26</f>
        <v>#DIV/0!</v>
      </c>
      <c r="AT17" s="51" t="e">
        <f t="shared" si="3"/>
        <v>#DIV/0!</v>
      </c>
      <c r="AU17" s="160">
        <f t="shared" si="4"/>
        <v>0</v>
      </c>
      <c r="AV17" s="161" t="e">
        <f t="shared" si="5"/>
        <v>#DIV/0!</v>
      </c>
      <c r="AW17" s="160">
        <f t="shared" si="6"/>
        <v>0</v>
      </c>
      <c r="AX17" s="176" t="e">
        <f t="shared" si="7"/>
        <v>#DIV/0!</v>
      </c>
      <c r="AY17" s="60" t="e">
        <f t="shared" si="8"/>
        <v>#DIV/0!</v>
      </c>
      <c r="AZ17" s="177">
        <f t="shared" si="9"/>
        <v>0</v>
      </c>
      <c r="BA17" s="60" t="e">
        <f t="shared" si="10"/>
        <v>#DIV/0!</v>
      </c>
      <c r="BB17" s="60" t="e">
        <f>IF(BA17&lt;比赛参数!$K$34,0,IF(BA17&lt;比赛参数!$K$35,BA17/(1-比赛参数!$E$36),IF(BA17&lt;比赛参数!$K$36,BA17/(1-比赛参数!$E$34))))</f>
        <v>#DIV/0!</v>
      </c>
      <c r="BC17" s="60" t="e">
        <f t="shared" si="11"/>
        <v>#DIV/0!</v>
      </c>
      <c r="BD17" s="96"/>
      <c r="BE17" s="60" t="e">
        <f t="shared" si="12"/>
        <v>#DIV/0!</v>
      </c>
      <c r="BF17" s="161" t="e">
        <f t="shared" si="13"/>
        <v>#DIV/0!</v>
      </c>
      <c r="BQ17" s="50"/>
      <c r="BR17" s="180" t="s">
        <v>24</v>
      </c>
      <c r="BS17" s="182">
        <f>第十四期!AB88</f>
        <v>0</v>
      </c>
      <c r="BT17" s="182">
        <f>第十四期!AB89</f>
        <v>0</v>
      </c>
      <c r="BU17" s="182">
        <f>第十四期!AB90</f>
        <v>0</v>
      </c>
      <c r="BV17" s="182">
        <f>第十四期!AB91</f>
        <v>0</v>
      </c>
      <c r="BW17" s="185"/>
      <c r="BX17" s="50"/>
      <c r="CA17" s="192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211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14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 t="e">
        <f>$CW17+CS35+AVERAGE(CS41:CT41)</f>
        <v>#DIV/0!</v>
      </c>
      <c r="DH17" s="2" t="e">
        <f>$CW17+CT35+AVERAGE(CS41:CT41)</f>
        <v>#DIV/0!</v>
      </c>
      <c r="DI17" s="2" t="e">
        <f>$CW17+CU35+AVERAGE(CU41:CV41)</f>
        <v>#DIV/0!</v>
      </c>
      <c r="DJ17" s="2" t="e">
        <f>$CW17+CV35+AVERAGE(CU41:CV41)</f>
        <v>#DIV/0!</v>
      </c>
      <c r="DT17" s="233" t="s">
        <v>23</v>
      </c>
      <c r="DU17" s="233">
        <v>4</v>
      </c>
      <c r="DV17" s="234">
        <f t="shared" si="0"/>
        <v>0</v>
      </c>
      <c r="DW17" s="234">
        <f t="shared" si="1"/>
        <v>0</v>
      </c>
      <c r="DX17" s="234">
        <f t="shared" si="2"/>
        <v>0</v>
      </c>
    </row>
    <row r="18" ht="17.1" spans="2:130">
      <c r="B18" s="5"/>
      <c r="C18" s="6" t="s">
        <v>204</v>
      </c>
      <c r="D18" s="12"/>
      <c r="E18" s="7"/>
      <c r="F18" s="8"/>
      <c r="M18" s="28"/>
      <c r="N18" s="30" t="s">
        <v>318</v>
      </c>
      <c r="O18" s="30"/>
      <c r="P18" s="33"/>
      <c r="Q18" s="42"/>
      <c r="W18" s="46"/>
      <c r="X18" s="9" t="s">
        <v>341</v>
      </c>
      <c r="Y18" s="96"/>
      <c r="Z18" s="9" t="s">
        <v>342</v>
      </c>
      <c r="AA18" s="96"/>
      <c r="AB18" s="9" t="s">
        <v>343</v>
      </c>
      <c r="AC18" s="97"/>
      <c r="AE18" s="9" t="s">
        <v>344</v>
      </c>
      <c r="AF18" s="98"/>
      <c r="AG18" s="68" t="s">
        <v>213</v>
      </c>
      <c r="AH18" s="133">
        <v>1</v>
      </c>
      <c r="AI18" s="68" t="s">
        <v>345</v>
      </c>
      <c r="AJ18" s="97"/>
      <c r="AK18" s="39" t="s">
        <v>346</v>
      </c>
      <c r="AL18" s="134">
        <f>AL109</f>
        <v>0</v>
      </c>
      <c r="AQ18" s="50"/>
      <c r="AR18" s="9">
        <v>10</v>
      </c>
      <c r="AS18" s="60" t="e">
        <f>SUM(AB140:AE140)*比赛参数!$D$26+SUM(AL140:AO140)*比赛参数!$E$26+SUM(AB163:AE163)*比赛参数!$F$26+SUM(AL163:AO163)*比赛参数!$G$26</f>
        <v>#DIV/0!</v>
      </c>
      <c r="AT18" s="51" t="e">
        <f t="shared" si="3"/>
        <v>#DIV/0!</v>
      </c>
      <c r="AU18" s="160">
        <f t="shared" si="4"/>
        <v>0</v>
      </c>
      <c r="AV18" s="161" t="e">
        <f t="shared" si="5"/>
        <v>#DIV/0!</v>
      </c>
      <c r="AW18" s="160">
        <f t="shared" si="6"/>
        <v>0</v>
      </c>
      <c r="AX18" s="176" t="e">
        <f t="shared" si="7"/>
        <v>#DIV/0!</v>
      </c>
      <c r="AY18" s="60" t="e">
        <f t="shared" si="8"/>
        <v>#DIV/0!</v>
      </c>
      <c r="AZ18" s="177">
        <f t="shared" si="9"/>
        <v>0</v>
      </c>
      <c r="BA18" s="60" t="e">
        <f t="shared" si="10"/>
        <v>#DIV/0!</v>
      </c>
      <c r="BB18" s="60" t="e">
        <f>IF(BA18&lt;比赛参数!$K$34,0,IF(BA18&lt;比赛参数!$K$35,BA18/(1-比赛参数!$E$36),IF(BA18&lt;比赛参数!$K$36,BA18/(1-比赛参数!$E$34))))</f>
        <v>#DIV/0!</v>
      </c>
      <c r="BC18" s="60" t="e">
        <f t="shared" si="11"/>
        <v>#DIV/0!</v>
      </c>
      <c r="BD18" s="96"/>
      <c r="BE18" s="60" t="e">
        <f t="shared" si="12"/>
        <v>#DIV/0!</v>
      </c>
      <c r="BF18" s="161" t="e">
        <f t="shared" si="13"/>
        <v>#DIV/0!</v>
      </c>
      <c r="BQ18" s="50"/>
      <c r="BS18" s="185"/>
      <c r="BT18" s="185"/>
      <c r="BU18" s="185"/>
      <c r="BV18" s="185"/>
      <c r="BW18" s="185"/>
      <c r="BX18" s="50"/>
      <c r="CA18" s="194"/>
      <c r="CB18" s="195" t="s">
        <v>347</v>
      </c>
      <c r="CC18" s="200" t="s">
        <v>38</v>
      </c>
      <c r="CD18" s="200" t="s">
        <v>39</v>
      </c>
      <c r="CE18" s="200" t="s">
        <v>40</v>
      </c>
      <c r="CF18" s="200" t="s">
        <v>41</v>
      </c>
      <c r="CG18" s="50"/>
      <c r="CH18" s="50"/>
      <c r="CI18" s="195" t="s">
        <v>348</v>
      </c>
      <c r="CJ18" s="179" t="s">
        <v>38</v>
      </c>
      <c r="CK18" s="179" t="s">
        <v>39</v>
      </c>
      <c r="CL18" s="179" t="s">
        <v>40</v>
      </c>
      <c r="CM18" s="179" t="s">
        <v>41</v>
      </c>
      <c r="CO18" s="212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14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 t="e">
        <f>$CW18+CS36+AVERAGE(CS42:CT42)</f>
        <v>#DIV/0!</v>
      </c>
      <c r="DH18" s="2" t="e">
        <f>$CW18+CT36+AVERAGE(CS42:CT42)</f>
        <v>#DIV/0!</v>
      </c>
      <c r="DI18" s="2" t="e">
        <f>$CW18+CU36+AVERAGE(CU42:CV42)</f>
        <v>#DIV/0!</v>
      </c>
      <c r="DJ18" s="2" t="e">
        <f>$CW18+CV36+AVERAGE(CU42:CV42)</f>
        <v>#DIV/0!</v>
      </c>
      <c r="DT18" s="220" t="s">
        <v>24</v>
      </c>
      <c r="DU18" s="220">
        <v>1</v>
      </c>
      <c r="DV18" s="228">
        <f t="shared" si="0"/>
        <v>0</v>
      </c>
      <c r="DW18" s="228">
        <f t="shared" si="1"/>
        <v>0</v>
      </c>
      <c r="DX18" s="228">
        <f t="shared" si="2"/>
        <v>0</v>
      </c>
      <c r="DZ18" s="40"/>
    </row>
    <row r="19" ht="18.9" spans="2:128">
      <c r="B19" s="5"/>
      <c r="C19" s="6" t="s">
        <v>205</v>
      </c>
      <c r="D19" s="12"/>
      <c r="E19" s="7"/>
      <c r="F19" s="8"/>
      <c r="M19" s="34" t="s">
        <v>349</v>
      </c>
      <c r="N19" s="29" t="s">
        <v>202</v>
      </c>
      <c r="O19" s="35"/>
      <c r="P19" s="33"/>
      <c r="Q19" s="42"/>
      <c r="X19" s="48" t="s">
        <v>350</v>
      </c>
      <c r="Y19" s="94">
        <f>第十四期!K8*比赛参数!D57</f>
        <v>0</v>
      </c>
      <c r="Z19" s="48" t="s">
        <v>351</v>
      </c>
      <c r="AA19" s="94">
        <f>第十四期!K8*比赛参数!D60</f>
        <v>0</v>
      </c>
      <c r="AB19" s="48" t="s">
        <v>351</v>
      </c>
      <c r="AC19" s="99">
        <f>IF((AC21-第十四期!K10)/比赛参数!D41&gt;0,(AC21-第十四期!K10)/比赛参数!D41,0)</f>
        <v>0</v>
      </c>
      <c r="AE19" s="39" t="s">
        <v>36</v>
      </c>
      <c r="AF19" s="100">
        <f>BS67</f>
        <v>0</v>
      </c>
      <c r="AI19" s="135" t="s">
        <v>352</v>
      </c>
      <c r="AJ19" s="99">
        <f>IF((第十四期!BW92-第十四期!BS87)&gt;0,第十四期!BW92-第十四期!BS87,0)</f>
        <v>0</v>
      </c>
      <c r="AK19" s="39" t="s">
        <v>353</v>
      </c>
      <c r="AL19" s="134">
        <f>AL110</f>
        <v>0</v>
      </c>
      <c r="AM19" s="2" t="s">
        <v>354</v>
      </c>
      <c r="AR19" s="9">
        <v>11</v>
      </c>
      <c r="AS19" s="60" t="e">
        <f>SUM(AB141:AE141)*比赛参数!$D$26+SUM(AL141:AO141)*比赛参数!$E$26+SUM(AB164:AE164)*比赛参数!$F$26+SUM(AL164:AO164)*比赛参数!$G$26</f>
        <v>#DIV/0!</v>
      </c>
      <c r="AT19" s="51" t="e">
        <f t="shared" si="3"/>
        <v>#DIV/0!</v>
      </c>
      <c r="AU19" s="160">
        <f t="shared" si="4"/>
        <v>0</v>
      </c>
      <c r="AV19" s="161" t="e">
        <f t="shared" si="5"/>
        <v>#DIV/0!</v>
      </c>
      <c r="AW19" s="160">
        <f t="shared" si="6"/>
        <v>0</v>
      </c>
      <c r="AX19" s="176" t="e">
        <f t="shared" si="7"/>
        <v>#DIV/0!</v>
      </c>
      <c r="AY19" s="60" t="e">
        <f t="shared" si="8"/>
        <v>#DIV/0!</v>
      </c>
      <c r="AZ19" s="177">
        <f t="shared" si="9"/>
        <v>0</v>
      </c>
      <c r="BA19" s="60" t="e">
        <f t="shared" si="10"/>
        <v>#DIV/0!</v>
      </c>
      <c r="BB19" s="60" t="e">
        <f>IF(BA19&lt;比赛参数!$K$34,0,IF(BA19&lt;比赛参数!$K$35,BA19/(1-比赛参数!$E$36),IF(BA19&lt;比赛参数!$K$36,BA19/(1-比赛参数!$E$34))))</f>
        <v>#DIV/0!</v>
      </c>
      <c r="BC19" s="60" t="e">
        <f t="shared" si="11"/>
        <v>#DIV/0!</v>
      </c>
      <c r="BD19" s="96"/>
      <c r="BE19" s="60" t="e">
        <f t="shared" si="12"/>
        <v>#DIV/0!</v>
      </c>
      <c r="BF19" s="161" t="e">
        <f t="shared" si="13"/>
        <v>#DIV/0!</v>
      </c>
      <c r="BR19" s="178" t="s">
        <v>273</v>
      </c>
      <c r="BS19" s="179" t="s">
        <v>179</v>
      </c>
      <c r="BT19" s="180" t="s">
        <v>180</v>
      </c>
      <c r="BU19" s="180" t="s">
        <v>181</v>
      </c>
      <c r="BV19" s="180" t="s">
        <v>182</v>
      </c>
      <c r="BW19" s="183" t="s">
        <v>355</v>
      </c>
      <c r="CA19" s="194"/>
      <c r="CB19" s="196" t="s">
        <v>56</v>
      </c>
      <c r="CC19" s="101">
        <f>第十四期!$CX$68</f>
        <v>0</v>
      </c>
      <c r="CD19" s="101">
        <f>第十四期!$CX$69</f>
        <v>0</v>
      </c>
      <c r="CE19" s="101">
        <f>第十四期!$CX$70</f>
        <v>0</v>
      </c>
      <c r="CF19" s="101">
        <f>第十四期!$CX$71</f>
        <v>0</v>
      </c>
      <c r="CG19" s="50"/>
      <c r="CH19" s="201"/>
      <c r="CI19" s="202" t="s">
        <v>56</v>
      </c>
      <c r="CJ19" s="101">
        <f>第十四期!$CX$50</f>
        <v>0</v>
      </c>
      <c r="CK19" s="101">
        <f>第十四期!$CX$51</f>
        <v>0</v>
      </c>
      <c r="CL19" s="101">
        <f>第十四期!$CX$52</f>
        <v>0</v>
      </c>
      <c r="CM19" s="101">
        <f>第十四期!$CX$53</f>
        <v>0</v>
      </c>
      <c r="CO19" s="212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14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 t="e">
        <f>$CW19+CS37+AVERAGE(CS43:CT43)</f>
        <v>#DIV/0!</v>
      </c>
      <c r="DH19" s="2" t="e">
        <f>$CW19+CT37+AVERAGE(CS43:CT43)</f>
        <v>#DIV/0!</v>
      </c>
      <c r="DI19" s="2" t="e">
        <f>$CW19+CU37+AVERAGE(CU43:CV43)</f>
        <v>#DIV/0!</v>
      </c>
      <c r="DJ19" s="2" t="e">
        <f>$CW19+CV37+AVERAGE(CU43:CV43)</f>
        <v>#DIV/0!</v>
      </c>
      <c r="DT19" s="32" t="s">
        <v>24</v>
      </c>
      <c r="DU19" s="32">
        <v>2</v>
      </c>
      <c r="DV19" s="221">
        <f t="shared" si="0"/>
        <v>0</v>
      </c>
      <c r="DW19" s="221">
        <f t="shared" si="1"/>
        <v>0</v>
      </c>
      <c r="DX19" s="221">
        <f t="shared" si="2"/>
        <v>0</v>
      </c>
    </row>
    <row r="20" ht="31.95" spans="2:130">
      <c r="B20" s="5"/>
      <c r="C20" s="6" t="s">
        <v>356</v>
      </c>
      <c r="D20" s="7"/>
      <c r="E20" s="7"/>
      <c r="F20" s="8"/>
      <c r="M20" s="28"/>
      <c r="N20" s="30" t="s">
        <v>204</v>
      </c>
      <c r="O20" s="36">
        <f>K16+AJ19-AJ18</f>
        <v>0</v>
      </c>
      <c r="P20" s="33"/>
      <c r="Q20" s="42"/>
      <c r="W20" s="46"/>
      <c r="X20" s="39" t="s">
        <v>357</v>
      </c>
      <c r="Y20" s="101">
        <f>第十四期!K8+第十四期!Y18*比赛参数!D59-第十四期!AA18</f>
        <v>0</v>
      </c>
      <c r="Z20" s="39" t="s">
        <v>346</v>
      </c>
      <c r="AA20" s="102">
        <f>第十四期!K9</f>
        <v>0</v>
      </c>
      <c r="AB20" s="39" t="s">
        <v>358</v>
      </c>
      <c r="AC20" s="103">
        <f>AC18*比赛参数!D41+第十四期!K10</f>
        <v>0</v>
      </c>
      <c r="AE20" s="9" t="s">
        <v>359</v>
      </c>
      <c r="AF20" s="96"/>
      <c r="AG20" s="39" t="s">
        <v>178</v>
      </c>
      <c r="AH20" s="136">
        <f>第十四期!BS62+第十四期!BS71</f>
        <v>0</v>
      </c>
      <c r="AI20" s="68" t="s">
        <v>360</v>
      </c>
      <c r="AJ20" s="103">
        <f>第十四期!BV90</f>
        <v>0</v>
      </c>
      <c r="AK20" s="39" t="s">
        <v>361</v>
      </c>
      <c r="AL20" s="134">
        <f>AL111</f>
        <v>0</v>
      </c>
      <c r="AM20" s="2" t="e">
        <f>AF14/AL20/1300</f>
        <v>#DIV/0!</v>
      </c>
      <c r="AR20" s="9">
        <v>12</v>
      </c>
      <c r="AS20" s="60" t="e">
        <f>SUM(AB142:AE142)*比赛参数!$D$26+SUM(AL142:AO142)*比赛参数!$E$26+SUM(AB165:AE165)*比赛参数!$F$26+SUM(AL165:AO165)*比赛参数!$G$26</f>
        <v>#DIV/0!</v>
      </c>
      <c r="AT20" s="51" t="e">
        <f t="shared" si="3"/>
        <v>#DIV/0!</v>
      </c>
      <c r="AU20" s="160">
        <f t="shared" si="4"/>
        <v>0</v>
      </c>
      <c r="AV20" s="161" t="e">
        <f t="shared" si="5"/>
        <v>#DIV/0!</v>
      </c>
      <c r="AW20" s="160">
        <f t="shared" si="6"/>
        <v>0</v>
      </c>
      <c r="AX20" s="176" t="e">
        <f t="shared" si="7"/>
        <v>#DIV/0!</v>
      </c>
      <c r="AY20" s="60" t="e">
        <f t="shared" si="8"/>
        <v>#DIV/0!</v>
      </c>
      <c r="AZ20" s="177">
        <f t="shared" si="9"/>
        <v>0</v>
      </c>
      <c r="BA20" s="60" t="e">
        <f t="shared" si="10"/>
        <v>#DIV/0!</v>
      </c>
      <c r="BB20" s="60" t="e">
        <f>IF(BA20&lt;比赛参数!$K$34,0,IF(BA20&lt;比赛参数!$K$35,BA20/(1-比赛参数!$E$36),IF(BA20&lt;比赛参数!$K$36,BA20/(1-比赛参数!$E$34))))</f>
        <v>#DIV/0!</v>
      </c>
      <c r="BC20" s="60" t="e">
        <f t="shared" si="11"/>
        <v>#DIV/0!</v>
      </c>
      <c r="BD20" s="96"/>
      <c r="BE20" s="60" t="e">
        <f t="shared" si="12"/>
        <v>#DIV/0!</v>
      </c>
      <c r="BF20" s="161" t="e">
        <f t="shared" si="13"/>
        <v>#DIV/0!</v>
      </c>
      <c r="BR20" s="181" t="s">
        <v>21</v>
      </c>
      <c r="BS20" s="182">
        <f>第十四期!Y9</f>
        <v>0</v>
      </c>
      <c r="BT20" s="182">
        <f>第十四期!Z9</f>
        <v>0</v>
      </c>
      <c r="BU20" s="182">
        <f>第十四期!AA9</f>
        <v>0</v>
      </c>
      <c r="BV20" s="182">
        <f>第十四期!AB9</f>
        <v>0</v>
      </c>
      <c r="BW20" s="184">
        <f>第十四期!AJ34</f>
        <v>0</v>
      </c>
      <c r="CA20" s="194"/>
      <c r="CB20" s="180" t="s">
        <v>57</v>
      </c>
      <c r="CC20" s="101">
        <f>第十四期!$CY$68</f>
        <v>0</v>
      </c>
      <c r="CD20" s="101">
        <f>第十四期!$CY$69</f>
        <v>0</v>
      </c>
      <c r="CE20" s="101">
        <f>第十四期!$CY$70</f>
        <v>0</v>
      </c>
      <c r="CF20" s="101">
        <f>第十四期!$CY$71</f>
        <v>0</v>
      </c>
      <c r="CG20" s="50"/>
      <c r="CH20" s="201"/>
      <c r="CI20" s="203" t="s">
        <v>57</v>
      </c>
      <c r="CJ20" s="101">
        <f>第十四期!$CY$50</f>
        <v>0</v>
      </c>
      <c r="CK20" s="101">
        <f>第十四期!$CY$51</f>
        <v>0</v>
      </c>
      <c r="CL20" s="101">
        <f>第十四期!$CY$52</f>
        <v>0</v>
      </c>
      <c r="CM20" s="101">
        <f>第十四期!$CY$53</f>
        <v>0</v>
      </c>
      <c r="CO20" s="212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14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 t="e">
        <f>$CW20+CS38+AVERAGE(CS44:CT44)</f>
        <v>#DIV/0!</v>
      </c>
      <c r="DH20" s="2" t="e">
        <f>$CW20+CT38+AVERAGE(CS44:CT44)</f>
        <v>#DIV/0!</v>
      </c>
      <c r="DI20" s="2" t="e">
        <f>$CW20+CU38+AVERAGE(CU44:CV44)</f>
        <v>#DIV/0!</v>
      </c>
      <c r="DJ20" s="2" t="e">
        <f>$CW20+CV38+AVERAGE(CU44:CV44)</f>
        <v>#DIV/0!</v>
      </c>
      <c r="DT20" s="32" t="s">
        <v>24</v>
      </c>
      <c r="DU20" s="32">
        <v>3</v>
      </c>
      <c r="DV20" s="221">
        <f t="shared" si="0"/>
        <v>0</v>
      </c>
      <c r="DW20" s="221">
        <f t="shared" si="1"/>
        <v>0</v>
      </c>
      <c r="DX20" s="221">
        <f t="shared" si="2"/>
        <v>0</v>
      </c>
      <c r="DZ20" s="40"/>
    </row>
    <row r="21" ht="31.95" spans="2:128">
      <c r="B21" s="5"/>
      <c r="C21" s="6" t="s">
        <v>362</v>
      </c>
      <c r="D21" s="7"/>
      <c r="E21" s="7"/>
      <c r="F21" s="8"/>
      <c r="M21" s="28"/>
      <c r="N21" s="29" t="s">
        <v>205</v>
      </c>
      <c r="O21" s="35"/>
      <c r="P21" s="33"/>
      <c r="Q21" s="42"/>
      <c r="X21" s="39" t="s">
        <v>363</v>
      </c>
      <c r="Y21" s="101">
        <f>Y13+AA13</f>
        <v>0</v>
      </c>
      <c r="Z21" s="39" t="s">
        <v>364</v>
      </c>
      <c r="AA21" s="101">
        <f>MAX(Y14,Z14+AA14,AB14)</f>
        <v>0</v>
      </c>
      <c r="AB21" s="39" t="s">
        <v>365</v>
      </c>
      <c r="AC21" s="103">
        <f>AC9*比赛参数!D28+AC10*比赛参数!E28+AC11*比赛参数!F28+AC12*比赛参数!G28</f>
        <v>0</v>
      </c>
      <c r="AE21" s="39" t="s">
        <v>366</v>
      </c>
      <c r="AF21" s="104">
        <f>AF20*比赛参数!D70/4</f>
        <v>0</v>
      </c>
      <c r="AG21" s="137" t="s">
        <v>367</v>
      </c>
      <c r="AH21" s="136">
        <f>CN53+CN59</f>
        <v>0</v>
      </c>
      <c r="AI21" s="39" t="s">
        <v>368</v>
      </c>
      <c r="AJ21" s="128" t="str">
        <f>比赛参数!D67</f>
        <v>2500000</v>
      </c>
      <c r="AK21" s="39" t="s">
        <v>369</v>
      </c>
      <c r="AL21" s="138" t="e">
        <f>AL112</f>
        <v>#DIV/0!</v>
      </c>
      <c r="AR21" s="9">
        <v>13</v>
      </c>
      <c r="AS21" s="60" t="e">
        <f>SUM(AB143:AE143)*比赛参数!$D$26+SUM(AL143:AO143)*比赛参数!$E$26+SUM(AB166:AE166)*比赛参数!$F$26+SUM(AL166:AO166)*比赛参数!$G$26</f>
        <v>#DIV/0!</v>
      </c>
      <c r="AT21" s="51" t="e">
        <f t="shared" si="3"/>
        <v>#DIV/0!</v>
      </c>
      <c r="AU21" s="160">
        <f t="shared" si="4"/>
        <v>0</v>
      </c>
      <c r="AV21" s="161" t="e">
        <f t="shared" si="5"/>
        <v>#DIV/0!</v>
      </c>
      <c r="AW21" s="160">
        <f t="shared" si="6"/>
        <v>0</v>
      </c>
      <c r="AX21" s="176" t="e">
        <f t="shared" si="7"/>
        <v>#DIV/0!</v>
      </c>
      <c r="AY21" s="60" t="e">
        <f t="shared" si="8"/>
        <v>#DIV/0!</v>
      </c>
      <c r="AZ21" s="177">
        <f t="shared" si="9"/>
        <v>0</v>
      </c>
      <c r="BA21" s="60" t="e">
        <f t="shared" si="10"/>
        <v>#DIV/0!</v>
      </c>
      <c r="BB21" s="60" t="e">
        <f>IF(BA21&lt;比赛参数!$K$34,0,IF(BA21&lt;比赛参数!$K$35,BA21/(1-比赛参数!$E$36),IF(BA21&lt;比赛参数!$K$36,BA21/(1-比赛参数!$E$34))))</f>
        <v>#DIV/0!</v>
      </c>
      <c r="BC21" s="60" t="e">
        <f t="shared" si="11"/>
        <v>#DIV/0!</v>
      </c>
      <c r="BD21" s="96"/>
      <c r="BE21" s="60" t="e">
        <f t="shared" si="12"/>
        <v>#DIV/0!</v>
      </c>
      <c r="BF21" s="161" t="e">
        <f t="shared" si="13"/>
        <v>#DIV/0!</v>
      </c>
      <c r="BR21" s="180" t="s">
        <v>22</v>
      </c>
      <c r="BS21" s="182">
        <f>第十四期!Y10</f>
        <v>0</v>
      </c>
      <c r="BT21" s="182">
        <f>第十四期!Z10</f>
        <v>0</v>
      </c>
      <c r="BU21" s="182">
        <f>第十四期!AA10</f>
        <v>0</v>
      </c>
      <c r="BV21" s="182">
        <f>第十四期!AB10</f>
        <v>0</v>
      </c>
      <c r="BW21" s="184">
        <f>第十四期!AJ35</f>
        <v>0</v>
      </c>
      <c r="CA21" s="194"/>
      <c r="CB21" s="180" t="s">
        <v>58</v>
      </c>
      <c r="CC21" s="101">
        <f>第十四期!$CZ$68</f>
        <v>0</v>
      </c>
      <c r="CD21" s="101">
        <f>第十四期!$CZ$69</f>
        <v>0</v>
      </c>
      <c r="CE21" s="101">
        <f>第十四期!$CZ$70</f>
        <v>0</v>
      </c>
      <c r="CF21" s="101">
        <f>第十四期!$CZ$71</f>
        <v>0</v>
      </c>
      <c r="CG21" s="50"/>
      <c r="CH21" s="201"/>
      <c r="CI21" s="203" t="s">
        <v>58</v>
      </c>
      <c r="CJ21" s="101">
        <f>第十四期!$CZ$50</f>
        <v>0</v>
      </c>
      <c r="CK21" s="101">
        <f>第十四期!$CZ$51</f>
        <v>0</v>
      </c>
      <c r="CL21" s="101">
        <f>第十四期!$CZ$52</f>
        <v>0</v>
      </c>
      <c r="CM21" s="101">
        <f>第十四期!$CZ$53</f>
        <v>0</v>
      </c>
      <c r="CO21" s="212"/>
      <c r="DT21" s="32" t="s">
        <v>24</v>
      </c>
      <c r="DU21" s="32">
        <v>4</v>
      </c>
      <c r="DV21" s="221">
        <f t="shared" si="0"/>
        <v>0</v>
      </c>
      <c r="DW21" s="221">
        <f t="shared" si="1"/>
        <v>0</v>
      </c>
      <c r="DX21" s="221">
        <f t="shared" si="2"/>
        <v>0</v>
      </c>
    </row>
    <row r="22" ht="31.95" spans="3:130">
      <c r="C22" s="13"/>
      <c r="D22" s="13"/>
      <c r="E22" s="13"/>
      <c r="M22" s="28"/>
      <c r="N22" s="29" t="s">
        <v>356</v>
      </c>
      <c r="O22" s="35"/>
      <c r="P22" s="33"/>
      <c r="Q22" s="42"/>
      <c r="Z22" s="2" t="s">
        <v>370</v>
      </c>
      <c r="AA22" s="105">
        <f>SUM(AH9:AH12)/1300</f>
        <v>0</v>
      </c>
      <c r="AB22" s="106" t="e">
        <f>AA22/AA20</f>
        <v>#DIV/0!</v>
      </c>
      <c r="AD22" s="107"/>
      <c r="AH22" s="139">
        <f>AH20+AH21</f>
        <v>0</v>
      </c>
      <c r="AI22" s="39" t="s">
        <v>371</v>
      </c>
      <c r="AJ22" s="128">
        <f>K11</f>
        <v>0</v>
      </c>
      <c r="AK22" s="2" t="s">
        <v>372</v>
      </c>
      <c r="AL22" s="140">
        <f>K10</f>
        <v>0</v>
      </c>
      <c r="AR22" s="9">
        <v>14</v>
      </c>
      <c r="AS22" s="60" t="e">
        <f>SUM(AB144:AE144)*比赛参数!$D$26+SUM(AL144:AO144)*比赛参数!$E$26+SUM(AB167:AE167)*比赛参数!$F$26+SUM(AL167:AO167)*比赛参数!$G$26</f>
        <v>#DIV/0!</v>
      </c>
      <c r="AT22" s="51" t="e">
        <f t="shared" si="3"/>
        <v>#DIV/0!</v>
      </c>
      <c r="AU22" s="160">
        <f t="shared" si="4"/>
        <v>0</v>
      </c>
      <c r="AV22" s="161" t="e">
        <f t="shared" si="5"/>
        <v>#DIV/0!</v>
      </c>
      <c r="AW22" s="160">
        <f t="shared" si="6"/>
        <v>0</v>
      </c>
      <c r="AX22" s="176" t="e">
        <f t="shared" si="7"/>
        <v>#DIV/0!</v>
      </c>
      <c r="AY22" s="60" t="e">
        <f t="shared" si="8"/>
        <v>#DIV/0!</v>
      </c>
      <c r="AZ22" s="177">
        <f t="shared" si="9"/>
        <v>0</v>
      </c>
      <c r="BA22" s="60" t="e">
        <f t="shared" si="10"/>
        <v>#DIV/0!</v>
      </c>
      <c r="BB22" s="60" t="e">
        <f>IF(BA22&lt;比赛参数!$K$34,0,IF(BA22&lt;比赛参数!$K$35,BA22/(1-比赛参数!$E$36),IF(BA22&lt;比赛参数!$K$36,BA22/(1-比赛参数!$E$34))))</f>
        <v>#DIV/0!</v>
      </c>
      <c r="BC22" s="60" t="e">
        <f t="shared" si="11"/>
        <v>#DIV/0!</v>
      </c>
      <c r="BD22" s="96"/>
      <c r="BE22" s="60" t="e">
        <f t="shared" si="12"/>
        <v>#DIV/0!</v>
      </c>
      <c r="BF22" s="161" t="e">
        <f t="shared" si="13"/>
        <v>#DIV/0!</v>
      </c>
      <c r="BR22" s="180" t="s">
        <v>23</v>
      </c>
      <c r="BS22" s="182">
        <f>第十四期!Y11</f>
        <v>0</v>
      </c>
      <c r="BT22" s="182">
        <f>第十四期!Z11</f>
        <v>0</v>
      </c>
      <c r="BU22" s="182">
        <f>第十四期!AA11</f>
        <v>0</v>
      </c>
      <c r="BV22" s="182">
        <f>第十四期!AB11</f>
        <v>0</v>
      </c>
      <c r="BW22" s="184">
        <f>第十四期!AJ36</f>
        <v>0</v>
      </c>
      <c r="CA22" s="194"/>
      <c r="CB22" s="180" t="s">
        <v>59</v>
      </c>
      <c r="CC22" s="101">
        <f>第十四期!$DA$68</f>
        <v>0</v>
      </c>
      <c r="CD22" s="101">
        <f>第十四期!$DA$69</f>
        <v>0</v>
      </c>
      <c r="CE22" s="101">
        <f>第十四期!$DA$70</f>
        <v>0</v>
      </c>
      <c r="CF22" s="101">
        <f>第十四期!$DA$71</f>
        <v>0</v>
      </c>
      <c r="CG22" s="50"/>
      <c r="CH22" s="201"/>
      <c r="CI22" s="203" t="s">
        <v>59</v>
      </c>
      <c r="CJ22" s="101">
        <f>第十四期!$DA$50</f>
        <v>0</v>
      </c>
      <c r="CK22" s="101">
        <f>第十四期!$DA$51</f>
        <v>0</v>
      </c>
      <c r="CL22" s="101">
        <f>第十四期!$DA$52</f>
        <v>0</v>
      </c>
      <c r="CM22" s="101">
        <f>第十四期!$DA$53</f>
        <v>0</v>
      </c>
      <c r="CO22" s="212"/>
      <c r="CR22" s="2" t="s">
        <v>373</v>
      </c>
      <c r="CS22" s="2" t="s">
        <v>331</v>
      </c>
      <c r="CT22" s="2" t="s">
        <v>332</v>
      </c>
      <c r="CU22" s="2" t="s">
        <v>333</v>
      </c>
      <c r="CV22" s="2" t="s">
        <v>334</v>
      </c>
      <c r="CY22" s="2" t="s">
        <v>277</v>
      </c>
      <c r="CZ22" s="2" t="s">
        <v>56</v>
      </c>
      <c r="DA22" s="2" t="s">
        <v>57</v>
      </c>
      <c r="DB22" s="2" t="s">
        <v>58</v>
      </c>
      <c r="DC22" s="2" t="s">
        <v>59</v>
      </c>
      <c r="DF22" s="2" t="s">
        <v>277</v>
      </c>
      <c r="DG22" s="2" t="s">
        <v>56</v>
      </c>
      <c r="DH22" s="2" t="s">
        <v>57</v>
      </c>
      <c r="DI22" s="2" t="s">
        <v>58</v>
      </c>
      <c r="DJ22" s="2" t="s">
        <v>59</v>
      </c>
      <c r="DZ22" s="40"/>
    </row>
    <row r="23" ht="16.35" spans="2:126">
      <c r="B23" s="5"/>
      <c r="C23" s="14" t="s">
        <v>261</v>
      </c>
      <c r="D23" s="15" t="s">
        <v>262</v>
      </c>
      <c r="E23" s="15" t="s">
        <v>374</v>
      </c>
      <c r="F23" s="15" t="s">
        <v>375</v>
      </c>
      <c r="G23" s="15" t="s">
        <v>376</v>
      </c>
      <c r="H23" s="15" t="s">
        <v>201</v>
      </c>
      <c r="I23" s="15" t="s">
        <v>264</v>
      </c>
      <c r="J23" s="15" t="s">
        <v>265</v>
      </c>
      <c r="K23" s="18" t="s">
        <v>377</v>
      </c>
      <c r="L23" s="8"/>
      <c r="M23" s="30" t="s">
        <v>375</v>
      </c>
      <c r="N23" s="29" t="s">
        <v>362</v>
      </c>
      <c r="O23" s="35"/>
      <c r="P23" s="33"/>
      <c r="Q23" s="42"/>
      <c r="Y23" s="2" t="str">
        <f>比赛参数!D26</f>
        <v>100.0</v>
      </c>
      <c r="Z23" s="2" t="str">
        <f>比赛参数!E26</f>
        <v>250.0</v>
      </c>
      <c r="AA23" s="2" t="str">
        <f>比赛参数!F26</f>
        <v>380.0</v>
      </c>
      <c r="AB23" s="2" t="str">
        <f>比赛参数!G26</f>
        <v>520.0</v>
      </c>
      <c r="AD23" s="107"/>
      <c r="AI23" s="39" t="s">
        <v>378</v>
      </c>
      <c r="AJ23" s="128">
        <f>AF13</f>
        <v>0</v>
      </c>
      <c r="AK23" s="2" t="s">
        <v>379</v>
      </c>
      <c r="AL23" s="140">
        <f>AL22+AC18-AC21</f>
        <v>0</v>
      </c>
      <c r="AQ23" s="162"/>
      <c r="AR23" s="9">
        <v>15</v>
      </c>
      <c r="AS23" s="60" t="e">
        <f>SUM(AB145:AE145)*比赛参数!$D$26+SUM(AL145:AO145)*比赛参数!$E$26+SUM(AB168:AE168)*比赛参数!$F$26+SUM(AL168:AO168)*比赛参数!$G$26</f>
        <v>#DIV/0!</v>
      </c>
      <c r="AT23" s="51" t="e">
        <f t="shared" si="3"/>
        <v>#DIV/0!</v>
      </c>
      <c r="AU23" s="160">
        <f t="shared" si="4"/>
        <v>0</v>
      </c>
      <c r="AV23" s="161" t="e">
        <f t="shared" si="5"/>
        <v>#DIV/0!</v>
      </c>
      <c r="AW23" s="160">
        <f t="shared" si="6"/>
        <v>0</v>
      </c>
      <c r="AX23" s="176" t="e">
        <f t="shared" si="7"/>
        <v>#DIV/0!</v>
      </c>
      <c r="AY23" s="60" t="e">
        <f t="shared" si="8"/>
        <v>#DIV/0!</v>
      </c>
      <c r="AZ23" s="177">
        <f t="shared" si="9"/>
        <v>0</v>
      </c>
      <c r="BA23" s="60" t="e">
        <f t="shared" si="10"/>
        <v>#DIV/0!</v>
      </c>
      <c r="BB23" s="60" t="e">
        <f>IF(BA23&lt;比赛参数!$K$34,0,IF(BA23&lt;比赛参数!$K$35,BA23/(1-比赛参数!$E$36),IF(BA23&lt;比赛参数!$K$36,BA23/(1-比赛参数!$E$34))))</f>
        <v>#DIV/0!</v>
      </c>
      <c r="BC23" s="60" t="e">
        <f t="shared" si="11"/>
        <v>#DIV/0!</v>
      </c>
      <c r="BD23" s="96"/>
      <c r="BE23" s="60" t="e">
        <f t="shared" si="12"/>
        <v>#DIV/0!</v>
      </c>
      <c r="BF23" s="161" t="e">
        <f t="shared" si="13"/>
        <v>#DIV/0!</v>
      </c>
      <c r="BQ23" s="162"/>
      <c r="BR23" s="180" t="s">
        <v>24</v>
      </c>
      <c r="BS23" s="182">
        <f>第十四期!Y12</f>
        <v>0</v>
      </c>
      <c r="BT23" s="182">
        <f>第十四期!Z12</f>
        <v>0</v>
      </c>
      <c r="BU23" s="182">
        <f>第十四期!AA12</f>
        <v>0</v>
      </c>
      <c r="BV23" s="182">
        <f>第十四期!AB12</f>
        <v>0</v>
      </c>
      <c r="BW23" s="184">
        <f>第十四期!AJ37</f>
        <v>0</v>
      </c>
      <c r="CA23" s="194"/>
      <c r="CB23" s="50"/>
      <c r="CC23" s="201"/>
      <c r="CD23" s="201"/>
      <c r="CE23" s="201"/>
      <c r="CF23" s="201"/>
      <c r="CG23" s="50"/>
      <c r="CH23" s="201"/>
      <c r="CI23" s="201"/>
      <c r="CJ23" s="204"/>
      <c r="CK23" s="201"/>
      <c r="CL23" s="201"/>
      <c r="CM23" s="201"/>
      <c r="CN23" s="50"/>
      <c r="CO23" s="212"/>
      <c r="CR23" s="2" t="s">
        <v>38</v>
      </c>
      <c r="CS23" s="2" t="str">
        <f>比赛参数!$D$26</f>
        <v>100.0</v>
      </c>
      <c r="CT23" s="2" t="str">
        <f>比赛参数!$D$26</f>
        <v>100.0</v>
      </c>
      <c r="CU23" s="2" t="str">
        <f>比赛参数!$D$26</f>
        <v>100.0</v>
      </c>
      <c r="CV23" s="2" t="str">
        <f>比赛参数!$D$26</f>
        <v>100.0</v>
      </c>
      <c r="CY23" s="2" t="s">
        <v>38</v>
      </c>
      <c r="CZ23" s="2">
        <f>BS7-CZ17</f>
        <v>-2640.23076923077</v>
      </c>
      <c r="DA23" s="2">
        <f>BT7-DA17</f>
        <v>-2599.23076923077</v>
      </c>
      <c r="DB23" s="2">
        <f>BU7-DB17</f>
        <v>-2757.23076923077</v>
      </c>
      <c r="DC23" s="2">
        <f>BV7-DC17</f>
        <v>-2807.23076923077</v>
      </c>
      <c r="DF23" s="2" t="s">
        <v>38</v>
      </c>
      <c r="DG23" s="2" t="e">
        <f>BS7-DG17</f>
        <v>#DIV/0!</v>
      </c>
      <c r="DH23" s="2" t="e">
        <f>BT7-DH17</f>
        <v>#DIV/0!</v>
      </c>
      <c r="DI23" s="2" t="e">
        <f>BU7-DI17</f>
        <v>#DIV/0!</v>
      </c>
      <c r="DJ23" s="2" t="e">
        <f>BV7-DJ17</f>
        <v>#DIV/0!</v>
      </c>
      <c r="DM23" s="2" t="e">
        <f>DG23/CS23</f>
        <v>#DIV/0!</v>
      </c>
      <c r="DN23" s="2" t="e">
        <f>DH23/CT23</f>
        <v>#DIV/0!</v>
      </c>
      <c r="DO23" s="2" t="e">
        <f>DI23/CU23</f>
        <v>#DIV/0!</v>
      </c>
      <c r="DP23" s="2" t="e">
        <f>DJ23/CV23</f>
        <v>#DIV/0!</v>
      </c>
      <c r="DQ23" s="2" t="e">
        <f>SUMPRODUCT(DM23:DP23,BS14:BV14)/SUM(BS14:BV14)</f>
        <v>#DIV/0!</v>
      </c>
      <c r="DT23" s="50"/>
      <c r="DU23" s="180" t="s">
        <v>380</v>
      </c>
      <c r="DV23" s="221">
        <f>SUM(E42:E45)</f>
        <v>0</v>
      </c>
    </row>
    <row r="24" ht="16.35" customHeight="1" spans="2:126">
      <c r="B24" s="5"/>
      <c r="C24" s="16">
        <v>1</v>
      </c>
      <c r="D24" s="16">
        <v>1</v>
      </c>
      <c r="E24" s="7"/>
      <c r="F24" s="7"/>
      <c r="G24" s="7"/>
      <c r="H24" s="17"/>
      <c r="I24" s="7"/>
      <c r="J24" s="7"/>
      <c r="K24" s="7"/>
      <c r="L24" s="8"/>
      <c r="M24" s="30">
        <f>AF64-AF104</f>
        <v>0</v>
      </c>
      <c r="N24" s="33"/>
      <c r="O24" s="33"/>
      <c r="P24" s="33"/>
      <c r="Q24" s="42"/>
      <c r="AH24" s="132"/>
      <c r="AQ24" s="162"/>
      <c r="AR24" s="9">
        <v>16</v>
      </c>
      <c r="AS24" s="60" t="e">
        <f>SUM(AB146:AE146)*比赛参数!$D$26+SUM(AL146:AO146)*比赛参数!$E$26+SUM(AB169:AE169)*比赛参数!$F$26+SUM(AL169:AO169)*比赛参数!$G$26</f>
        <v>#DIV/0!</v>
      </c>
      <c r="AT24" s="51" t="e">
        <f t="shared" si="3"/>
        <v>#DIV/0!</v>
      </c>
      <c r="AU24" s="160">
        <f t="shared" si="4"/>
        <v>0</v>
      </c>
      <c r="AV24" s="161" t="e">
        <f t="shared" si="5"/>
        <v>#DIV/0!</v>
      </c>
      <c r="AW24" s="160">
        <f t="shared" si="6"/>
        <v>0</v>
      </c>
      <c r="AX24" s="176" t="e">
        <f t="shared" si="7"/>
        <v>#DIV/0!</v>
      </c>
      <c r="AY24" s="60" t="e">
        <f t="shared" si="8"/>
        <v>#DIV/0!</v>
      </c>
      <c r="AZ24" s="177">
        <f t="shared" si="9"/>
        <v>0</v>
      </c>
      <c r="BA24" s="60" t="e">
        <f t="shared" si="10"/>
        <v>#DIV/0!</v>
      </c>
      <c r="BB24" s="60" t="e">
        <f>IF(BA24&lt;比赛参数!$K$34,0,IF(BA24&lt;比赛参数!$K$35,BA24/(1-比赛参数!$E$36),IF(BA24&lt;比赛参数!$K$36,BA24/(1-比赛参数!$E$34))))</f>
        <v>#DIV/0!</v>
      </c>
      <c r="BC24" s="60" t="e">
        <f t="shared" si="11"/>
        <v>#DIV/0!</v>
      </c>
      <c r="BD24" s="96"/>
      <c r="BE24" s="60" t="e">
        <f t="shared" si="12"/>
        <v>#DIV/0!</v>
      </c>
      <c r="BF24" s="161" t="e">
        <f t="shared" si="13"/>
        <v>#DIV/0!</v>
      </c>
      <c r="BQ24" s="162"/>
      <c r="CA24" s="194"/>
      <c r="CB24" s="180" t="s">
        <v>381</v>
      </c>
      <c r="CC24" s="101" t="e">
        <f>SUMPRODUCT(CC19:CC22,AF64:AF67)/SUM(AF64:AF67)</f>
        <v>#DIV/0!</v>
      </c>
      <c r="CD24" s="101" t="e">
        <f>SUMPRODUCT(CD19:CD22,AG64:AG67)/SUM(AG64:AG67)</f>
        <v>#DIV/0!</v>
      </c>
      <c r="CE24" s="101" t="e">
        <f>SUMPRODUCT(CE19:CE22,AH64:AH67)/SUM(AH64:AH67)</f>
        <v>#DIV/0!</v>
      </c>
      <c r="CF24" s="101" t="e">
        <f>SUMPRODUCT(CF19:CF22,AI64:AI67)/SUM(AI64:AI67)</f>
        <v>#DIV/0!</v>
      </c>
      <c r="CG24" s="50"/>
      <c r="CH24" s="201"/>
      <c r="CI24" s="203" t="s">
        <v>381</v>
      </c>
      <c r="CJ24" s="101" t="e">
        <f>SUMPRODUCT(CJ19:CJ22,AF64:AF67)/SUM(AF64:AF67)</f>
        <v>#DIV/0!</v>
      </c>
      <c r="CK24" s="101" t="e">
        <f>SUMPRODUCT(CK19:CK22,AG64:AG67)/SUM(AG64:AG67)</f>
        <v>#DIV/0!</v>
      </c>
      <c r="CL24" s="101" t="e">
        <f>SUMPRODUCT(CL19:CL22,AH64:AH67)/SUM(AH64:AH67)</f>
        <v>#DIV/0!</v>
      </c>
      <c r="CM24" s="101" t="e">
        <f>SUMPRODUCT(CM19:CM22,AI64:AI67)/SUM(AI64:AI67)</f>
        <v>#DIV/0!</v>
      </c>
      <c r="CN24" s="50"/>
      <c r="CO24" s="212"/>
      <c r="CR24" s="2" t="s">
        <v>39</v>
      </c>
      <c r="CS24" s="2" t="str">
        <f>比赛参数!$E$26</f>
        <v>250.0</v>
      </c>
      <c r="CT24" s="2" t="str">
        <f>比赛参数!$E$26</f>
        <v>250.0</v>
      </c>
      <c r="CU24" s="2" t="str">
        <f>比赛参数!$E$26</f>
        <v>250.0</v>
      </c>
      <c r="CV24" s="2" t="str">
        <f>比赛参数!$E$26</f>
        <v>250.0</v>
      </c>
      <c r="CY24" s="2" t="s">
        <v>39</v>
      </c>
      <c r="CZ24" s="2">
        <f>BS8-CZ18</f>
        <v>-5450.07692307692</v>
      </c>
      <c r="DA24" s="2">
        <f>BT8-DA18</f>
        <v>-5366.07692307692</v>
      </c>
      <c r="DB24" s="2">
        <f>BU8-DB18</f>
        <v>-5583.07692307692</v>
      </c>
      <c r="DC24" s="2">
        <f>BV8-DC18</f>
        <v>-5633.07692307692</v>
      </c>
      <c r="DF24" s="2" t="s">
        <v>39</v>
      </c>
      <c r="DG24" s="2" t="e">
        <f>BS8-DG18</f>
        <v>#DIV/0!</v>
      </c>
      <c r="DH24" s="2" t="e">
        <f>BT8-DH18</f>
        <v>#DIV/0!</v>
      </c>
      <c r="DI24" s="2" t="e">
        <f>BU8-DI18</f>
        <v>#DIV/0!</v>
      </c>
      <c r="DJ24" s="2" t="e">
        <f>BV8-DJ18</f>
        <v>#DIV/0!</v>
      </c>
      <c r="DM24" s="2" t="e">
        <f>DG24/CS24</f>
        <v>#DIV/0!</v>
      </c>
      <c r="DN24" s="2" t="e">
        <f>DH24/CT24</f>
        <v>#DIV/0!</v>
      </c>
      <c r="DO24" s="2" t="e">
        <f>DI24/CU24</f>
        <v>#DIV/0!</v>
      </c>
      <c r="DP24" s="2" t="e">
        <f>DJ24/CV24</f>
        <v>#DIV/0!</v>
      </c>
      <c r="DQ24" s="2" t="e">
        <f>SUMPRODUCT(DM24:DP24,BS15:BV15)/SUM(BS15:BV15)</f>
        <v>#DIV/0!</v>
      </c>
      <c r="DT24" s="50"/>
      <c r="DU24" s="50"/>
      <c r="DV24" s="50"/>
    </row>
    <row r="25" ht="17.1" customHeight="1" spans="2:126">
      <c r="B25" s="5"/>
      <c r="C25" s="16">
        <v>1</v>
      </c>
      <c r="D25" s="16">
        <v>2</v>
      </c>
      <c r="E25" s="7"/>
      <c r="F25" s="7"/>
      <c r="G25" s="7"/>
      <c r="H25" s="17"/>
      <c r="I25" s="7"/>
      <c r="J25" s="7"/>
      <c r="K25" s="7"/>
      <c r="L25" s="8"/>
      <c r="M25" s="30">
        <f>AF65-AF105</f>
        <v>0</v>
      </c>
      <c r="N25" s="33"/>
      <c r="O25" s="33"/>
      <c r="P25" s="33"/>
      <c r="Q25" s="42"/>
      <c r="AD25" s="108" t="s">
        <v>382</v>
      </c>
      <c r="AE25" s="109" t="e">
        <f>AC5/AC$4</f>
        <v>#DIV/0!</v>
      </c>
      <c r="AF25" s="109" t="e">
        <f>AC6/AC$4</f>
        <v>#DIV/0!</v>
      </c>
      <c r="AG25" s="109" t="e">
        <f>AC7/AC$4</f>
        <v>#DIV/0!</v>
      </c>
      <c r="AI25" s="60" t="s">
        <v>383</v>
      </c>
      <c r="AJ25" s="60" t="s">
        <v>384</v>
      </c>
      <c r="AK25" s="141" t="s">
        <v>385</v>
      </c>
      <c r="AL25" s="39" t="s">
        <v>27</v>
      </c>
      <c r="AM25" s="39" t="s">
        <v>386</v>
      </c>
      <c r="AN25" s="39" t="s">
        <v>336</v>
      </c>
      <c r="AQ25" s="162"/>
      <c r="AR25" s="9">
        <v>17</v>
      </c>
      <c r="AS25" s="60" t="e">
        <f>SUM(AB147:AE147)*比赛参数!$D$26+SUM(AL147:AO147)*比赛参数!$E$26+SUM(AB170:AE170)*比赛参数!$F$26+SUM(AL170:AO170)*比赛参数!$G$26</f>
        <v>#DIV/0!</v>
      </c>
      <c r="AT25" s="51" t="e">
        <f t="shared" si="3"/>
        <v>#DIV/0!</v>
      </c>
      <c r="AU25" s="160">
        <f t="shared" si="4"/>
        <v>0</v>
      </c>
      <c r="AV25" s="161" t="e">
        <f t="shared" si="5"/>
        <v>#DIV/0!</v>
      </c>
      <c r="AW25" s="160">
        <f t="shared" si="6"/>
        <v>0</v>
      </c>
      <c r="AX25" s="176" t="e">
        <f t="shared" si="7"/>
        <v>#DIV/0!</v>
      </c>
      <c r="AY25" s="60" t="e">
        <f t="shared" si="8"/>
        <v>#DIV/0!</v>
      </c>
      <c r="AZ25" s="177">
        <f t="shared" si="9"/>
        <v>0</v>
      </c>
      <c r="BA25" s="60" t="e">
        <f t="shared" si="10"/>
        <v>#DIV/0!</v>
      </c>
      <c r="BB25" s="60" t="e">
        <f>IF(BA25&lt;比赛参数!$K$34,0,IF(BA25&lt;比赛参数!$K$35,BA25/(1-比赛参数!$E$36),IF(BA25&lt;比赛参数!$K$36,BA25/(1-比赛参数!$E$34))))</f>
        <v>#DIV/0!</v>
      </c>
      <c r="BC25" s="60" t="e">
        <f t="shared" si="11"/>
        <v>#DIV/0!</v>
      </c>
      <c r="BD25" s="96"/>
      <c r="BE25" s="60" t="e">
        <f t="shared" si="12"/>
        <v>#DIV/0!</v>
      </c>
      <c r="BF25" s="161" t="e">
        <f t="shared" si="13"/>
        <v>#DIV/0!</v>
      </c>
      <c r="BQ25" s="162"/>
      <c r="BR25" s="178" t="s">
        <v>387</v>
      </c>
      <c r="BS25" s="180" t="s">
        <v>341</v>
      </c>
      <c r="BT25" s="180" t="s">
        <v>388</v>
      </c>
      <c r="BU25" s="180" t="s">
        <v>389</v>
      </c>
      <c r="BV25" s="180" t="s">
        <v>390</v>
      </c>
      <c r="BW25" s="185"/>
      <c r="CA25" s="194"/>
      <c r="CB25" s="50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O25" s="212"/>
      <c r="CR25" s="2" t="s">
        <v>40</v>
      </c>
      <c r="CS25" s="2" t="str">
        <f>比赛参数!$F$26</f>
        <v>380.0</v>
      </c>
      <c r="CT25" s="2" t="str">
        <f>比赛参数!$F$26</f>
        <v>380.0</v>
      </c>
      <c r="CU25" s="2" t="str">
        <f>比赛参数!$F$26</f>
        <v>380.0</v>
      </c>
      <c r="CV25" s="2" t="str">
        <f>比赛参数!$F$26</f>
        <v>380.0</v>
      </c>
      <c r="CY25" s="2" t="s">
        <v>40</v>
      </c>
      <c r="CZ25" s="2">
        <f>BS9-CZ19</f>
        <v>-7763.07692307692</v>
      </c>
      <c r="DA25" s="2">
        <f>BT9-DA19</f>
        <v>-7651.07692307692</v>
      </c>
      <c r="DB25" s="2">
        <f>BU9-DB19</f>
        <v>-7907.07692307692</v>
      </c>
      <c r="DC25" s="2">
        <f>BV9-DC19</f>
        <v>-7957.07692307692</v>
      </c>
      <c r="DF25" s="2" t="s">
        <v>40</v>
      </c>
      <c r="DG25" s="2" t="e">
        <f>BS9-DG19</f>
        <v>#DIV/0!</v>
      </c>
      <c r="DH25" s="2" t="e">
        <f>BT9-DH19</f>
        <v>#DIV/0!</v>
      </c>
      <c r="DI25" s="2" t="e">
        <f>BU9-DI19</f>
        <v>#DIV/0!</v>
      </c>
      <c r="DJ25" s="2" t="e">
        <f>BV9-DJ19</f>
        <v>#DIV/0!</v>
      </c>
      <c r="DM25" s="2" t="e">
        <f>DG25/CS25</f>
        <v>#DIV/0!</v>
      </c>
      <c r="DN25" s="2" t="e">
        <f>DH25/CT25</f>
        <v>#DIV/0!</v>
      </c>
      <c r="DO25" s="2" t="e">
        <f>DI25/CU25</f>
        <v>#DIV/0!</v>
      </c>
      <c r="DP25" s="2" t="e">
        <f>DJ25/CV25</f>
        <v>#DIV/0!</v>
      </c>
      <c r="DQ25" s="2" t="e">
        <f>SUMPRODUCT(DM25:DP25,BS16:BV16)/SUM(BS16:BV16)</f>
        <v>#DIV/0!</v>
      </c>
      <c r="DT25" s="180" t="s">
        <v>256</v>
      </c>
      <c r="DU25" s="235"/>
      <c r="DV25" s="180" t="s">
        <v>391</v>
      </c>
    </row>
    <row r="26" ht="17.1" customHeight="1" spans="2:126">
      <c r="B26" s="5"/>
      <c r="C26" s="16">
        <v>1</v>
      </c>
      <c r="D26" s="16">
        <v>3</v>
      </c>
      <c r="E26" s="7"/>
      <c r="F26" s="7"/>
      <c r="G26" s="7"/>
      <c r="H26" s="17"/>
      <c r="I26" s="7"/>
      <c r="J26" s="7"/>
      <c r="K26" s="7"/>
      <c r="L26" s="8"/>
      <c r="M26" s="30">
        <f>AF66-AF106</f>
        <v>0</v>
      </c>
      <c r="N26" s="33"/>
      <c r="O26" s="33"/>
      <c r="P26" s="33"/>
      <c r="Q26" s="42"/>
      <c r="W26" s="9" t="s">
        <v>392</v>
      </c>
      <c r="X26" s="9" t="s">
        <v>280</v>
      </c>
      <c r="Y26" s="9" t="s">
        <v>393</v>
      </c>
      <c r="Z26" s="87" t="s">
        <v>281</v>
      </c>
      <c r="AA26" s="19" t="s">
        <v>394</v>
      </c>
      <c r="AB26" s="20" t="s">
        <v>395</v>
      </c>
      <c r="AC26" s="20" t="s">
        <v>396</v>
      </c>
      <c r="AD26" s="57" t="s">
        <v>397</v>
      </c>
      <c r="AE26" s="19" t="s">
        <v>395</v>
      </c>
      <c r="AF26" s="20" t="s">
        <v>396</v>
      </c>
      <c r="AG26" s="57" t="s">
        <v>397</v>
      </c>
      <c r="AI26" s="60">
        <f>第十四期!BV57-第十四期!BV76</f>
        <v>0</v>
      </c>
      <c r="AJ26" s="60">
        <f>第十四期!K9</f>
        <v>0</v>
      </c>
      <c r="AK26" s="142"/>
      <c r="AL26" s="143">
        <f>比赛参数!D27/比赛参数!D26</f>
        <v>1.2</v>
      </c>
      <c r="AM26" s="144">
        <f>比赛参数!D28+比赛参数!D27*比赛参数!D65+比赛参数!D26*比赛参数!D30*比赛参数!F30/520</f>
        <v>2269.23076923077</v>
      </c>
      <c r="AN26" s="144">
        <f>第十四期!DB50</f>
        <v>0</v>
      </c>
      <c r="AQ26" s="162"/>
      <c r="AR26" s="9">
        <v>18</v>
      </c>
      <c r="AS26" s="60" t="e">
        <f>SUM(AB148:AE148)*比赛参数!$D$26+SUM(AL148:AO148)*比赛参数!$E$26+SUM(AB171:AE171)*比赛参数!$F$26+SUM(AL171:AO171)*比赛参数!$G$26</f>
        <v>#DIV/0!</v>
      </c>
      <c r="AT26" s="51" t="e">
        <f t="shared" si="3"/>
        <v>#DIV/0!</v>
      </c>
      <c r="AU26" s="163">
        <f t="shared" si="4"/>
        <v>0</v>
      </c>
      <c r="AV26" s="161" t="e">
        <f t="shared" si="5"/>
        <v>#DIV/0!</v>
      </c>
      <c r="AW26" s="160">
        <f t="shared" si="6"/>
        <v>0</v>
      </c>
      <c r="AX26" s="176" t="e">
        <f t="shared" si="7"/>
        <v>#DIV/0!</v>
      </c>
      <c r="AY26" s="60" t="e">
        <f t="shared" si="8"/>
        <v>#DIV/0!</v>
      </c>
      <c r="AZ26" s="177">
        <f t="shared" si="9"/>
        <v>0</v>
      </c>
      <c r="BA26" s="60" t="e">
        <f t="shared" si="10"/>
        <v>#DIV/0!</v>
      </c>
      <c r="BB26" s="60" t="e">
        <f>IF(BA26&lt;比赛参数!$K$34,0,IF(BA26&lt;比赛参数!$K$35,BA26/(1-比赛参数!$E$36),IF(BA26&lt;比赛参数!$K$36,BA26/(1-比赛参数!$E$34))))</f>
        <v>#DIV/0!</v>
      </c>
      <c r="BC26" s="60" t="e">
        <f t="shared" si="11"/>
        <v>#DIV/0!</v>
      </c>
      <c r="BD26" s="96"/>
      <c r="BE26" s="60" t="e">
        <f t="shared" si="12"/>
        <v>#DIV/0!</v>
      </c>
      <c r="BF26" s="161" t="e">
        <f t="shared" si="13"/>
        <v>#DIV/0!</v>
      </c>
      <c r="BQ26" s="162"/>
      <c r="BS26" s="182">
        <f>第十四期!Y18</f>
        <v>0</v>
      </c>
      <c r="BT26" s="182">
        <f>第十四期!AA18</f>
        <v>0</v>
      </c>
      <c r="BU26" s="182">
        <f>第十四期!AF18</f>
        <v>0</v>
      </c>
      <c r="BV26" s="186">
        <f>第十四期!AC18</f>
        <v>0</v>
      </c>
      <c r="BW26" s="185"/>
      <c r="CA26" s="194"/>
      <c r="CB26" s="195" t="s">
        <v>398</v>
      </c>
      <c r="CC26" s="200" t="s">
        <v>38</v>
      </c>
      <c r="CD26" s="200" t="s">
        <v>39</v>
      </c>
      <c r="CE26" s="200" t="s">
        <v>40</v>
      </c>
      <c r="CF26" s="200" t="s">
        <v>41</v>
      </c>
      <c r="CG26" s="201"/>
      <c r="CH26" s="201"/>
      <c r="CI26" s="205" t="s">
        <v>399</v>
      </c>
      <c r="CJ26" s="200" t="s">
        <v>38</v>
      </c>
      <c r="CK26" s="200" t="s">
        <v>39</v>
      </c>
      <c r="CL26" s="200" t="s">
        <v>40</v>
      </c>
      <c r="CM26" s="200" t="s">
        <v>41</v>
      </c>
      <c r="CO26" s="212"/>
      <c r="CR26" s="2" t="s">
        <v>41</v>
      </c>
      <c r="CS26" s="2" t="str">
        <f>比赛参数!$G$26</f>
        <v>520.0</v>
      </c>
      <c r="CT26" s="2" t="str">
        <f>比赛参数!$G$26</f>
        <v>520.0</v>
      </c>
      <c r="CU26" s="2" t="str">
        <f>比赛参数!$G$26</f>
        <v>520.0</v>
      </c>
      <c r="CV26" s="2" t="str">
        <f>比赛参数!$G$26</f>
        <v>520.0</v>
      </c>
      <c r="CY26" s="2" t="s">
        <v>41</v>
      </c>
      <c r="CZ26" s="2">
        <f>BS10-CZ20</f>
        <v>-10226</v>
      </c>
      <c r="DA26" s="2">
        <f>BT10-DA20</f>
        <v>-10088</v>
      </c>
      <c r="DB26" s="2">
        <f>BU10-DB20</f>
        <v>-10432</v>
      </c>
      <c r="DC26" s="2">
        <f>BV10-DC20</f>
        <v>-10482</v>
      </c>
      <c r="DF26" s="2" t="s">
        <v>41</v>
      </c>
      <c r="DG26" s="2" t="e">
        <f>BS10-DG20</f>
        <v>#DIV/0!</v>
      </c>
      <c r="DH26" s="2" t="e">
        <f>BT10-DH20</f>
        <v>#DIV/0!</v>
      </c>
      <c r="DI26" s="2" t="e">
        <f>BU10-DI20</f>
        <v>#DIV/0!</v>
      </c>
      <c r="DJ26" s="2" t="e">
        <f>BV10-DJ20</f>
        <v>#DIV/0!</v>
      </c>
      <c r="DM26" s="2" t="e">
        <f>DG26/CS26</f>
        <v>#DIV/0!</v>
      </c>
      <c r="DN26" s="2" t="e">
        <f>DH26/CT26</f>
        <v>#DIV/0!</v>
      </c>
      <c r="DO26" s="2" t="e">
        <f>DI26/CU26</f>
        <v>#DIV/0!</v>
      </c>
      <c r="DP26" s="2" t="e">
        <f>DJ26/CV26</f>
        <v>#DIV/0!</v>
      </c>
      <c r="DQ26" s="2" t="e">
        <f>SUMPRODUCT(DM26:DP26,BS17:BV17)/SUM(BS17:BV17)</f>
        <v>#DIV/0!</v>
      </c>
      <c r="DT26" s="102" t="s">
        <v>21</v>
      </c>
      <c r="DU26" s="221">
        <f>D42</f>
        <v>0</v>
      </c>
      <c r="DV26" s="221">
        <f>G42</f>
        <v>0</v>
      </c>
    </row>
    <row r="27" ht="17.1" customHeight="1" spans="2:126">
      <c r="B27" s="5"/>
      <c r="C27" s="16">
        <v>1</v>
      </c>
      <c r="D27" s="16">
        <v>4</v>
      </c>
      <c r="E27" s="7"/>
      <c r="F27" s="7"/>
      <c r="G27" s="7"/>
      <c r="H27" s="17"/>
      <c r="I27" s="7"/>
      <c r="J27" s="7"/>
      <c r="K27" s="7"/>
      <c r="L27" s="8"/>
      <c r="M27" s="30">
        <f>AF67-AF107</f>
        <v>0</v>
      </c>
      <c r="N27" s="33"/>
      <c r="O27" s="33"/>
      <c r="P27" s="33"/>
      <c r="Q27" s="42"/>
      <c r="U27" s="49"/>
      <c r="V27" s="50"/>
      <c r="W27" s="9">
        <v>1</v>
      </c>
      <c r="X27" s="51" t="e">
        <f t="shared" ref="X27:X46" si="14">AT9</f>
        <v>#DIV/0!</v>
      </c>
      <c r="Y27" s="110">
        <f t="shared" ref="Y27:Y46" si="15">AU9</f>
        <v>0</v>
      </c>
      <c r="Z27" s="111" t="e">
        <f t="shared" ref="Z27:Z46" si="16">AV9</f>
        <v>#DIV/0!</v>
      </c>
      <c r="AA27" s="112" t="e">
        <f t="shared" ref="AA27:AA46" si="17">SUM(AB131:AE131)</f>
        <v>#DIV/0!</v>
      </c>
      <c r="AB27" s="113" t="e">
        <f t="shared" ref="AB27:AB46" si="18">SUM(AL131:AO131)</f>
        <v>#DIV/0!</v>
      </c>
      <c r="AC27" s="113">
        <f t="shared" ref="AC27:AC46" si="19">SUM(AB154:AE154)</f>
        <v>0</v>
      </c>
      <c r="AD27" s="114">
        <f t="shared" ref="AD27:AD46" si="20">SUM(AL154:AO154)</f>
        <v>0</v>
      </c>
      <c r="AE27" s="115" t="e">
        <f t="shared" ref="AE27:AE46" si="21">AB27/$AA27</f>
        <v>#DIV/0!</v>
      </c>
      <c r="AF27" s="116" t="e">
        <f t="shared" ref="AF27:AF46" si="22">AC27/$AA27</f>
        <v>#DIV/0!</v>
      </c>
      <c r="AG27" s="145" t="e">
        <f t="shared" ref="AG27:AG46" si="23">AD27/$AA27</f>
        <v>#DIV/0!</v>
      </c>
      <c r="AI27" s="102" t="s">
        <v>400</v>
      </c>
      <c r="AJ27" s="146" t="e">
        <f>AI26/AJ26*AK26</f>
        <v>#DIV/0!</v>
      </c>
      <c r="AK27" s="147"/>
      <c r="AL27" s="143">
        <f>比赛参数!E27/比赛参数!E26</f>
        <v>0.6</v>
      </c>
      <c r="AM27" s="144">
        <f>比赛参数!E28+比赛参数!E27*比赛参数!D65+比赛参数!E26*比赛参数!D30*比赛参数!F30/520</f>
        <v>4623.07692307692</v>
      </c>
      <c r="AN27" s="144">
        <f>第十四期!DB51</f>
        <v>0</v>
      </c>
      <c r="AO27" s="140"/>
      <c r="AQ27" s="162"/>
      <c r="AR27" s="9">
        <v>19</v>
      </c>
      <c r="AS27" s="60" t="e">
        <f>SUM(AB149:AE149)*比赛参数!$D$26+SUM(AL149:AO149)*比赛参数!$E$26+SUM(AB172:AE172)*比赛参数!$F$26+SUM(AL172:AO172)*比赛参数!$G$26</f>
        <v>#DIV/0!</v>
      </c>
      <c r="AT27" s="51" t="e">
        <f t="shared" si="3"/>
        <v>#DIV/0!</v>
      </c>
      <c r="AU27" s="160">
        <f t="shared" si="4"/>
        <v>0</v>
      </c>
      <c r="AV27" s="161" t="e">
        <f t="shared" si="5"/>
        <v>#DIV/0!</v>
      </c>
      <c r="AW27" s="160">
        <f t="shared" si="6"/>
        <v>0</v>
      </c>
      <c r="AX27" s="176" t="e">
        <f t="shared" si="7"/>
        <v>#DIV/0!</v>
      </c>
      <c r="AY27" s="60" t="e">
        <f t="shared" si="8"/>
        <v>#DIV/0!</v>
      </c>
      <c r="AZ27" s="177">
        <f t="shared" si="9"/>
        <v>0</v>
      </c>
      <c r="BA27" s="60" t="e">
        <f t="shared" si="10"/>
        <v>#DIV/0!</v>
      </c>
      <c r="BB27" s="60" t="e">
        <f>IF(BA27&lt;比赛参数!$K$34,0,IF(BA27&lt;比赛参数!$K$35,BA27/(1-比赛参数!$E$36),IF(BA27&lt;比赛参数!$K$36,BA27/(1-比赛参数!$E$34))))</f>
        <v>#DIV/0!</v>
      </c>
      <c r="BC27" s="60" t="e">
        <f t="shared" si="11"/>
        <v>#DIV/0!</v>
      </c>
      <c r="BD27" s="96"/>
      <c r="BE27" s="60" t="e">
        <f t="shared" si="12"/>
        <v>#DIV/0!</v>
      </c>
      <c r="BF27" s="161" t="e">
        <f t="shared" si="13"/>
        <v>#DIV/0!</v>
      </c>
      <c r="BQ27" s="162"/>
      <c r="BS27" s="185"/>
      <c r="BT27" s="185"/>
      <c r="BU27" s="185"/>
      <c r="BV27" s="185"/>
      <c r="BW27" s="185"/>
      <c r="CA27" s="194"/>
      <c r="CB27" s="181" t="s">
        <v>56</v>
      </c>
      <c r="CC27" s="101">
        <f>IF(Y88&gt;0,CC38/Y88,0)</f>
        <v>0</v>
      </c>
      <c r="CD27" s="101">
        <f>IF(Z88&gt;0,CD38/Z88,0)</f>
        <v>0</v>
      </c>
      <c r="CE27" s="101">
        <f>IF(AA88&gt;0,CE38/AA88,0)</f>
        <v>0</v>
      </c>
      <c r="CF27" s="101">
        <f>IF(AB88&gt;0,CF38/AB88,0)</f>
        <v>0</v>
      </c>
      <c r="CG27" s="201"/>
      <c r="CH27" s="201"/>
      <c r="CI27" s="202" t="s">
        <v>56</v>
      </c>
      <c r="CJ27" s="101">
        <f>IF(AF64&gt;0,CJ19+CC27,0)</f>
        <v>0</v>
      </c>
      <c r="CK27" s="101">
        <f>IF(AG64&gt;0,CK19+CD27,0)</f>
        <v>0</v>
      </c>
      <c r="CL27" s="101">
        <f>IF(AH64&gt;0,CL19+CE27,0)</f>
        <v>0</v>
      </c>
      <c r="CM27" s="101">
        <f>IF(AI64&gt;0,CM19+CF27,0)</f>
        <v>0</v>
      </c>
      <c r="CO27" s="212"/>
      <c r="DT27" s="236" t="s">
        <v>22</v>
      </c>
      <c r="DU27" s="221">
        <f>D43</f>
        <v>0</v>
      </c>
      <c r="DV27" s="221">
        <f>G43</f>
        <v>0</v>
      </c>
    </row>
    <row r="28" ht="17.1" customHeight="1" spans="2:126">
      <c r="B28" s="5"/>
      <c r="C28" s="16">
        <v>2</v>
      </c>
      <c r="D28" s="16">
        <v>1</v>
      </c>
      <c r="E28" s="7"/>
      <c r="F28" s="7"/>
      <c r="G28" s="7"/>
      <c r="H28" s="17"/>
      <c r="I28" s="7"/>
      <c r="J28" s="7"/>
      <c r="K28" s="7"/>
      <c r="L28" s="8"/>
      <c r="M28" s="30">
        <f>AG64-AG104</f>
        <v>0</v>
      </c>
      <c r="N28" s="33"/>
      <c r="O28" s="33"/>
      <c r="P28" s="33"/>
      <c r="Q28" s="42"/>
      <c r="U28" s="49"/>
      <c r="V28" s="50"/>
      <c r="W28" s="9">
        <v>2</v>
      </c>
      <c r="X28" s="51" t="e">
        <f t="shared" si="14"/>
        <v>#DIV/0!</v>
      </c>
      <c r="Y28" s="110">
        <f t="shared" si="15"/>
        <v>0</v>
      </c>
      <c r="Z28" s="111" t="e">
        <f t="shared" si="16"/>
        <v>#DIV/0!</v>
      </c>
      <c r="AA28" s="112" t="e">
        <f t="shared" si="17"/>
        <v>#DIV/0!</v>
      </c>
      <c r="AB28" s="113" t="e">
        <f t="shared" si="18"/>
        <v>#DIV/0!</v>
      </c>
      <c r="AC28" s="113">
        <f t="shared" si="19"/>
        <v>0</v>
      </c>
      <c r="AD28" s="114">
        <f t="shared" si="20"/>
        <v>0</v>
      </c>
      <c r="AE28" s="115" t="e">
        <f t="shared" si="21"/>
        <v>#DIV/0!</v>
      </c>
      <c r="AF28" s="116" t="e">
        <f t="shared" si="22"/>
        <v>#DIV/0!</v>
      </c>
      <c r="AG28" s="145" t="e">
        <f t="shared" si="23"/>
        <v>#DIV/0!</v>
      </c>
      <c r="AL28" s="143">
        <f>比赛参数!F27/比赛参数!F26</f>
        <v>0.421052631578947</v>
      </c>
      <c r="AM28" s="144">
        <f>比赛参数!F28+比赛参数!F27*比赛参数!D65+比赛参数!F26*比赛参数!D30*比赛参数!F30/520</f>
        <v>6723.07692307692</v>
      </c>
      <c r="AN28" s="144">
        <f>第十四期!DB52</f>
        <v>0</v>
      </c>
      <c r="AQ28" s="162"/>
      <c r="AR28" s="9">
        <v>20</v>
      </c>
      <c r="AS28" s="60" t="e">
        <f>SUM(AB150:AE150)*比赛参数!$D$26+SUM(AL150:AO150)*比赛参数!$E$26+SUM(AB173:AE173)*比赛参数!$F$26+SUM(AL173:AO173)*比赛参数!$G$26</f>
        <v>#DIV/0!</v>
      </c>
      <c r="AT28" s="51" t="e">
        <f t="shared" si="3"/>
        <v>#DIV/0!</v>
      </c>
      <c r="AU28" s="160">
        <f t="shared" si="4"/>
        <v>0</v>
      </c>
      <c r="AV28" s="161" t="e">
        <f t="shared" si="5"/>
        <v>#DIV/0!</v>
      </c>
      <c r="AW28" s="160">
        <f t="shared" si="6"/>
        <v>0</v>
      </c>
      <c r="AX28" s="176" t="e">
        <f t="shared" si="7"/>
        <v>#DIV/0!</v>
      </c>
      <c r="AY28" s="60" t="e">
        <f t="shared" si="8"/>
        <v>#DIV/0!</v>
      </c>
      <c r="AZ28" s="177">
        <f t="shared" si="9"/>
        <v>0</v>
      </c>
      <c r="BA28" s="60" t="e">
        <f t="shared" si="10"/>
        <v>#DIV/0!</v>
      </c>
      <c r="BB28" s="60" t="e">
        <f>IF(BA28&lt;比赛参数!$K$34,0,IF(BA28&lt;比赛参数!$K$35,BA28/(1-比赛参数!$E$36),IF(BA28&lt;比赛参数!$K$36,BA28/(1-比赛参数!$E$34))))</f>
        <v>#DIV/0!</v>
      </c>
      <c r="BC28" s="60" t="e">
        <f t="shared" si="11"/>
        <v>#DIV/0!</v>
      </c>
      <c r="BD28" s="96"/>
      <c r="BE28" s="60" t="e">
        <f t="shared" si="12"/>
        <v>#DIV/0!</v>
      </c>
      <c r="BF28" s="161" t="e">
        <f t="shared" si="13"/>
        <v>#DIV/0!</v>
      </c>
      <c r="BQ28" s="162"/>
      <c r="BR28" s="178" t="s">
        <v>401</v>
      </c>
      <c r="BS28" s="180" t="s">
        <v>315</v>
      </c>
      <c r="BT28" s="180" t="s">
        <v>402</v>
      </c>
      <c r="BU28" s="180" t="s">
        <v>359</v>
      </c>
      <c r="BV28" s="180" t="s">
        <v>345</v>
      </c>
      <c r="BW28" s="180" t="s">
        <v>213</v>
      </c>
      <c r="CA28" s="194"/>
      <c r="CB28" s="180" t="s">
        <v>57</v>
      </c>
      <c r="CC28" s="101">
        <f>IF(Y89&gt;0,CC39/Y89,0)</f>
        <v>0</v>
      </c>
      <c r="CD28" s="101">
        <f>IF(Z89&gt;0,CD39/Z89,0)</f>
        <v>0</v>
      </c>
      <c r="CE28" s="101">
        <f>IF(AA89&gt;0,CE39/AA89,0)</f>
        <v>0</v>
      </c>
      <c r="CF28" s="101">
        <f>IF(AB89&gt;0,CF39/AB89,0)</f>
        <v>0</v>
      </c>
      <c r="CG28" s="201"/>
      <c r="CH28" s="201"/>
      <c r="CI28" s="203" t="s">
        <v>57</v>
      </c>
      <c r="CJ28" s="101">
        <f>IF(AF65&gt;0,CJ20+CC28,0)</f>
        <v>0</v>
      </c>
      <c r="CK28" s="101">
        <f>IF(AG65&gt;0,CK20+CD28,0)</f>
        <v>0</v>
      </c>
      <c r="CL28" s="101">
        <f>IF(AH65&gt;0,CL20+CE28,0)</f>
        <v>0</v>
      </c>
      <c r="CM28" s="101">
        <f>IF(AI65&gt;0,CM20+CF28,0)</f>
        <v>0</v>
      </c>
      <c r="CO28" s="212"/>
      <c r="CR28" s="2" t="s">
        <v>403</v>
      </c>
      <c r="CS28" s="2" t="s">
        <v>331</v>
      </c>
      <c r="CT28" s="2" t="s">
        <v>332</v>
      </c>
      <c r="CU28" s="2" t="s">
        <v>333</v>
      </c>
      <c r="CV28" s="2" t="s">
        <v>334</v>
      </c>
      <c r="CY28" s="2" t="s">
        <v>404</v>
      </c>
      <c r="CZ28" s="2" t="s">
        <v>56</v>
      </c>
      <c r="DA28" s="2" t="s">
        <v>57</v>
      </c>
      <c r="DB28" s="2" t="s">
        <v>58</v>
      </c>
      <c r="DC28" s="2" t="s">
        <v>59</v>
      </c>
      <c r="DF28" s="2" t="s">
        <v>404</v>
      </c>
      <c r="DG28" s="2" t="s">
        <v>56</v>
      </c>
      <c r="DH28" s="2" t="s">
        <v>57</v>
      </c>
      <c r="DI28" s="2" t="s">
        <v>58</v>
      </c>
      <c r="DJ28" s="2" t="s">
        <v>59</v>
      </c>
      <c r="DL28" s="2" t="s">
        <v>250</v>
      </c>
      <c r="DT28" s="236" t="s">
        <v>23</v>
      </c>
      <c r="DU28" s="221">
        <f>D44</f>
        <v>0</v>
      </c>
      <c r="DV28" s="221">
        <f>G44</f>
        <v>0</v>
      </c>
    </row>
    <row r="29" ht="16.35" customHeight="1" spans="2:126">
      <c r="B29" s="5"/>
      <c r="C29" s="16">
        <v>2</v>
      </c>
      <c r="D29" s="16">
        <v>2</v>
      </c>
      <c r="E29" s="7"/>
      <c r="F29" s="7"/>
      <c r="G29" s="7"/>
      <c r="H29" s="17"/>
      <c r="I29" s="7"/>
      <c r="J29" s="7"/>
      <c r="K29" s="7"/>
      <c r="L29" s="8"/>
      <c r="M29" s="30">
        <f>AG65-AG105</f>
        <v>0</v>
      </c>
      <c r="N29" s="33"/>
      <c r="O29" s="33"/>
      <c r="P29" s="33"/>
      <c r="Q29" s="42"/>
      <c r="U29" s="49"/>
      <c r="V29" s="52"/>
      <c r="W29" s="9">
        <v>3</v>
      </c>
      <c r="X29" s="51" t="e">
        <f t="shared" si="14"/>
        <v>#DIV/0!</v>
      </c>
      <c r="Y29" s="110">
        <f t="shared" si="15"/>
        <v>0</v>
      </c>
      <c r="Z29" s="111" t="e">
        <f t="shared" si="16"/>
        <v>#DIV/0!</v>
      </c>
      <c r="AA29" s="112" t="e">
        <f t="shared" si="17"/>
        <v>#DIV/0!</v>
      </c>
      <c r="AB29" s="113" t="e">
        <f t="shared" si="18"/>
        <v>#DIV/0!</v>
      </c>
      <c r="AC29" s="113">
        <f t="shared" si="19"/>
        <v>0</v>
      </c>
      <c r="AD29" s="114">
        <f t="shared" si="20"/>
        <v>0</v>
      </c>
      <c r="AE29" s="115" t="e">
        <f t="shared" si="21"/>
        <v>#DIV/0!</v>
      </c>
      <c r="AF29" s="116" t="e">
        <f t="shared" si="22"/>
        <v>#DIV/0!</v>
      </c>
      <c r="AG29" s="145" t="e">
        <f t="shared" si="23"/>
        <v>#DIV/0!</v>
      </c>
      <c r="AL29" s="143">
        <f>比赛参数!G27/比赛参数!G26</f>
        <v>0.346153846153846</v>
      </c>
      <c r="AM29" s="144">
        <f>比赛参数!G28+比赛参数!G27*比赛参数!D65+比赛参数!G26*比赛参数!D30*比赛参数!F30/520</f>
        <v>9000</v>
      </c>
      <c r="AN29" s="144">
        <f>第十四期!DB53</f>
        <v>0</v>
      </c>
      <c r="BQ29" s="162"/>
      <c r="BS29" s="186">
        <f>第十四期!AH14</f>
        <v>0</v>
      </c>
      <c r="BT29" s="186">
        <f>第十四期!AH15</f>
        <v>0</v>
      </c>
      <c r="BU29" s="182">
        <f>第十四期!AF20</f>
        <v>0</v>
      </c>
      <c r="BV29" s="186">
        <f>第十四期!AJ18</f>
        <v>0</v>
      </c>
      <c r="BW29" s="182">
        <f>第十四期!AH18</f>
        <v>1</v>
      </c>
      <c r="CA29" s="194"/>
      <c r="CB29" s="180" t="s">
        <v>58</v>
      </c>
      <c r="CC29" s="101">
        <f>IF(Y90&gt;0,CC40/Y90,0)</f>
        <v>0</v>
      </c>
      <c r="CD29" s="101">
        <f>IF(Z90&gt;0,CD40/Z90,0)</f>
        <v>0</v>
      </c>
      <c r="CE29" s="101">
        <f>IF(AA90&gt;0,CE40/AA90,0)</f>
        <v>0</v>
      </c>
      <c r="CF29" s="101">
        <f>IF(AB90&gt;0,CF40/AB90,0)</f>
        <v>0</v>
      </c>
      <c r="CG29" s="201"/>
      <c r="CH29" s="201"/>
      <c r="CI29" s="203" t="s">
        <v>58</v>
      </c>
      <c r="CJ29" s="101">
        <f>IF(AF66&gt;0,CJ21+CC29,0)</f>
        <v>0</v>
      </c>
      <c r="CK29" s="101">
        <f>IF(AG66&gt;0,CK21+CD29,0)</f>
        <v>0</v>
      </c>
      <c r="CL29" s="101">
        <f>IF(AH66&gt;0,CL21+CE29,0)</f>
        <v>0</v>
      </c>
      <c r="CM29" s="101">
        <f>IF(AI66&gt;0,CM21+CF29,0)</f>
        <v>0</v>
      </c>
      <c r="CO29" s="212"/>
      <c r="CR29" s="2" t="s">
        <v>38</v>
      </c>
      <c r="CS29" s="2" t="str">
        <f>比赛参数!$D$27</f>
        <v>120.0</v>
      </c>
      <c r="CT29" s="2" t="str">
        <f>比赛参数!$D$27</f>
        <v>120.0</v>
      </c>
      <c r="CU29" s="2" t="str">
        <f>比赛参数!$D$27</f>
        <v>120.0</v>
      </c>
      <c r="CV29" s="2" t="str">
        <f>比赛参数!$D$27</f>
        <v>120.0</v>
      </c>
      <c r="CY29" s="2" t="s">
        <v>38</v>
      </c>
      <c r="CZ29" s="2">
        <f>CZ23/CS23</f>
        <v>-26.4023076923077</v>
      </c>
      <c r="DA29" s="2">
        <f>DA23/CT23</f>
        <v>-25.9923076923077</v>
      </c>
      <c r="DB29" s="2">
        <f>DB23/CU23</f>
        <v>-27.5723076923077</v>
      </c>
      <c r="DC29" s="2">
        <f>DC23/CV23</f>
        <v>-28.0723076923077</v>
      </c>
      <c r="DD29" s="2" t="e">
        <f>SUMPRODUCT(CZ29:DC29,BS14:BV14)/SUM(BS14:BV14)</f>
        <v>#DIV/0!</v>
      </c>
      <c r="DF29" s="2" t="s">
        <v>38</v>
      </c>
      <c r="DG29" s="2" t="e">
        <f>DG23/CS23</f>
        <v>#DIV/0!</v>
      </c>
      <c r="DH29" s="2" t="e">
        <f>DH23/CT23</f>
        <v>#DIV/0!</v>
      </c>
      <c r="DI29" s="2" t="e">
        <f>DI23/CU23</f>
        <v>#DIV/0!</v>
      </c>
      <c r="DJ29" s="2" t="e">
        <f>DJ23/CV23</f>
        <v>#DIV/0!</v>
      </c>
      <c r="DK29" s="2" t="e">
        <f>SUMPRODUCT(DG29:DJ29,BS14:BV14)/SUM(BS14:BV14)</f>
        <v>#DIV/0!</v>
      </c>
      <c r="DM29" s="2" t="e">
        <f>DG23/CS29</f>
        <v>#DIV/0!</v>
      </c>
      <c r="DN29" s="2" t="e">
        <f>DH23/CT29</f>
        <v>#DIV/0!</v>
      </c>
      <c r="DO29" s="2" t="e">
        <f>DI23/CU29</f>
        <v>#DIV/0!</v>
      </c>
      <c r="DP29" s="2" t="e">
        <f>DJ23/CV29</f>
        <v>#DIV/0!</v>
      </c>
      <c r="DQ29" s="2" t="e">
        <f>SUMPRODUCT(DM29:DP29,BS14:BV14)/SUM(BS14:BV14)</f>
        <v>#DIV/0!</v>
      </c>
      <c r="DT29" s="102" t="s">
        <v>24</v>
      </c>
      <c r="DU29" s="221">
        <f>D45</f>
        <v>0</v>
      </c>
      <c r="DV29" s="221">
        <f>G45</f>
        <v>0</v>
      </c>
    </row>
    <row r="30" ht="16.35" customHeight="1" spans="2:121">
      <c r="B30" s="5"/>
      <c r="C30" s="16">
        <v>2</v>
      </c>
      <c r="D30" s="16">
        <v>3</v>
      </c>
      <c r="E30" s="7"/>
      <c r="F30" s="7"/>
      <c r="G30" s="7"/>
      <c r="H30" s="17"/>
      <c r="I30" s="7"/>
      <c r="J30" s="7"/>
      <c r="K30" s="7"/>
      <c r="L30" s="8"/>
      <c r="M30" s="30">
        <f>AG66-AG106</f>
        <v>0</v>
      </c>
      <c r="N30" s="33"/>
      <c r="O30" s="33"/>
      <c r="P30" s="33"/>
      <c r="Q30" s="42"/>
      <c r="U30" s="49"/>
      <c r="V30" s="50"/>
      <c r="W30" s="9">
        <v>4</v>
      </c>
      <c r="X30" s="51" t="e">
        <f t="shared" si="14"/>
        <v>#DIV/0!</v>
      </c>
      <c r="Y30" s="110">
        <f t="shared" si="15"/>
        <v>0</v>
      </c>
      <c r="Z30" s="111" t="e">
        <f t="shared" si="16"/>
        <v>#DIV/0!</v>
      </c>
      <c r="AA30" s="112" t="e">
        <f t="shared" si="17"/>
        <v>#DIV/0!</v>
      </c>
      <c r="AB30" s="113" t="e">
        <f t="shared" si="18"/>
        <v>#DIV/0!</v>
      </c>
      <c r="AC30" s="113">
        <f t="shared" si="19"/>
        <v>0</v>
      </c>
      <c r="AD30" s="114">
        <f t="shared" si="20"/>
        <v>0</v>
      </c>
      <c r="AE30" s="115" t="e">
        <f t="shared" si="21"/>
        <v>#DIV/0!</v>
      </c>
      <c r="AF30" s="116" t="e">
        <f t="shared" si="22"/>
        <v>#DIV/0!</v>
      </c>
      <c r="AG30" s="145" t="e">
        <f t="shared" si="23"/>
        <v>#DIV/0!</v>
      </c>
      <c r="AL30" s="39" t="s">
        <v>405</v>
      </c>
      <c r="BQ30" s="162"/>
      <c r="BR30" s="162"/>
      <c r="BS30" s="162"/>
      <c r="BT30" s="162"/>
      <c r="BU30" s="162"/>
      <c r="BV30" s="162"/>
      <c r="BW30" s="162"/>
      <c r="CA30" s="194"/>
      <c r="CB30" s="180" t="s">
        <v>59</v>
      </c>
      <c r="CC30" s="101">
        <f>IF(Y91&gt;0,CC41/Y91,0)</f>
        <v>0</v>
      </c>
      <c r="CD30" s="101">
        <f>IF(Z91&gt;0,CD41/Z91,0)</f>
        <v>0</v>
      </c>
      <c r="CE30" s="101">
        <f>IF(AA91&gt;0,CE41/AA91,0)</f>
        <v>0</v>
      </c>
      <c r="CF30" s="101">
        <f>IF(AB91&gt;0,CF41/AB91,0)</f>
        <v>0</v>
      </c>
      <c r="CG30" s="201"/>
      <c r="CH30" s="201"/>
      <c r="CI30" s="203" t="s">
        <v>59</v>
      </c>
      <c r="CJ30" s="101">
        <f>IF(AF67&gt;0,CJ22+CC30,0)</f>
        <v>0</v>
      </c>
      <c r="CK30" s="101">
        <f>IF(AG67&gt;0,CK22+CD30,0)</f>
        <v>0</v>
      </c>
      <c r="CL30" s="101">
        <f>IF(AH67&gt;0,CL22+CE30,0)</f>
        <v>0</v>
      </c>
      <c r="CM30" s="101">
        <f>IF(AI67&gt;0,CM22+CF30,0)</f>
        <v>0</v>
      </c>
      <c r="CO30" s="212"/>
      <c r="CR30" s="2" t="s">
        <v>39</v>
      </c>
      <c r="CS30" s="2" t="str">
        <f>比赛参数!$E$27</f>
        <v>150.0</v>
      </c>
      <c r="CT30" s="2" t="str">
        <f>比赛参数!$E$27</f>
        <v>150.0</v>
      </c>
      <c r="CU30" s="2" t="str">
        <f>比赛参数!$E$27</f>
        <v>150.0</v>
      </c>
      <c r="CV30" s="2" t="str">
        <f>比赛参数!$E$27</f>
        <v>150.0</v>
      </c>
      <c r="CY30" s="2" t="s">
        <v>39</v>
      </c>
      <c r="CZ30" s="2">
        <f>CZ24/CS24</f>
        <v>-21.8003076923077</v>
      </c>
      <c r="DA30" s="2">
        <f>DA24/CT24</f>
        <v>-21.4643076923077</v>
      </c>
      <c r="DB30" s="2">
        <f>DB24/CU24</f>
        <v>-22.3323076923077</v>
      </c>
      <c r="DC30" s="2">
        <f>DC24/CV24</f>
        <v>-22.5323076923077</v>
      </c>
      <c r="DD30" s="2" t="e">
        <f>SUMPRODUCT(CZ30:DC30,BS15:BV15)/SUM(BS15:BV15)</f>
        <v>#DIV/0!</v>
      </c>
      <c r="DF30" s="2" t="s">
        <v>39</v>
      </c>
      <c r="DG30" s="2" t="e">
        <f>DG24/CS24</f>
        <v>#DIV/0!</v>
      </c>
      <c r="DH30" s="2" t="e">
        <f>DH24/CT24</f>
        <v>#DIV/0!</v>
      </c>
      <c r="DI30" s="2" t="e">
        <f>DI24/CU24</f>
        <v>#DIV/0!</v>
      </c>
      <c r="DJ30" s="2" t="e">
        <f>DJ24/CV24</f>
        <v>#DIV/0!</v>
      </c>
      <c r="DK30" s="2" t="e">
        <f>SUMPRODUCT(DG30:DJ30,BS15:BV15)/SUM(BS15:BV15)</f>
        <v>#DIV/0!</v>
      </c>
      <c r="DM30" s="2" t="e">
        <f>DG24/CS30</f>
        <v>#DIV/0!</v>
      </c>
      <c r="DN30" s="2" t="e">
        <f>DH24/CT30</f>
        <v>#DIV/0!</v>
      </c>
      <c r="DO30" s="2" t="e">
        <f>DI24/CU30</f>
        <v>#DIV/0!</v>
      </c>
      <c r="DP30" s="2" t="e">
        <f>DJ24/CV30</f>
        <v>#DIV/0!</v>
      </c>
      <c r="DQ30" s="2" t="e">
        <f>SUMPRODUCT(DM30:DP30,BS15:BV15)/SUM(BS15:BV15)</f>
        <v>#DIV/0!</v>
      </c>
    </row>
    <row r="31" ht="16.35" customHeight="1" spans="2:138">
      <c r="B31" s="5"/>
      <c r="C31" s="16">
        <v>2</v>
      </c>
      <c r="D31" s="16">
        <v>4</v>
      </c>
      <c r="E31" s="7"/>
      <c r="F31" s="7"/>
      <c r="G31" s="7"/>
      <c r="H31" s="17"/>
      <c r="I31" s="7"/>
      <c r="J31" s="7"/>
      <c r="K31" s="7"/>
      <c r="L31" s="8"/>
      <c r="M31" s="30">
        <f>AG67-AG107</f>
        <v>0</v>
      </c>
      <c r="N31" s="33"/>
      <c r="O31" s="33"/>
      <c r="P31" s="33"/>
      <c r="Q31" s="42"/>
      <c r="U31" s="49"/>
      <c r="V31" s="50"/>
      <c r="W31" s="9">
        <v>5</v>
      </c>
      <c r="X31" s="51" t="e">
        <f t="shared" si="14"/>
        <v>#DIV/0!</v>
      </c>
      <c r="Y31" s="110">
        <f t="shared" si="15"/>
        <v>0</v>
      </c>
      <c r="Z31" s="111" t="e">
        <f t="shared" si="16"/>
        <v>#DIV/0!</v>
      </c>
      <c r="AA31" s="112" t="e">
        <f t="shared" si="17"/>
        <v>#DIV/0!</v>
      </c>
      <c r="AB31" s="113" t="e">
        <f t="shared" si="18"/>
        <v>#DIV/0!</v>
      </c>
      <c r="AC31" s="113">
        <f t="shared" si="19"/>
        <v>0</v>
      </c>
      <c r="AD31" s="114">
        <f t="shared" si="20"/>
        <v>0</v>
      </c>
      <c r="AE31" s="115" t="e">
        <f t="shared" si="21"/>
        <v>#DIV/0!</v>
      </c>
      <c r="AF31" s="116" t="e">
        <f t="shared" si="22"/>
        <v>#DIV/0!</v>
      </c>
      <c r="AG31" s="145" t="e">
        <f t="shared" si="23"/>
        <v>#DIV/0!</v>
      </c>
      <c r="AL31" s="143" t="e">
        <f>Y20/AA20/2</f>
        <v>#DIV/0!</v>
      </c>
      <c r="AR31" s="87"/>
      <c r="AS31" s="164" t="s">
        <v>21</v>
      </c>
      <c r="AT31" s="165"/>
      <c r="AU31" s="165"/>
      <c r="AV31" s="166"/>
      <c r="AW31" s="164" t="s">
        <v>22</v>
      </c>
      <c r="AX31" s="165"/>
      <c r="AY31" s="165"/>
      <c r="AZ31" s="166"/>
      <c r="BA31" s="164" t="s">
        <v>23</v>
      </c>
      <c r="BB31" s="165"/>
      <c r="BC31" s="165"/>
      <c r="BD31" s="166"/>
      <c r="BE31" s="164" t="s">
        <v>24</v>
      </c>
      <c r="BF31" s="165"/>
      <c r="BG31" s="165"/>
      <c r="BH31" s="166"/>
      <c r="CA31" s="194"/>
      <c r="CB31" s="50"/>
      <c r="CC31" s="50"/>
      <c r="CD31" s="50"/>
      <c r="CE31" s="50"/>
      <c r="CF31" s="50"/>
      <c r="CG31" s="201"/>
      <c r="CH31" s="201"/>
      <c r="CI31" s="201"/>
      <c r="CJ31" s="201"/>
      <c r="CK31" s="201"/>
      <c r="CL31" s="201"/>
      <c r="CM31" s="201"/>
      <c r="CN31" s="50"/>
      <c r="CO31" s="212"/>
      <c r="CR31" s="2" t="s">
        <v>40</v>
      </c>
      <c r="CS31" s="2" t="str">
        <f>比赛参数!$F$27</f>
        <v>160.0</v>
      </c>
      <c r="CT31" s="2" t="str">
        <f>比赛参数!$F$27</f>
        <v>160.0</v>
      </c>
      <c r="CU31" s="2" t="str">
        <f>比赛参数!$F$27</f>
        <v>160.0</v>
      </c>
      <c r="CV31" s="2" t="str">
        <f>比赛参数!$F$27</f>
        <v>160.0</v>
      </c>
      <c r="CY31" s="2" t="s">
        <v>40</v>
      </c>
      <c r="CZ31" s="2">
        <f>CZ25/CS25</f>
        <v>-20.4291497975709</v>
      </c>
      <c r="DA31" s="2">
        <f>DA25/CT25</f>
        <v>-20.1344129554656</v>
      </c>
      <c r="DB31" s="2">
        <f>DB25/CU25</f>
        <v>-20.8080971659919</v>
      </c>
      <c r="DC31" s="2">
        <f>DC25/CV25</f>
        <v>-20.9396761133603</v>
      </c>
      <c r="DD31" s="2" t="e">
        <f>SUMPRODUCT(CZ31:DC31,BS16:BV16)/SUM(BS16:BV16)</f>
        <v>#DIV/0!</v>
      </c>
      <c r="DF31" s="2" t="s">
        <v>40</v>
      </c>
      <c r="DG31" s="2" t="e">
        <f>DG25/CS25</f>
        <v>#DIV/0!</v>
      </c>
      <c r="DH31" s="2" t="e">
        <f>DH25/CT25</f>
        <v>#DIV/0!</v>
      </c>
      <c r="DI31" s="2" t="e">
        <f>DI25/CU25</f>
        <v>#DIV/0!</v>
      </c>
      <c r="DJ31" s="2" t="e">
        <f>DJ25/CV25</f>
        <v>#DIV/0!</v>
      </c>
      <c r="DK31" s="2" t="e">
        <f>SUMPRODUCT(DG31:DJ31,BS16:BV16)/SUM(BS16:BV16)</f>
        <v>#DIV/0!</v>
      </c>
      <c r="DM31" s="2" t="e">
        <f>DG25/CS31</f>
        <v>#DIV/0!</v>
      </c>
      <c r="DN31" s="2" t="e">
        <f>DH25/CT31</f>
        <v>#DIV/0!</v>
      </c>
      <c r="DO31" s="2" t="e">
        <f>DI25/CU31</f>
        <v>#DIV/0!</v>
      </c>
      <c r="DP31" s="2" t="e">
        <f>DJ25/CV31</f>
        <v>#DIV/0!</v>
      </c>
      <c r="DQ31" s="2" t="e">
        <f>SUMPRODUCT(DM31:DP31,BS16:BV16)/SUM(BS16:BV16)</f>
        <v>#DIV/0!</v>
      </c>
      <c r="DS31" s="60" t="s">
        <v>21</v>
      </c>
      <c r="DT31" s="147"/>
      <c r="DU31" s="147"/>
      <c r="DV31" s="237"/>
      <c r="DW31" s="60" t="s">
        <v>22</v>
      </c>
      <c r="DX31" s="147"/>
      <c r="DY31" s="147"/>
      <c r="DZ31" s="237"/>
      <c r="EA31" s="60" t="s">
        <v>23</v>
      </c>
      <c r="EB31" s="147"/>
      <c r="EC31" s="147"/>
      <c r="ED31" s="237"/>
      <c r="EE31" s="60" t="s">
        <v>24</v>
      </c>
      <c r="EF31" s="147"/>
      <c r="EG31" s="147"/>
      <c r="EH31" s="237"/>
    </row>
    <row r="32" ht="17.1" customHeight="1" spans="2:138">
      <c r="B32" s="5"/>
      <c r="C32" s="16">
        <v>3</v>
      </c>
      <c r="D32" s="16">
        <v>1</v>
      </c>
      <c r="E32" s="7"/>
      <c r="F32" s="7"/>
      <c r="G32" s="7"/>
      <c r="H32" s="17"/>
      <c r="I32" s="7"/>
      <c r="J32" s="7"/>
      <c r="K32" s="7"/>
      <c r="L32" s="8"/>
      <c r="M32" s="30">
        <f>AH64-AH104</f>
        <v>0</v>
      </c>
      <c r="N32" s="33"/>
      <c r="O32" s="33"/>
      <c r="P32" s="33"/>
      <c r="Q32" s="42"/>
      <c r="U32" s="49"/>
      <c r="V32" s="50"/>
      <c r="W32" s="9">
        <v>6</v>
      </c>
      <c r="X32" s="51" t="e">
        <f t="shared" si="14"/>
        <v>#DIV/0!</v>
      </c>
      <c r="Y32" s="110">
        <f t="shared" si="15"/>
        <v>0</v>
      </c>
      <c r="Z32" s="111" t="e">
        <f t="shared" si="16"/>
        <v>#DIV/0!</v>
      </c>
      <c r="AA32" s="112" t="e">
        <f t="shared" si="17"/>
        <v>#DIV/0!</v>
      </c>
      <c r="AB32" s="113" t="e">
        <f t="shared" si="18"/>
        <v>#DIV/0!</v>
      </c>
      <c r="AC32" s="113">
        <f t="shared" si="19"/>
        <v>0</v>
      </c>
      <c r="AD32" s="114">
        <f t="shared" si="20"/>
        <v>0</v>
      </c>
      <c r="AE32" s="115" t="e">
        <f t="shared" si="21"/>
        <v>#DIV/0!</v>
      </c>
      <c r="AF32" s="116" t="e">
        <f t="shared" si="22"/>
        <v>#DIV/0!</v>
      </c>
      <c r="AG32" s="145" t="e">
        <f t="shared" si="23"/>
        <v>#DIV/0!</v>
      </c>
      <c r="AR32" s="87" t="s">
        <v>392</v>
      </c>
      <c r="AS32" s="167" t="s">
        <v>56</v>
      </c>
      <c r="AT32" s="9" t="s">
        <v>57</v>
      </c>
      <c r="AU32" s="9" t="s">
        <v>58</v>
      </c>
      <c r="AV32" s="168" t="s">
        <v>59</v>
      </c>
      <c r="AW32" s="167" t="s">
        <v>56</v>
      </c>
      <c r="AX32" s="9" t="s">
        <v>57</v>
      </c>
      <c r="AY32" s="9" t="s">
        <v>58</v>
      </c>
      <c r="AZ32" s="168" t="s">
        <v>59</v>
      </c>
      <c r="BA32" s="167" t="s">
        <v>56</v>
      </c>
      <c r="BB32" s="9" t="s">
        <v>57</v>
      </c>
      <c r="BC32" s="9" t="s">
        <v>58</v>
      </c>
      <c r="BD32" s="168" t="s">
        <v>59</v>
      </c>
      <c r="BE32" s="167" t="s">
        <v>56</v>
      </c>
      <c r="BF32" s="9" t="s">
        <v>57</v>
      </c>
      <c r="BG32" s="9" t="s">
        <v>58</v>
      </c>
      <c r="BH32" s="168" t="s">
        <v>59</v>
      </c>
      <c r="CA32" s="194"/>
      <c r="CB32" s="195" t="s">
        <v>406</v>
      </c>
      <c r="CC32" s="203" t="s">
        <v>38</v>
      </c>
      <c r="CD32" s="203" t="s">
        <v>39</v>
      </c>
      <c r="CE32" s="203" t="s">
        <v>40</v>
      </c>
      <c r="CF32" s="203" t="s">
        <v>41</v>
      </c>
      <c r="CG32" s="201"/>
      <c r="CH32" s="201"/>
      <c r="CI32" s="195" t="s">
        <v>407</v>
      </c>
      <c r="CJ32" s="179" t="s">
        <v>38</v>
      </c>
      <c r="CK32" s="179" t="s">
        <v>39</v>
      </c>
      <c r="CL32" s="179" t="s">
        <v>40</v>
      </c>
      <c r="CM32" s="179" t="s">
        <v>41</v>
      </c>
      <c r="CN32" s="50"/>
      <c r="CO32" s="212"/>
      <c r="CR32" s="2" t="s">
        <v>41</v>
      </c>
      <c r="CS32" s="2" t="str">
        <f>比赛参数!$G$27</f>
        <v>180.0</v>
      </c>
      <c r="CT32" s="2" t="str">
        <f>比赛参数!$G$27</f>
        <v>180.0</v>
      </c>
      <c r="CU32" s="2" t="str">
        <f>比赛参数!$G$27</f>
        <v>180.0</v>
      </c>
      <c r="CV32" s="2" t="str">
        <f>比赛参数!$G$27</f>
        <v>180.0</v>
      </c>
      <c r="CY32" s="2" t="s">
        <v>41</v>
      </c>
      <c r="CZ32" s="2">
        <f>CZ26/CS26</f>
        <v>-19.6653846153846</v>
      </c>
      <c r="DA32" s="2">
        <f>DA26/CT26</f>
        <v>-19.4</v>
      </c>
      <c r="DB32" s="2">
        <f>DB26/CU26</f>
        <v>-20.0615384615385</v>
      </c>
      <c r="DC32" s="2">
        <f>DC26/CV26</f>
        <v>-20.1576923076923</v>
      </c>
      <c r="DD32" s="2" t="e">
        <f>SUMPRODUCT(CZ32:DC32,BS17:BV17)/SUM(BS17:BV17)</f>
        <v>#DIV/0!</v>
      </c>
      <c r="DF32" s="2" t="s">
        <v>41</v>
      </c>
      <c r="DG32" s="2" t="e">
        <f>DG26/CS26</f>
        <v>#DIV/0!</v>
      </c>
      <c r="DH32" s="2" t="e">
        <f>DH26/CT26</f>
        <v>#DIV/0!</v>
      </c>
      <c r="DI32" s="2" t="e">
        <f>DI26/CU26</f>
        <v>#DIV/0!</v>
      </c>
      <c r="DJ32" s="2" t="e">
        <f>DJ26/CV26</f>
        <v>#DIV/0!</v>
      </c>
      <c r="DK32" s="2" t="e">
        <f>SUMPRODUCT(DG32:DJ32,BS17:BV17)/SUM(BS17:BV17)</f>
        <v>#DIV/0!</v>
      </c>
      <c r="DM32" s="2" t="e">
        <f>DG26/CS32</f>
        <v>#DIV/0!</v>
      </c>
      <c r="DN32" s="2" t="e">
        <f>DH26/CT32</f>
        <v>#DIV/0!</v>
      </c>
      <c r="DO32" s="2" t="e">
        <f>DI26/CU32</f>
        <v>#DIV/0!</v>
      </c>
      <c r="DP32" s="2" t="e">
        <f>DJ26/CV32</f>
        <v>#DIV/0!</v>
      </c>
      <c r="DQ32" s="2" t="e">
        <f>SUMPRODUCT(DM32:DP32,BS17:BV17)/SUM(BS17:BV17)</f>
        <v>#DIV/0!</v>
      </c>
      <c r="DS32" s="60" t="s">
        <v>56</v>
      </c>
      <c r="DT32" s="60" t="s">
        <v>57</v>
      </c>
      <c r="DU32" s="60" t="s">
        <v>58</v>
      </c>
      <c r="DV32" s="60" t="s">
        <v>59</v>
      </c>
      <c r="DW32" s="60" t="s">
        <v>56</v>
      </c>
      <c r="DX32" s="60" t="s">
        <v>57</v>
      </c>
      <c r="DY32" s="60" t="s">
        <v>58</v>
      </c>
      <c r="DZ32" s="60" t="s">
        <v>59</v>
      </c>
      <c r="EA32" s="60" t="s">
        <v>56</v>
      </c>
      <c r="EB32" s="60" t="s">
        <v>57</v>
      </c>
      <c r="EC32" s="60" t="s">
        <v>58</v>
      </c>
      <c r="ED32" s="60" t="s">
        <v>59</v>
      </c>
      <c r="EE32" s="60" t="s">
        <v>56</v>
      </c>
      <c r="EF32" s="60" t="s">
        <v>57</v>
      </c>
      <c r="EG32" s="60" t="s">
        <v>58</v>
      </c>
      <c r="EH32" s="60" t="s">
        <v>59</v>
      </c>
    </row>
    <row r="33" ht="17.1" customHeight="1" spans="2:138">
      <c r="B33" s="5"/>
      <c r="C33" s="16">
        <v>3</v>
      </c>
      <c r="D33" s="16">
        <v>2</v>
      </c>
      <c r="E33" s="7"/>
      <c r="F33" s="7"/>
      <c r="G33" s="7"/>
      <c r="H33" s="17"/>
      <c r="I33" s="7"/>
      <c r="J33" s="7"/>
      <c r="K33" s="7"/>
      <c r="L33" s="8"/>
      <c r="M33" s="30">
        <f>AH65-AH105</f>
        <v>0</v>
      </c>
      <c r="N33" s="33"/>
      <c r="O33" s="33"/>
      <c r="P33" s="33"/>
      <c r="Q33" s="42"/>
      <c r="U33" s="49"/>
      <c r="V33" s="50"/>
      <c r="W33" s="9">
        <v>7</v>
      </c>
      <c r="X33" s="51" t="e">
        <f t="shared" si="14"/>
        <v>#DIV/0!</v>
      </c>
      <c r="Y33" s="110">
        <f t="shared" si="15"/>
        <v>0</v>
      </c>
      <c r="Z33" s="111" t="e">
        <f t="shared" si="16"/>
        <v>#DIV/0!</v>
      </c>
      <c r="AA33" s="112" t="e">
        <f t="shared" si="17"/>
        <v>#DIV/0!</v>
      </c>
      <c r="AB33" s="113" t="e">
        <f t="shared" si="18"/>
        <v>#DIV/0!</v>
      </c>
      <c r="AC33" s="113">
        <f t="shared" si="19"/>
        <v>0</v>
      </c>
      <c r="AD33" s="114">
        <f t="shared" si="20"/>
        <v>0</v>
      </c>
      <c r="AE33" s="115" t="e">
        <f t="shared" si="21"/>
        <v>#DIV/0!</v>
      </c>
      <c r="AF33" s="116" t="e">
        <f t="shared" si="22"/>
        <v>#DIV/0!</v>
      </c>
      <c r="AG33" s="145" t="e">
        <f t="shared" si="23"/>
        <v>#DIV/0!</v>
      </c>
      <c r="AI33" s="43" t="s">
        <v>37</v>
      </c>
      <c r="AJ33" s="148" t="s">
        <v>408</v>
      </c>
      <c r="AK33" s="39" t="s">
        <v>409</v>
      </c>
      <c r="AL33" s="149"/>
      <c r="AM33" s="9" t="s">
        <v>410</v>
      </c>
      <c r="AN33" s="118"/>
      <c r="AR33" s="169">
        <v>1</v>
      </c>
      <c r="AS33" s="170" t="str">
        <f t="shared" ref="AS33:BH33" si="24">IF(D73="","",D73)</f>
        <v/>
      </c>
      <c r="AT33" s="171" t="str">
        <f t="shared" si="24"/>
        <v/>
      </c>
      <c r="AU33" s="171" t="str">
        <f t="shared" si="24"/>
        <v/>
      </c>
      <c r="AV33" s="172" t="str">
        <f t="shared" si="24"/>
        <v/>
      </c>
      <c r="AW33" s="170" t="str">
        <f t="shared" si="24"/>
        <v/>
      </c>
      <c r="AX33" s="171" t="str">
        <f t="shared" si="24"/>
        <v/>
      </c>
      <c r="AY33" s="171" t="str">
        <f t="shared" si="24"/>
        <v/>
      </c>
      <c r="AZ33" s="172" t="str">
        <f t="shared" si="24"/>
        <v/>
      </c>
      <c r="BA33" s="170" t="str">
        <f t="shared" si="24"/>
        <v/>
      </c>
      <c r="BB33" s="171" t="str">
        <f t="shared" si="24"/>
        <v/>
      </c>
      <c r="BC33" s="171" t="str">
        <f t="shared" si="24"/>
        <v/>
      </c>
      <c r="BD33" s="172" t="str">
        <f t="shared" si="24"/>
        <v/>
      </c>
      <c r="BE33" s="170" t="str">
        <f t="shared" si="24"/>
        <v/>
      </c>
      <c r="BF33" s="171" t="str">
        <f t="shared" si="24"/>
        <v/>
      </c>
      <c r="BG33" s="171" t="str">
        <f t="shared" si="24"/>
        <v/>
      </c>
      <c r="BH33" s="172" t="str">
        <f t="shared" si="24"/>
        <v/>
      </c>
      <c r="CA33" s="194"/>
      <c r="CB33" s="180" t="s">
        <v>411</v>
      </c>
      <c r="CC33" s="206">
        <f>CC70</f>
        <v>0</v>
      </c>
      <c r="CD33" s="206">
        <f>CD70</f>
        <v>0</v>
      </c>
      <c r="CE33" s="206">
        <f>CE70</f>
        <v>0</v>
      </c>
      <c r="CF33" s="206">
        <f>CF70</f>
        <v>0</v>
      </c>
      <c r="CG33" s="201"/>
      <c r="CH33" s="201"/>
      <c r="CI33" s="181" t="s">
        <v>56</v>
      </c>
      <c r="CJ33" s="207">
        <f>IF(CJ27&gt;0,(AF76-CJ27)/CJ27,0)</f>
        <v>0</v>
      </c>
      <c r="CK33" s="207">
        <f>IF(CK27&gt;0,(AG76-CK27)/CK27,0)</f>
        <v>0</v>
      </c>
      <c r="CL33" s="207">
        <f>IF(CL27&gt;0,(AH76-CL27)/CL27,0)</f>
        <v>0</v>
      </c>
      <c r="CM33" s="207">
        <f>IF(CM27&gt;0,(AI76-CM27)/CM27,0)</f>
        <v>0</v>
      </c>
      <c r="CO33" s="212"/>
      <c r="DS33" s="3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>0</v>
      </c>
      <c r="DU33" s="3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>0</v>
      </c>
      <c r="DV33" s="3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>0</v>
      </c>
      <c r="DW33" s="3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>0</v>
      </c>
      <c r="DX33" s="3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>0</v>
      </c>
      <c r="DY33" s="3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>0</v>
      </c>
      <c r="DZ33" s="3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>0</v>
      </c>
      <c r="EA33" s="3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>0</v>
      </c>
      <c r="EB33" s="3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>0</v>
      </c>
      <c r="EC33" s="3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>0</v>
      </c>
      <c r="ED33" s="3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>0</v>
      </c>
      <c r="EE33" s="3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>0</v>
      </c>
      <c r="EF33" s="3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>0</v>
      </c>
      <c r="EG33" s="3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>0</v>
      </c>
      <c r="EH33" s="3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>0</v>
      </c>
    </row>
    <row r="34" ht="16.35" customHeight="1" spans="2:110">
      <c r="B34" s="5"/>
      <c r="C34" s="16">
        <v>3</v>
      </c>
      <c r="D34" s="16">
        <v>3</v>
      </c>
      <c r="E34" s="7"/>
      <c r="F34" s="7"/>
      <c r="G34" s="7"/>
      <c r="H34" s="17"/>
      <c r="I34" s="7"/>
      <c r="J34" s="7"/>
      <c r="K34" s="7"/>
      <c r="L34" s="8"/>
      <c r="M34" s="30">
        <f>AH66-AH106</f>
        <v>0</v>
      </c>
      <c r="N34" s="33"/>
      <c r="O34" s="33"/>
      <c r="P34" s="33"/>
      <c r="Q34" s="42"/>
      <c r="U34" s="49"/>
      <c r="V34" s="50"/>
      <c r="W34" s="9">
        <v>8</v>
      </c>
      <c r="X34" s="51" t="e">
        <f t="shared" si="14"/>
        <v>#DIV/0!</v>
      </c>
      <c r="Y34" s="110">
        <f t="shared" si="15"/>
        <v>0</v>
      </c>
      <c r="Z34" s="111" t="e">
        <f t="shared" si="16"/>
        <v>#DIV/0!</v>
      </c>
      <c r="AA34" s="112" t="e">
        <f t="shared" si="17"/>
        <v>#DIV/0!</v>
      </c>
      <c r="AB34" s="113" t="e">
        <f t="shared" si="18"/>
        <v>#DIV/0!</v>
      </c>
      <c r="AC34" s="113">
        <f t="shared" si="19"/>
        <v>0</v>
      </c>
      <c r="AD34" s="114">
        <f t="shared" si="20"/>
        <v>0</v>
      </c>
      <c r="AE34" s="115" t="e">
        <f t="shared" si="21"/>
        <v>#DIV/0!</v>
      </c>
      <c r="AF34" s="116" t="e">
        <f t="shared" si="22"/>
        <v>#DIV/0!</v>
      </c>
      <c r="AG34" s="145" t="e">
        <f t="shared" si="23"/>
        <v>#DIV/0!</v>
      </c>
      <c r="AI34" s="59" t="s">
        <v>38</v>
      </c>
      <c r="AJ34" s="150"/>
      <c r="AK34" s="151">
        <f>IF(AM34=1,CK70-CJ70,IF(AM34=2,CL70-CK70,IF(AM34=3,CM70-CL70,IF(AM34=4,CN70-CM70,0))))</f>
        <v>0</v>
      </c>
      <c r="AL34" s="149"/>
      <c r="AM34" s="60">
        <f>INT(第十四期!DV26)</f>
        <v>0</v>
      </c>
      <c r="AN34" s="118"/>
      <c r="AR34" s="169">
        <v>2</v>
      </c>
      <c r="AS34" s="170" t="str">
        <f t="shared" ref="AS34:BH34" si="25">IF(D74="","",D74)</f>
        <v/>
      </c>
      <c r="AT34" s="171" t="str">
        <f t="shared" si="25"/>
        <v/>
      </c>
      <c r="AU34" s="171" t="str">
        <f t="shared" si="25"/>
        <v/>
      </c>
      <c r="AV34" s="172" t="str">
        <f t="shared" si="25"/>
        <v/>
      </c>
      <c r="AW34" s="170" t="str">
        <f t="shared" si="25"/>
        <v/>
      </c>
      <c r="AX34" s="171" t="str">
        <f t="shared" si="25"/>
        <v/>
      </c>
      <c r="AY34" s="171" t="str">
        <f t="shared" si="25"/>
        <v/>
      </c>
      <c r="AZ34" s="172" t="str">
        <f t="shared" si="25"/>
        <v/>
      </c>
      <c r="BA34" s="170" t="str">
        <f t="shared" si="25"/>
        <v/>
      </c>
      <c r="BB34" s="171" t="str">
        <f t="shared" si="25"/>
        <v/>
      </c>
      <c r="BC34" s="171" t="str">
        <f t="shared" si="25"/>
        <v/>
      </c>
      <c r="BD34" s="172" t="str">
        <f t="shared" si="25"/>
        <v/>
      </c>
      <c r="BE34" s="170" t="str">
        <f t="shared" si="25"/>
        <v/>
      </c>
      <c r="BF34" s="171" t="str">
        <f t="shared" si="25"/>
        <v/>
      </c>
      <c r="BG34" s="171" t="str">
        <f t="shared" si="25"/>
        <v/>
      </c>
      <c r="BH34" s="172" t="str">
        <f t="shared" si="25"/>
        <v/>
      </c>
      <c r="CA34" s="194"/>
      <c r="CB34" s="180" t="s">
        <v>412</v>
      </c>
      <c r="CC34" s="206">
        <f>CC71</f>
        <v>0</v>
      </c>
      <c r="CD34" s="206">
        <f>CD71</f>
        <v>0</v>
      </c>
      <c r="CE34" s="206">
        <f>CE71</f>
        <v>0</v>
      </c>
      <c r="CF34" s="206">
        <f>CF71</f>
        <v>0</v>
      </c>
      <c r="CG34" s="208"/>
      <c r="CH34" s="201"/>
      <c r="CI34" s="180" t="s">
        <v>57</v>
      </c>
      <c r="CJ34" s="207">
        <f>IF(CJ28&gt;0,(AF77-CJ28)/CJ28,0)</f>
        <v>0</v>
      </c>
      <c r="CK34" s="207">
        <f>IF(CK28&gt;0,(AG77-CK28)/CK28,0)</f>
        <v>0</v>
      </c>
      <c r="CL34" s="207">
        <f>IF(CL28&gt;0,(AH77-CL28)/CL28,0)</f>
        <v>0</v>
      </c>
      <c r="CM34" s="207">
        <f>IF(CM28&gt;0,(AI77-CM28)/CM28,0)</f>
        <v>0</v>
      </c>
      <c r="CO34" s="212"/>
      <c r="CR34" s="2" t="s">
        <v>266</v>
      </c>
      <c r="CS34" s="2" t="s">
        <v>331</v>
      </c>
      <c r="CT34" s="2" t="s">
        <v>332</v>
      </c>
      <c r="CU34" s="2" t="s">
        <v>333</v>
      </c>
      <c r="CV34" s="2" t="s">
        <v>334</v>
      </c>
      <c r="CY34" s="2" t="s">
        <v>413</v>
      </c>
      <c r="DF34" s="2" t="s">
        <v>413</v>
      </c>
    </row>
    <row r="35" ht="15.6" customHeight="1" spans="2:138">
      <c r="B35" s="5"/>
      <c r="C35" s="16">
        <v>3</v>
      </c>
      <c r="D35" s="16">
        <v>4</v>
      </c>
      <c r="E35" s="7"/>
      <c r="F35" s="7"/>
      <c r="G35" s="7"/>
      <c r="H35" s="17"/>
      <c r="I35" s="7"/>
      <c r="J35" s="7"/>
      <c r="K35" s="7"/>
      <c r="L35" s="8"/>
      <c r="M35" s="30">
        <f>AH67-AH107</f>
        <v>0</v>
      </c>
      <c r="N35" s="33"/>
      <c r="O35" s="33"/>
      <c r="P35" s="33"/>
      <c r="Q35" s="53"/>
      <c r="U35" s="49"/>
      <c r="V35" s="50"/>
      <c r="W35" s="9">
        <v>9</v>
      </c>
      <c r="X35" s="51" t="e">
        <f t="shared" si="14"/>
        <v>#DIV/0!</v>
      </c>
      <c r="Y35" s="110">
        <f t="shared" si="15"/>
        <v>0</v>
      </c>
      <c r="Z35" s="111" t="e">
        <f t="shared" si="16"/>
        <v>#DIV/0!</v>
      </c>
      <c r="AA35" s="112" t="e">
        <f t="shared" si="17"/>
        <v>#DIV/0!</v>
      </c>
      <c r="AB35" s="113" t="e">
        <f t="shared" si="18"/>
        <v>#DIV/0!</v>
      </c>
      <c r="AC35" s="113">
        <f t="shared" si="19"/>
        <v>0</v>
      </c>
      <c r="AD35" s="114">
        <f t="shared" si="20"/>
        <v>0</v>
      </c>
      <c r="AE35" s="115" t="e">
        <f t="shared" si="21"/>
        <v>#DIV/0!</v>
      </c>
      <c r="AF35" s="116" t="e">
        <f t="shared" si="22"/>
        <v>#DIV/0!</v>
      </c>
      <c r="AG35" s="145" t="e">
        <f t="shared" si="23"/>
        <v>#DIV/0!</v>
      </c>
      <c r="AI35" s="9" t="s">
        <v>39</v>
      </c>
      <c r="AJ35" s="150"/>
      <c r="AK35" s="151">
        <f>IF(AM35=1,CK71-CJ71,IF(AM35=2,CL71-CK71,IF(AM35=3,CM71-CL71,IF(AM35=4,CN71-CM71,0))))</f>
        <v>0</v>
      </c>
      <c r="AL35" s="152"/>
      <c r="AM35" s="60">
        <f>INT(第十四期!DV27)</f>
        <v>0</v>
      </c>
      <c r="AN35" s="118"/>
      <c r="AR35" s="169">
        <v>3</v>
      </c>
      <c r="AS35" s="170" t="str">
        <f t="shared" ref="AS35:BH35" si="26">IF(D75="","",D75)</f>
        <v/>
      </c>
      <c r="AT35" s="171" t="str">
        <f t="shared" si="26"/>
        <v/>
      </c>
      <c r="AU35" s="171" t="str">
        <f t="shared" si="26"/>
        <v/>
      </c>
      <c r="AV35" s="172" t="str">
        <f t="shared" si="26"/>
        <v/>
      </c>
      <c r="AW35" s="170" t="str">
        <f t="shared" si="26"/>
        <v/>
      </c>
      <c r="AX35" s="171" t="str">
        <f t="shared" si="26"/>
        <v/>
      </c>
      <c r="AY35" s="171" t="str">
        <f t="shared" si="26"/>
        <v/>
      </c>
      <c r="AZ35" s="172" t="str">
        <f t="shared" si="26"/>
        <v/>
      </c>
      <c r="BA35" s="170" t="str">
        <f t="shared" si="26"/>
        <v/>
      </c>
      <c r="BB35" s="171" t="str">
        <f t="shared" si="26"/>
        <v/>
      </c>
      <c r="BC35" s="171" t="str">
        <f t="shared" si="26"/>
        <v/>
      </c>
      <c r="BD35" s="172" t="str">
        <f t="shared" si="26"/>
        <v/>
      </c>
      <c r="BE35" s="170" t="str">
        <f t="shared" si="26"/>
        <v/>
      </c>
      <c r="BF35" s="171" t="str">
        <f t="shared" si="26"/>
        <v/>
      </c>
      <c r="BG35" s="171" t="str">
        <f t="shared" si="26"/>
        <v/>
      </c>
      <c r="BH35" s="172" t="str">
        <f t="shared" si="26"/>
        <v/>
      </c>
      <c r="CA35" s="194"/>
      <c r="CB35" s="180" t="s">
        <v>414</v>
      </c>
      <c r="CC35" s="206">
        <f>CC72</f>
        <v>0</v>
      </c>
      <c r="CD35" s="206">
        <f>CD72</f>
        <v>0</v>
      </c>
      <c r="CE35" s="206">
        <f>CE72</f>
        <v>0</v>
      </c>
      <c r="CF35" s="206">
        <f>CF72</f>
        <v>0</v>
      </c>
      <c r="CG35" s="208"/>
      <c r="CH35" s="201"/>
      <c r="CI35" s="180" t="s">
        <v>58</v>
      </c>
      <c r="CJ35" s="207">
        <f>IF(CJ29&gt;0,(AF78-CJ29)/CJ29,0)</f>
        <v>0</v>
      </c>
      <c r="CK35" s="207">
        <f>IF(CK29&gt;0,(AG78-CK29)/CK29,0)</f>
        <v>0</v>
      </c>
      <c r="CL35" s="207">
        <f>IF(CL29&gt;0,(AH78-CL29)/CL29,0)</f>
        <v>0</v>
      </c>
      <c r="CM35" s="207">
        <f>IF(CM29&gt;0,(AI78-CM29)/CM29,0)</f>
        <v>0</v>
      </c>
      <c r="CO35" s="212"/>
      <c r="CR35" s="2" t="s">
        <v>38</v>
      </c>
      <c r="CS35" s="2" t="str">
        <f>比赛参数!$D$28</f>
        <v>300.0</v>
      </c>
      <c r="CT35" s="2" t="str">
        <f>比赛参数!$D$28</f>
        <v>300.0</v>
      </c>
      <c r="CU35" s="2" t="str">
        <f>比赛参数!$D$28</f>
        <v>300.0</v>
      </c>
      <c r="CV35" s="2" t="str">
        <f>比赛参数!$D$28</f>
        <v>300.0</v>
      </c>
      <c r="CZ35" s="2">
        <f>CZ23/CZ17</f>
        <v>-1</v>
      </c>
      <c r="DA35" s="2">
        <f>DA23/DA17</f>
        <v>-1</v>
      </c>
      <c r="DB35" s="2">
        <f>DB23/DB17</f>
        <v>-1</v>
      </c>
      <c r="DC35" s="2">
        <f>DC23/DC17</f>
        <v>-1</v>
      </c>
      <c r="DD35" s="2" t="e">
        <f>SUMPRODUCT(CZ35:DC35,BS14:BV14)/SUM(BS14:BV14)</f>
        <v>#DIV/0!</v>
      </c>
      <c r="DG35" s="2" t="e">
        <f>DG23/DG17</f>
        <v>#DIV/0!</v>
      </c>
      <c r="DH35" s="2" t="e">
        <f>DH23/DH17</f>
        <v>#DIV/0!</v>
      </c>
      <c r="DI35" s="2" t="e">
        <f>DI23/DI17</f>
        <v>#DIV/0!</v>
      </c>
      <c r="DJ35" s="2" t="e">
        <f>DJ23/DJ17</f>
        <v>#DIV/0!</v>
      </c>
      <c r="DK35" s="2" t="e">
        <f>SUMPRODUCT(DG35:DJ35,BS14:BV14)/SUM(BS14:BV14)</f>
        <v>#DIV/0!</v>
      </c>
      <c r="DS35" s="60" t="s">
        <v>21</v>
      </c>
      <c r="DT35" s="147"/>
      <c r="DU35" s="147"/>
      <c r="DV35" s="237"/>
      <c r="DW35" s="60" t="s">
        <v>22</v>
      </c>
      <c r="DX35" s="147"/>
      <c r="DY35" s="147"/>
      <c r="DZ35" s="237"/>
      <c r="EA35" s="141" t="s">
        <v>23</v>
      </c>
      <c r="EB35" s="238"/>
      <c r="EC35" s="238"/>
      <c r="ED35" s="236"/>
      <c r="EE35" s="141" t="s">
        <v>24</v>
      </c>
      <c r="EF35" s="238"/>
      <c r="EG35" s="238"/>
      <c r="EH35" s="236"/>
    </row>
    <row r="36" ht="16.35" customHeight="1" spans="2:138">
      <c r="B36" s="5"/>
      <c r="C36" s="16">
        <v>4</v>
      </c>
      <c r="D36" s="16">
        <v>1</v>
      </c>
      <c r="E36" s="7"/>
      <c r="F36" s="7"/>
      <c r="G36" s="7"/>
      <c r="H36" s="17"/>
      <c r="I36" s="7"/>
      <c r="J36" s="7"/>
      <c r="K36" s="7"/>
      <c r="L36" s="8"/>
      <c r="M36" s="30">
        <f>AI64-AI104</f>
        <v>0</v>
      </c>
      <c r="N36" s="33"/>
      <c r="O36" s="33"/>
      <c r="P36" s="33"/>
      <c r="Q36" s="53"/>
      <c r="U36" s="49"/>
      <c r="V36" s="50"/>
      <c r="W36" s="9">
        <v>10</v>
      </c>
      <c r="X36" s="51" t="e">
        <f t="shared" si="14"/>
        <v>#DIV/0!</v>
      </c>
      <c r="Y36" s="110">
        <f t="shared" si="15"/>
        <v>0</v>
      </c>
      <c r="Z36" s="111" t="e">
        <f t="shared" si="16"/>
        <v>#DIV/0!</v>
      </c>
      <c r="AA36" s="112" t="e">
        <f t="shared" si="17"/>
        <v>#DIV/0!</v>
      </c>
      <c r="AB36" s="113" t="e">
        <f t="shared" si="18"/>
        <v>#DIV/0!</v>
      </c>
      <c r="AC36" s="113">
        <f t="shared" si="19"/>
        <v>0</v>
      </c>
      <c r="AD36" s="114">
        <f t="shared" si="20"/>
        <v>0</v>
      </c>
      <c r="AE36" s="115" t="e">
        <f t="shared" si="21"/>
        <v>#DIV/0!</v>
      </c>
      <c r="AF36" s="116" t="e">
        <f t="shared" si="22"/>
        <v>#DIV/0!</v>
      </c>
      <c r="AG36" s="145" t="e">
        <f t="shared" si="23"/>
        <v>#DIV/0!</v>
      </c>
      <c r="AI36" s="9" t="s">
        <v>40</v>
      </c>
      <c r="AJ36" s="150"/>
      <c r="AK36" s="151" t="str">
        <f>IF(AM36=0,CJ72,IF(AM36=1,CK72-CJ72,IF(AM36=2,CL72-CK72,IF(AM36=3,CM72-CL72,IF(AM36=4,CN72-CM72,0)))))</f>
        <v>300000.0</v>
      </c>
      <c r="AL36" s="39" t="s">
        <v>415</v>
      </c>
      <c r="AM36" s="60">
        <f>INT(第十四期!DV28)</f>
        <v>0</v>
      </c>
      <c r="AN36" s="118"/>
      <c r="AR36" s="169">
        <v>4</v>
      </c>
      <c r="AS36" s="170" t="str">
        <f t="shared" ref="AS36:BH36" si="27">IF(D76="","",D76)</f>
        <v/>
      </c>
      <c r="AT36" s="171" t="str">
        <f t="shared" si="27"/>
        <v/>
      </c>
      <c r="AU36" s="171" t="str">
        <f t="shared" si="27"/>
        <v/>
      </c>
      <c r="AV36" s="172" t="str">
        <f t="shared" si="27"/>
        <v/>
      </c>
      <c r="AW36" s="170" t="str">
        <f t="shared" si="27"/>
        <v/>
      </c>
      <c r="AX36" s="171" t="str">
        <f t="shared" si="27"/>
        <v/>
      </c>
      <c r="AY36" s="171" t="str">
        <f t="shared" si="27"/>
        <v/>
      </c>
      <c r="AZ36" s="172" t="str">
        <f t="shared" si="27"/>
        <v/>
      </c>
      <c r="BA36" s="170" t="str">
        <f t="shared" si="27"/>
        <v/>
      </c>
      <c r="BB36" s="171" t="str">
        <f t="shared" si="27"/>
        <v/>
      </c>
      <c r="BC36" s="171" t="str">
        <f t="shared" si="27"/>
        <v/>
      </c>
      <c r="BD36" s="172" t="str">
        <f t="shared" si="27"/>
        <v/>
      </c>
      <c r="BE36" s="170" t="str">
        <f t="shared" si="27"/>
        <v/>
      </c>
      <c r="BF36" s="171" t="str">
        <f t="shared" si="27"/>
        <v/>
      </c>
      <c r="BG36" s="171" t="str">
        <f t="shared" si="27"/>
        <v/>
      </c>
      <c r="BH36" s="172" t="str">
        <f t="shared" si="27"/>
        <v/>
      </c>
      <c r="CA36" s="194"/>
      <c r="CB36" s="197"/>
      <c r="CC36" s="197"/>
      <c r="CD36" s="197"/>
      <c r="CE36" s="197"/>
      <c r="CF36" s="197"/>
      <c r="CG36" s="201"/>
      <c r="CH36" s="201"/>
      <c r="CI36" s="180" t="s">
        <v>59</v>
      </c>
      <c r="CJ36" s="207">
        <f>IF(CJ30&gt;0,(AF79-CJ30)/CJ30,0)</f>
        <v>0</v>
      </c>
      <c r="CK36" s="207">
        <f>IF(CK30&gt;0,(AG79-CK30)/CK30,0)</f>
        <v>0</v>
      </c>
      <c r="CL36" s="207">
        <f>IF(CL30&gt;0,(AH79-CL30)/CL30,0)</f>
        <v>0</v>
      </c>
      <c r="CM36" s="207">
        <f>IF(CM30&gt;0,(AI79-CM30)/CM30,0)</f>
        <v>0</v>
      </c>
      <c r="CO36" s="212"/>
      <c r="CR36" s="2" t="s">
        <v>39</v>
      </c>
      <c r="CS36" s="2" t="str">
        <f>比赛参数!$E$28</f>
        <v>1200.0</v>
      </c>
      <c r="CT36" s="2" t="str">
        <f>比赛参数!$E$28</f>
        <v>1200.0</v>
      </c>
      <c r="CU36" s="2" t="str">
        <f>比赛参数!$E$28</f>
        <v>1200.0</v>
      </c>
      <c r="CV36" s="2" t="str">
        <f>比赛参数!$E$28</f>
        <v>1200.0</v>
      </c>
      <c r="CZ36" s="2">
        <f>CZ24/CZ18</f>
        <v>-1</v>
      </c>
      <c r="DA36" s="2">
        <f>DA24/DA18</f>
        <v>-1</v>
      </c>
      <c r="DB36" s="2">
        <f>DB24/DB18</f>
        <v>-1</v>
      </c>
      <c r="DC36" s="2">
        <f>DC24/DC18</f>
        <v>-1</v>
      </c>
      <c r="DD36" s="2" t="e">
        <f>SUMPRODUCT(CZ36:DC36,BS15:BV15)/SUM(BS15:BV15)</f>
        <v>#DIV/0!</v>
      </c>
      <c r="DG36" s="2" t="e">
        <f>DG24/DG18</f>
        <v>#DIV/0!</v>
      </c>
      <c r="DH36" s="2" t="e">
        <f>DH24/DH18</f>
        <v>#DIV/0!</v>
      </c>
      <c r="DI36" s="2" t="e">
        <f>DI24/DI18</f>
        <v>#DIV/0!</v>
      </c>
      <c r="DJ36" s="2" t="e">
        <f>DJ24/DJ18</f>
        <v>#DIV/0!</v>
      </c>
      <c r="DK36" s="2" t="e">
        <f>SUMPRODUCT(DG36:DJ36,BS15:BV15)/SUM(BS15:BV15)</f>
        <v>#DIV/0!</v>
      </c>
      <c r="DS36" s="60" t="s">
        <v>56</v>
      </c>
      <c r="DT36" s="60" t="s">
        <v>57</v>
      </c>
      <c r="DU36" s="60" t="s">
        <v>58</v>
      </c>
      <c r="DV36" s="60" t="s">
        <v>59</v>
      </c>
      <c r="DW36" s="60" t="s">
        <v>56</v>
      </c>
      <c r="DX36" s="60" t="s">
        <v>57</v>
      </c>
      <c r="DY36" s="60" t="s">
        <v>58</v>
      </c>
      <c r="DZ36" s="60" t="s">
        <v>59</v>
      </c>
      <c r="EA36" s="60" t="s">
        <v>56</v>
      </c>
      <c r="EB36" s="60" t="s">
        <v>57</v>
      </c>
      <c r="EC36" s="60" t="s">
        <v>58</v>
      </c>
      <c r="ED36" s="60" t="s">
        <v>59</v>
      </c>
      <c r="EE36" s="60" t="s">
        <v>56</v>
      </c>
      <c r="EF36" s="60" t="s">
        <v>57</v>
      </c>
      <c r="EG36" s="60" t="s">
        <v>58</v>
      </c>
      <c r="EH36" s="60" t="s">
        <v>59</v>
      </c>
    </row>
    <row r="37" ht="17.1" customHeight="1" spans="2:138">
      <c r="B37" s="5"/>
      <c r="C37" s="16">
        <v>4</v>
      </c>
      <c r="D37" s="16">
        <v>2</v>
      </c>
      <c r="E37" s="7"/>
      <c r="F37" s="7"/>
      <c r="G37" s="7"/>
      <c r="H37" s="17"/>
      <c r="I37" s="7"/>
      <c r="J37" s="7"/>
      <c r="K37" s="7"/>
      <c r="L37" s="8"/>
      <c r="M37" s="30">
        <f>AI65-AI105</f>
        <v>0</v>
      </c>
      <c r="N37" s="33"/>
      <c r="O37" s="33"/>
      <c r="P37" s="33"/>
      <c r="Q37" s="53"/>
      <c r="U37" s="49"/>
      <c r="V37" s="50"/>
      <c r="W37" s="9">
        <v>11</v>
      </c>
      <c r="X37" s="51" t="e">
        <f t="shared" si="14"/>
        <v>#DIV/0!</v>
      </c>
      <c r="Y37" s="110">
        <f t="shared" si="15"/>
        <v>0</v>
      </c>
      <c r="Z37" s="111" t="e">
        <f t="shared" si="16"/>
        <v>#DIV/0!</v>
      </c>
      <c r="AA37" s="112" t="e">
        <f t="shared" si="17"/>
        <v>#DIV/0!</v>
      </c>
      <c r="AB37" s="113" t="e">
        <f t="shared" si="18"/>
        <v>#DIV/0!</v>
      </c>
      <c r="AC37" s="113">
        <f t="shared" si="19"/>
        <v>0</v>
      </c>
      <c r="AD37" s="114">
        <f t="shared" si="20"/>
        <v>0</v>
      </c>
      <c r="AE37" s="115" t="e">
        <f t="shared" si="21"/>
        <v>#DIV/0!</v>
      </c>
      <c r="AF37" s="116" t="e">
        <f t="shared" si="22"/>
        <v>#DIV/0!</v>
      </c>
      <c r="AG37" s="145" t="e">
        <f t="shared" si="23"/>
        <v>#DIV/0!</v>
      </c>
      <c r="AI37" s="9" t="s">
        <v>41</v>
      </c>
      <c r="AJ37" s="150"/>
      <c r="AK37" s="151" t="str">
        <f>IF(AM37=0,CJ73,IF(AM37=1,CK73-CJ73,IF(AM37=2,CL73-CK73,IF(AM37=3,CM73-CL73,IF(AM37=4,CN73-CM73,0)))))</f>
        <v>500000.0</v>
      </c>
      <c r="AL37" s="141">
        <f>SUM(AJ34:AJ37)</f>
        <v>0</v>
      </c>
      <c r="AM37" s="60">
        <f>INT(第十四期!DV29)</f>
        <v>0</v>
      </c>
      <c r="AN37" s="118"/>
      <c r="AR37" s="169">
        <v>5</v>
      </c>
      <c r="AS37" s="170" t="str">
        <f t="shared" ref="AS37:BH37" si="28">IF(D77="","",D77)</f>
        <v/>
      </c>
      <c r="AT37" s="171" t="str">
        <f t="shared" si="28"/>
        <v/>
      </c>
      <c r="AU37" s="171" t="str">
        <f t="shared" si="28"/>
        <v/>
      </c>
      <c r="AV37" s="172" t="str">
        <f t="shared" si="28"/>
        <v/>
      </c>
      <c r="AW37" s="170" t="str">
        <f t="shared" si="28"/>
        <v/>
      </c>
      <c r="AX37" s="171" t="str">
        <f t="shared" si="28"/>
        <v/>
      </c>
      <c r="AY37" s="171" t="str">
        <f t="shared" si="28"/>
        <v/>
      </c>
      <c r="AZ37" s="172" t="str">
        <f t="shared" si="28"/>
        <v/>
      </c>
      <c r="BA37" s="170" t="str">
        <f t="shared" si="28"/>
        <v/>
      </c>
      <c r="BB37" s="171" t="str">
        <f t="shared" si="28"/>
        <v/>
      </c>
      <c r="BC37" s="171" t="str">
        <f t="shared" si="28"/>
        <v/>
      </c>
      <c r="BD37" s="172" t="str">
        <f t="shared" si="28"/>
        <v/>
      </c>
      <c r="BE37" s="170" t="str">
        <f t="shared" si="28"/>
        <v/>
      </c>
      <c r="BF37" s="171" t="str">
        <f t="shared" si="28"/>
        <v/>
      </c>
      <c r="BG37" s="171" t="str">
        <f t="shared" si="28"/>
        <v/>
      </c>
      <c r="BH37" s="172" t="str">
        <f t="shared" si="28"/>
        <v/>
      </c>
      <c r="CA37" s="194"/>
      <c r="CB37" s="195" t="s">
        <v>416</v>
      </c>
      <c r="CC37" s="209" t="s">
        <v>38</v>
      </c>
      <c r="CD37" s="209" t="s">
        <v>39</v>
      </c>
      <c r="CE37" s="209" t="s">
        <v>40</v>
      </c>
      <c r="CF37" s="209" t="s">
        <v>41</v>
      </c>
      <c r="CG37" s="119"/>
      <c r="CH37" s="201"/>
      <c r="CI37" s="50"/>
      <c r="CJ37" s="50"/>
      <c r="CK37" s="50"/>
      <c r="CL37" s="50"/>
      <c r="CM37" s="50"/>
      <c r="CO37" s="212"/>
      <c r="CR37" s="2" t="s">
        <v>40</v>
      </c>
      <c r="CS37" s="2" t="str">
        <f>比赛参数!$F$28</f>
        <v>2200.0</v>
      </c>
      <c r="CT37" s="2" t="str">
        <f>比赛参数!$F$28</f>
        <v>2200.0</v>
      </c>
      <c r="CU37" s="2" t="str">
        <f>比赛参数!$F$28</f>
        <v>2200.0</v>
      </c>
      <c r="CV37" s="2" t="str">
        <f>比赛参数!$F$28</f>
        <v>2200.0</v>
      </c>
      <c r="CZ37" s="2">
        <f>CZ25/CZ19</f>
        <v>-1</v>
      </c>
      <c r="DA37" s="2">
        <f>DA25/DA19</f>
        <v>-1</v>
      </c>
      <c r="DB37" s="2">
        <f>DB25/DB19</f>
        <v>-1</v>
      </c>
      <c r="DC37" s="2">
        <f>DC25/DC19</f>
        <v>-1</v>
      </c>
      <c r="DD37" s="2" t="e">
        <f>SUMPRODUCT(CZ37:DC37,BS16:BV16)/SUM(BS16:BV16)</f>
        <v>#DIV/0!</v>
      </c>
      <c r="DG37" s="2" t="e">
        <f>DG25/DG19</f>
        <v>#DIV/0!</v>
      </c>
      <c r="DH37" s="2" t="e">
        <f>DH25/DH19</f>
        <v>#DIV/0!</v>
      </c>
      <c r="DI37" s="2" t="e">
        <f>DI25/DI19</f>
        <v>#DIV/0!</v>
      </c>
      <c r="DJ37" s="2" t="e">
        <f>DJ25/DJ19</f>
        <v>#DIV/0!</v>
      </c>
      <c r="DK37" s="2" t="e">
        <f>SUMPRODUCT(DG37:DJ37,BS16:BV16)/SUM(BS16:BV16)</f>
        <v>#DIV/0!</v>
      </c>
      <c r="DS37" s="35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5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>0</v>
      </c>
      <c r="DU37" s="35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>0</v>
      </c>
      <c r="DV37" s="35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>0</v>
      </c>
      <c r="DW37" s="35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>0</v>
      </c>
      <c r="DX37" s="35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>0</v>
      </c>
      <c r="DY37" s="35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>0</v>
      </c>
      <c r="DZ37" s="35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>0</v>
      </c>
      <c r="EA37" s="35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>0</v>
      </c>
      <c r="EB37" s="35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>0</v>
      </c>
      <c r="EC37" s="35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>0</v>
      </c>
      <c r="ED37" s="35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>0</v>
      </c>
      <c r="EE37" s="35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>0</v>
      </c>
      <c r="EF37" s="35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>0</v>
      </c>
      <c r="EG37" s="35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>0</v>
      </c>
      <c r="EH37" s="35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>0</v>
      </c>
    </row>
    <row r="38" ht="17.1" customHeight="1" spans="2:115">
      <c r="B38" s="5"/>
      <c r="C38" s="16">
        <v>4</v>
      </c>
      <c r="D38" s="16">
        <v>3</v>
      </c>
      <c r="E38" s="7"/>
      <c r="F38" s="7"/>
      <c r="G38" s="7"/>
      <c r="H38" s="17"/>
      <c r="I38" s="7"/>
      <c r="J38" s="7"/>
      <c r="K38" s="7"/>
      <c r="L38" s="8"/>
      <c r="M38" s="30">
        <f>AI66-AI106</f>
        <v>0</v>
      </c>
      <c r="N38" s="33"/>
      <c r="O38" s="33"/>
      <c r="P38" s="33"/>
      <c r="Q38" s="53"/>
      <c r="U38" s="49"/>
      <c r="V38" s="50"/>
      <c r="W38" s="9">
        <v>12</v>
      </c>
      <c r="X38" s="51" t="e">
        <f t="shared" si="14"/>
        <v>#DIV/0!</v>
      </c>
      <c r="Y38" s="110">
        <f t="shared" si="15"/>
        <v>0</v>
      </c>
      <c r="Z38" s="111" t="e">
        <f t="shared" si="16"/>
        <v>#DIV/0!</v>
      </c>
      <c r="AA38" s="112" t="e">
        <f t="shared" si="17"/>
        <v>#DIV/0!</v>
      </c>
      <c r="AB38" s="113" t="e">
        <f t="shared" si="18"/>
        <v>#DIV/0!</v>
      </c>
      <c r="AC38" s="113">
        <f t="shared" si="19"/>
        <v>0</v>
      </c>
      <c r="AD38" s="114">
        <f t="shared" si="20"/>
        <v>0</v>
      </c>
      <c r="AE38" s="115" t="e">
        <f t="shared" si="21"/>
        <v>#DIV/0!</v>
      </c>
      <c r="AF38" s="116" t="e">
        <f t="shared" si="22"/>
        <v>#DIV/0!</v>
      </c>
      <c r="AG38" s="145" t="e">
        <f t="shared" si="23"/>
        <v>#DIV/0!</v>
      </c>
      <c r="AR38" s="169">
        <v>6</v>
      </c>
      <c r="AS38" s="170" t="str">
        <f t="shared" ref="AS38:BH38" si="29">IF(D78="","",D78)</f>
        <v/>
      </c>
      <c r="AT38" s="171" t="str">
        <f t="shared" si="29"/>
        <v/>
      </c>
      <c r="AU38" s="171" t="str">
        <f t="shared" si="29"/>
        <v/>
      </c>
      <c r="AV38" s="172" t="str">
        <f t="shared" si="29"/>
        <v/>
      </c>
      <c r="AW38" s="170" t="str">
        <f t="shared" si="29"/>
        <v/>
      </c>
      <c r="AX38" s="171" t="str">
        <f t="shared" si="29"/>
        <v/>
      </c>
      <c r="AY38" s="171" t="str">
        <f t="shared" si="29"/>
        <v/>
      </c>
      <c r="AZ38" s="172" t="str">
        <f t="shared" si="29"/>
        <v/>
      </c>
      <c r="BA38" s="170" t="str">
        <f t="shared" si="29"/>
        <v/>
      </c>
      <c r="BB38" s="171" t="str">
        <f t="shared" si="29"/>
        <v/>
      </c>
      <c r="BC38" s="171" t="str">
        <f t="shared" si="29"/>
        <v/>
      </c>
      <c r="BD38" s="172" t="str">
        <f t="shared" si="29"/>
        <v/>
      </c>
      <c r="BE38" s="170" t="str">
        <f t="shared" si="29"/>
        <v/>
      </c>
      <c r="BF38" s="171" t="str">
        <f t="shared" si="29"/>
        <v/>
      </c>
      <c r="BG38" s="171" t="str">
        <f t="shared" si="29"/>
        <v/>
      </c>
      <c r="BH38" s="172" t="str">
        <f t="shared" si="29"/>
        <v/>
      </c>
      <c r="CA38" s="194"/>
      <c r="CB38" s="181" t="s">
        <v>56</v>
      </c>
      <c r="CC38" s="102">
        <f>第十四期!DG56*第十四期!DG50+第十四期!DG64*第十四期!Y88</f>
        <v>0</v>
      </c>
      <c r="CD38" s="102">
        <f>第十四期!DH56*第十四期!DH50+第十四期!DH64*第十四期!Z88</f>
        <v>0</v>
      </c>
      <c r="CE38" s="102">
        <f>第十四期!DI56*第十四期!DI50+第十四期!DI64*第十四期!AA88</f>
        <v>0</v>
      </c>
      <c r="CF38" s="102">
        <f>第十四期!DJ56*第十四期!DJ50+第十四期!DJ64*第十四期!AB88</f>
        <v>0</v>
      </c>
      <c r="CG38" s="119"/>
      <c r="CH38" s="201"/>
      <c r="CI38" s="50"/>
      <c r="CJ38" s="50"/>
      <c r="CK38" s="50"/>
      <c r="CL38" s="50"/>
      <c r="CM38" s="50"/>
      <c r="CO38" s="212"/>
      <c r="CR38" s="2" t="s">
        <v>41</v>
      </c>
      <c r="CS38" s="2" t="str">
        <f>比赛参数!$G$28</f>
        <v>3200.0</v>
      </c>
      <c r="CT38" s="2" t="str">
        <f>比赛参数!$G$28</f>
        <v>3200.0</v>
      </c>
      <c r="CU38" s="2" t="str">
        <f>比赛参数!$G$28</f>
        <v>3200.0</v>
      </c>
      <c r="CV38" s="2" t="str">
        <f>比赛参数!$G$28</f>
        <v>3200.0</v>
      </c>
      <c r="CZ38" s="2">
        <f>CZ26/CZ20</f>
        <v>-1</v>
      </c>
      <c r="DA38" s="2">
        <f>DA26/DA20</f>
        <v>-1</v>
      </c>
      <c r="DB38" s="2">
        <f>DB26/DB20</f>
        <v>-1</v>
      </c>
      <c r="DC38" s="2">
        <f>DC26/DC20</f>
        <v>-1</v>
      </c>
      <c r="DD38" s="2" t="e">
        <f>SUMPRODUCT(CZ38:DC38,BS17:BV17)/SUM(BS17:BV17)</f>
        <v>#DIV/0!</v>
      </c>
      <c r="DG38" s="2" t="e">
        <f>DG26/DG20</f>
        <v>#DIV/0!</v>
      </c>
      <c r="DH38" s="2" t="e">
        <f>DH26/DH20</f>
        <v>#DIV/0!</v>
      </c>
      <c r="DI38" s="2" t="e">
        <f>DI26/DI20</f>
        <v>#DIV/0!</v>
      </c>
      <c r="DJ38" s="2" t="e">
        <f>DJ26/DJ20</f>
        <v>#DIV/0!</v>
      </c>
      <c r="DK38" s="2" t="e">
        <f>SUMPRODUCT(DG38:DJ38,BS17:BV17)/SUM(BS17:BV17)</f>
        <v>#DIV/0!</v>
      </c>
    </row>
    <row r="39" ht="17.1" customHeight="1" spans="2:93">
      <c r="B39" s="5"/>
      <c r="C39" s="16">
        <v>4</v>
      </c>
      <c r="D39" s="16">
        <v>4</v>
      </c>
      <c r="E39" s="7"/>
      <c r="F39" s="7"/>
      <c r="G39" s="7"/>
      <c r="H39" s="17"/>
      <c r="I39" s="7"/>
      <c r="J39" s="7"/>
      <c r="K39" s="7"/>
      <c r="L39" s="8"/>
      <c r="M39" s="30">
        <f>AI67-AI107</f>
        <v>0</v>
      </c>
      <c r="N39" s="33"/>
      <c r="O39" s="33"/>
      <c r="P39" s="33"/>
      <c r="Q39" s="53"/>
      <c r="U39" s="49"/>
      <c r="V39" s="50"/>
      <c r="W39" s="9">
        <v>13</v>
      </c>
      <c r="X39" s="51" t="e">
        <f t="shared" si="14"/>
        <v>#DIV/0!</v>
      </c>
      <c r="Y39" s="110">
        <f t="shared" si="15"/>
        <v>0</v>
      </c>
      <c r="Z39" s="111" t="e">
        <f t="shared" si="16"/>
        <v>#DIV/0!</v>
      </c>
      <c r="AA39" s="112" t="e">
        <f t="shared" si="17"/>
        <v>#DIV/0!</v>
      </c>
      <c r="AB39" s="113" t="e">
        <f t="shared" si="18"/>
        <v>#DIV/0!</v>
      </c>
      <c r="AC39" s="113">
        <f t="shared" si="19"/>
        <v>0</v>
      </c>
      <c r="AD39" s="114">
        <f t="shared" si="20"/>
        <v>0</v>
      </c>
      <c r="AE39" s="115" t="e">
        <f t="shared" si="21"/>
        <v>#DIV/0!</v>
      </c>
      <c r="AF39" s="116" t="e">
        <f t="shared" si="22"/>
        <v>#DIV/0!</v>
      </c>
      <c r="AG39" s="145" t="e">
        <f t="shared" si="23"/>
        <v>#DIV/0!</v>
      </c>
      <c r="AI39" s="43" t="s">
        <v>44</v>
      </c>
      <c r="AJ39" s="55" t="s">
        <v>45</v>
      </c>
      <c r="AK39" s="55" t="s">
        <v>46</v>
      </c>
      <c r="AL39" s="68" t="s">
        <v>47</v>
      </c>
      <c r="AM39" s="68" t="s">
        <v>48</v>
      </c>
      <c r="AN39" s="68" t="s">
        <v>49</v>
      </c>
      <c r="AR39" s="169">
        <v>7</v>
      </c>
      <c r="AS39" s="170" t="str">
        <f t="shared" ref="AS39:BH39" si="30">IF(D79="","",D79)</f>
        <v/>
      </c>
      <c r="AT39" s="171" t="str">
        <f t="shared" si="30"/>
        <v/>
      </c>
      <c r="AU39" s="171" t="str">
        <f t="shared" si="30"/>
        <v/>
      </c>
      <c r="AV39" s="172" t="str">
        <f t="shared" si="30"/>
        <v/>
      </c>
      <c r="AW39" s="170" t="str">
        <f t="shared" si="30"/>
        <v/>
      </c>
      <c r="AX39" s="171" t="str">
        <f t="shared" si="30"/>
        <v/>
      </c>
      <c r="AY39" s="171" t="str">
        <f t="shared" si="30"/>
        <v/>
      </c>
      <c r="AZ39" s="172" t="str">
        <f t="shared" si="30"/>
        <v/>
      </c>
      <c r="BA39" s="170" t="str">
        <f t="shared" si="30"/>
        <v/>
      </c>
      <c r="BB39" s="171" t="str">
        <f t="shared" si="30"/>
        <v/>
      </c>
      <c r="BC39" s="171" t="str">
        <f t="shared" si="30"/>
        <v/>
      </c>
      <c r="BD39" s="172" t="str">
        <f t="shared" si="30"/>
        <v/>
      </c>
      <c r="BE39" s="170" t="str">
        <f t="shared" si="30"/>
        <v/>
      </c>
      <c r="BF39" s="171" t="str">
        <f t="shared" si="30"/>
        <v/>
      </c>
      <c r="BG39" s="171" t="str">
        <f t="shared" si="30"/>
        <v/>
      </c>
      <c r="BH39" s="172" t="str">
        <f t="shared" si="30"/>
        <v/>
      </c>
      <c r="CA39" s="194"/>
      <c r="CB39" s="180" t="s">
        <v>57</v>
      </c>
      <c r="CC39" s="102">
        <f>第十四期!DG57*第十四期!DG51+第十四期!DG65*第十四期!Y89</f>
        <v>0</v>
      </c>
      <c r="CD39" s="102">
        <f>第十四期!DH57*第十四期!DH51+第十四期!DH65*第十四期!Z89</f>
        <v>0</v>
      </c>
      <c r="CE39" s="102">
        <f>第十四期!DI57*第十四期!DI51+第十四期!DI65*第十四期!AA89</f>
        <v>0</v>
      </c>
      <c r="CF39" s="102">
        <f>第十四期!DJ57*第十四期!DJ51+第十四期!DJ65*第十四期!AB89</f>
        <v>0</v>
      </c>
      <c r="CG39" s="119"/>
      <c r="CH39" s="201"/>
      <c r="CI39" s="50"/>
      <c r="CJ39" s="50"/>
      <c r="CK39" s="50"/>
      <c r="CL39" s="50"/>
      <c r="CM39" s="50"/>
      <c r="CO39" s="212"/>
    </row>
    <row r="40" ht="17.1" customHeight="1" spans="3:110">
      <c r="C40" s="13"/>
      <c r="D40" s="13"/>
      <c r="E40" s="13"/>
      <c r="F40" s="13"/>
      <c r="G40" s="13"/>
      <c r="H40" s="13"/>
      <c r="I40" s="13"/>
      <c r="J40" s="13"/>
      <c r="K40" s="13"/>
      <c r="M40" s="28"/>
      <c r="N40" s="33"/>
      <c r="O40" s="33"/>
      <c r="P40" s="33"/>
      <c r="Q40" s="42"/>
      <c r="U40" s="49"/>
      <c r="V40" s="50"/>
      <c r="W40" s="9">
        <v>14</v>
      </c>
      <c r="X40" s="51" t="e">
        <f t="shared" si="14"/>
        <v>#DIV/0!</v>
      </c>
      <c r="Y40" s="110">
        <f t="shared" si="15"/>
        <v>0</v>
      </c>
      <c r="Z40" s="111" t="e">
        <f t="shared" si="16"/>
        <v>#DIV/0!</v>
      </c>
      <c r="AA40" s="112" t="e">
        <f t="shared" si="17"/>
        <v>#DIV/0!</v>
      </c>
      <c r="AB40" s="113" t="e">
        <f t="shared" si="18"/>
        <v>#DIV/0!</v>
      </c>
      <c r="AC40" s="113">
        <f t="shared" si="19"/>
        <v>0</v>
      </c>
      <c r="AD40" s="114">
        <f t="shared" si="20"/>
        <v>0</v>
      </c>
      <c r="AE40" s="115" t="e">
        <f t="shared" si="21"/>
        <v>#DIV/0!</v>
      </c>
      <c r="AF40" s="116" t="e">
        <f t="shared" si="22"/>
        <v>#DIV/0!</v>
      </c>
      <c r="AG40" s="145" t="e">
        <f t="shared" si="23"/>
        <v>#DIV/0!</v>
      </c>
      <c r="AI40" s="59" t="s">
        <v>21</v>
      </c>
      <c r="AJ40" s="153" t="str">
        <f>IF($AM$34=1,CJ70+0.0001,比赛参数!D52)</f>
        <v>100000.0</v>
      </c>
      <c r="AK40" s="153" t="str">
        <f>IF($AM$34=2,CK70+0.0001,比赛参数!E52)</f>
        <v>220000.0</v>
      </c>
      <c r="AL40" s="153" t="str">
        <f>IF($AM$34=3,CL70+0.0001,比赛参数!F52)</f>
        <v>350000.0</v>
      </c>
      <c r="AM40" s="153" t="str">
        <f>IF($AM$34=4,CM70+0.0001,比赛参数!G52)</f>
        <v>450000.0</v>
      </c>
      <c r="AN40" s="153" t="str">
        <f>IF($AM$34=5,CN70+0.0001,比赛参数!H52)</f>
        <v>550000.0</v>
      </c>
      <c r="AR40" s="169">
        <v>8</v>
      </c>
      <c r="AS40" s="170" t="str">
        <f t="shared" ref="AS40:BH40" si="31">IF(D80="","",D80)</f>
        <v/>
      </c>
      <c r="AT40" s="171" t="str">
        <f t="shared" si="31"/>
        <v/>
      </c>
      <c r="AU40" s="171" t="str">
        <f t="shared" si="31"/>
        <v/>
      </c>
      <c r="AV40" s="172" t="str">
        <f t="shared" si="31"/>
        <v/>
      </c>
      <c r="AW40" s="170" t="str">
        <f t="shared" si="31"/>
        <v/>
      </c>
      <c r="AX40" s="171" t="str">
        <f t="shared" si="31"/>
        <v/>
      </c>
      <c r="AY40" s="171" t="str">
        <f t="shared" si="31"/>
        <v/>
      </c>
      <c r="AZ40" s="172" t="str">
        <f t="shared" si="31"/>
        <v/>
      </c>
      <c r="BA40" s="170" t="str">
        <f t="shared" si="31"/>
        <v/>
      </c>
      <c r="BB40" s="171" t="str">
        <f t="shared" si="31"/>
        <v/>
      </c>
      <c r="BC40" s="171" t="str">
        <f t="shared" si="31"/>
        <v/>
      </c>
      <c r="BD40" s="172" t="str">
        <f t="shared" si="31"/>
        <v/>
      </c>
      <c r="BE40" s="170" t="str">
        <f t="shared" si="31"/>
        <v/>
      </c>
      <c r="BF40" s="171" t="str">
        <f t="shared" si="31"/>
        <v/>
      </c>
      <c r="BG40" s="171" t="str">
        <f t="shared" si="31"/>
        <v/>
      </c>
      <c r="BH40" s="172" t="str">
        <f t="shared" si="31"/>
        <v/>
      </c>
      <c r="CA40" s="194"/>
      <c r="CB40" s="180" t="s">
        <v>58</v>
      </c>
      <c r="CC40" s="102">
        <f>第十四期!DG58*第十四期!DG52+第十四期!DG66*第十四期!Y90</f>
        <v>0</v>
      </c>
      <c r="CD40" s="102">
        <f>第十四期!DH58*第十四期!DH52+第十四期!DH66*第十四期!Z90</f>
        <v>0</v>
      </c>
      <c r="CE40" s="102">
        <f>第十四期!DI58*第十四期!DI52+第十四期!DI66*第十四期!AA90</f>
        <v>0</v>
      </c>
      <c r="CF40" s="102">
        <f>第十四期!DJ58*第十四期!DJ52+第十四期!DJ66*第十四期!AB90</f>
        <v>0</v>
      </c>
      <c r="CG40" s="120"/>
      <c r="CH40" s="201"/>
      <c r="CI40" s="50"/>
      <c r="CJ40" s="50"/>
      <c r="CK40" s="50"/>
      <c r="CL40" s="50"/>
      <c r="CM40" s="50"/>
      <c r="CO40" s="212"/>
      <c r="CR40" s="2" t="s">
        <v>417</v>
      </c>
      <c r="CS40" s="2" t="s">
        <v>56</v>
      </c>
      <c r="CT40" s="2" t="s">
        <v>57</v>
      </c>
      <c r="CU40" s="2" t="s">
        <v>58</v>
      </c>
      <c r="CV40" s="2" t="s">
        <v>59</v>
      </c>
      <c r="DF40" s="2" t="s">
        <v>249</v>
      </c>
    </row>
    <row r="41" ht="16.35" customHeight="1" spans="3:115">
      <c r="C41" s="14" t="s">
        <v>261</v>
      </c>
      <c r="D41" s="15" t="s">
        <v>256</v>
      </c>
      <c r="E41" s="15" t="s">
        <v>418</v>
      </c>
      <c r="F41" s="15" t="s">
        <v>43</v>
      </c>
      <c r="G41" s="15" t="s">
        <v>410</v>
      </c>
      <c r="H41" s="18" t="s">
        <v>218</v>
      </c>
      <c r="I41" s="8"/>
      <c r="M41" s="28"/>
      <c r="N41" s="30" t="s">
        <v>261</v>
      </c>
      <c r="O41" s="30" t="s">
        <v>256</v>
      </c>
      <c r="P41" s="30" t="s">
        <v>418</v>
      </c>
      <c r="Q41" s="42"/>
      <c r="U41" s="49"/>
      <c r="V41" s="50"/>
      <c r="W41" s="9">
        <v>15</v>
      </c>
      <c r="X41" s="51" t="e">
        <f t="shared" si="14"/>
        <v>#DIV/0!</v>
      </c>
      <c r="Y41" s="110">
        <f t="shared" si="15"/>
        <v>0</v>
      </c>
      <c r="Z41" s="111" t="e">
        <f t="shared" si="16"/>
        <v>#DIV/0!</v>
      </c>
      <c r="AA41" s="112" t="e">
        <f t="shared" si="17"/>
        <v>#DIV/0!</v>
      </c>
      <c r="AB41" s="113" t="e">
        <f t="shared" si="18"/>
        <v>#DIV/0!</v>
      </c>
      <c r="AC41" s="113">
        <f t="shared" si="19"/>
        <v>0</v>
      </c>
      <c r="AD41" s="114">
        <f t="shared" si="20"/>
        <v>0</v>
      </c>
      <c r="AE41" s="115" t="e">
        <f t="shared" si="21"/>
        <v>#DIV/0!</v>
      </c>
      <c r="AF41" s="116" t="e">
        <f t="shared" si="22"/>
        <v>#DIV/0!</v>
      </c>
      <c r="AG41" s="145" t="e">
        <f t="shared" si="23"/>
        <v>#DIV/0!</v>
      </c>
      <c r="AI41" s="9" t="s">
        <v>22</v>
      </c>
      <c r="AJ41" s="153" t="str">
        <f>IF($AM$35=1,CJ71+0.0001,比赛参数!D53)</f>
        <v>200000.0</v>
      </c>
      <c r="AK41" s="153" t="str">
        <f>IF($AM$35=2,CK71+0.0001,比赛参数!E53)</f>
        <v>350000.0</v>
      </c>
      <c r="AL41" s="153" t="str">
        <f>IF($AM$35=3,CL71+0.0001,比赛参数!F53)</f>
        <v>500000.0</v>
      </c>
      <c r="AM41" s="153" t="str">
        <f>IF($AM$35=4,CM71+0.0001,比赛参数!G53)</f>
        <v>650000.0</v>
      </c>
      <c r="AN41" s="153" t="str">
        <f>IF($AM$35=5,CN71+0.0001,比赛参数!H53)</f>
        <v>700000.0</v>
      </c>
      <c r="AR41" s="169">
        <v>9</v>
      </c>
      <c r="AS41" s="170" t="str">
        <f t="shared" ref="AS41:BH41" si="32">IF(D81="","",D81)</f>
        <v/>
      </c>
      <c r="AT41" s="171" t="str">
        <f t="shared" si="32"/>
        <v/>
      </c>
      <c r="AU41" s="171" t="str">
        <f t="shared" si="32"/>
        <v/>
      </c>
      <c r="AV41" s="172" t="str">
        <f t="shared" si="32"/>
        <v/>
      </c>
      <c r="AW41" s="170" t="str">
        <f t="shared" si="32"/>
        <v/>
      </c>
      <c r="AX41" s="171" t="str">
        <f t="shared" si="32"/>
        <v/>
      </c>
      <c r="AY41" s="171" t="str">
        <f t="shared" si="32"/>
        <v/>
      </c>
      <c r="AZ41" s="172" t="str">
        <f t="shared" si="32"/>
        <v/>
      </c>
      <c r="BA41" s="170" t="str">
        <f t="shared" si="32"/>
        <v/>
      </c>
      <c r="BB41" s="171" t="str">
        <f t="shared" si="32"/>
        <v/>
      </c>
      <c r="BC41" s="171" t="str">
        <f t="shared" si="32"/>
        <v/>
      </c>
      <c r="BD41" s="172" t="str">
        <f t="shared" si="32"/>
        <v/>
      </c>
      <c r="BE41" s="170" t="str">
        <f t="shared" si="32"/>
        <v/>
      </c>
      <c r="BF41" s="171" t="str">
        <f t="shared" si="32"/>
        <v/>
      </c>
      <c r="BG41" s="171" t="str">
        <f t="shared" si="32"/>
        <v/>
      </c>
      <c r="BH41" s="172" t="str">
        <f t="shared" si="32"/>
        <v/>
      </c>
      <c r="CA41" s="194"/>
      <c r="CB41" s="180" t="s">
        <v>59</v>
      </c>
      <c r="CC41" s="102">
        <f>第十四期!DG59*第十四期!DG53+第十四期!DG67*第十四期!Y91</f>
        <v>0</v>
      </c>
      <c r="CD41" s="102">
        <f>第十四期!DH59*第十四期!DH53+第十四期!DH67*第十四期!Z91</f>
        <v>0</v>
      </c>
      <c r="CE41" s="102">
        <f>第十四期!DI59*第十四期!DI53+第十四期!DI67*第十四期!AA91</f>
        <v>0</v>
      </c>
      <c r="CF41" s="102">
        <f>第十四期!DJ59*第十四期!DJ53+第十四期!DJ67*第十四期!AB91</f>
        <v>0</v>
      </c>
      <c r="CG41" s="102" t="s">
        <v>419</v>
      </c>
      <c r="CH41" s="201"/>
      <c r="CI41" s="50"/>
      <c r="CJ41" s="50"/>
      <c r="CK41" s="50"/>
      <c r="CL41" s="50"/>
      <c r="CM41" s="50"/>
      <c r="CO41" s="212"/>
      <c r="CR41" s="2" t="s">
        <v>38</v>
      </c>
      <c r="CS41" s="2" t="str">
        <f>比赛参数!D13</f>
        <v>83</v>
      </c>
      <c r="CT41" s="2" t="str">
        <f>比赛参数!E13</f>
        <v>42</v>
      </c>
      <c r="CU41" s="2" t="str">
        <f>比赛参数!F13</f>
        <v>200</v>
      </c>
      <c r="CV41" s="2" t="str">
        <f>比赛参数!G13</f>
        <v>250</v>
      </c>
      <c r="DG41" s="2" t="e">
        <f>DG17/CS23</f>
        <v>#DIV/0!</v>
      </c>
      <c r="DH41" s="2" t="e">
        <f>DH17/CT23</f>
        <v>#DIV/0!</v>
      </c>
      <c r="DI41" s="2" t="e">
        <f>DI17/CU23</f>
        <v>#DIV/0!</v>
      </c>
      <c r="DJ41" s="2" t="e">
        <f>DJ17/CV23</f>
        <v>#DIV/0!</v>
      </c>
      <c r="DK41" s="2" t="e">
        <f>SUMPRODUCT(DG41:DJ41,BS14:BV14)/SUM(BS14:BV14)</f>
        <v>#DIV/0!</v>
      </c>
    </row>
    <row r="42" ht="15.6" customHeight="1" spans="2:115">
      <c r="B42" s="5"/>
      <c r="C42" s="16" t="s">
        <v>147</v>
      </c>
      <c r="D42" s="7"/>
      <c r="E42" s="7"/>
      <c r="F42" s="12"/>
      <c r="G42" s="7"/>
      <c r="H42" s="7"/>
      <c r="I42" s="8"/>
      <c r="M42" s="28"/>
      <c r="N42" s="30" t="s">
        <v>394</v>
      </c>
      <c r="O42" s="30">
        <f>AO4</f>
        <v>0</v>
      </c>
      <c r="P42" s="30">
        <f>AJ34</f>
        <v>0</v>
      </c>
      <c r="Q42" s="42"/>
      <c r="U42" s="49"/>
      <c r="V42" s="50"/>
      <c r="W42" s="9">
        <v>16</v>
      </c>
      <c r="X42" s="51" t="e">
        <f t="shared" si="14"/>
        <v>#DIV/0!</v>
      </c>
      <c r="Y42" s="110">
        <f t="shared" si="15"/>
        <v>0</v>
      </c>
      <c r="Z42" s="111" t="e">
        <f t="shared" si="16"/>
        <v>#DIV/0!</v>
      </c>
      <c r="AA42" s="112" t="e">
        <f t="shared" si="17"/>
        <v>#DIV/0!</v>
      </c>
      <c r="AB42" s="113" t="e">
        <f t="shared" si="18"/>
        <v>#DIV/0!</v>
      </c>
      <c r="AC42" s="113">
        <f t="shared" si="19"/>
        <v>0</v>
      </c>
      <c r="AD42" s="114">
        <f t="shared" si="20"/>
        <v>0</v>
      </c>
      <c r="AE42" s="115" t="e">
        <f t="shared" si="21"/>
        <v>#DIV/0!</v>
      </c>
      <c r="AF42" s="116" t="e">
        <f t="shared" si="22"/>
        <v>#DIV/0!</v>
      </c>
      <c r="AG42" s="145" t="e">
        <f t="shared" si="23"/>
        <v>#DIV/0!</v>
      </c>
      <c r="AI42" s="9" t="s">
        <v>23</v>
      </c>
      <c r="AJ42" s="153" t="str">
        <f>IF($AM$36=1,CJ72+0.0001,比赛参数!D54)</f>
        <v>300000.0</v>
      </c>
      <c r="AK42" s="153" t="str">
        <f>IF($AM$36=2,CK72+0.0001,比赛参数!E54)</f>
        <v>450000.0</v>
      </c>
      <c r="AL42" s="153" t="str">
        <f>IF($AM$36=3,CL72+0.0001,比赛参数!F54)</f>
        <v>580000.0</v>
      </c>
      <c r="AM42" s="153" t="str">
        <f>IF($AM$36=4,CM72+0.0001,比赛参数!G54)</f>
        <v>700000.0</v>
      </c>
      <c r="AN42" s="153" t="str">
        <f>IF($AM$36=5,CN72+0.0001,比赛参数!H54)</f>
        <v>800000.0</v>
      </c>
      <c r="AR42" s="169">
        <v>10</v>
      </c>
      <c r="AS42" s="170" t="str">
        <f t="shared" ref="AS42:BH42" si="33">IF(D82="","",D82)</f>
        <v/>
      </c>
      <c r="AT42" s="171" t="str">
        <f t="shared" si="33"/>
        <v/>
      </c>
      <c r="AU42" s="171" t="str">
        <f t="shared" si="33"/>
        <v/>
      </c>
      <c r="AV42" s="172" t="str">
        <f t="shared" si="33"/>
        <v/>
      </c>
      <c r="AW42" s="170" t="str">
        <f t="shared" si="33"/>
        <v/>
      </c>
      <c r="AX42" s="171" t="str">
        <f t="shared" si="33"/>
        <v/>
      </c>
      <c r="AY42" s="171" t="str">
        <f t="shared" si="33"/>
        <v/>
      </c>
      <c r="AZ42" s="172" t="str">
        <f t="shared" si="33"/>
        <v/>
      </c>
      <c r="BA42" s="170" t="str">
        <f t="shared" si="33"/>
        <v/>
      </c>
      <c r="BB42" s="171" t="str">
        <f t="shared" si="33"/>
        <v/>
      </c>
      <c r="BC42" s="171" t="str">
        <f t="shared" si="33"/>
        <v/>
      </c>
      <c r="BD42" s="172" t="str">
        <f t="shared" si="33"/>
        <v/>
      </c>
      <c r="BE42" s="170" t="str">
        <f t="shared" si="33"/>
        <v/>
      </c>
      <c r="BF42" s="171" t="str">
        <f t="shared" si="33"/>
        <v/>
      </c>
      <c r="BG42" s="171" t="str">
        <f t="shared" si="33"/>
        <v/>
      </c>
      <c r="BH42" s="172" t="str">
        <f t="shared" si="33"/>
        <v/>
      </c>
      <c r="CA42" s="194"/>
      <c r="CB42" s="93" t="s">
        <v>415</v>
      </c>
      <c r="CC42" s="102">
        <f>SUM(CC38:CC41)</f>
        <v>0</v>
      </c>
      <c r="CD42" s="102">
        <f>SUM(CD38:CD41)</f>
        <v>0</v>
      </c>
      <c r="CE42" s="102">
        <f>SUM(CE38:CE41)</f>
        <v>0</v>
      </c>
      <c r="CF42" s="102">
        <f>SUM(CF38:CF41)</f>
        <v>0</v>
      </c>
      <c r="CG42" s="102">
        <f>SUM(CC42:CF42)</f>
        <v>0</v>
      </c>
      <c r="CH42" s="201"/>
      <c r="CI42" s="50"/>
      <c r="CJ42" s="50"/>
      <c r="CK42" s="50"/>
      <c r="CL42" s="50"/>
      <c r="CM42" s="50"/>
      <c r="CO42" s="212"/>
      <c r="CR42" s="2" t="s">
        <v>39</v>
      </c>
      <c r="CS42" s="2" t="str">
        <f>比赛参数!H13</f>
        <v>467</v>
      </c>
      <c r="CT42" s="2" t="str">
        <f>比赛参数!I13</f>
        <v>383</v>
      </c>
      <c r="CU42" s="2" t="str">
        <f>比赛参数!J13</f>
        <v>600</v>
      </c>
      <c r="CV42" s="2" t="str">
        <f>比赛参数!K13</f>
        <v>650</v>
      </c>
      <c r="DG42" s="2" t="e">
        <f>DG18/CS24</f>
        <v>#DIV/0!</v>
      </c>
      <c r="DH42" s="2" t="e">
        <f>DH18/CT24</f>
        <v>#DIV/0!</v>
      </c>
      <c r="DI42" s="2" t="e">
        <f>DI18/CU24</f>
        <v>#DIV/0!</v>
      </c>
      <c r="DJ42" s="2" t="e">
        <f>DJ18/CV24</f>
        <v>#DIV/0!</v>
      </c>
      <c r="DK42" s="2" t="e">
        <f>SUMPRODUCT(DG42:DJ42,BS15:BV15)/SUM(BS15:BV15)</f>
        <v>#DIV/0!</v>
      </c>
    </row>
    <row r="43" ht="16.35" customHeight="1" spans="2:115">
      <c r="B43" s="5"/>
      <c r="C43" s="16" t="s">
        <v>153</v>
      </c>
      <c r="D43" s="7"/>
      <c r="E43" s="7"/>
      <c r="F43" s="12"/>
      <c r="G43" s="7"/>
      <c r="H43" s="7"/>
      <c r="I43" s="8"/>
      <c r="M43" s="28"/>
      <c r="N43" s="30" t="s">
        <v>395</v>
      </c>
      <c r="O43" s="30">
        <f>AO5</f>
        <v>0</v>
      </c>
      <c r="P43" s="30">
        <f>AJ35</f>
        <v>0</v>
      </c>
      <c r="Q43" s="42"/>
      <c r="U43" s="49"/>
      <c r="V43" s="50"/>
      <c r="W43" s="9">
        <v>17</v>
      </c>
      <c r="X43" s="51" t="e">
        <f t="shared" si="14"/>
        <v>#DIV/0!</v>
      </c>
      <c r="Y43" s="110">
        <f t="shared" si="15"/>
        <v>0</v>
      </c>
      <c r="Z43" s="111" t="e">
        <f t="shared" si="16"/>
        <v>#DIV/0!</v>
      </c>
      <c r="AA43" s="112" t="e">
        <f t="shared" si="17"/>
        <v>#DIV/0!</v>
      </c>
      <c r="AB43" s="113" t="e">
        <f t="shared" si="18"/>
        <v>#DIV/0!</v>
      </c>
      <c r="AC43" s="113">
        <f t="shared" si="19"/>
        <v>0</v>
      </c>
      <c r="AD43" s="114">
        <f t="shared" si="20"/>
        <v>0</v>
      </c>
      <c r="AE43" s="115" t="e">
        <f t="shared" si="21"/>
        <v>#DIV/0!</v>
      </c>
      <c r="AF43" s="116" t="e">
        <f t="shared" si="22"/>
        <v>#DIV/0!</v>
      </c>
      <c r="AG43" s="145" t="e">
        <f t="shared" si="23"/>
        <v>#DIV/0!</v>
      </c>
      <c r="AI43" s="9" t="s">
        <v>24</v>
      </c>
      <c r="AJ43" s="153" t="str">
        <f>IF($AM$37=1,CJ73+0.0001,比赛参数!D55)</f>
        <v>500000.0</v>
      </c>
      <c r="AK43" s="153" t="str">
        <f>IF($AM$37=2,CK73+0.0001,比赛参数!E55)</f>
        <v>600000.0</v>
      </c>
      <c r="AL43" s="153" t="str">
        <f>IF($AM$37=3,CL73+0.0001,比赛参数!F55)</f>
        <v>700000.0</v>
      </c>
      <c r="AM43" s="153" t="str">
        <f>IF($AM$37=4,CM73+0.0001,比赛参数!G55)</f>
        <v>850000.0</v>
      </c>
      <c r="AN43" s="153" t="str">
        <f>IF($AM$37=5,CN73+0.0001,比赛参数!H55)</f>
        <v>1000000.0</v>
      </c>
      <c r="AR43" s="169">
        <v>11</v>
      </c>
      <c r="AS43" s="170" t="str">
        <f t="shared" ref="AS43:BH43" si="34">IF(D83="","",D83)</f>
        <v/>
      </c>
      <c r="AT43" s="171" t="str">
        <f t="shared" si="34"/>
        <v/>
      </c>
      <c r="AU43" s="171" t="str">
        <f t="shared" si="34"/>
        <v/>
      </c>
      <c r="AV43" s="172" t="str">
        <f t="shared" si="34"/>
        <v/>
      </c>
      <c r="AW43" s="170" t="str">
        <f t="shared" si="34"/>
        <v/>
      </c>
      <c r="AX43" s="171" t="str">
        <f t="shared" si="34"/>
        <v/>
      </c>
      <c r="AY43" s="171" t="str">
        <f t="shared" si="34"/>
        <v/>
      </c>
      <c r="AZ43" s="172" t="str">
        <f t="shared" si="34"/>
        <v/>
      </c>
      <c r="BA43" s="170" t="str">
        <f t="shared" si="34"/>
        <v/>
      </c>
      <c r="BB43" s="171" t="str">
        <f t="shared" si="34"/>
        <v/>
      </c>
      <c r="BC43" s="171" t="str">
        <f t="shared" si="34"/>
        <v/>
      </c>
      <c r="BD43" s="172" t="str">
        <f t="shared" si="34"/>
        <v/>
      </c>
      <c r="BE43" s="170" t="str">
        <f t="shared" si="34"/>
        <v/>
      </c>
      <c r="BF43" s="171" t="str">
        <f t="shared" si="34"/>
        <v/>
      </c>
      <c r="BG43" s="171" t="str">
        <f t="shared" si="34"/>
        <v/>
      </c>
      <c r="BH43" s="172" t="str">
        <f t="shared" si="34"/>
        <v/>
      </c>
      <c r="CA43" s="198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213"/>
      <c r="CR43" s="2" t="s">
        <v>40</v>
      </c>
      <c r="CS43" s="2" t="str">
        <f>比赛参数!D14</f>
        <v>656</v>
      </c>
      <c r="CT43" s="2" t="str">
        <f>比赛参数!E14</f>
        <v>544</v>
      </c>
      <c r="CU43" s="2" t="str">
        <f>比赛参数!F14</f>
        <v>800</v>
      </c>
      <c r="CV43" s="2" t="str">
        <f>比赛参数!G14</f>
        <v>850</v>
      </c>
      <c r="DG43" s="2" t="e">
        <f>DG19/CS25</f>
        <v>#DIV/0!</v>
      </c>
      <c r="DH43" s="2" t="e">
        <f>DH19/CT25</f>
        <v>#DIV/0!</v>
      </c>
      <c r="DI43" s="2" t="e">
        <f>DI19/CU25</f>
        <v>#DIV/0!</v>
      </c>
      <c r="DJ43" s="2" t="e">
        <f>DJ19/CV25</f>
        <v>#DIV/0!</v>
      </c>
      <c r="DK43" s="2" t="e">
        <f>SUMPRODUCT(DG43:DJ43,BS16:BV16)/SUM(BS16:BV16)</f>
        <v>#DIV/0!</v>
      </c>
    </row>
    <row r="44" ht="16.35" customHeight="1" spans="2:115">
      <c r="B44" s="5"/>
      <c r="C44" s="16" t="s">
        <v>158</v>
      </c>
      <c r="D44" s="7"/>
      <c r="E44" s="7"/>
      <c r="F44" s="7"/>
      <c r="G44" s="7"/>
      <c r="H44" s="7"/>
      <c r="I44" s="8"/>
      <c r="M44" s="28"/>
      <c r="N44" s="30" t="s">
        <v>396</v>
      </c>
      <c r="O44" s="30">
        <f>AO6</f>
        <v>0</v>
      </c>
      <c r="P44" s="30">
        <f>AJ36</f>
        <v>0</v>
      </c>
      <c r="Q44" s="42"/>
      <c r="U44" s="49"/>
      <c r="V44" s="50"/>
      <c r="W44" s="9">
        <v>18</v>
      </c>
      <c r="X44" s="51" t="e">
        <f t="shared" si="14"/>
        <v>#DIV/0!</v>
      </c>
      <c r="Y44" s="110">
        <f t="shared" si="15"/>
        <v>0</v>
      </c>
      <c r="Z44" s="111" t="e">
        <f t="shared" si="16"/>
        <v>#DIV/0!</v>
      </c>
      <c r="AA44" s="117" t="e">
        <f t="shared" si="17"/>
        <v>#DIV/0!</v>
      </c>
      <c r="AB44" s="113" t="e">
        <f t="shared" si="18"/>
        <v>#DIV/0!</v>
      </c>
      <c r="AC44" s="113">
        <f t="shared" si="19"/>
        <v>0</v>
      </c>
      <c r="AD44" s="114">
        <f t="shared" si="20"/>
        <v>0</v>
      </c>
      <c r="AE44" s="115" t="e">
        <f t="shared" si="21"/>
        <v>#DIV/0!</v>
      </c>
      <c r="AF44" s="116" t="e">
        <f t="shared" si="22"/>
        <v>#DIV/0!</v>
      </c>
      <c r="AG44" s="145" t="e">
        <f t="shared" si="23"/>
        <v>#DIV/0!</v>
      </c>
      <c r="AR44" s="169">
        <v>12</v>
      </c>
      <c r="AS44" s="170" t="str">
        <f t="shared" ref="AS44:BH44" si="35">IF(D84="","",D84)</f>
        <v/>
      </c>
      <c r="AT44" s="171" t="str">
        <f t="shared" si="35"/>
        <v/>
      </c>
      <c r="AU44" s="171" t="str">
        <f t="shared" si="35"/>
        <v/>
      </c>
      <c r="AV44" s="172" t="str">
        <f t="shared" si="35"/>
        <v/>
      </c>
      <c r="AW44" s="170" t="str">
        <f t="shared" si="35"/>
        <v/>
      </c>
      <c r="AX44" s="171" t="str">
        <f t="shared" si="35"/>
        <v/>
      </c>
      <c r="AY44" s="171" t="str">
        <f t="shared" si="35"/>
        <v/>
      </c>
      <c r="AZ44" s="172" t="str">
        <f t="shared" si="35"/>
        <v/>
      </c>
      <c r="BA44" s="170" t="str">
        <f t="shared" si="35"/>
        <v/>
      </c>
      <c r="BB44" s="171" t="str">
        <f t="shared" si="35"/>
        <v/>
      </c>
      <c r="BC44" s="171" t="str">
        <f t="shared" si="35"/>
        <v/>
      </c>
      <c r="BD44" s="172" t="str">
        <f t="shared" si="35"/>
        <v/>
      </c>
      <c r="BE44" s="170" t="str">
        <f t="shared" si="35"/>
        <v/>
      </c>
      <c r="BF44" s="171" t="str">
        <f t="shared" si="35"/>
        <v/>
      </c>
      <c r="BG44" s="171" t="str">
        <f t="shared" si="35"/>
        <v/>
      </c>
      <c r="BH44" s="172" t="str">
        <f t="shared" si="35"/>
        <v/>
      </c>
      <c r="CR44" s="2" t="s">
        <v>41</v>
      </c>
      <c r="CS44" s="2" t="str">
        <f>比赛参数!H14</f>
        <v>794</v>
      </c>
      <c r="CT44" s="2" t="str">
        <f>比赛参数!I14</f>
        <v>656</v>
      </c>
      <c r="CU44" s="2" t="str">
        <f>比赛参数!J14</f>
        <v>1000</v>
      </c>
      <c r="CV44" s="2" t="str">
        <f>比赛参数!K14</f>
        <v>1050</v>
      </c>
      <c r="DG44" s="2" t="e">
        <f>DG20/CS26</f>
        <v>#DIV/0!</v>
      </c>
      <c r="DH44" s="2" t="e">
        <f>DH20/CT26</f>
        <v>#DIV/0!</v>
      </c>
      <c r="DI44" s="2" t="e">
        <f>DI20/CU26</f>
        <v>#DIV/0!</v>
      </c>
      <c r="DJ44" s="2" t="e">
        <f>DJ20/CV26</f>
        <v>#DIV/0!</v>
      </c>
      <c r="DK44" s="2" t="e">
        <f>SUMPRODUCT(DG44:DJ44,BS17:BV17)/SUM(BS17:BV17)</f>
        <v>#DIV/0!</v>
      </c>
    </row>
    <row r="45" ht="16.35" customHeight="1" spans="2:60">
      <c r="B45" s="5"/>
      <c r="C45" s="16" t="s">
        <v>162</v>
      </c>
      <c r="D45" s="7"/>
      <c r="E45" s="7"/>
      <c r="F45" s="7"/>
      <c r="G45" s="7"/>
      <c r="H45" s="7"/>
      <c r="I45" s="8"/>
      <c r="M45" s="28"/>
      <c r="N45" s="30" t="s">
        <v>397</v>
      </c>
      <c r="O45" s="30">
        <f>AO7</f>
        <v>0</v>
      </c>
      <c r="P45" s="30">
        <f>AJ37</f>
        <v>0</v>
      </c>
      <c r="Q45" s="42"/>
      <c r="U45" s="49"/>
      <c r="V45" s="50"/>
      <c r="W45" s="9">
        <v>19</v>
      </c>
      <c r="X45" s="51" t="e">
        <f t="shared" si="14"/>
        <v>#DIV/0!</v>
      </c>
      <c r="Y45" s="110">
        <f t="shared" si="15"/>
        <v>0</v>
      </c>
      <c r="Z45" s="111" t="e">
        <f t="shared" si="16"/>
        <v>#DIV/0!</v>
      </c>
      <c r="AA45" s="112" t="e">
        <f t="shared" si="17"/>
        <v>#DIV/0!</v>
      </c>
      <c r="AB45" s="113" t="e">
        <f t="shared" si="18"/>
        <v>#DIV/0!</v>
      </c>
      <c r="AC45" s="113">
        <f t="shared" si="19"/>
        <v>0</v>
      </c>
      <c r="AD45" s="114">
        <f t="shared" si="20"/>
        <v>0</v>
      </c>
      <c r="AE45" s="115" t="e">
        <f t="shared" si="21"/>
        <v>#DIV/0!</v>
      </c>
      <c r="AF45" s="116" t="e">
        <f t="shared" si="22"/>
        <v>#DIV/0!</v>
      </c>
      <c r="AG45" s="145" t="e">
        <f t="shared" si="23"/>
        <v>#DIV/0!</v>
      </c>
      <c r="AR45" s="169">
        <v>13</v>
      </c>
      <c r="AS45" s="170" t="str">
        <f t="shared" ref="AS45:BH45" si="36">IF(D85="","",D85)</f>
        <v/>
      </c>
      <c r="AT45" s="171" t="str">
        <f t="shared" si="36"/>
        <v/>
      </c>
      <c r="AU45" s="171" t="str">
        <f t="shared" si="36"/>
        <v/>
      </c>
      <c r="AV45" s="172" t="str">
        <f t="shared" si="36"/>
        <v/>
      </c>
      <c r="AW45" s="170" t="str">
        <f t="shared" si="36"/>
        <v/>
      </c>
      <c r="AX45" s="171" t="str">
        <f t="shared" si="36"/>
        <v/>
      </c>
      <c r="AY45" s="171" t="str">
        <f t="shared" si="36"/>
        <v/>
      </c>
      <c r="AZ45" s="172" t="str">
        <f t="shared" si="36"/>
        <v/>
      </c>
      <c r="BA45" s="170" t="str">
        <f t="shared" si="36"/>
        <v/>
      </c>
      <c r="BB45" s="171" t="str">
        <f t="shared" si="36"/>
        <v/>
      </c>
      <c r="BC45" s="171" t="str">
        <f t="shared" si="36"/>
        <v/>
      </c>
      <c r="BD45" s="172" t="str">
        <f t="shared" si="36"/>
        <v/>
      </c>
      <c r="BE45" s="170" t="str">
        <f t="shared" si="36"/>
        <v/>
      </c>
      <c r="BF45" s="171" t="str">
        <f t="shared" si="36"/>
        <v/>
      </c>
      <c r="BG45" s="171" t="str">
        <f t="shared" si="36"/>
        <v/>
      </c>
      <c r="BH45" s="172" t="str">
        <f t="shared" si="36"/>
        <v/>
      </c>
    </row>
    <row r="46" ht="15.6" customHeight="1" spans="3:60">
      <c r="C46" s="13"/>
      <c r="D46" s="13"/>
      <c r="E46" s="13"/>
      <c r="F46" s="13"/>
      <c r="G46" s="13"/>
      <c r="H46" s="13"/>
      <c r="M46" s="28"/>
      <c r="N46" s="33"/>
      <c r="O46" s="33"/>
      <c r="P46" s="33"/>
      <c r="Q46" s="42"/>
      <c r="T46" s="40"/>
      <c r="U46" s="49"/>
      <c r="V46" s="50"/>
      <c r="W46" s="9">
        <v>20</v>
      </c>
      <c r="X46" s="51" t="e">
        <f t="shared" si="14"/>
        <v>#DIV/0!</v>
      </c>
      <c r="Y46" s="110">
        <f t="shared" si="15"/>
        <v>0</v>
      </c>
      <c r="Z46" s="111" t="e">
        <f t="shared" si="16"/>
        <v>#DIV/0!</v>
      </c>
      <c r="AA46" s="112" t="e">
        <f t="shared" si="17"/>
        <v>#DIV/0!</v>
      </c>
      <c r="AB46" s="113" t="e">
        <f t="shared" si="18"/>
        <v>#DIV/0!</v>
      </c>
      <c r="AC46" s="113">
        <f t="shared" si="19"/>
        <v>0</v>
      </c>
      <c r="AD46" s="114">
        <f t="shared" si="20"/>
        <v>0</v>
      </c>
      <c r="AE46" s="115" t="e">
        <f t="shared" si="21"/>
        <v>#DIV/0!</v>
      </c>
      <c r="AF46" s="116" t="e">
        <f t="shared" si="22"/>
        <v>#DIV/0!</v>
      </c>
      <c r="AG46" s="145" t="e">
        <f t="shared" si="23"/>
        <v>#DIV/0!</v>
      </c>
      <c r="AR46" s="169">
        <v>14</v>
      </c>
      <c r="AS46" s="170" t="str">
        <f t="shared" ref="AS46:BH46" si="37">IF(D86="","",D86)</f>
        <v/>
      </c>
      <c r="AT46" s="171" t="str">
        <f t="shared" si="37"/>
        <v/>
      </c>
      <c r="AU46" s="171" t="str">
        <f t="shared" si="37"/>
        <v/>
      </c>
      <c r="AV46" s="172" t="str">
        <f t="shared" si="37"/>
        <v/>
      </c>
      <c r="AW46" s="170" t="str">
        <f t="shared" si="37"/>
        <v/>
      </c>
      <c r="AX46" s="171" t="str">
        <f t="shared" si="37"/>
        <v/>
      </c>
      <c r="AY46" s="171" t="str">
        <f t="shared" si="37"/>
        <v/>
      </c>
      <c r="AZ46" s="172" t="str">
        <f t="shared" si="37"/>
        <v/>
      </c>
      <c r="BA46" s="170" t="str">
        <f t="shared" si="37"/>
        <v/>
      </c>
      <c r="BB46" s="171" t="str">
        <f t="shared" si="37"/>
        <v/>
      </c>
      <c r="BC46" s="171" t="str">
        <f t="shared" si="37"/>
        <v/>
      </c>
      <c r="BD46" s="172" t="str">
        <f t="shared" si="37"/>
        <v/>
      </c>
      <c r="BE46" s="170" t="str">
        <f t="shared" si="37"/>
        <v/>
      </c>
      <c r="BF46" s="171" t="str">
        <f t="shared" si="37"/>
        <v/>
      </c>
      <c r="BG46" s="171" t="str">
        <f t="shared" si="37"/>
        <v/>
      </c>
      <c r="BH46" s="172" t="str">
        <f t="shared" si="37"/>
        <v/>
      </c>
    </row>
    <row r="47" ht="16.35" customHeight="1" spans="13:60">
      <c r="M47" s="37"/>
      <c r="N47" s="38"/>
      <c r="O47" s="38"/>
      <c r="P47" s="38"/>
      <c r="Q47" s="54"/>
      <c r="R47" s="55" t="s">
        <v>420</v>
      </c>
      <c r="S47" s="56">
        <f>比赛参数!D4</f>
        <v>11</v>
      </c>
      <c r="AR47" s="169">
        <v>15</v>
      </c>
      <c r="AS47" s="170" t="str">
        <f t="shared" ref="AS47:BH47" si="38">IF(D87="","",D87)</f>
        <v/>
      </c>
      <c r="AT47" s="171" t="str">
        <f t="shared" si="38"/>
        <v/>
      </c>
      <c r="AU47" s="171" t="str">
        <f t="shared" si="38"/>
        <v/>
      </c>
      <c r="AV47" s="172" t="str">
        <f t="shared" si="38"/>
        <v/>
      </c>
      <c r="AW47" s="170" t="str">
        <f t="shared" si="38"/>
        <v/>
      </c>
      <c r="AX47" s="171" t="str">
        <f t="shared" si="38"/>
        <v/>
      </c>
      <c r="AY47" s="171" t="str">
        <f t="shared" si="38"/>
        <v/>
      </c>
      <c r="AZ47" s="172" t="str">
        <f t="shared" si="38"/>
        <v/>
      </c>
      <c r="BA47" s="170" t="str">
        <f t="shared" si="38"/>
        <v/>
      </c>
      <c r="BB47" s="171" t="str">
        <f t="shared" si="38"/>
        <v/>
      </c>
      <c r="BC47" s="171" t="str">
        <f t="shared" si="38"/>
        <v/>
      </c>
      <c r="BD47" s="172" t="str">
        <f t="shared" si="38"/>
        <v/>
      </c>
      <c r="BE47" s="170" t="str">
        <f t="shared" si="38"/>
        <v/>
      </c>
      <c r="BF47" s="171" t="str">
        <f t="shared" si="38"/>
        <v/>
      </c>
      <c r="BG47" s="171" t="str">
        <f t="shared" si="38"/>
        <v/>
      </c>
      <c r="BH47" s="172" t="str">
        <f t="shared" si="38"/>
        <v/>
      </c>
    </row>
    <row r="48" ht="33.9" spans="3:90">
      <c r="C48" s="19"/>
      <c r="D48" s="20" t="s">
        <v>21</v>
      </c>
      <c r="E48" s="20"/>
      <c r="F48" s="20"/>
      <c r="G48" s="20"/>
      <c r="H48" s="20" t="s">
        <v>22</v>
      </c>
      <c r="I48" s="20"/>
      <c r="J48" s="20"/>
      <c r="K48" s="20"/>
      <c r="L48" s="20" t="s">
        <v>23</v>
      </c>
      <c r="M48" s="20"/>
      <c r="N48" s="20"/>
      <c r="O48" s="20"/>
      <c r="P48" s="20" t="s">
        <v>24</v>
      </c>
      <c r="Q48" s="20"/>
      <c r="R48" s="20"/>
      <c r="S48" s="57"/>
      <c r="V48" s="3" t="s">
        <v>421</v>
      </c>
      <c r="AR48" s="169">
        <v>16</v>
      </c>
      <c r="AS48" s="170" t="str">
        <f t="shared" ref="AS48:BH48" si="39">IF(D88="","",D88)</f>
        <v/>
      </c>
      <c r="AT48" s="171" t="str">
        <f t="shared" si="39"/>
        <v/>
      </c>
      <c r="AU48" s="171" t="str">
        <f t="shared" si="39"/>
        <v/>
      </c>
      <c r="AV48" s="172" t="str">
        <f t="shared" si="39"/>
        <v/>
      </c>
      <c r="AW48" s="170" t="str">
        <f t="shared" si="39"/>
        <v/>
      </c>
      <c r="AX48" s="171" t="str">
        <f t="shared" si="39"/>
        <v/>
      </c>
      <c r="AY48" s="171" t="str">
        <f t="shared" si="39"/>
        <v/>
      </c>
      <c r="AZ48" s="172" t="str">
        <f t="shared" si="39"/>
        <v/>
      </c>
      <c r="BA48" s="170" t="str">
        <f t="shared" si="39"/>
        <v/>
      </c>
      <c r="BB48" s="171" t="str">
        <f t="shared" si="39"/>
        <v/>
      </c>
      <c r="BC48" s="171" t="str">
        <f t="shared" si="39"/>
        <v/>
      </c>
      <c r="BD48" s="172" t="str">
        <f t="shared" si="39"/>
        <v/>
      </c>
      <c r="BE48" s="170" t="str">
        <f t="shared" si="39"/>
        <v/>
      </c>
      <c r="BF48" s="171" t="str">
        <f t="shared" si="39"/>
        <v/>
      </c>
      <c r="BG48" s="171" t="str">
        <f t="shared" si="39"/>
        <v/>
      </c>
      <c r="BH48" s="172" t="str">
        <f t="shared" si="39"/>
        <v/>
      </c>
      <c r="BQ48" s="187" t="s">
        <v>422</v>
      </c>
      <c r="BR48" s="188"/>
      <c r="BS48" s="188"/>
      <c r="BT48" s="188"/>
      <c r="BU48" s="188"/>
      <c r="BV48" s="188"/>
      <c r="BW48" s="188"/>
      <c r="BX48" s="188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</row>
    <row r="49" ht="17.1" spans="3:119">
      <c r="C49" s="21" t="s">
        <v>392</v>
      </c>
      <c r="D49" s="22" t="s">
        <v>56</v>
      </c>
      <c r="E49" s="22" t="s">
        <v>57</v>
      </c>
      <c r="F49" s="22" t="s">
        <v>58</v>
      </c>
      <c r="G49" s="22" t="s">
        <v>59</v>
      </c>
      <c r="H49" s="22" t="s">
        <v>56</v>
      </c>
      <c r="I49" s="22" t="s">
        <v>57</v>
      </c>
      <c r="J49" s="22" t="s">
        <v>58</v>
      </c>
      <c r="K49" s="22" t="s">
        <v>59</v>
      </c>
      <c r="L49" s="22" t="s">
        <v>56</v>
      </c>
      <c r="M49" s="22" t="s">
        <v>57</v>
      </c>
      <c r="N49" s="22" t="s">
        <v>58</v>
      </c>
      <c r="O49" s="22" t="s">
        <v>59</v>
      </c>
      <c r="P49" s="22" t="s">
        <v>56</v>
      </c>
      <c r="Q49" s="22" t="s">
        <v>57</v>
      </c>
      <c r="R49" s="22" t="s">
        <v>58</v>
      </c>
      <c r="S49" s="58" t="s">
        <v>59</v>
      </c>
      <c r="AR49" s="169">
        <v>17</v>
      </c>
      <c r="AS49" s="170" t="str">
        <f t="shared" ref="AS49:BH49" si="40">IF(D89="","",D89)</f>
        <v/>
      </c>
      <c r="AT49" s="171" t="str">
        <f t="shared" si="40"/>
        <v/>
      </c>
      <c r="AU49" s="171" t="str">
        <f t="shared" si="40"/>
        <v/>
      </c>
      <c r="AV49" s="172" t="str">
        <f t="shared" si="40"/>
        <v/>
      </c>
      <c r="AW49" s="170" t="str">
        <f t="shared" si="40"/>
        <v/>
      </c>
      <c r="AX49" s="171" t="str">
        <f t="shared" si="40"/>
        <v/>
      </c>
      <c r="AY49" s="171" t="str">
        <f t="shared" si="40"/>
        <v/>
      </c>
      <c r="AZ49" s="172" t="str">
        <f t="shared" si="40"/>
        <v/>
      </c>
      <c r="BA49" s="170" t="str">
        <f t="shared" si="40"/>
        <v/>
      </c>
      <c r="BB49" s="171" t="str">
        <f t="shared" si="40"/>
        <v/>
      </c>
      <c r="BC49" s="171" t="str">
        <f t="shared" si="40"/>
        <v/>
      </c>
      <c r="BD49" s="172" t="str">
        <f t="shared" si="40"/>
        <v/>
      </c>
      <c r="BE49" s="170" t="str">
        <f t="shared" si="40"/>
        <v/>
      </c>
      <c r="BF49" s="171" t="str">
        <f t="shared" si="40"/>
        <v/>
      </c>
      <c r="BG49" s="171" t="str">
        <f t="shared" si="40"/>
        <v/>
      </c>
      <c r="BH49" s="172" t="str">
        <f t="shared" si="40"/>
        <v/>
      </c>
      <c r="CB49" s="195" t="s">
        <v>423</v>
      </c>
      <c r="CC49" s="179" t="s">
        <v>38</v>
      </c>
      <c r="CD49" s="179" t="s">
        <v>39</v>
      </c>
      <c r="CE49" s="179" t="s">
        <v>40</v>
      </c>
      <c r="CF49" s="179" t="s">
        <v>41</v>
      </c>
      <c r="CG49" s="50"/>
      <c r="CH49" s="50"/>
      <c r="CI49" s="195" t="s">
        <v>367</v>
      </c>
      <c r="CJ49" s="179" t="s">
        <v>38</v>
      </c>
      <c r="CK49" s="179" t="s">
        <v>39</v>
      </c>
      <c r="CL49" s="179" t="s">
        <v>40</v>
      </c>
      <c r="CM49" s="179" t="s">
        <v>41</v>
      </c>
      <c r="CN49" s="50"/>
      <c r="CO49" s="50"/>
      <c r="CP49" s="60" t="s">
        <v>424</v>
      </c>
      <c r="CQ49" s="60" t="s">
        <v>331</v>
      </c>
      <c r="CR49" s="60" t="s">
        <v>332</v>
      </c>
      <c r="CS49" s="60" t="s">
        <v>333</v>
      </c>
      <c r="CT49" s="60" t="s">
        <v>334</v>
      </c>
      <c r="CU49" s="60" t="s">
        <v>335</v>
      </c>
      <c r="CW49" s="43" t="s">
        <v>336</v>
      </c>
      <c r="CX49" s="9" t="s">
        <v>56</v>
      </c>
      <c r="CY49" s="9" t="s">
        <v>57</v>
      </c>
      <c r="CZ49" s="9" t="s">
        <v>58</v>
      </c>
      <c r="DA49" s="9" t="s">
        <v>59</v>
      </c>
      <c r="DB49" s="9" t="s">
        <v>425</v>
      </c>
      <c r="DF49" s="218" t="s">
        <v>426</v>
      </c>
      <c r="DG49" s="60" t="s">
        <v>38</v>
      </c>
      <c r="DH49" s="60" t="s">
        <v>39</v>
      </c>
      <c r="DI49" s="60" t="s">
        <v>40</v>
      </c>
      <c r="DJ49" s="60" t="s">
        <v>41</v>
      </c>
      <c r="DL49" s="218" t="s">
        <v>427</v>
      </c>
      <c r="DM49" s="218" t="s">
        <v>139</v>
      </c>
      <c r="DN49" s="218" t="s">
        <v>140</v>
      </c>
      <c r="DO49" s="214"/>
    </row>
    <row r="50" ht="15.6" spans="2:119">
      <c r="B50" s="5"/>
      <c r="C50" s="23">
        <v>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8"/>
      <c r="AR50" s="169">
        <v>18</v>
      </c>
      <c r="AS50" s="170" t="str">
        <f t="shared" ref="AS50:BH50" si="41">IF(D90="","",D90)</f>
        <v/>
      </c>
      <c r="AT50" s="171" t="str">
        <f t="shared" si="41"/>
        <v/>
      </c>
      <c r="AU50" s="171" t="str">
        <f t="shared" si="41"/>
        <v/>
      </c>
      <c r="AV50" s="172" t="str">
        <f t="shared" si="41"/>
        <v/>
      </c>
      <c r="AW50" s="170" t="str">
        <f t="shared" si="41"/>
        <v/>
      </c>
      <c r="AX50" s="171" t="str">
        <f t="shared" si="41"/>
        <v/>
      </c>
      <c r="AY50" s="171" t="str">
        <f t="shared" si="41"/>
        <v/>
      </c>
      <c r="AZ50" s="172" t="str">
        <f t="shared" si="41"/>
        <v/>
      </c>
      <c r="BA50" s="170" t="str">
        <f t="shared" si="41"/>
        <v/>
      </c>
      <c r="BB50" s="171" t="str">
        <f t="shared" si="41"/>
        <v/>
      </c>
      <c r="BC50" s="171" t="str">
        <f t="shared" si="41"/>
        <v/>
      </c>
      <c r="BD50" s="172" t="str">
        <f t="shared" si="41"/>
        <v/>
      </c>
      <c r="BE50" s="170" t="str">
        <f t="shared" si="41"/>
        <v/>
      </c>
      <c r="BF50" s="171" t="str">
        <f t="shared" si="41"/>
        <v/>
      </c>
      <c r="BG50" s="171" t="str">
        <f t="shared" si="41"/>
        <v/>
      </c>
      <c r="BH50" s="172" t="str">
        <f t="shared" si="41"/>
        <v/>
      </c>
      <c r="CB50" s="181" t="s">
        <v>56</v>
      </c>
      <c r="CC50" s="102">
        <f>IF(AF76&gt;AF86,IF((Y88-Y108+Y57)&gt;AF57,(AF64-AF104)*AF76+AF57*AF86,(Y88-Y108+Y57)*AF86),IF((Y88-Y108+Y57)&gt;AF57,(AF64-AF104)*AF76+AF57*AF76,(Y88-Y108+Y57)*AF76))</f>
        <v>0</v>
      </c>
      <c r="CD50" s="102">
        <f>IF(AG76&gt;AG86,IF((Z88-Z108+Z57)&gt;AG57,(AG64-AG104)*AG76+AG57*AG86,(Z88-Z108+Z57)*AG86),IF((Z88-Z108+Z57)&gt;AG57,(AG64-AG104)*AG76+AG57*AG76,(Z88-Z108+Z57)*AG76))</f>
        <v>0</v>
      </c>
      <c r="CE50" s="102">
        <f>IF(AH76&gt;AH86,IF((AA88-AA108+AA57)&gt;AH57,(AH64-AH104)*AH76+AH57*AH86,(AA88-AA108+AA57)*AH86),IF((AA88-AA108+AA57)&gt;AH57,(AH64-AH104)*AH76+AH57*AH76,(AA88-AA108+AA57)*AH76))</f>
        <v>0</v>
      </c>
      <c r="CF50" s="102">
        <f>IF(AI76&gt;AI86,IF((AB88-AB108+AB57)&gt;AI57,(AI64-AI104)*AI76+AI57*AI86,(AB88-AB108+AB57)*AI86),IF((AB88-AB108+AB57)&gt;AI57,(AI64-AI104)*AI76+AI57*AI76,(AB88-AB108+AB57)*AI76))</f>
        <v>0</v>
      </c>
      <c r="CG50" s="50"/>
      <c r="CH50" s="50"/>
      <c r="CI50" s="181" t="s">
        <v>56</v>
      </c>
      <c r="CJ50" s="102">
        <f>Y108*AF76*0.4</f>
        <v>0</v>
      </c>
      <c r="CK50" s="102">
        <f>Z108*AG76*0.4</f>
        <v>0</v>
      </c>
      <c r="CL50" s="102">
        <f>AA108*AH76*0.4</f>
        <v>0</v>
      </c>
      <c r="CM50" s="102">
        <f>AB108*AI76*0.4</f>
        <v>0</v>
      </c>
      <c r="CN50" s="50"/>
      <c r="CO50" s="50"/>
      <c r="CP50" s="60" t="s">
        <v>38</v>
      </c>
      <c r="CQ50" s="60">
        <f>第十四期!Y9*第十四期!CQ62*比赛参数!D65</f>
        <v>0</v>
      </c>
      <c r="CR50" s="60">
        <f>第十四期!Z9*第十四期!CR62*比赛参数!E65</f>
        <v>0</v>
      </c>
      <c r="CS50" s="60">
        <f>第十四期!AA9*第十四期!CS62*比赛参数!F65</f>
        <v>0</v>
      </c>
      <c r="CT50" s="60">
        <f>第十四期!AB9*第十四期!CT62*比赛参数!G65</f>
        <v>0</v>
      </c>
      <c r="CU50" s="60">
        <f>IF(第十四期!AC9&gt;0,SUM(CQ50:CT50)/第十四期!AC9,0)</f>
        <v>0</v>
      </c>
      <c r="CW50" s="9" t="s">
        <v>38</v>
      </c>
      <c r="CX50" s="215">
        <f>IF(第十四期!$CU$50*第十四期!CQ93&gt;0,第十四期!$CU$50+第十四期!CQ68+第十四期!CQ93+第十四期!CQ74,0)</f>
        <v>0</v>
      </c>
      <c r="CY50" s="215">
        <f>IF(第十四期!$CU$50*第十四期!CR93&gt;0,第十四期!$CU$50+第十四期!CR68+第十四期!CR93+第十四期!CR74,0)</f>
        <v>0</v>
      </c>
      <c r="CZ50" s="215">
        <f>IF(第十四期!$CU$50*第十四期!CS93&gt;0,第十四期!$CU$50+第十四期!CS68+第十四期!CS93+第十四期!CS74,0)</f>
        <v>0</v>
      </c>
      <c r="DA50" s="215">
        <f>IF(第十四期!$CU$50*第十四期!CT93&gt;0,第十四期!$CU$50+第十四期!CT68+第十四期!CT93+第十四期!CT74,0)</f>
        <v>0</v>
      </c>
      <c r="DB50" s="215">
        <f>AVERAGE(CX50:DA50)</f>
        <v>0</v>
      </c>
      <c r="DF50" s="60" t="s">
        <v>56</v>
      </c>
      <c r="DG50" s="218">
        <f>IF(第十四期!Y88&gt;0,1,0)</f>
        <v>0</v>
      </c>
      <c r="DH50" s="218">
        <f>IF(第十四期!Z88&gt;0,1,0)</f>
        <v>0</v>
      </c>
      <c r="DI50" s="218">
        <f>IF(第十四期!AA88&gt;0,1,0)</f>
        <v>0</v>
      </c>
      <c r="DJ50" s="218">
        <f>IF(第十四期!AB88&gt;0,1,0)</f>
        <v>0</v>
      </c>
      <c r="DL50" s="218" t="s">
        <v>21</v>
      </c>
      <c r="DM50" s="219">
        <f>IF(第十四期!Y9+第十四期!Z9&gt;0,1,0)</f>
        <v>0</v>
      </c>
      <c r="DN50" s="219">
        <f>IF(第十四期!AA9+第十四期!AB9&gt;0,1,0)</f>
        <v>0</v>
      </c>
      <c r="DO50" s="214"/>
    </row>
    <row r="51" ht="15.6" spans="2:119">
      <c r="B51" s="5"/>
      <c r="C51" s="23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8"/>
      <c r="AR51" s="169">
        <v>19</v>
      </c>
      <c r="AS51" s="170" t="str">
        <f t="shared" ref="AS51:BH51" si="42">IF(D91="","",D91)</f>
        <v/>
      </c>
      <c r="AT51" s="171" t="str">
        <f t="shared" si="42"/>
        <v/>
      </c>
      <c r="AU51" s="171" t="str">
        <f t="shared" si="42"/>
        <v/>
      </c>
      <c r="AV51" s="172" t="str">
        <f t="shared" si="42"/>
        <v/>
      </c>
      <c r="AW51" s="170" t="str">
        <f t="shared" si="42"/>
        <v/>
      </c>
      <c r="AX51" s="171" t="str">
        <f t="shared" si="42"/>
        <v/>
      </c>
      <c r="AY51" s="171" t="str">
        <f t="shared" si="42"/>
        <v/>
      </c>
      <c r="AZ51" s="172" t="str">
        <f t="shared" si="42"/>
        <v/>
      </c>
      <c r="BA51" s="170" t="str">
        <f t="shared" si="42"/>
        <v/>
      </c>
      <c r="BB51" s="171" t="str">
        <f t="shared" si="42"/>
        <v/>
      </c>
      <c r="BC51" s="171" t="str">
        <f t="shared" si="42"/>
        <v/>
      </c>
      <c r="BD51" s="172" t="str">
        <f t="shared" si="42"/>
        <v/>
      </c>
      <c r="BE51" s="170" t="str">
        <f t="shared" si="42"/>
        <v/>
      </c>
      <c r="BF51" s="171" t="str">
        <f t="shared" si="42"/>
        <v/>
      </c>
      <c r="BG51" s="171" t="str">
        <f t="shared" si="42"/>
        <v/>
      </c>
      <c r="BH51" s="172" t="str">
        <f t="shared" si="42"/>
        <v/>
      </c>
      <c r="CB51" s="180" t="s">
        <v>57</v>
      </c>
      <c r="CC51" s="102">
        <f>IF(AF77&gt;AF87,IF((Y89-Y109+Y58)&gt;AF58,(AF65-AF105)*AF77+AF58*AF87,(Y89-Y109+Y58)*AF87),IF((Y89-Y109+Y58)&gt;AF58,(AF65-AF105)*AF77+AF58*AF77,(Y89-Y109+Y58)*AF77))</f>
        <v>0</v>
      </c>
      <c r="CD51" s="102">
        <f>IF(AG77&gt;AG87,IF((Z89-Z109+Z58)&gt;AG58,(AG65-AG105)*AG77+AG58*AG87,(Z89-Z109+Z58)*AG87),IF((Z89-Z109+Z58)&gt;AG58,(AG65-AG105)*AG77+AG58*AG77,(Z89-Z109+Z58)*AG77))</f>
        <v>0</v>
      </c>
      <c r="CE51" s="102">
        <f>IF(AH77&gt;AH87,IF((AA89-AA109+AA58)&gt;AH58,(AH65-AH105)*AH77+AH58*AH87,(AA89-AA109+AA58)*AH87),IF((AA89-AA109+AA58)&gt;AH58,(AH65-AH105)*AH77+AH58*AH77,(AA89-AA109+AA58)*AH77))</f>
        <v>0</v>
      </c>
      <c r="CF51" s="102">
        <f>IF(AI77&gt;AI87,IF((AB89-AB109+AB58)&gt;AI58,(AI65-AI105)*AI77+AI58*AI87,(AB89-AB109+AB58)*AI87),IF((AB89-AB109+AB58)&gt;AI58,(AI65-AI105)*AI77+AI58*AI77,(AB89-AB109+AB58)*AI77))</f>
        <v>0</v>
      </c>
      <c r="CG51" s="50"/>
      <c r="CH51" s="50"/>
      <c r="CI51" s="180" t="s">
        <v>57</v>
      </c>
      <c r="CJ51" s="102">
        <f>Y109*AF77*0.4</f>
        <v>0</v>
      </c>
      <c r="CK51" s="102">
        <f>Z109*AG77*0.4</f>
        <v>0</v>
      </c>
      <c r="CL51" s="102">
        <f>AA109*AH77*0.4</f>
        <v>0</v>
      </c>
      <c r="CM51" s="102">
        <f>AB109*AI77*0.4</f>
        <v>0</v>
      </c>
      <c r="CN51" s="50"/>
      <c r="CO51" s="50"/>
      <c r="CP51" s="60" t="s">
        <v>39</v>
      </c>
      <c r="CQ51" s="60">
        <f>第十四期!Y10*第十四期!CQ63*比赛参数!D65</f>
        <v>0</v>
      </c>
      <c r="CR51" s="60">
        <f>第十四期!Z10*第十四期!CR63*比赛参数!E65</f>
        <v>0</v>
      </c>
      <c r="CS51" s="60">
        <f>第十四期!AA10*第十四期!CS63*比赛参数!F65</f>
        <v>0</v>
      </c>
      <c r="CT51" s="60">
        <f>第十四期!AB10*第十四期!CT63*比赛参数!G65</f>
        <v>0</v>
      </c>
      <c r="CU51" s="60">
        <f>IF(第十四期!AC10&gt;0,SUM(CQ51:CT51)/第十四期!AC10,0)</f>
        <v>0</v>
      </c>
      <c r="CW51" s="9" t="s">
        <v>39</v>
      </c>
      <c r="CX51" s="215">
        <f>IF(第十四期!$CU$51*第十四期!CQ94&gt;0,第十四期!$CU$51+第十四期!CQ69+第十四期!CQ94+第十四期!CQ75,0)</f>
        <v>0</v>
      </c>
      <c r="CY51" s="215">
        <f>IF(第十四期!$CU$51*第十四期!CR94&gt;0,第十四期!$CU$51+第十四期!CR69+第十四期!CR94+第十四期!CR75,0)</f>
        <v>0</v>
      </c>
      <c r="CZ51" s="215">
        <f>IF(第十四期!$CU$51*第十四期!CS94&gt;0,第十四期!$CU$51+第十四期!CS69+第十四期!CS94+第十四期!CS75,0)</f>
        <v>0</v>
      </c>
      <c r="DA51" s="215">
        <f>IF(第十四期!$CU$51*第十四期!CT94&gt;0,第十四期!$CU$51+第十四期!CT69+第十四期!CT94+第十四期!CT75,0)</f>
        <v>0</v>
      </c>
      <c r="DB51" s="215">
        <f>AVERAGE(CX51:DA51)</f>
        <v>0</v>
      </c>
      <c r="DF51" s="60" t="s">
        <v>57</v>
      </c>
      <c r="DG51" s="218">
        <f>IF(第十四期!Y89&gt;0,1,0)</f>
        <v>0</v>
      </c>
      <c r="DH51" s="218">
        <f>IF(第十四期!Z89&gt;0,1,0)</f>
        <v>0</v>
      </c>
      <c r="DI51" s="218">
        <f>IF(第十四期!AA89&gt;0,1,0)</f>
        <v>0</v>
      </c>
      <c r="DJ51" s="218">
        <f>IF(第十四期!AB89&gt;0,1,0)</f>
        <v>0</v>
      </c>
      <c r="DL51" s="218" t="s">
        <v>22</v>
      </c>
      <c r="DM51" s="219">
        <f>IF(第十四期!Y10+第十四期!Z10&gt;0,1,0)</f>
        <v>0</v>
      </c>
      <c r="DN51" s="219">
        <f>IF(第十四期!AA10+第十四期!AB10&gt;0,1,0)</f>
        <v>0</v>
      </c>
      <c r="DO51" s="214"/>
    </row>
    <row r="52" ht="15.6" spans="2:119">
      <c r="B52" s="5"/>
      <c r="C52" s="23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8"/>
      <c r="AR52" s="169">
        <v>20</v>
      </c>
      <c r="AS52" s="170" t="str">
        <f t="shared" ref="AS52:BH52" si="43">IF(D92="","",D92)</f>
        <v/>
      </c>
      <c r="AT52" s="171" t="str">
        <f t="shared" si="43"/>
        <v/>
      </c>
      <c r="AU52" s="171" t="str">
        <f t="shared" si="43"/>
        <v/>
      </c>
      <c r="AV52" s="172" t="str">
        <f t="shared" si="43"/>
        <v/>
      </c>
      <c r="AW52" s="170" t="str">
        <f t="shared" si="43"/>
        <v/>
      </c>
      <c r="AX52" s="171" t="str">
        <f t="shared" si="43"/>
        <v/>
      </c>
      <c r="AY52" s="171" t="str">
        <f t="shared" si="43"/>
        <v/>
      </c>
      <c r="AZ52" s="172" t="str">
        <f t="shared" si="43"/>
        <v/>
      </c>
      <c r="BA52" s="170" t="str">
        <f t="shared" si="43"/>
        <v/>
      </c>
      <c r="BB52" s="171" t="str">
        <f t="shared" si="43"/>
        <v/>
      </c>
      <c r="BC52" s="171" t="str">
        <f t="shared" si="43"/>
        <v/>
      </c>
      <c r="BD52" s="172" t="str">
        <f t="shared" si="43"/>
        <v/>
      </c>
      <c r="BE52" s="170" t="str">
        <f t="shared" si="43"/>
        <v/>
      </c>
      <c r="BF52" s="171" t="str">
        <f t="shared" si="43"/>
        <v/>
      </c>
      <c r="BG52" s="171" t="str">
        <f t="shared" si="43"/>
        <v/>
      </c>
      <c r="BH52" s="172" t="str">
        <f t="shared" si="43"/>
        <v/>
      </c>
      <c r="CB52" s="180" t="s">
        <v>58</v>
      </c>
      <c r="CC52" s="102">
        <f>IF(AF78&gt;AF88,IF((Y90-Y110+Y59)&gt;AF59,(AF66-AF106)*AF78+AF59*AF88,(Y90-Y110+Y59)*AF88),IF((Y90-Y110+Y59)&gt;AF59,(AF66-AF106)*AF78+AF59*AF78,(Y90-Y110+Y59)*AF78))</f>
        <v>0</v>
      </c>
      <c r="CD52" s="102">
        <f>IF(AG78&gt;AG88,IF((Z90-Z110+Z59)&gt;AG59,(AG66-AG106)*AG78+AG59*AG88,(Z90-Z110+Z59)*AG88),IF((Z90-Z110+Z59)&gt;AG59,(AG66-AG106)*AG78+AG59*AG78,(Z90-Z110+Z59)*AG78))</f>
        <v>0</v>
      </c>
      <c r="CE52" s="102">
        <f>IF(AH78&gt;AH88,IF((AA90-AA110+AA59)&gt;AH59,(AH66-AH106)*AH78+AH59*AH88,(AA90-AA110+AA59)*AH88),IF((AA90-AA110+AA59)&gt;AH59,(AH66-AH106)*AH78+AH59*AH78,(AA90-AA110+AA59)*AH78))</f>
        <v>0</v>
      </c>
      <c r="CF52" s="102">
        <f>IF(AI78&gt;AI88,IF((AB90-AB110+AB59)&gt;AI59,(AI66-AI106)*AI78+AI59*AI88,(AB90-AB110+AB59)*AI88),IF((AB90-AB110+AB59)&gt;AI59,(AI66-AI106)*AI78+AI59*AI78,(AB90-AB110+AB59)*AI78))</f>
        <v>0</v>
      </c>
      <c r="CG52" s="102" t="s">
        <v>415</v>
      </c>
      <c r="CH52" s="50"/>
      <c r="CI52" s="180" t="s">
        <v>58</v>
      </c>
      <c r="CJ52" s="102">
        <f>Y110*AF78*0.4</f>
        <v>0</v>
      </c>
      <c r="CK52" s="102">
        <f>Z110*AG78*0.4</f>
        <v>0</v>
      </c>
      <c r="CL52" s="102">
        <f>AA110*AH78*0.4</f>
        <v>0</v>
      </c>
      <c r="CM52" s="102">
        <f>AB110*AI78*0.4</f>
        <v>0</v>
      </c>
      <c r="CN52" s="102" t="s">
        <v>415</v>
      </c>
      <c r="CO52" s="50"/>
      <c r="CP52" s="60" t="s">
        <v>40</v>
      </c>
      <c r="CQ52" s="60">
        <f>第十四期!Y11*第十四期!CQ64*比赛参数!D65</f>
        <v>0</v>
      </c>
      <c r="CR52" s="60">
        <f>第十四期!Z11*第十四期!CR64*比赛参数!E65</f>
        <v>0</v>
      </c>
      <c r="CS52" s="60">
        <f>第十四期!AA11*第十四期!CS64*比赛参数!F65</f>
        <v>0</v>
      </c>
      <c r="CT52" s="60">
        <f>第十四期!AB11*第十四期!CT64*比赛参数!G65</f>
        <v>0</v>
      </c>
      <c r="CU52" s="60">
        <f>IF(第十四期!AC11&gt;0,SUM(CQ52:CT52)/第十四期!AC11,0)</f>
        <v>0</v>
      </c>
      <c r="CW52" s="9" t="s">
        <v>40</v>
      </c>
      <c r="CX52" s="215">
        <f>IF(第十四期!$CU$52*第十四期!CQ95&gt;0,第十四期!$CU$52+第十四期!CQ70+第十四期!CQ95+第十四期!CQ76,0)</f>
        <v>0</v>
      </c>
      <c r="CY52" s="215">
        <f>IF(第十四期!$CU$52*第十四期!CR95&gt;0,第十四期!$CU$52+第十四期!CR70+第十四期!CR95+第十四期!CR76,0)</f>
        <v>0</v>
      </c>
      <c r="CZ52" s="215">
        <f>IF(第十四期!$CU$52*第十四期!CS95&gt;0,第十四期!$CU$52+第十四期!CS70+第十四期!CS95+第十四期!CS76,0)</f>
        <v>0</v>
      </c>
      <c r="DA52" s="215">
        <f>IF(第十四期!$CU$52*第十四期!CT95&gt;0,第十四期!$CU$52+第十四期!CT70+第十四期!CT95+第十四期!CT76,0)</f>
        <v>0</v>
      </c>
      <c r="DB52" s="215">
        <f>AVERAGE(CX52:DA52)</f>
        <v>0</v>
      </c>
      <c r="DF52" s="60" t="s">
        <v>58</v>
      </c>
      <c r="DG52" s="218">
        <f>IF(第十四期!Y90&gt;0,1,0)</f>
        <v>0</v>
      </c>
      <c r="DH52" s="218">
        <f>IF(第十四期!Z90&gt;0,1,0)</f>
        <v>0</v>
      </c>
      <c r="DI52" s="218">
        <f>IF(第十四期!AA90&gt;0,1,0)</f>
        <v>0</v>
      </c>
      <c r="DJ52" s="218">
        <f>IF(第十四期!AB90&gt;0,1,0)</f>
        <v>0</v>
      </c>
      <c r="DL52" s="218" t="s">
        <v>23</v>
      </c>
      <c r="DM52" s="219">
        <f>IF(第十四期!Y11+第十四期!Z11&gt;0,1,0)</f>
        <v>0</v>
      </c>
      <c r="DN52" s="219">
        <f>IF(第十四期!AA11+第十四期!AB11&gt;0,1,0)</f>
        <v>0</v>
      </c>
      <c r="DO52" s="214"/>
    </row>
    <row r="53" ht="15.6" spans="2:119">
      <c r="B53" s="5"/>
      <c r="C53" s="23">
        <v>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8"/>
      <c r="AK53" s="154">
        <f>Y20</f>
        <v>0</v>
      </c>
      <c r="AL53" s="155"/>
      <c r="AM53" s="155"/>
      <c r="AN53" s="156"/>
      <c r="CB53" s="180" t="s">
        <v>59</v>
      </c>
      <c r="CC53" s="102">
        <f>IF(AF79&gt;AF89,IF((Y91-Y111+Y60)&gt;AF60,(AF67-AF107)*AF79+AF60*AF89,(Y91-Y111+Y60)*AF89),IF((Y91-Y111+Y60)&gt;AF60,(AF67-AF107)*AF79+AF60*AF79,(Y91-Y111+Y60)*AF79))</f>
        <v>0</v>
      </c>
      <c r="CD53" s="102">
        <f>IF(AG79&gt;AG89,IF((Z91-Z111+Z60)&gt;AG60,(AG67-AG107)*AG79+AG60*AG89,(Z91-Z111+Z60)*AG89),IF((Z91-Z111+Z60)&gt;AG60,(AG67-AG107)*AG79+AG60*AG79,(Z91-Z111+Z60)*AG79))</f>
        <v>0</v>
      </c>
      <c r="CE53" s="102">
        <f>IF(AH79&gt;AH89,IF((AA91-AA111+AA60)&gt;AH60,(AH67-AH107)*AH79+AH60*AH89,(AA91-AA111+AA60)*AH89),IF((AA91-AA111+AA60)&gt;AH60,(AH67-AH107)*AH79+AH60*AH79,(AA91-AA111+AA60)*AH79))</f>
        <v>0</v>
      </c>
      <c r="CF53" s="102">
        <f>IF(AI79&gt;AI89,IF((AB91-AB111+AB60)&gt;AI60,(AI67-AI107)*AI79+AI60*AI89,(AB91-AB111+AB60)*AI89),IF((AB91-AB111+AB60)&gt;AI60,(AI67-AI107)*AI79+AI60*AI79,(AB91-AB111+AB60)*AI79))</f>
        <v>0</v>
      </c>
      <c r="CG53" s="102">
        <f>SUM(CC50:CF53)</f>
        <v>0</v>
      </c>
      <c r="CH53" s="50"/>
      <c r="CI53" s="180" t="s">
        <v>59</v>
      </c>
      <c r="CJ53" s="102">
        <f>Y111*AF79*0.4</f>
        <v>0</v>
      </c>
      <c r="CK53" s="102">
        <f>Z111*AG79*0.4</f>
        <v>0</v>
      </c>
      <c r="CL53" s="102">
        <f>AA111*AH79*0.4</f>
        <v>0</v>
      </c>
      <c r="CM53" s="102">
        <f>AB111*AI79*0.4</f>
        <v>0</v>
      </c>
      <c r="CN53" s="102">
        <f>SUM(CJ50:CM53)</f>
        <v>0</v>
      </c>
      <c r="CO53" s="50"/>
      <c r="CP53" s="60" t="s">
        <v>41</v>
      </c>
      <c r="CQ53" s="60">
        <f>第十四期!Y12*第十四期!CQ65*比赛参数!D65</f>
        <v>0</v>
      </c>
      <c r="CR53" s="60">
        <f>第十四期!Z12*第十四期!CR65*比赛参数!E65</f>
        <v>0</v>
      </c>
      <c r="CS53" s="60">
        <f>第十四期!AA12*第十四期!CS65*比赛参数!F65</f>
        <v>0</v>
      </c>
      <c r="CT53" s="60">
        <f>第十四期!AB12*第十四期!CT65*比赛参数!G65</f>
        <v>0</v>
      </c>
      <c r="CU53" s="60">
        <f>IF(第十四期!AC12&gt;0,SUM(CQ53:CT53)/第十四期!AC12,0)</f>
        <v>0</v>
      </c>
      <c r="CW53" s="9" t="s">
        <v>41</v>
      </c>
      <c r="CX53" s="215">
        <f>IF(第十四期!$CU$53*第十四期!CQ96&gt;0,第十四期!$CU$53+第十四期!CQ71+第十四期!CQ96+第十四期!CQ77,0)</f>
        <v>0</v>
      </c>
      <c r="CY53" s="215">
        <f>IF(第十四期!$CU$53*第十四期!CR96&gt;0,第十四期!$CU$53+第十四期!CR71+第十四期!CR96+第十四期!CR77,0)</f>
        <v>0</v>
      </c>
      <c r="CZ53" s="215">
        <f>IF(第十四期!$CU$53*第十四期!CS96&gt;0,第十四期!$CU$53+第十四期!CS71+第十四期!CS96+第十四期!CS77,0)</f>
        <v>0</v>
      </c>
      <c r="DA53" s="215">
        <f>IF(第十四期!$CU$53*第十四期!CT96&gt;0,第十四期!$CU$53+第十四期!CT71+第十四期!CT96+第十四期!CT77,0)</f>
        <v>0</v>
      </c>
      <c r="DB53" s="215">
        <f>AVERAGE(CX53:DA53)</f>
        <v>0</v>
      </c>
      <c r="DF53" s="60" t="s">
        <v>59</v>
      </c>
      <c r="DG53" s="218">
        <f>IF(第十四期!Y91&gt;0,1,0)</f>
        <v>0</v>
      </c>
      <c r="DH53" s="218">
        <f>IF(第十四期!Z91&gt;0,1,0)</f>
        <v>0</v>
      </c>
      <c r="DI53" s="218">
        <f>IF(第十四期!AA91&gt;0,1,0)</f>
        <v>0</v>
      </c>
      <c r="DJ53" s="218">
        <f>IF(第十四期!AB91&gt;0,1,0)</f>
        <v>0</v>
      </c>
      <c r="DL53" s="218" t="s">
        <v>24</v>
      </c>
      <c r="DM53" s="219">
        <f>IF(第十四期!Y12+第十四期!Z12&gt;0,1,0)</f>
        <v>0</v>
      </c>
      <c r="DN53" s="219">
        <f>IF(第十四期!AA12+第十四期!AB12&gt;0,1,0)</f>
        <v>0</v>
      </c>
      <c r="DO53" s="214"/>
    </row>
    <row r="54" ht="16.35" spans="2:119">
      <c r="B54" s="5"/>
      <c r="C54" s="23">
        <v>5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8"/>
      <c r="AK54" s="118">
        <f>AA20</f>
        <v>0</v>
      </c>
      <c r="AN54" s="46"/>
      <c r="AR54" s="2" t="s">
        <v>25</v>
      </c>
      <c r="AS54" s="106">
        <f>SUM(AS33:AS52)/比赛参数!$G$4</f>
        <v>0</v>
      </c>
      <c r="AT54" s="106">
        <f>SUM(AT33:AT52)/比赛参数!$G$4</f>
        <v>0</v>
      </c>
      <c r="AU54" s="106">
        <f>SUM(AU33:AU52)/比赛参数!$G$4</f>
        <v>0</v>
      </c>
      <c r="AV54" s="106">
        <f>SUM(AV33:AV52)/比赛参数!$G$4</f>
        <v>0</v>
      </c>
      <c r="AW54" s="106">
        <f>SUM(AW33:AW52)/比赛参数!$G$4</f>
        <v>0</v>
      </c>
      <c r="AX54" s="106">
        <f>SUM(AX33:AX52)/比赛参数!$G$4</f>
        <v>0</v>
      </c>
      <c r="AY54" s="106">
        <f>SUM(AY33:AY52)/比赛参数!$G$4</f>
        <v>0</v>
      </c>
      <c r="AZ54" s="106">
        <f>SUM(AZ33:AZ52)/比赛参数!$G$4</f>
        <v>0</v>
      </c>
      <c r="BA54" s="106">
        <f>SUM(BA33:BA52)/比赛参数!$G$4</f>
        <v>0</v>
      </c>
      <c r="BB54" s="106">
        <f>SUM(BB33:BB52)/比赛参数!$G$4</f>
        <v>0</v>
      </c>
      <c r="BC54" s="106">
        <f>SUM(BC33:BC52)/比赛参数!$G$4</f>
        <v>0</v>
      </c>
      <c r="BD54" s="106">
        <f>SUM(BD33:BD52)/比赛参数!$G$4</f>
        <v>0</v>
      </c>
      <c r="BE54" s="106">
        <f>SUM(BE33:BE52)/比赛参数!$G$4</f>
        <v>0</v>
      </c>
      <c r="BF54" s="106">
        <f>SUM(BF33:BF52)/比赛参数!$G$4</f>
        <v>0</v>
      </c>
      <c r="BG54" s="106">
        <f>SUM(BG33:BG52)/比赛参数!$G$4</f>
        <v>0</v>
      </c>
      <c r="BH54" s="106">
        <f>SUM(BH33:BH52)/比赛参数!$G$4</f>
        <v>0</v>
      </c>
      <c r="BR54" s="86"/>
      <c r="BS54" s="189" t="s">
        <v>428</v>
      </c>
      <c r="BT54" s="189" t="s">
        <v>429</v>
      </c>
      <c r="BU54" s="189" t="s">
        <v>282</v>
      </c>
      <c r="BV54" s="189" t="s">
        <v>430</v>
      </c>
      <c r="BW54" s="118"/>
      <c r="CB54" s="50"/>
      <c r="CC54" s="50">
        <f>SUM(CC50:CC53)</f>
        <v>0</v>
      </c>
      <c r="CD54" s="50">
        <f>SUM(CD50:CD53)</f>
        <v>0</v>
      </c>
      <c r="CE54" s="50">
        <f>SUM(CE50:CE53)</f>
        <v>0</v>
      </c>
      <c r="CF54" s="50">
        <f>SUM(CF50:CF53)</f>
        <v>0</v>
      </c>
      <c r="CG54" s="50"/>
      <c r="CH54" s="50"/>
      <c r="CI54" s="50"/>
      <c r="CJ54" s="50"/>
      <c r="CK54" s="50"/>
      <c r="CL54" s="50"/>
      <c r="CM54" s="50"/>
      <c r="CN54" s="50"/>
      <c r="CO54" s="50"/>
      <c r="CX54" s="216"/>
      <c r="CY54" s="216"/>
      <c r="CZ54" s="216"/>
      <c r="DA54" s="216"/>
      <c r="DF54" s="214"/>
      <c r="DG54" s="214"/>
      <c r="DH54" s="214"/>
      <c r="DI54" s="214"/>
      <c r="DJ54" s="214"/>
      <c r="DL54" s="214"/>
      <c r="DM54" s="214"/>
      <c r="DN54" s="214"/>
      <c r="DO54" s="214"/>
    </row>
    <row r="55" ht="17.1" spans="2:119">
      <c r="B55" s="5"/>
      <c r="C55" s="23">
        <v>6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8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18"/>
      <c r="AN55" s="46"/>
      <c r="BR55" s="190" t="s">
        <v>371</v>
      </c>
      <c r="BS55" s="86"/>
      <c r="BT55" s="86"/>
      <c r="BU55" s="86"/>
      <c r="BV55" s="86">
        <f>第十四期!K11</f>
        <v>0</v>
      </c>
      <c r="BW55" s="118"/>
      <c r="CB55" s="102"/>
      <c r="CC55" s="180" t="s">
        <v>38</v>
      </c>
      <c r="CD55" s="180" t="s">
        <v>39</v>
      </c>
      <c r="CE55" s="180" t="s">
        <v>40</v>
      </c>
      <c r="CF55" s="180" t="s">
        <v>41</v>
      </c>
      <c r="CG55" s="50"/>
      <c r="CH55" s="50"/>
      <c r="CI55" s="210" t="s">
        <v>431</v>
      </c>
      <c r="CJ55" s="179" t="s">
        <v>38</v>
      </c>
      <c r="CK55" s="179" t="s">
        <v>39</v>
      </c>
      <c r="CL55" s="179" t="s">
        <v>40</v>
      </c>
      <c r="CM55" s="179" t="s">
        <v>41</v>
      </c>
      <c r="CN55" s="50"/>
      <c r="CO55" s="50"/>
      <c r="CP55" s="60" t="s">
        <v>373</v>
      </c>
      <c r="CQ55" s="60" t="s">
        <v>331</v>
      </c>
      <c r="CR55" s="60" t="s">
        <v>332</v>
      </c>
      <c r="CS55" s="60" t="s">
        <v>333</v>
      </c>
      <c r="CT55" s="60" t="s">
        <v>334</v>
      </c>
      <c r="CW55" s="43" t="s">
        <v>277</v>
      </c>
      <c r="CX55" s="217" t="s">
        <v>56</v>
      </c>
      <c r="CY55" s="217" t="s">
        <v>57</v>
      </c>
      <c r="CZ55" s="217" t="s">
        <v>58</v>
      </c>
      <c r="DA55" s="217" t="s">
        <v>59</v>
      </c>
      <c r="DB55" s="9" t="s">
        <v>425</v>
      </c>
      <c r="DF55" s="218" t="s">
        <v>55</v>
      </c>
      <c r="DG55" s="218" t="s">
        <v>21</v>
      </c>
      <c r="DH55" s="218" t="s">
        <v>22</v>
      </c>
      <c r="DI55" s="218" t="s">
        <v>23</v>
      </c>
      <c r="DJ55" s="218" t="s">
        <v>24</v>
      </c>
      <c r="DL55" s="218" t="s">
        <v>138</v>
      </c>
      <c r="DM55" s="218" t="s">
        <v>139</v>
      </c>
      <c r="DN55" s="218" t="s">
        <v>140</v>
      </c>
      <c r="DO55" s="214"/>
    </row>
    <row r="56" ht="33.9" spans="2:118">
      <c r="B56" s="5"/>
      <c r="C56" s="23">
        <v>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8"/>
      <c r="X56" s="43" t="s">
        <v>432</v>
      </c>
      <c r="Y56" s="68" t="s">
        <v>38</v>
      </c>
      <c r="Z56" s="68" t="s">
        <v>39</v>
      </c>
      <c r="AA56" s="68" t="s">
        <v>40</v>
      </c>
      <c r="AB56" s="68" t="s">
        <v>41</v>
      </c>
      <c r="AC56" s="118"/>
      <c r="AE56" s="43" t="s">
        <v>433</v>
      </c>
      <c r="AF56" s="68" t="s">
        <v>38</v>
      </c>
      <c r="AG56" s="68" t="s">
        <v>39</v>
      </c>
      <c r="AH56" s="68" t="s">
        <v>40</v>
      </c>
      <c r="AI56" s="68" t="s">
        <v>41</v>
      </c>
      <c r="AK56" s="118">
        <f>Y55</f>
        <v>0</v>
      </c>
      <c r="AL56" s="2">
        <f>Z55</f>
        <v>0</v>
      </c>
      <c r="AM56" s="2">
        <f>AA55</f>
        <v>0</v>
      </c>
      <c r="AN56" s="46">
        <f>AB55</f>
        <v>0</v>
      </c>
      <c r="AO56" s="173"/>
      <c r="AR56" s="9" t="s">
        <v>392</v>
      </c>
      <c r="BR56" s="190" t="s">
        <v>315</v>
      </c>
      <c r="BS56" s="86">
        <f>第十四期!AH14</f>
        <v>0</v>
      </c>
      <c r="BT56" s="86"/>
      <c r="BU56" s="86"/>
      <c r="BV56" s="86">
        <f>BV55+BS56</f>
        <v>0</v>
      </c>
      <c r="BW56" s="118"/>
      <c r="CB56" s="180" t="s">
        <v>256</v>
      </c>
      <c r="CC56" s="102">
        <f>第十四期!DU26</f>
        <v>0</v>
      </c>
      <c r="CD56" s="102">
        <f>第十四期!DU27</f>
        <v>0</v>
      </c>
      <c r="CE56" s="102">
        <f>第十四期!DU28</f>
        <v>0</v>
      </c>
      <c r="CF56" s="102">
        <f>第十四期!DU29</f>
        <v>0</v>
      </c>
      <c r="CG56" s="50"/>
      <c r="CH56" s="50"/>
      <c r="CI56" s="181" t="s">
        <v>56</v>
      </c>
      <c r="CJ56" s="102">
        <f>Y108*(CJ19+CC27)</f>
        <v>0</v>
      </c>
      <c r="CK56" s="102">
        <f>Z108*(CK19+CD27)</f>
        <v>0</v>
      </c>
      <c r="CL56" s="102">
        <f>AA108*(CL19+CE27)</f>
        <v>0</v>
      </c>
      <c r="CM56" s="102">
        <f>AB108*(CM19+CF27)</f>
        <v>0</v>
      </c>
      <c r="CN56" s="50"/>
      <c r="CO56" s="50"/>
      <c r="CP56" s="60" t="s">
        <v>38</v>
      </c>
      <c r="CQ56" s="60" t="str">
        <f>比赛参数!$D$26</f>
        <v>100.0</v>
      </c>
      <c r="CR56" s="60" t="str">
        <f>比赛参数!$D$26</f>
        <v>100.0</v>
      </c>
      <c r="CS56" s="60" t="str">
        <f>比赛参数!$D$26</f>
        <v>100.0</v>
      </c>
      <c r="CT56" s="60" t="str">
        <f>比赛参数!$D$26</f>
        <v>100.0</v>
      </c>
      <c r="CW56" s="9" t="s">
        <v>38</v>
      </c>
      <c r="CX56" s="215">
        <f>第十四期!BS7-第十四期!CX50</f>
        <v>0</v>
      </c>
      <c r="CY56" s="215">
        <f>第十四期!BT7-第十四期!CY50</f>
        <v>0</v>
      </c>
      <c r="CZ56" s="215">
        <f>第十四期!BU7-第十四期!CZ50</f>
        <v>0</v>
      </c>
      <c r="DA56" s="215">
        <f>第十四期!BV7-第十四期!DA50</f>
        <v>0</v>
      </c>
      <c r="DB56" s="215">
        <f>AVERAGE(CX56:DA56)</f>
        <v>0</v>
      </c>
      <c r="DF56" s="218" t="s">
        <v>56</v>
      </c>
      <c r="DG56" s="218" t="str">
        <f>比赛参数!D9</f>
        <v>2011</v>
      </c>
      <c r="DH56" s="218" t="str">
        <f>比赛参数!H9</f>
        <v>9544</v>
      </c>
      <c r="DI56" s="218" t="str">
        <f>比赛参数!D10</f>
        <v>13222</v>
      </c>
      <c r="DJ56" s="218" t="str">
        <f>比赛参数!H10</f>
        <v>15500</v>
      </c>
      <c r="DL56" s="218" t="s">
        <v>21</v>
      </c>
      <c r="DM56" s="218">
        <f>比赛参数!D44*DM50</f>
        <v>0</v>
      </c>
      <c r="DN56" s="218">
        <f>比赛参数!E44*DN50</f>
        <v>0</v>
      </c>
    </row>
    <row r="57" ht="16.35" spans="2:118">
      <c r="B57" s="5"/>
      <c r="C57" s="23">
        <v>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"/>
      <c r="X57" s="59" t="s">
        <v>56</v>
      </c>
      <c r="Y57" s="102">
        <f>第十四期!DX6</f>
        <v>0</v>
      </c>
      <c r="Z57" s="102">
        <f>第十四期!DX10</f>
        <v>0</v>
      </c>
      <c r="AA57" s="102">
        <f>第十四期!DX14</f>
        <v>0</v>
      </c>
      <c r="AB57" s="102">
        <f>第十四期!DX18</f>
        <v>0</v>
      </c>
      <c r="AC57" s="119"/>
      <c r="AE57" s="59" t="s">
        <v>56</v>
      </c>
      <c r="AF57" s="102">
        <f>第十四期!DW6</f>
        <v>0</v>
      </c>
      <c r="AG57" s="102">
        <f>第十四期!DW10</f>
        <v>0</v>
      </c>
      <c r="AH57" s="102">
        <f>第十四期!DW14</f>
        <v>0</v>
      </c>
      <c r="AI57" s="102">
        <f>第十四期!DW18</f>
        <v>0</v>
      </c>
      <c r="AJ57" s="118"/>
      <c r="AK57" s="118">
        <f>D42</f>
        <v>0</v>
      </c>
      <c r="AL57" s="2">
        <f>D43</f>
        <v>0</v>
      </c>
      <c r="AM57" s="2">
        <f>D44</f>
        <v>0</v>
      </c>
      <c r="AN57" s="46">
        <f>D45</f>
        <v>0</v>
      </c>
      <c r="AO57" s="50"/>
      <c r="AR57" s="174">
        <v>1</v>
      </c>
      <c r="AS57" s="175" t="str">
        <f t="shared" ref="AS57:BH57" si="44">IF(AS33="","",(AS33-AS$54)^2)</f>
        <v/>
      </c>
      <c r="AT57" s="175" t="str">
        <f t="shared" si="44"/>
        <v/>
      </c>
      <c r="AU57" s="175" t="str">
        <f t="shared" si="44"/>
        <v/>
      </c>
      <c r="AV57" s="175" t="str">
        <f t="shared" si="44"/>
        <v/>
      </c>
      <c r="AW57" s="175" t="str">
        <f t="shared" si="44"/>
        <v/>
      </c>
      <c r="AX57" s="175" t="str">
        <f t="shared" si="44"/>
        <v/>
      </c>
      <c r="AY57" s="175" t="str">
        <f t="shared" si="44"/>
        <v/>
      </c>
      <c r="AZ57" s="175" t="str">
        <f t="shared" si="44"/>
        <v/>
      </c>
      <c r="BA57" s="175" t="str">
        <f t="shared" si="44"/>
        <v/>
      </c>
      <c r="BB57" s="175" t="str">
        <f t="shared" si="44"/>
        <v/>
      </c>
      <c r="BC57" s="175" t="str">
        <f t="shared" si="44"/>
        <v/>
      </c>
      <c r="BD57" s="175" t="str">
        <f t="shared" si="44"/>
        <v/>
      </c>
      <c r="BE57" s="175" t="str">
        <f t="shared" si="44"/>
        <v/>
      </c>
      <c r="BF57" s="175" t="str">
        <f t="shared" si="44"/>
        <v/>
      </c>
      <c r="BG57" s="175" t="str">
        <f t="shared" si="44"/>
        <v/>
      </c>
      <c r="BH57" s="175" t="str">
        <f t="shared" si="44"/>
        <v/>
      </c>
      <c r="BR57" s="190" t="s">
        <v>402</v>
      </c>
      <c r="BS57" s="86">
        <f>第十四期!AH15</f>
        <v>0</v>
      </c>
      <c r="BT57" s="86"/>
      <c r="BU57" s="86"/>
      <c r="BV57" s="86">
        <f>BV56+BS57</f>
        <v>0</v>
      </c>
      <c r="BW57" s="118"/>
      <c r="CB57" s="180" t="s">
        <v>434</v>
      </c>
      <c r="CC57" s="102">
        <f>AC9</f>
        <v>0</v>
      </c>
      <c r="CD57" s="102">
        <f>AC10</f>
        <v>0</v>
      </c>
      <c r="CE57" s="102">
        <f>AC11</f>
        <v>0</v>
      </c>
      <c r="CF57" s="102">
        <f>AC12</f>
        <v>0</v>
      </c>
      <c r="CG57" s="50"/>
      <c r="CH57" s="50"/>
      <c r="CI57" s="180" t="s">
        <v>57</v>
      </c>
      <c r="CJ57" s="102">
        <f>Y109*(CJ20+CC28)</f>
        <v>0</v>
      </c>
      <c r="CK57" s="102">
        <f>Z109*(CK20+CD28)</f>
        <v>0</v>
      </c>
      <c r="CL57" s="102">
        <f>AA109*(CL20+CE28)</f>
        <v>0</v>
      </c>
      <c r="CM57" s="102">
        <f>AB109*(CM20+CF28)</f>
        <v>0</v>
      </c>
      <c r="CN57" s="50"/>
      <c r="CO57" s="50"/>
      <c r="CP57" s="60" t="s">
        <v>39</v>
      </c>
      <c r="CQ57" s="60" t="str">
        <f>比赛参数!$E$26</f>
        <v>250.0</v>
      </c>
      <c r="CR57" s="60" t="str">
        <f>比赛参数!$E$26</f>
        <v>250.0</v>
      </c>
      <c r="CS57" s="60" t="str">
        <f>比赛参数!$E$26</f>
        <v>250.0</v>
      </c>
      <c r="CT57" s="60" t="str">
        <f>比赛参数!$E$26</f>
        <v>250.0</v>
      </c>
      <c r="CW57" s="9" t="s">
        <v>39</v>
      </c>
      <c r="CX57" s="215">
        <f>第十四期!BS8-第十四期!CX51</f>
        <v>0</v>
      </c>
      <c r="CY57" s="215">
        <f>第十四期!BT8-第十四期!CY51</f>
        <v>0</v>
      </c>
      <c r="CZ57" s="215">
        <f>第十四期!BU8-第十四期!CZ51</f>
        <v>0</v>
      </c>
      <c r="DA57" s="215">
        <f>第十四期!BV8-第十四期!DA51</f>
        <v>0</v>
      </c>
      <c r="DB57" s="215">
        <f>AVERAGE(CX57:DA57)</f>
        <v>0</v>
      </c>
      <c r="DF57" s="218" t="s">
        <v>57</v>
      </c>
      <c r="DG57" s="218" t="str">
        <f>比赛参数!E9</f>
        <v>1289</v>
      </c>
      <c r="DH57" s="218" t="str">
        <f>比赛参数!I9</f>
        <v>7156</v>
      </c>
      <c r="DI57" s="218" t="str">
        <f>比赛参数!E10</f>
        <v>11278</v>
      </c>
      <c r="DJ57" s="218" t="str">
        <f>比赛参数!I10</f>
        <v>13000</v>
      </c>
      <c r="DL57" s="218" t="s">
        <v>22</v>
      </c>
      <c r="DM57" s="218">
        <f>比赛参数!D45*DM51</f>
        <v>0</v>
      </c>
      <c r="DN57" s="218">
        <f>比赛参数!E45*DN51</f>
        <v>0</v>
      </c>
    </row>
    <row r="58" ht="15.6" spans="2:118">
      <c r="B58" s="5"/>
      <c r="C58" s="23">
        <v>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8"/>
      <c r="X58" s="9" t="s">
        <v>57</v>
      </c>
      <c r="Y58" s="102">
        <f>第十四期!DX7</f>
        <v>0</v>
      </c>
      <c r="Z58" s="102">
        <f>第十四期!DX11</f>
        <v>0</v>
      </c>
      <c r="AA58" s="102">
        <f>第十四期!DX15</f>
        <v>0</v>
      </c>
      <c r="AB58" s="102">
        <f>第十四期!DX19</f>
        <v>0</v>
      </c>
      <c r="AC58" s="119"/>
      <c r="AE58" s="9" t="s">
        <v>57</v>
      </c>
      <c r="AF58" s="102">
        <f>第十四期!DW7</f>
        <v>0</v>
      </c>
      <c r="AG58" s="102">
        <f>第十四期!DW11</f>
        <v>0</v>
      </c>
      <c r="AH58" s="102">
        <f>第十四期!DW15</f>
        <v>0</v>
      </c>
      <c r="AI58" s="102">
        <f>第十四期!DW19</f>
        <v>0</v>
      </c>
      <c r="AK58" s="118">
        <f>AF55</f>
        <v>0</v>
      </c>
      <c r="AL58" s="2">
        <f>AG55</f>
        <v>0</v>
      </c>
      <c r="AM58" s="2">
        <f>AH55</f>
        <v>0</v>
      </c>
      <c r="AN58" s="46">
        <f>AI55</f>
        <v>0</v>
      </c>
      <c r="AR58" s="174">
        <v>2</v>
      </c>
      <c r="AS58" s="175" t="str">
        <f t="shared" ref="AS58:BH58" si="45">IF(AS34="","",(AS34-AS$54)^2)</f>
        <v/>
      </c>
      <c r="AT58" s="175" t="str">
        <f t="shared" si="45"/>
        <v/>
      </c>
      <c r="AU58" s="175" t="str">
        <f t="shared" si="45"/>
        <v/>
      </c>
      <c r="AV58" s="175" t="str">
        <f t="shared" si="45"/>
        <v/>
      </c>
      <c r="AW58" s="175" t="str">
        <f t="shared" si="45"/>
        <v/>
      </c>
      <c r="AX58" s="175" t="str">
        <f t="shared" si="45"/>
        <v/>
      </c>
      <c r="AY58" s="175" t="str">
        <f t="shared" si="45"/>
        <v/>
      </c>
      <c r="AZ58" s="175" t="str">
        <f t="shared" si="45"/>
        <v/>
      </c>
      <c r="BA58" s="175" t="str">
        <f t="shared" si="45"/>
        <v/>
      </c>
      <c r="BB58" s="175" t="str">
        <f t="shared" si="45"/>
        <v/>
      </c>
      <c r="BC58" s="175" t="str">
        <f t="shared" si="45"/>
        <v/>
      </c>
      <c r="BD58" s="175" t="str">
        <f t="shared" si="45"/>
        <v/>
      </c>
      <c r="BE58" s="175" t="str">
        <f t="shared" si="45"/>
        <v/>
      </c>
      <c r="BF58" s="175" t="str">
        <f t="shared" si="45"/>
        <v/>
      </c>
      <c r="BG58" s="175" t="str">
        <f t="shared" si="45"/>
        <v/>
      </c>
      <c r="BH58" s="175" t="str">
        <f t="shared" si="45"/>
        <v/>
      </c>
      <c r="BR58" s="190" t="s">
        <v>435</v>
      </c>
      <c r="BS58" s="86">
        <f>第十四期!H5+第十四期!H4*比赛参数!F71</f>
        <v>0</v>
      </c>
      <c r="BT58" s="86"/>
      <c r="BU58" s="86"/>
      <c r="BV58" s="86">
        <f t="shared" ref="BV58:BV64" si="46">BV57-BS58</f>
        <v>0</v>
      </c>
      <c r="BW58" s="118"/>
      <c r="CB58" s="180" t="s">
        <v>436</v>
      </c>
      <c r="CC58" s="102">
        <f>Y92</f>
        <v>0</v>
      </c>
      <c r="CD58" s="102">
        <f>Z92</f>
        <v>0</v>
      </c>
      <c r="CE58" s="102">
        <f>AA92</f>
        <v>0</v>
      </c>
      <c r="CF58" s="102">
        <f>AB92</f>
        <v>0</v>
      </c>
      <c r="CG58" s="50"/>
      <c r="CH58" s="50"/>
      <c r="CI58" s="180" t="s">
        <v>58</v>
      </c>
      <c r="CJ58" s="102">
        <f>Y110*(CJ21+CC29)</f>
        <v>0</v>
      </c>
      <c r="CK58" s="102">
        <f>Z110*(CK21+CD29)</f>
        <v>0</v>
      </c>
      <c r="CL58" s="102">
        <f>AA110*(CL21+CE29)</f>
        <v>0</v>
      </c>
      <c r="CM58" s="102">
        <f>AB110*(CM21+CF29)</f>
        <v>0</v>
      </c>
      <c r="CN58" s="102" t="s">
        <v>415</v>
      </c>
      <c r="CO58" s="50"/>
      <c r="CP58" s="60" t="s">
        <v>40</v>
      </c>
      <c r="CQ58" s="60" t="str">
        <f>比赛参数!$F$26</f>
        <v>380.0</v>
      </c>
      <c r="CR58" s="60" t="str">
        <f>比赛参数!$F$26</f>
        <v>380.0</v>
      </c>
      <c r="CS58" s="60" t="str">
        <f>比赛参数!$F$26</f>
        <v>380.0</v>
      </c>
      <c r="CT58" s="60" t="str">
        <f>比赛参数!$F$26</f>
        <v>380.0</v>
      </c>
      <c r="CW58" s="9" t="s">
        <v>40</v>
      </c>
      <c r="CX58" s="215">
        <f>第十四期!BS9-第十四期!CX52</f>
        <v>0</v>
      </c>
      <c r="CY58" s="215">
        <f>第十四期!BT9-第十四期!CY52</f>
        <v>0</v>
      </c>
      <c r="CZ58" s="215">
        <f>第十四期!BU9-第十四期!CZ52</f>
        <v>0</v>
      </c>
      <c r="DA58" s="215">
        <f>第十四期!BV9-第十四期!DA52</f>
        <v>0</v>
      </c>
      <c r="DB58" s="215">
        <f>AVERAGE(CX58:DA58)</f>
        <v>0</v>
      </c>
      <c r="DF58" s="218" t="s">
        <v>58</v>
      </c>
      <c r="DG58" s="218" t="str">
        <f>比赛参数!F9</f>
        <v>4100</v>
      </c>
      <c r="DH58" s="218" t="str">
        <f>比赛参数!J9</f>
        <v>12000</v>
      </c>
      <c r="DI58" s="218" t="str">
        <f>比赛参数!F10</f>
        <v>16000</v>
      </c>
      <c r="DJ58" s="218" t="str">
        <f>比赛参数!J10</f>
        <v>18000</v>
      </c>
      <c r="DL58" s="218" t="s">
        <v>23</v>
      </c>
      <c r="DM58" s="218">
        <f>比赛参数!D46*DM52</f>
        <v>0</v>
      </c>
      <c r="DN58" s="218">
        <f>比赛参数!E46*DN52</f>
        <v>0</v>
      </c>
    </row>
    <row r="59" ht="15.6" spans="2:118">
      <c r="B59" s="5"/>
      <c r="C59" s="23">
        <v>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8"/>
      <c r="X59" s="9" t="s">
        <v>58</v>
      </c>
      <c r="Y59" s="102">
        <f>第十四期!DX8</f>
        <v>0</v>
      </c>
      <c r="Z59" s="102">
        <f>第十四期!DX12</f>
        <v>0</v>
      </c>
      <c r="AA59" s="102">
        <f>第十四期!DX16</f>
        <v>0</v>
      </c>
      <c r="AB59" s="102">
        <f>第十四期!DX20</f>
        <v>0</v>
      </c>
      <c r="AC59" s="120"/>
      <c r="AE59" s="9" t="s">
        <v>58</v>
      </c>
      <c r="AF59" s="102">
        <f>第十四期!DW8</f>
        <v>0</v>
      </c>
      <c r="AG59" s="102">
        <f>第十四期!DW12</f>
        <v>0</v>
      </c>
      <c r="AH59" s="102">
        <f>第十四期!DW16</f>
        <v>0</v>
      </c>
      <c r="AI59" s="102">
        <f>第十四期!DW20</f>
        <v>0</v>
      </c>
      <c r="AK59" s="118"/>
      <c r="AN59" s="46"/>
      <c r="AR59" s="174">
        <v>3</v>
      </c>
      <c r="AS59" s="175" t="str">
        <f t="shared" ref="AS59:BH59" si="47">IF(AS35="","",(AS35-AS$54)^2)</f>
        <v/>
      </c>
      <c r="AT59" s="175" t="str">
        <f t="shared" si="47"/>
        <v/>
      </c>
      <c r="AU59" s="175" t="str">
        <f t="shared" si="47"/>
        <v/>
      </c>
      <c r="AV59" s="175" t="str">
        <f t="shared" si="47"/>
        <v/>
      </c>
      <c r="AW59" s="175" t="str">
        <f t="shared" si="47"/>
        <v/>
      </c>
      <c r="AX59" s="175" t="str">
        <f t="shared" si="47"/>
        <v/>
      </c>
      <c r="AY59" s="175" t="str">
        <f t="shared" si="47"/>
        <v/>
      </c>
      <c r="AZ59" s="175" t="str">
        <f t="shared" si="47"/>
        <v/>
      </c>
      <c r="BA59" s="175" t="str">
        <f t="shared" si="47"/>
        <v/>
      </c>
      <c r="BB59" s="175" t="str">
        <f t="shared" si="47"/>
        <v/>
      </c>
      <c r="BC59" s="175" t="str">
        <f t="shared" si="47"/>
        <v/>
      </c>
      <c r="BD59" s="175" t="str">
        <f t="shared" si="47"/>
        <v/>
      </c>
      <c r="BE59" s="175" t="str">
        <f t="shared" si="47"/>
        <v/>
      </c>
      <c r="BF59" s="175" t="str">
        <f t="shared" si="47"/>
        <v/>
      </c>
      <c r="BG59" s="175" t="str">
        <f t="shared" si="47"/>
        <v/>
      </c>
      <c r="BH59" s="175" t="str">
        <f t="shared" si="47"/>
        <v/>
      </c>
      <c r="BR59" s="190" t="s">
        <v>437</v>
      </c>
      <c r="BS59" s="86">
        <f>第十四期!K14*比赛参数!D71/4</f>
        <v>0</v>
      </c>
      <c r="BT59" s="86"/>
      <c r="BU59" s="86">
        <f>BS59</f>
        <v>0</v>
      </c>
      <c r="BV59" s="86">
        <f t="shared" si="46"/>
        <v>0</v>
      </c>
      <c r="BW59" s="118"/>
      <c r="CB59" s="180" t="s">
        <v>438</v>
      </c>
      <c r="CC59" s="102">
        <f>AF108</f>
        <v>0</v>
      </c>
      <c r="CD59" s="102">
        <f>AG108</f>
        <v>0</v>
      </c>
      <c r="CE59" s="102">
        <f>AH108</f>
        <v>0</v>
      </c>
      <c r="CF59" s="102">
        <f>AI108</f>
        <v>0</v>
      </c>
      <c r="CG59" s="50"/>
      <c r="CH59" s="50"/>
      <c r="CI59" s="180" t="s">
        <v>59</v>
      </c>
      <c r="CJ59" s="102">
        <f>Y111*(CJ22+CC30)</f>
        <v>0</v>
      </c>
      <c r="CK59" s="102">
        <f>Z111*(CK22+CD30)</f>
        <v>0</v>
      </c>
      <c r="CL59" s="102">
        <f>AA111*(CL22+CE30)</f>
        <v>0</v>
      </c>
      <c r="CM59" s="102">
        <f>AB111*(CM22+CF30)</f>
        <v>0</v>
      </c>
      <c r="CN59" s="102">
        <f>SUM(CJ56:CM59)</f>
        <v>0</v>
      </c>
      <c r="CO59" s="50"/>
      <c r="CP59" s="60" t="s">
        <v>41</v>
      </c>
      <c r="CQ59" s="60" t="str">
        <f>比赛参数!$G$26</f>
        <v>520.0</v>
      </c>
      <c r="CR59" s="60" t="str">
        <f>比赛参数!$G$26</f>
        <v>520.0</v>
      </c>
      <c r="CS59" s="60" t="str">
        <f>比赛参数!$G$26</f>
        <v>520.0</v>
      </c>
      <c r="CT59" s="60" t="str">
        <f>比赛参数!$G$26</f>
        <v>520.0</v>
      </c>
      <c r="CW59" s="9" t="s">
        <v>41</v>
      </c>
      <c r="CX59" s="215">
        <f>第十四期!BS10-第十四期!CX53</f>
        <v>0</v>
      </c>
      <c r="CY59" s="215">
        <f>第十四期!BT10-第十四期!CY53</f>
        <v>0</v>
      </c>
      <c r="CZ59" s="215">
        <f>第十四期!BU10-第十四期!CZ53</f>
        <v>0</v>
      </c>
      <c r="DA59" s="215">
        <f>第十四期!BV10-第十四期!DA53</f>
        <v>0</v>
      </c>
      <c r="DB59" s="215">
        <f>AVERAGE(CX59:DA59)</f>
        <v>0</v>
      </c>
      <c r="DF59" s="218" t="s">
        <v>59</v>
      </c>
      <c r="DG59" s="218" t="str">
        <f>比赛参数!G9</f>
        <v>5000</v>
      </c>
      <c r="DH59" s="218" t="str">
        <f>比赛参数!K9</f>
        <v>13000</v>
      </c>
      <c r="DI59" s="218" t="str">
        <f>比赛参数!G10</f>
        <v>17000</v>
      </c>
      <c r="DJ59" s="218" t="str">
        <f>比赛参数!K10</f>
        <v>19500</v>
      </c>
      <c r="DL59" s="218" t="s">
        <v>24</v>
      </c>
      <c r="DM59" s="218">
        <f>比赛参数!D47*DM53</f>
        <v>0</v>
      </c>
      <c r="DN59" s="218">
        <f>比赛参数!E47*DN53</f>
        <v>0</v>
      </c>
    </row>
    <row r="60" ht="16.35" spans="2:118">
      <c r="B60" s="5"/>
      <c r="C60" s="23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8"/>
      <c r="X60" s="9" t="s">
        <v>59</v>
      </c>
      <c r="Y60" s="102">
        <f>第十四期!DX9</f>
        <v>0</v>
      </c>
      <c r="Z60" s="102">
        <f>第十四期!DX13</f>
        <v>0</v>
      </c>
      <c r="AA60" s="102">
        <f>第十四期!DX17</f>
        <v>0</v>
      </c>
      <c r="AB60" s="102">
        <f>第十四期!DX21</f>
        <v>0</v>
      </c>
      <c r="AC60" s="102" t="s">
        <v>415</v>
      </c>
      <c r="AE60" s="9" t="s">
        <v>59</v>
      </c>
      <c r="AF60" s="102">
        <f>第十四期!DW9</f>
        <v>0</v>
      </c>
      <c r="AG60" s="102">
        <f>第十四期!DW13</f>
        <v>0</v>
      </c>
      <c r="AH60" s="102">
        <f>第十四期!DW17</f>
        <v>0</v>
      </c>
      <c r="AI60" s="102">
        <f>第十四期!DW21</f>
        <v>0</v>
      </c>
      <c r="AK60" s="118">
        <f>AF74</f>
        <v>0</v>
      </c>
      <c r="AL60" s="2">
        <f>AG74</f>
        <v>0</v>
      </c>
      <c r="AM60" s="2">
        <f>AH74</f>
        <v>0</v>
      </c>
      <c r="AN60" s="46">
        <f>AI74</f>
        <v>0</v>
      </c>
      <c r="AR60" s="174">
        <v>4</v>
      </c>
      <c r="AS60" s="175" t="str">
        <f t="shared" ref="AS60:BH60" si="48">IF(AS36="","",(AS36-AS$54)^2)</f>
        <v/>
      </c>
      <c r="AT60" s="175" t="str">
        <f t="shared" si="48"/>
        <v/>
      </c>
      <c r="AU60" s="175" t="str">
        <f t="shared" si="48"/>
        <v/>
      </c>
      <c r="AV60" s="175" t="str">
        <f t="shared" si="48"/>
        <v/>
      </c>
      <c r="AW60" s="175" t="str">
        <f t="shared" si="48"/>
        <v/>
      </c>
      <c r="AX60" s="175" t="str">
        <f t="shared" si="48"/>
        <v/>
      </c>
      <c r="AY60" s="175" t="str">
        <f t="shared" si="48"/>
        <v/>
      </c>
      <c r="AZ60" s="175" t="str">
        <f t="shared" si="48"/>
        <v/>
      </c>
      <c r="BA60" s="175" t="str">
        <f t="shared" si="48"/>
        <v/>
      </c>
      <c r="BB60" s="175" t="str">
        <f t="shared" si="48"/>
        <v/>
      </c>
      <c r="BC60" s="175" t="str">
        <f t="shared" si="48"/>
        <v/>
      </c>
      <c r="BD60" s="175" t="str">
        <f t="shared" si="48"/>
        <v/>
      </c>
      <c r="BE60" s="175" t="str">
        <f t="shared" si="48"/>
        <v/>
      </c>
      <c r="BF60" s="175" t="str">
        <f t="shared" si="48"/>
        <v/>
      </c>
      <c r="BG60" s="175" t="str">
        <f t="shared" si="48"/>
        <v/>
      </c>
      <c r="BH60" s="175" t="str">
        <f t="shared" si="48"/>
        <v/>
      </c>
      <c r="BR60" s="190" t="s">
        <v>439</v>
      </c>
      <c r="BS60" s="86">
        <f>第十四期!Y18*比赛参数!D58</f>
        <v>0</v>
      </c>
      <c r="BT60" s="86"/>
      <c r="BU60" s="86">
        <f>BU59+BS60</f>
        <v>0</v>
      </c>
      <c r="BV60" s="86">
        <f t="shared" si="46"/>
        <v>0</v>
      </c>
      <c r="BW60" s="118"/>
      <c r="CB60" s="180" t="s">
        <v>440</v>
      </c>
      <c r="CC60" s="102">
        <f>SUM(Y57:Y60)+CC56</f>
        <v>0</v>
      </c>
      <c r="CD60" s="102">
        <f>SUM(Z57:Z60)+CD56</f>
        <v>0</v>
      </c>
      <c r="CE60" s="102">
        <f>SUM(AA57:AA60)+CE56</f>
        <v>0</v>
      </c>
      <c r="CF60" s="102">
        <f>SUM(AB57:AB60)+CF56</f>
        <v>0</v>
      </c>
      <c r="CG60" s="50"/>
      <c r="CH60" s="50"/>
      <c r="CI60" s="50"/>
      <c r="CJ60" s="50"/>
      <c r="CK60" s="50"/>
      <c r="CL60" s="50"/>
      <c r="CM60" s="50"/>
      <c r="CN60" s="50"/>
      <c r="CO60" s="50"/>
      <c r="CX60" s="216"/>
      <c r="CY60" s="216"/>
      <c r="CZ60" s="216"/>
      <c r="DA60" s="216"/>
      <c r="DF60" s="214"/>
      <c r="DG60" s="214"/>
      <c r="DH60" s="214"/>
      <c r="DI60" s="214"/>
      <c r="DJ60" s="214"/>
      <c r="DL60" s="214" t="s">
        <v>415</v>
      </c>
      <c r="DM60" s="214">
        <f>SUM(DM56:DN59)</f>
        <v>0</v>
      </c>
      <c r="DN60" s="214"/>
    </row>
    <row r="61" ht="17.1" spans="2:118">
      <c r="B61" s="5"/>
      <c r="C61" s="23">
        <v>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8"/>
      <c r="X61" s="60" t="s">
        <v>441</v>
      </c>
      <c r="Y61" s="86">
        <f>Y57*AF86+Y58*AF87+Y59*AF88+Y60*AF89</f>
        <v>0</v>
      </c>
      <c r="Z61" s="86">
        <f>Z57*AG86+Z58*AG87+Z59*AG88+Z60*AG89</f>
        <v>0</v>
      </c>
      <c r="AA61" s="86">
        <f>AA57*AH86+AA58*AH87+AA59*AH88+AA60*AH89</f>
        <v>0</v>
      </c>
      <c r="AB61" s="86">
        <f>AB57*AI86+AB58*AI87+AB59*AI88+AB60*AI89</f>
        <v>0</v>
      </c>
      <c r="AC61" s="86">
        <f>SUM(Y61:AB61)</f>
        <v>0</v>
      </c>
      <c r="AK61" s="157" t="e">
        <f>AF82</f>
        <v>#DIV/0!</v>
      </c>
      <c r="AL61" s="158" t="e">
        <f>AG82</f>
        <v>#DIV/0!</v>
      </c>
      <c r="AM61" s="158" t="e">
        <f>AH82</f>
        <v>#DIV/0!</v>
      </c>
      <c r="AN61" s="159" t="e">
        <f>AI82</f>
        <v>#DIV/0!</v>
      </c>
      <c r="AR61" s="174">
        <v>5</v>
      </c>
      <c r="AS61" s="175" t="str">
        <f t="shared" ref="AS61:BH61" si="49">IF(AS37="","",(AS37-AS$54)^2)</f>
        <v/>
      </c>
      <c r="AT61" s="175" t="str">
        <f t="shared" si="49"/>
        <v/>
      </c>
      <c r="AU61" s="175" t="str">
        <f t="shared" si="49"/>
        <v/>
      </c>
      <c r="AV61" s="175" t="str">
        <f t="shared" si="49"/>
        <v/>
      </c>
      <c r="AW61" s="175" t="str">
        <f t="shared" si="49"/>
        <v/>
      </c>
      <c r="AX61" s="175" t="str">
        <f t="shared" si="49"/>
        <v/>
      </c>
      <c r="AY61" s="175" t="str">
        <f t="shared" si="49"/>
        <v/>
      </c>
      <c r="AZ61" s="175" t="str">
        <f t="shared" si="49"/>
        <v/>
      </c>
      <c r="BA61" s="175" t="str">
        <f t="shared" si="49"/>
        <v/>
      </c>
      <c r="BB61" s="175" t="str">
        <f t="shared" si="49"/>
        <v/>
      </c>
      <c r="BC61" s="175" t="str">
        <f t="shared" si="49"/>
        <v/>
      </c>
      <c r="BD61" s="175" t="str">
        <f t="shared" si="49"/>
        <v/>
      </c>
      <c r="BE61" s="175" t="str">
        <f t="shared" si="49"/>
        <v/>
      </c>
      <c r="BF61" s="175" t="str">
        <f t="shared" si="49"/>
        <v/>
      </c>
      <c r="BG61" s="175" t="str">
        <f t="shared" si="49"/>
        <v/>
      </c>
      <c r="BH61" s="175" t="str">
        <f t="shared" si="49"/>
        <v/>
      </c>
      <c r="BR61" s="190" t="s">
        <v>442</v>
      </c>
      <c r="BS61" s="86">
        <f>第十四期!AA18*比赛参数!D62</f>
        <v>0</v>
      </c>
      <c r="BT61" s="86"/>
      <c r="BU61" s="86">
        <f>BU60+BS61</f>
        <v>0</v>
      </c>
      <c r="BV61" s="86">
        <f t="shared" si="46"/>
        <v>0</v>
      </c>
      <c r="BW61" s="118"/>
      <c r="CB61" s="180" t="s">
        <v>35</v>
      </c>
      <c r="CC61" s="102">
        <f>CC56+CC57-CC58+CC59</f>
        <v>0</v>
      </c>
      <c r="CD61" s="102">
        <f>CD56+CD57-CD58+CD59</f>
        <v>0</v>
      </c>
      <c r="CE61" s="102">
        <f>CE56+CE57-CE58+CE59</f>
        <v>0</v>
      </c>
      <c r="CF61" s="102">
        <f>CF56+CF57-CF58+CF59</f>
        <v>0</v>
      </c>
      <c r="CG61" s="50"/>
      <c r="CH61" s="50"/>
      <c r="CI61" s="50"/>
      <c r="CJ61" s="50"/>
      <c r="CK61" s="50"/>
      <c r="CL61" s="50"/>
      <c r="CM61" s="50"/>
      <c r="CN61" s="50"/>
      <c r="CO61" s="50"/>
      <c r="CP61" s="60" t="s">
        <v>403</v>
      </c>
      <c r="CQ61" s="60" t="s">
        <v>331</v>
      </c>
      <c r="CR61" s="60" t="s">
        <v>332</v>
      </c>
      <c r="CS61" s="60" t="s">
        <v>333</v>
      </c>
      <c r="CT61" s="60" t="s">
        <v>334</v>
      </c>
      <c r="CW61" s="43" t="s">
        <v>404</v>
      </c>
      <c r="CX61" s="217" t="s">
        <v>56</v>
      </c>
      <c r="CY61" s="217" t="s">
        <v>57</v>
      </c>
      <c r="CZ61" s="217" t="s">
        <v>58</v>
      </c>
      <c r="DA61" s="217" t="s">
        <v>59</v>
      </c>
      <c r="DB61" s="9" t="s">
        <v>425</v>
      </c>
      <c r="DF61" s="214"/>
      <c r="DG61" s="214"/>
      <c r="DH61" s="214"/>
      <c r="DI61" s="214"/>
      <c r="DJ61" s="214"/>
      <c r="DN61" s="214"/>
    </row>
    <row r="62" ht="17.1" spans="2:114">
      <c r="B62" s="5"/>
      <c r="C62" s="23">
        <v>13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8"/>
      <c r="AN62" s="50"/>
      <c r="AO62" s="50"/>
      <c r="AR62" s="174">
        <v>6</v>
      </c>
      <c r="AS62" s="175" t="str">
        <f t="shared" ref="AS62:BH62" si="50">IF(AS38="","",(AS38-AS$54)^2)</f>
        <v/>
      </c>
      <c r="AT62" s="175" t="str">
        <f t="shared" si="50"/>
        <v/>
      </c>
      <c r="AU62" s="175" t="str">
        <f t="shared" si="50"/>
        <v/>
      </c>
      <c r="AV62" s="175" t="str">
        <f t="shared" si="50"/>
        <v/>
      </c>
      <c r="AW62" s="175" t="str">
        <f t="shared" si="50"/>
        <v/>
      </c>
      <c r="AX62" s="175" t="str">
        <f t="shared" si="50"/>
        <v/>
      </c>
      <c r="AY62" s="175" t="str">
        <f t="shared" si="50"/>
        <v/>
      </c>
      <c r="AZ62" s="175" t="str">
        <f t="shared" si="50"/>
        <v/>
      </c>
      <c r="BA62" s="175" t="str">
        <f t="shared" si="50"/>
        <v/>
      </c>
      <c r="BB62" s="175" t="str">
        <f t="shared" si="50"/>
        <v/>
      </c>
      <c r="BC62" s="175" t="str">
        <f t="shared" si="50"/>
        <v/>
      </c>
      <c r="BD62" s="175" t="str">
        <f t="shared" si="50"/>
        <v/>
      </c>
      <c r="BE62" s="175" t="str">
        <f t="shared" si="50"/>
        <v/>
      </c>
      <c r="BF62" s="175" t="str">
        <f t="shared" si="50"/>
        <v/>
      </c>
      <c r="BG62" s="175" t="str">
        <f t="shared" si="50"/>
        <v/>
      </c>
      <c r="BH62" s="175" t="str">
        <f t="shared" si="50"/>
        <v/>
      </c>
      <c r="BR62" s="190" t="s">
        <v>443</v>
      </c>
      <c r="BS62" s="86">
        <f>((第十四期!K8-第十四期!AA18)*比赛参数!D65+第十四期!Y18*比赛参数!D59*比赛参数!D65)*第十四期!AH18*520</f>
        <v>0</v>
      </c>
      <c r="BT62" s="86"/>
      <c r="BU62" s="86">
        <f>BU61+BS62</f>
        <v>0</v>
      </c>
      <c r="BV62" s="86">
        <f t="shared" si="46"/>
        <v>0</v>
      </c>
      <c r="BW62" s="118"/>
      <c r="CB62" s="180" t="s">
        <v>444</v>
      </c>
      <c r="CC62" s="102" t="str">
        <f>比赛参数!D19</f>
        <v>40.00</v>
      </c>
      <c r="CD62" s="102" t="str">
        <f>比赛参数!D20</f>
        <v>60.00</v>
      </c>
      <c r="CE62" s="102" t="str">
        <f>比赛参数!D21</f>
        <v>120.00</v>
      </c>
      <c r="CF62" s="102" t="str">
        <f>比赛参数!D22</f>
        <v>140.00</v>
      </c>
      <c r="CG62" s="50"/>
      <c r="CH62" s="50"/>
      <c r="CI62" s="50"/>
      <c r="CJ62" s="50"/>
      <c r="CK62" s="50"/>
      <c r="CL62" s="50"/>
      <c r="CM62" s="50"/>
      <c r="CN62" s="50"/>
      <c r="CO62" s="50"/>
      <c r="CP62" s="60" t="s">
        <v>38</v>
      </c>
      <c r="CQ62" s="60" t="str">
        <f>比赛参数!$D$27</f>
        <v>120.0</v>
      </c>
      <c r="CR62" s="60" t="str">
        <f>比赛参数!$D$27</f>
        <v>120.0</v>
      </c>
      <c r="CS62" s="60" t="str">
        <f>比赛参数!$D$27</f>
        <v>120.0</v>
      </c>
      <c r="CT62" s="60" t="str">
        <f>比赛参数!$D$27</f>
        <v>120.0</v>
      </c>
      <c r="CW62" s="9" t="s">
        <v>38</v>
      </c>
      <c r="CX62" s="215">
        <f>CX56/第十四期!CQ56</f>
        <v>0</v>
      </c>
      <c r="CY62" s="215">
        <f>CY56/第十四期!CR56</f>
        <v>0</v>
      </c>
      <c r="CZ62" s="215">
        <f>CZ56/第十四期!CS56</f>
        <v>0</v>
      </c>
      <c r="DA62" s="215">
        <f>DA56/第十四期!CT56</f>
        <v>0</v>
      </c>
      <c r="DB62" s="215">
        <f>AVERAGE(CX62:DA62)</f>
        <v>0</v>
      </c>
      <c r="DF62" s="214"/>
      <c r="DG62" s="214"/>
      <c r="DH62" s="214"/>
      <c r="DI62" s="214"/>
      <c r="DJ62" s="214"/>
    </row>
    <row r="63" ht="17.1" spans="2:114">
      <c r="B63" s="5"/>
      <c r="C63" s="23">
        <v>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8"/>
      <c r="X63" s="43" t="s">
        <v>445</v>
      </c>
      <c r="Y63" s="68" t="s">
        <v>38</v>
      </c>
      <c r="Z63" s="68" t="s">
        <v>39</v>
      </c>
      <c r="AA63" s="68" t="s">
        <v>40</v>
      </c>
      <c r="AB63" s="68" t="s">
        <v>41</v>
      </c>
      <c r="AC63" s="118"/>
      <c r="AE63" s="43" t="s">
        <v>446</v>
      </c>
      <c r="AF63" s="68" t="s">
        <v>38</v>
      </c>
      <c r="AG63" s="68" t="s">
        <v>39</v>
      </c>
      <c r="AH63" s="68" t="s">
        <v>40</v>
      </c>
      <c r="AI63" s="68" t="s">
        <v>41</v>
      </c>
      <c r="AJ63" s="118"/>
      <c r="AN63" s="50"/>
      <c r="AO63" s="50"/>
      <c r="AR63" s="174">
        <v>7</v>
      </c>
      <c r="AS63" s="175" t="str">
        <f t="shared" ref="AS63:BH63" si="51">IF(AS39="","",(AS39-AS$54)^2)</f>
        <v/>
      </c>
      <c r="AT63" s="175" t="str">
        <f t="shared" si="51"/>
        <v/>
      </c>
      <c r="AU63" s="175" t="str">
        <f t="shared" si="51"/>
        <v/>
      </c>
      <c r="AV63" s="175" t="str">
        <f t="shared" si="51"/>
        <v/>
      </c>
      <c r="AW63" s="175" t="str">
        <f t="shared" si="51"/>
        <v/>
      </c>
      <c r="AX63" s="175" t="str">
        <f t="shared" si="51"/>
        <v/>
      </c>
      <c r="AY63" s="175" t="str">
        <f t="shared" si="51"/>
        <v/>
      </c>
      <c r="AZ63" s="175" t="str">
        <f t="shared" si="51"/>
        <v/>
      </c>
      <c r="BA63" s="175" t="str">
        <f t="shared" si="51"/>
        <v/>
      </c>
      <c r="BB63" s="175" t="str">
        <f t="shared" si="51"/>
        <v/>
      </c>
      <c r="BC63" s="175" t="str">
        <f t="shared" si="51"/>
        <v/>
      </c>
      <c r="BD63" s="175" t="str">
        <f t="shared" si="51"/>
        <v/>
      </c>
      <c r="BE63" s="175" t="str">
        <f t="shared" si="51"/>
        <v/>
      </c>
      <c r="BF63" s="175" t="str">
        <f t="shared" si="51"/>
        <v/>
      </c>
      <c r="BG63" s="175" t="str">
        <f t="shared" si="51"/>
        <v/>
      </c>
      <c r="BH63" s="175" t="str">
        <f t="shared" si="51"/>
        <v/>
      </c>
      <c r="BR63" s="190" t="s">
        <v>146</v>
      </c>
      <c r="BS63" s="86">
        <f>第十四期!K9*比赛参数!D49</f>
        <v>0</v>
      </c>
      <c r="BT63" s="86"/>
      <c r="BU63" s="86">
        <f>BU62+BS63</f>
        <v>0</v>
      </c>
      <c r="BV63" s="86">
        <f t="shared" si="46"/>
        <v>0</v>
      </c>
      <c r="BW63" s="118"/>
      <c r="CB63" s="180" t="s">
        <v>336</v>
      </c>
      <c r="CC63" s="144">
        <f>AM26</f>
        <v>2269.23076923077</v>
      </c>
      <c r="CD63" s="102">
        <f>AM27</f>
        <v>4623.07692307692</v>
      </c>
      <c r="CE63" s="102">
        <f>AM28</f>
        <v>6723.07692307692</v>
      </c>
      <c r="CF63" s="102">
        <f>AM29</f>
        <v>9000</v>
      </c>
      <c r="CG63" s="50"/>
      <c r="CH63" s="50"/>
      <c r="CI63" s="50"/>
      <c r="CJ63" s="50"/>
      <c r="CK63" s="50"/>
      <c r="CL63" s="50"/>
      <c r="CM63" s="50"/>
      <c r="CN63" s="50"/>
      <c r="CO63" s="50"/>
      <c r="CP63" s="60" t="s">
        <v>39</v>
      </c>
      <c r="CQ63" s="60" t="str">
        <f>比赛参数!$E$27</f>
        <v>150.0</v>
      </c>
      <c r="CR63" s="60" t="str">
        <f>比赛参数!$E$27</f>
        <v>150.0</v>
      </c>
      <c r="CS63" s="60" t="str">
        <f>比赛参数!$E$27</f>
        <v>150.0</v>
      </c>
      <c r="CT63" s="60" t="str">
        <f>比赛参数!$E$27</f>
        <v>150.0</v>
      </c>
      <c r="CW63" s="9" t="s">
        <v>39</v>
      </c>
      <c r="CX63" s="215">
        <f>CX57/第十四期!CQ57</f>
        <v>0</v>
      </c>
      <c r="CY63" s="215">
        <f>CY57/第十四期!CR57</f>
        <v>0</v>
      </c>
      <c r="CZ63" s="215">
        <f>CZ57/第十四期!CS57</f>
        <v>0</v>
      </c>
      <c r="DA63" s="215">
        <f>DA57/第十四期!CT57</f>
        <v>0</v>
      </c>
      <c r="DB63" s="215">
        <f>AVERAGE(CX63:DA63)</f>
        <v>0</v>
      </c>
      <c r="DF63" s="218" t="s">
        <v>77</v>
      </c>
      <c r="DG63" s="218" t="s">
        <v>21</v>
      </c>
      <c r="DH63" s="218" t="s">
        <v>22</v>
      </c>
      <c r="DI63" s="218" t="s">
        <v>23</v>
      </c>
      <c r="DJ63" s="218" t="s">
        <v>24</v>
      </c>
    </row>
    <row r="64" ht="16.35" spans="2:114">
      <c r="B64" s="5"/>
      <c r="C64" s="23">
        <v>15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8"/>
      <c r="X64" s="59" t="s">
        <v>56</v>
      </c>
      <c r="Y64" s="102">
        <f>AF64-AF70</f>
        <v>0</v>
      </c>
      <c r="Z64" s="102">
        <f>AG64-AG70</f>
        <v>0</v>
      </c>
      <c r="AA64" s="102">
        <f>AH64-AH70</f>
        <v>0</v>
      </c>
      <c r="AB64" s="102">
        <f>AI64-AI70</f>
        <v>0</v>
      </c>
      <c r="AC64" s="118"/>
      <c r="AE64" s="59" t="s">
        <v>56</v>
      </c>
      <c r="AF64" s="121">
        <f>IF(Y88+Y57-AF57-Y108&gt;0,Y88+Y57-AF57-Y108,0)</f>
        <v>0</v>
      </c>
      <c r="AG64" s="121">
        <f>IF(Z88+Z57-AG57-Z108&gt;0,Z88+Z57-AG57-Z108,0)</f>
        <v>0</v>
      </c>
      <c r="AH64" s="121">
        <f>IF(AA88+AA57-AH57-AA108&gt;0,AA88+AA57-AH57-AA108,0)</f>
        <v>0</v>
      </c>
      <c r="AI64" s="121">
        <f>IF(AB88+AB57-AI57-AB108&gt;0,AB88+AB57-AI57-AB108,0)</f>
        <v>0</v>
      </c>
      <c r="AJ64" s="118"/>
      <c r="AN64" s="50"/>
      <c r="AO64" s="50"/>
      <c r="AR64" s="174">
        <v>8</v>
      </c>
      <c r="AS64" s="175" t="str">
        <f t="shared" ref="AS64:BH64" si="52">IF(AS40="","",(AS40-AS$54)^2)</f>
        <v/>
      </c>
      <c r="AT64" s="175" t="str">
        <f t="shared" si="52"/>
        <v/>
      </c>
      <c r="AU64" s="175" t="str">
        <f t="shared" si="52"/>
        <v/>
      </c>
      <c r="AV64" s="175" t="str">
        <f t="shared" si="52"/>
        <v/>
      </c>
      <c r="AW64" s="175" t="str">
        <f t="shared" si="52"/>
        <v/>
      </c>
      <c r="AX64" s="175" t="str">
        <f t="shared" si="52"/>
        <v/>
      </c>
      <c r="AY64" s="175" t="str">
        <f t="shared" si="52"/>
        <v/>
      </c>
      <c r="AZ64" s="175" t="str">
        <f t="shared" si="52"/>
        <v/>
      </c>
      <c r="BA64" s="175" t="str">
        <f t="shared" si="52"/>
        <v/>
      </c>
      <c r="BB64" s="175" t="str">
        <f t="shared" si="52"/>
        <v/>
      </c>
      <c r="BC64" s="175" t="str">
        <f t="shared" si="52"/>
        <v/>
      </c>
      <c r="BD64" s="175" t="str">
        <f t="shared" si="52"/>
        <v/>
      </c>
      <c r="BE64" s="175" t="str">
        <f t="shared" si="52"/>
        <v/>
      </c>
      <c r="BF64" s="175" t="str">
        <f t="shared" si="52"/>
        <v/>
      </c>
      <c r="BG64" s="175" t="str">
        <f t="shared" si="52"/>
        <v/>
      </c>
      <c r="BH64" s="175" t="str">
        <f t="shared" si="52"/>
        <v/>
      </c>
      <c r="BR64" s="190" t="s">
        <v>408</v>
      </c>
      <c r="BS64" s="86">
        <f>第十四期!AL37</f>
        <v>0</v>
      </c>
      <c r="BT64" s="86"/>
      <c r="BU64" s="86"/>
      <c r="BV64" s="86">
        <f t="shared" si="46"/>
        <v>0</v>
      </c>
      <c r="BW64" s="118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60" t="s">
        <v>40</v>
      </c>
      <c r="CQ64" s="60" t="str">
        <f>比赛参数!$F$27</f>
        <v>160.0</v>
      </c>
      <c r="CR64" s="60" t="str">
        <f>比赛参数!$F$27</f>
        <v>160.0</v>
      </c>
      <c r="CS64" s="60" t="str">
        <f>比赛参数!$F$27</f>
        <v>160.0</v>
      </c>
      <c r="CT64" s="60" t="str">
        <f>比赛参数!$F$27</f>
        <v>160.0</v>
      </c>
      <c r="CW64" s="9" t="s">
        <v>40</v>
      </c>
      <c r="CX64" s="215">
        <f>CX58/第十四期!CQ58</f>
        <v>0</v>
      </c>
      <c r="CY64" s="215">
        <f>CY58/第十四期!CR58</f>
        <v>0</v>
      </c>
      <c r="CZ64" s="215">
        <f>CZ58/第十四期!CS58</f>
        <v>0</v>
      </c>
      <c r="DA64" s="215">
        <f>DA58/第十四期!CT58</f>
        <v>0</v>
      </c>
      <c r="DB64" s="215">
        <f>AVERAGE(CX64:DA64)</f>
        <v>0</v>
      </c>
      <c r="DF64" s="218" t="s">
        <v>56</v>
      </c>
      <c r="DG64" s="218" t="str">
        <f>比赛参数!D13</f>
        <v>83</v>
      </c>
      <c r="DH64" s="218" t="str">
        <f>比赛参数!H13</f>
        <v>467</v>
      </c>
      <c r="DI64" s="218" t="str">
        <f>比赛参数!D14</f>
        <v>656</v>
      </c>
      <c r="DJ64" s="218" t="str">
        <f>比赛参数!H14</f>
        <v>794</v>
      </c>
    </row>
    <row r="65" ht="15.6" spans="2:114">
      <c r="B65" s="5"/>
      <c r="C65" s="23">
        <v>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8"/>
      <c r="X65" s="9" t="s">
        <v>57</v>
      </c>
      <c r="Y65" s="102">
        <f>AF65-AF71</f>
        <v>0</v>
      </c>
      <c r="Z65" s="102">
        <f>AG65-AG71</f>
        <v>0</v>
      </c>
      <c r="AA65" s="102">
        <f>AH65-AH71</f>
        <v>0</v>
      </c>
      <c r="AB65" s="102">
        <f>AI65-AI71</f>
        <v>0</v>
      </c>
      <c r="AC65" s="118"/>
      <c r="AE65" s="9" t="s">
        <v>57</v>
      </c>
      <c r="AF65" s="121">
        <f>IF(Y89+Y58-AF58-Y109&gt;0,Y89+Y58-AF58-Y109,0)</f>
        <v>0</v>
      </c>
      <c r="AG65" s="121">
        <f>IF(Z89+Z58-AG58-Z109&gt;0,Z89+Z58-AG58-Z109,0)</f>
        <v>0</v>
      </c>
      <c r="AH65" s="121">
        <f>IF(AA89+AA58-AH58-AA109&gt;0,AA89+AA58-AH58-AA109,0)</f>
        <v>0</v>
      </c>
      <c r="AI65" s="121">
        <f>IF(AB89+AB58-AI58-AB109&gt;0,AB89+AB58-AI58-AB109,0)</f>
        <v>0</v>
      </c>
      <c r="AJ65" s="118"/>
      <c r="AN65" s="50"/>
      <c r="AO65" s="50"/>
      <c r="AR65" s="174">
        <v>9</v>
      </c>
      <c r="AS65" s="175" t="str">
        <f t="shared" ref="AS65:BH65" si="53">IF(AS41="","",(AS41-AS$54)^2)</f>
        <v/>
      </c>
      <c r="AT65" s="175" t="str">
        <f t="shared" si="53"/>
        <v/>
      </c>
      <c r="AU65" s="175" t="str">
        <f t="shared" si="53"/>
        <v/>
      </c>
      <c r="AV65" s="175" t="str">
        <f t="shared" si="53"/>
        <v/>
      </c>
      <c r="AW65" s="175" t="str">
        <f t="shared" si="53"/>
        <v/>
      </c>
      <c r="AX65" s="175" t="str">
        <f t="shared" si="53"/>
        <v/>
      </c>
      <c r="AY65" s="175" t="str">
        <f t="shared" si="53"/>
        <v/>
      </c>
      <c r="AZ65" s="175" t="str">
        <f t="shared" si="53"/>
        <v/>
      </c>
      <c r="BA65" s="175" t="str">
        <f t="shared" si="53"/>
        <v/>
      </c>
      <c r="BB65" s="175" t="str">
        <f t="shared" si="53"/>
        <v/>
      </c>
      <c r="BC65" s="175" t="str">
        <f t="shared" si="53"/>
        <v/>
      </c>
      <c r="BD65" s="175" t="str">
        <f t="shared" si="53"/>
        <v/>
      </c>
      <c r="BE65" s="175" t="str">
        <f t="shared" si="53"/>
        <v/>
      </c>
      <c r="BF65" s="175" t="str">
        <f t="shared" si="53"/>
        <v/>
      </c>
      <c r="BG65" s="175" t="str">
        <f t="shared" si="53"/>
        <v/>
      </c>
      <c r="BH65" s="175" t="str">
        <f t="shared" si="53"/>
        <v/>
      </c>
      <c r="BR65" s="190" t="s">
        <v>447</v>
      </c>
      <c r="BS65" s="86">
        <f>0.5*第十四期!AL37+0.5*第十四期!DV23</f>
        <v>0</v>
      </c>
      <c r="BT65" s="86"/>
      <c r="BU65" s="86">
        <f>BU63+BS65</f>
        <v>0</v>
      </c>
      <c r="BV65" s="86"/>
      <c r="BW65" s="118"/>
      <c r="CB65" s="180" t="s">
        <v>448</v>
      </c>
      <c r="CC65" s="102">
        <f>(CC60-CC61)*CC63</f>
        <v>0</v>
      </c>
      <c r="CD65" s="102">
        <f>(CD60-CD61)*CD63</f>
        <v>0</v>
      </c>
      <c r="CE65" s="102">
        <f>(CE60-CE61)*CE63</f>
        <v>0</v>
      </c>
      <c r="CF65" s="102">
        <f>(CF60-CF61)*CF63</f>
        <v>0</v>
      </c>
      <c r="CG65" s="102">
        <f>SUM(CC65:CF65)</f>
        <v>0</v>
      </c>
      <c r="CH65" s="50"/>
      <c r="CI65" s="50"/>
      <c r="CJ65" s="50"/>
      <c r="CK65" s="50"/>
      <c r="CL65" s="50"/>
      <c r="CM65" s="50"/>
      <c r="CN65" s="50"/>
      <c r="CO65" s="50"/>
      <c r="CP65" s="60" t="s">
        <v>41</v>
      </c>
      <c r="CQ65" s="60" t="str">
        <f>比赛参数!$G$27</f>
        <v>180.0</v>
      </c>
      <c r="CR65" s="60" t="str">
        <f>比赛参数!$G$27</f>
        <v>180.0</v>
      </c>
      <c r="CS65" s="60" t="str">
        <f>比赛参数!$G$27</f>
        <v>180.0</v>
      </c>
      <c r="CT65" s="60" t="str">
        <f>比赛参数!$G$27</f>
        <v>180.0</v>
      </c>
      <c r="CW65" s="9" t="s">
        <v>41</v>
      </c>
      <c r="CX65" s="215">
        <f>CX59/第十四期!CQ59</f>
        <v>0</v>
      </c>
      <c r="CY65" s="215">
        <f>CY59/第十四期!CR59</f>
        <v>0</v>
      </c>
      <c r="CZ65" s="215">
        <f>CZ59/第十四期!CS59</f>
        <v>0</v>
      </c>
      <c r="DA65" s="215">
        <f>DA59/第十四期!CT59</f>
        <v>0</v>
      </c>
      <c r="DB65" s="215">
        <f>AVERAGE(CX65:DA65)</f>
        <v>0</v>
      </c>
      <c r="DF65" s="218" t="s">
        <v>57</v>
      </c>
      <c r="DG65" s="218" t="str">
        <f>比赛参数!E13</f>
        <v>42</v>
      </c>
      <c r="DH65" s="218" t="str">
        <f>比赛参数!I13</f>
        <v>383</v>
      </c>
      <c r="DI65" s="218" t="str">
        <f>比赛参数!E14</f>
        <v>544</v>
      </c>
      <c r="DJ65" s="218" t="str">
        <f>比赛参数!I14</f>
        <v>656</v>
      </c>
    </row>
    <row r="66" ht="16.35" spans="2:114">
      <c r="B66" s="5"/>
      <c r="C66" s="23">
        <v>17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8"/>
      <c r="V66" s="241"/>
      <c r="X66" s="9" t="s">
        <v>58</v>
      </c>
      <c r="Y66" s="102">
        <f>AF66-AF72</f>
        <v>0</v>
      </c>
      <c r="Z66" s="102">
        <f>AG66-AG72</f>
        <v>0</v>
      </c>
      <c r="AA66" s="102">
        <f>AH66-AH72</f>
        <v>0</v>
      </c>
      <c r="AB66" s="102">
        <f>AI66-AI72</f>
        <v>0</v>
      </c>
      <c r="AC66" s="118"/>
      <c r="AE66" s="9" t="s">
        <v>58</v>
      </c>
      <c r="AF66" s="121">
        <f>IF(Y90+Y59-AF59-Y110&gt;0,Y90+Y59-AF59-Y110,0)</f>
        <v>0</v>
      </c>
      <c r="AG66" s="121">
        <f>IF(Z90+Z59-AG59-Z110&gt;0,Z90+Z59-AG59-Z110,0)</f>
        <v>0</v>
      </c>
      <c r="AH66" s="121">
        <f>IF(AA90+AA59-AH59-AA110&gt;0,AA90+AA59-AH59-AA110,0)</f>
        <v>0</v>
      </c>
      <c r="AI66" s="121">
        <f>IF(AB90+AB59-AI59-AB110&gt;0,AB90+AB59-AI59-AB110,0)</f>
        <v>0</v>
      </c>
      <c r="AJ66" s="118"/>
      <c r="AR66" s="174">
        <v>10</v>
      </c>
      <c r="AS66" s="175" t="str">
        <f t="shared" ref="AS66:BH66" si="54">IF(AS42="","",(AS42-AS$54)^2)</f>
        <v/>
      </c>
      <c r="AT66" s="175" t="str">
        <f t="shared" si="54"/>
        <v/>
      </c>
      <c r="AU66" s="175" t="str">
        <f t="shared" si="54"/>
        <v/>
      </c>
      <c r="AV66" s="175" t="str">
        <f t="shared" si="54"/>
        <v/>
      </c>
      <c r="AW66" s="175" t="str">
        <f t="shared" si="54"/>
        <v/>
      </c>
      <c r="AX66" s="175" t="str">
        <f t="shared" si="54"/>
        <v/>
      </c>
      <c r="AY66" s="175" t="str">
        <f t="shared" si="54"/>
        <v/>
      </c>
      <c r="AZ66" s="175" t="str">
        <f t="shared" si="54"/>
        <v/>
      </c>
      <c r="BA66" s="175" t="str">
        <f t="shared" si="54"/>
        <v/>
      </c>
      <c r="BB66" s="175" t="str">
        <f t="shared" si="54"/>
        <v/>
      </c>
      <c r="BC66" s="175" t="str">
        <f t="shared" si="54"/>
        <v/>
      </c>
      <c r="BD66" s="175" t="str">
        <f t="shared" si="54"/>
        <v/>
      </c>
      <c r="BE66" s="175" t="str">
        <f t="shared" si="54"/>
        <v/>
      </c>
      <c r="BF66" s="175" t="str">
        <f t="shared" si="54"/>
        <v/>
      </c>
      <c r="BG66" s="175" t="str">
        <f t="shared" si="54"/>
        <v/>
      </c>
      <c r="BH66" s="175" t="str">
        <f t="shared" si="54"/>
        <v/>
      </c>
      <c r="BR66" s="190" t="s">
        <v>343</v>
      </c>
      <c r="BS66" s="86">
        <f>第十四期!AC18</f>
        <v>0</v>
      </c>
      <c r="BT66" s="86"/>
      <c r="BU66" s="86"/>
      <c r="BV66" s="86">
        <f>BV64-BS66</f>
        <v>0</v>
      </c>
      <c r="BW66" s="118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X66" s="216"/>
      <c r="CY66" s="216"/>
      <c r="CZ66" s="216"/>
      <c r="DA66" s="216"/>
      <c r="DF66" s="218" t="s">
        <v>58</v>
      </c>
      <c r="DG66" s="218" t="str">
        <f>比赛参数!F13</f>
        <v>200</v>
      </c>
      <c r="DH66" s="218" t="str">
        <f>比赛参数!J13</f>
        <v>600</v>
      </c>
      <c r="DI66" s="218" t="str">
        <f>比赛参数!F14</f>
        <v>800</v>
      </c>
      <c r="DJ66" s="218" t="str">
        <f>比赛参数!J14</f>
        <v>1000</v>
      </c>
    </row>
    <row r="67" ht="17.1" spans="2:114">
      <c r="B67" s="5"/>
      <c r="C67" s="23">
        <v>18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8"/>
      <c r="X67" s="9" t="s">
        <v>59</v>
      </c>
      <c r="Y67" s="102">
        <f>AF67-AF73</f>
        <v>0</v>
      </c>
      <c r="Z67" s="102">
        <f>AG67-AG73</f>
        <v>0</v>
      </c>
      <c r="AA67" s="102">
        <f>AH67-AH73</f>
        <v>0</v>
      </c>
      <c r="AB67" s="102">
        <f>AI67-AI73</f>
        <v>0</v>
      </c>
      <c r="AC67" s="118"/>
      <c r="AE67" s="9" t="s">
        <v>59</v>
      </c>
      <c r="AF67" s="121">
        <f>IF(Y91+Y60-AF60-Y111&gt;0,Y91+Y60-AF60-Y111,0)</f>
        <v>0</v>
      </c>
      <c r="AG67" s="121">
        <f>IF(Z91+Z60-AG60-Z111&gt;0,Z91+Z60-AG60-Z111,0)</f>
        <v>0</v>
      </c>
      <c r="AH67" s="121">
        <f>IF(AA91+AA60-AH60-AA111&gt;0,AA91+AA60-AH60-AA111,0)</f>
        <v>0</v>
      </c>
      <c r="AI67" s="121">
        <f>IF(AB91+AB60-AI60-AB111&gt;0,AB91+AB60-AI60-AB111,0)</f>
        <v>0</v>
      </c>
      <c r="AJ67" s="118"/>
      <c r="AR67" s="174">
        <v>11</v>
      </c>
      <c r="AS67" s="175" t="str">
        <f t="shared" ref="AS67:BH67" si="55">IF(AS43="","",(AS43-AS$54)^2)</f>
        <v/>
      </c>
      <c r="AT67" s="175" t="str">
        <f t="shared" si="55"/>
        <v/>
      </c>
      <c r="AU67" s="175" t="str">
        <f t="shared" si="55"/>
        <v/>
      </c>
      <c r="AV67" s="175" t="str">
        <f t="shared" si="55"/>
        <v/>
      </c>
      <c r="AW67" s="175" t="str">
        <f t="shared" si="55"/>
        <v/>
      </c>
      <c r="AX67" s="175" t="str">
        <f t="shared" si="55"/>
        <v/>
      </c>
      <c r="AY67" s="175" t="str">
        <f t="shared" si="55"/>
        <v/>
      </c>
      <c r="AZ67" s="175" t="str">
        <f t="shared" si="55"/>
        <v/>
      </c>
      <c r="BA67" s="175" t="str">
        <f t="shared" si="55"/>
        <v/>
      </c>
      <c r="BB67" s="175" t="str">
        <f t="shared" si="55"/>
        <v/>
      </c>
      <c r="BC67" s="175" t="str">
        <f t="shared" si="55"/>
        <v/>
      </c>
      <c r="BD67" s="175" t="str">
        <f t="shared" si="55"/>
        <v/>
      </c>
      <c r="BE67" s="175" t="str">
        <f t="shared" si="55"/>
        <v/>
      </c>
      <c r="BF67" s="175" t="str">
        <f t="shared" si="55"/>
        <v/>
      </c>
      <c r="BG67" s="175" t="str">
        <f t="shared" si="55"/>
        <v/>
      </c>
      <c r="BH67" s="175" t="str">
        <f t="shared" si="55"/>
        <v/>
      </c>
      <c r="BR67" s="190" t="s">
        <v>449</v>
      </c>
      <c r="BS67" s="86">
        <f>IF(第十四期!AC18&gt;=比赛参数!D33,(1-比赛参数!E33)*第十四期!AC18,0)+IF(AND(第十四期!AC18&gt;=比赛参数!D34,第十四期!AC18&lt;比赛参数!D33),(1-比赛参数!E34)*第十四期!AC18,0)+IF(AND(第十四期!AC18&gt;=比赛参数!D35,第十四期!AC18&lt;比赛参数!D34),(1-比赛参数!E35)*第十四期!AC18,0)+IF(AND(第十四期!AC18&gt;=比赛参数!D36,第十四期!AC18&lt;比赛参数!D35),(1-比赛参数!E36)*第十四期!AC18,0)</f>
        <v>0</v>
      </c>
      <c r="BT67" s="86">
        <f>BS67</f>
        <v>0</v>
      </c>
      <c r="BU67" s="86"/>
      <c r="BV67" s="86">
        <f>BV66+BS67</f>
        <v>0</v>
      </c>
      <c r="BW67" s="118"/>
      <c r="CB67" s="180" t="s">
        <v>450</v>
      </c>
      <c r="CC67" s="102">
        <f>(CC60+CC61)/2*CC62</f>
        <v>0</v>
      </c>
      <c r="CD67" s="102">
        <f>(CD60+CD61)/2*CD62</f>
        <v>0</v>
      </c>
      <c r="CE67" s="102">
        <f>(CE60+CE61)/2*CE62</f>
        <v>0</v>
      </c>
      <c r="CF67" s="102">
        <f>(CF60+CF61)/2*CF62</f>
        <v>0</v>
      </c>
      <c r="CG67" s="102">
        <f>SUM(CC67:CF67)</f>
        <v>0</v>
      </c>
      <c r="CH67" s="50"/>
      <c r="CI67" s="50"/>
      <c r="CJ67" s="50"/>
      <c r="CK67" s="50"/>
      <c r="CL67" s="50"/>
      <c r="CM67" s="50"/>
      <c r="CN67" s="50"/>
      <c r="CO67" s="50"/>
      <c r="CP67" s="60" t="s">
        <v>266</v>
      </c>
      <c r="CQ67" s="60" t="s">
        <v>331</v>
      </c>
      <c r="CR67" s="60" t="s">
        <v>332</v>
      </c>
      <c r="CS67" s="60" t="s">
        <v>333</v>
      </c>
      <c r="CT67" s="60" t="s">
        <v>334</v>
      </c>
      <c r="CW67" s="43" t="s">
        <v>283</v>
      </c>
      <c r="CX67" s="217" t="s">
        <v>56</v>
      </c>
      <c r="CY67" s="217" t="s">
        <v>57</v>
      </c>
      <c r="CZ67" s="217" t="s">
        <v>58</v>
      </c>
      <c r="DA67" s="217" t="s">
        <v>59</v>
      </c>
      <c r="DB67" s="9" t="s">
        <v>425</v>
      </c>
      <c r="DF67" s="218" t="s">
        <v>59</v>
      </c>
      <c r="DG67" s="218" t="str">
        <f>比赛参数!G13</f>
        <v>250</v>
      </c>
      <c r="DH67" s="218" t="str">
        <f>比赛参数!K13</f>
        <v>650</v>
      </c>
      <c r="DI67" s="218" t="str">
        <f>比赛参数!G14</f>
        <v>850</v>
      </c>
      <c r="DJ67" s="218" t="str">
        <f>比赛参数!K14</f>
        <v>1050</v>
      </c>
    </row>
    <row r="68" ht="17.1" spans="2:106">
      <c r="B68" s="5"/>
      <c r="C68" s="23">
        <v>19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8"/>
      <c r="AF68" s="2">
        <f>SUM(AF64:AF67)</f>
        <v>0</v>
      </c>
      <c r="AG68" s="2">
        <f>SUM(AG64:AG67)</f>
        <v>0</v>
      </c>
      <c r="AH68" s="2">
        <f>SUM(AH64:AH67)</f>
        <v>0</v>
      </c>
      <c r="AI68" s="2">
        <f>SUM(AI64:AI67)</f>
        <v>0</v>
      </c>
      <c r="AJ68" s="2">
        <f>AF68/4</f>
        <v>0</v>
      </c>
      <c r="AK68" s="2">
        <f>AG68/4</f>
        <v>0</v>
      </c>
      <c r="AL68" s="2">
        <f>AH68/4</f>
        <v>0</v>
      </c>
      <c r="AM68" s="2">
        <f>AI68/4</f>
        <v>0</v>
      </c>
      <c r="AR68" s="174">
        <v>12</v>
      </c>
      <c r="AS68" s="175" t="str">
        <f t="shared" ref="AS68:BH68" si="56">IF(AS44="","",(AS44-AS$54)^2)</f>
        <v/>
      </c>
      <c r="AT68" s="175" t="str">
        <f t="shared" si="56"/>
        <v/>
      </c>
      <c r="AU68" s="175" t="str">
        <f t="shared" si="56"/>
        <v/>
      </c>
      <c r="AV68" s="175" t="str">
        <f t="shared" si="56"/>
        <v/>
      </c>
      <c r="AW68" s="175" t="str">
        <f t="shared" si="56"/>
        <v/>
      </c>
      <c r="AX68" s="175" t="str">
        <f t="shared" si="56"/>
        <v/>
      </c>
      <c r="AY68" s="175" t="str">
        <f t="shared" si="56"/>
        <v/>
      </c>
      <c r="AZ68" s="175" t="str">
        <f t="shared" si="56"/>
        <v/>
      </c>
      <c r="BA68" s="175" t="str">
        <f t="shared" si="56"/>
        <v/>
      </c>
      <c r="BB68" s="175" t="str">
        <f t="shared" si="56"/>
        <v/>
      </c>
      <c r="BC68" s="175" t="str">
        <f t="shared" si="56"/>
        <v/>
      </c>
      <c r="BD68" s="175" t="str">
        <f t="shared" si="56"/>
        <v/>
      </c>
      <c r="BE68" s="175" t="str">
        <f t="shared" si="56"/>
        <v/>
      </c>
      <c r="BF68" s="175" t="str">
        <f t="shared" si="56"/>
        <v/>
      </c>
      <c r="BG68" s="175" t="str">
        <f t="shared" si="56"/>
        <v/>
      </c>
      <c r="BH68" s="175" t="str">
        <f t="shared" si="56"/>
        <v/>
      </c>
      <c r="BR68" s="190"/>
      <c r="BS68" s="86"/>
      <c r="BT68" s="86"/>
      <c r="BU68" s="86"/>
      <c r="BV68" s="86"/>
      <c r="BW68" s="118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60" t="s">
        <v>38</v>
      </c>
      <c r="CQ68" s="60" t="str">
        <f>比赛参数!$D$28</f>
        <v>300.0</v>
      </c>
      <c r="CR68" s="60" t="str">
        <f>比赛参数!$D$28</f>
        <v>300.0</v>
      </c>
      <c r="CS68" s="60" t="str">
        <f>比赛参数!$D$28</f>
        <v>300.0</v>
      </c>
      <c r="CT68" s="60" t="str">
        <f>比赛参数!$D$28</f>
        <v>300.0</v>
      </c>
      <c r="CW68" s="9" t="s">
        <v>38</v>
      </c>
      <c r="CX68" s="215">
        <f>IF(CX50&gt;0,CX56/CX50,0)</f>
        <v>0</v>
      </c>
      <c r="CY68" s="215">
        <f>IF(CY50&gt;0,CY56/CY50,0)</f>
        <v>0</v>
      </c>
      <c r="CZ68" s="215">
        <f>IF(CZ50&gt;0,CZ56/CZ50,0)</f>
        <v>0</v>
      </c>
      <c r="DA68" s="215">
        <f>IF(DA50&gt;0,DA56/DA50,0)</f>
        <v>0</v>
      </c>
      <c r="DB68" s="215">
        <f>IF(DB50&gt;0,DB56/DB50,0)</f>
        <v>0</v>
      </c>
    </row>
    <row r="69" ht="17.1" spans="2:106">
      <c r="B69" s="5"/>
      <c r="C69" s="23">
        <v>20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8"/>
      <c r="X69" s="43" t="s">
        <v>244</v>
      </c>
      <c r="Y69" s="68" t="s">
        <v>38</v>
      </c>
      <c r="Z69" s="68" t="s">
        <v>39</v>
      </c>
      <c r="AA69" s="68" t="s">
        <v>40</v>
      </c>
      <c r="AB69" s="68" t="s">
        <v>41</v>
      </c>
      <c r="AE69" s="43" t="s">
        <v>243</v>
      </c>
      <c r="AF69" s="68" t="s">
        <v>38</v>
      </c>
      <c r="AG69" s="68" t="s">
        <v>39</v>
      </c>
      <c r="AH69" s="68" t="s">
        <v>40</v>
      </c>
      <c r="AI69" s="68" t="s">
        <v>41</v>
      </c>
      <c r="AJ69" s="118"/>
      <c r="AR69" s="174">
        <v>13</v>
      </c>
      <c r="AS69" s="175" t="str">
        <f t="shared" ref="AS69:BH69" si="57">IF(AS45="","",(AS45-AS$54)^2)</f>
        <v/>
      </c>
      <c r="AT69" s="175" t="str">
        <f t="shared" si="57"/>
        <v/>
      </c>
      <c r="AU69" s="175" t="str">
        <f t="shared" si="57"/>
        <v/>
      </c>
      <c r="AV69" s="175" t="str">
        <f t="shared" si="57"/>
        <v/>
      </c>
      <c r="AW69" s="175" t="str">
        <f t="shared" si="57"/>
        <v/>
      </c>
      <c r="AX69" s="175" t="str">
        <f t="shared" si="57"/>
        <v/>
      </c>
      <c r="AY69" s="175" t="str">
        <f t="shared" si="57"/>
        <v/>
      </c>
      <c r="AZ69" s="175" t="str">
        <f t="shared" si="57"/>
        <v/>
      </c>
      <c r="BA69" s="175" t="str">
        <f t="shared" si="57"/>
        <v/>
      </c>
      <c r="BB69" s="175" t="str">
        <f t="shared" si="57"/>
        <v/>
      </c>
      <c r="BC69" s="175" t="str">
        <f t="shared" si="57"/>
        <v/>
      </c>
      <c r="BD69" s="175" t="str">
        <f t="shared" si="57"/>
        <v/>
      </c>
      <c r="BE69" s="175" t="str">
        <f t="shared" si="57"/>
        <v/>
      </c>
      <c r="BF69" s="175" t="str">
        <f t="shared" si="57"/>
        <v/>
      </c>
      <c r="BG69" s="175" t="str">
        <f t="shared" si="57"/>
        <v/>
      </c>
      <c r="BH69" s="175" t="str">
        <f t="shared" si="57"/>
        <v/>
      </c>
      <c r="BR69" s="190"/>
      <c r="BS69" s="86"/>
      <c r="BT69" s="86"/>
      <c r="BU69" s="86"/>
      <c r="BV69" s="86"/>
      <c r="BW69" s="118"/>
      <c r="CB69" s="50"/>
      <c r="CC69" s="180" t="s">
        <v>38</v>
      </c>
      <c r="CD69" s="180" t="s">
        <v>39</v>
      </c>
      <c r="CE69" s="180" t="s">
        <v>40</v>
      </c>
      <c r="CF69" s="180" t="s">
        <v>41</v>
      </c>
      <c r="CG69" s="50"/>
      <c r="CH69" s="50"/>
      <c r="CI69" s="195" t="s">
        <v>44</v>
      </c>
      <c r="CJ69" s="209" t="s">
        <v>45</v>
      </c>
      <c r="CK69" s="209" t="s">
        <v>46</v>
      </c>
      <c r="CL69" s="209" t="s">
        <v>47</v>
      </c>
      <c r="CM69" s="209" t="s">
        <v>48</v>
      </c>
      <c r="CN69" s="209" t="s">
        <v>49</v>
      </c>
      <c r="CO69" s="50"/>
      <c r="CP69" s="60" t="s">
        <v>39</v>
      </c>
      <c r="CQ69" s="60" t="str">
        <f>比赛参数!$E$28</f>
        <v>1200.0</v>
      </c>
      <c r="CR69" s="60" t="str">
        <f>比赛参数!$E$28</f>
        <v>1200.0</v>
      </c>
      <c r="CS69" s="60" t="str">
        <f>比赛参数!$E$28</f>
        <v>1200.0</v>
      </c>
      <c r="CT69" s="60" t="str">
        <f>比赛参数!$E$28</f>
        <v>1200.0</v>
      </c>
      <c r="CW69" s="9" t="s">
        <v>39</v>
      </c>
      <c r="CX69" s="215">
        <f>IF(CX51&gt;0,CX57/CX51,0)</f>
        <v>0</v>
      </c>
      <c r="CY69" s="215">
        <f>IF(CY51&gt;0,CY57/CY51,0)</f>
        <v>0</v>
      </c>
      <c r="CZ69" s="215">
        <f>IF(CZ51&gt;0,CZ57/CZ51,0)</f>
        <v>0</v>
      </c>
      <c r="DA69" s="215">
        <f>IF(DA51&gt;0,DA57/DA51,0)</f>
        <v>0</v>
      </c>
      <c r="DB69" s="215">
        <f>IF(DB51&gt;0,DB57/DB51,0)</f>
        <v>0</v>
      </c>
    </row>
    <row r="70" ht="17.1" spans="3:106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242"/>
      <c r="X70" s="59" t="s">
        <v>56</v>
      </c>
      <c r="Y70" s="247">
        <f>DS37</f>
        <v>0</v>
      </c>
      <c r="Z70" s="247">
        <f>DW37</f>
        <v>0</v>
      </c>
      <c r="AA70" s="247">
        <f>EA37</f>
        <v>0</v>
      </c>
      <c r="AB70" s="247">
        <f>EE37</f>
        <v>0</v>
      </c>
      <c r="AE70" s="59" t="s">
        <v>56</v>
      </c>
      <c r="AF70" s="121">
        <f>第十四期!DV6</f>
        <v>0</v>
      </c>
      <c r="AG70" s="121">
        <f>第十四期!DV10</f>
        <v>0</v>
      </c>
      <c r="AH70" s="121">
        <f>第十四期!DV14</f>
        <v>0</v>
      </c>
      <c r="AI70" s="121">
        <f>第十四期!DV18</f>
        <v>0</v>
      </c>
      <c r="AJ70" s="118">
        <f>AF70-Y57+AF57</f>
        <v>0</v>
      </c>
      <c r="AK70" s="118">
        <f>AG70-Z57+AG57</f>
        <v>0</v>
      </c>
      <c r="AL70" s="118">
        <f>AH70-AA57+AH57</f>
        <v>0</v>
      </c>
      <c r="AM70" s="118">
        <f>AI70-AB57+AI57</f>
        <v>0</v>
      </c>
      <c r="AR70" s="174">
        <v>14</v>
      </c>
      <c r="AS70" s="175" t="str">
        <f t="shared" ref="AS70:BH70" si="58">IF(AS46="","",(AS46-AS$54)^2)</f>
        <v/>
      </c>
      <c r="AT70" s="175" t="str">
        <f t="shared" si="58"/>
        <v/>
      </c>
      <c r="AU70" s="175" t="str">
        <f t="shared" si="58"/>
        <v/>
      </c>
      <c r="AV70" s="175" t="str">
        <f t="shared" si="58"/>
        <v/>
      </c>
      <c r="AW70" s="175" t="str">
        <f t="shared" si="58"/>
        <v/>
      </c>
      <c r="AX70" s="175" t="str">
        <f t="shared" si="58"/>
        <v/>
      </c>
      <c r="AY70" s="175" t="str">
        <f t="shared" si="58"/>
        <v/>
      </c>
      <c r="AZ70" s="175" t="str">
        <f t="shared" si="58"/>
        <v/>
      </c>
      <c r="BA70" s="175" t="str">
        <f t="shared" si="58"/>
        <v/>
      </c>
      <c r="BB70" s="175" t="str">
        <f t="shared" si="58"/>
        <v/>
      </c>
      <c r="BC70" s="175" t="str">
        <f t="shared" si="58"/>
        <v/>
      </c>
      <c r="BD70" s="175" t="str">
        <f t="shared" si="58"/>
        <v/>
      </c>
      <c r="BE70" s="175" t="str">
        <f t="shared" si="58"/>
        <v/>
      </c>
      <c r="BF70" s="175" t="str">
        <f t="shared" si="58"/>
        <v/>
      </c>
      <c r="BG70" s="175" t="str">
        <f t="shared" si="58"/>
        <v/>
      </c>
      <c r="BH70" s="175" t="str">
        <f t="shared" si="58"/>
        <v/>
      </c>
      <c r="BR70" s="190" t="s">
        <v>451</v>
      </c>
      <c r="BS70" s="86">
        <f>IF(第十四期!AC18&gt;0,第十四期!AC18*比赛参数!E40+比赛参数!E39,0)</f>
        <v>0</v>
      </c>
      <c r="BT70" s="86"/>
      <c r="BU70" s="86">
        <f>BU65+BS70</f>
        <v>0</v>
      </c>
      <c r="BV70" s="86">
        <f>BV67-BS70</f>
        <v>0</v>
      </c>
      <c r="BW70" s="118"/>
      <c r="CB70" s="180" t="s">
        <v>411</v>
      </c>
      <c r="CC70" s="102">
        <f>CC79-CC86</f>
        <v>0</v>
      </c>
      <c r="CD70" s="102">
        <f>CD79-CD86</f>
        <v>0</v>
      </c>
      <c r="CE70" s="102">
        <f>CE79-CE86</f>
        <v>0</v>
      </c>
      <c r="CF70" s="102">
        <f>CF79-CF86</f>
        <v>0</v>
      </c>
      <c r="CG70" s="50"/>
      <c r="CH70" s="50"/>
      <c r="CI70" s="181" t="s">
        <v>21</v>
      </c>
      <c r="CJ70" s="102" t="str">
        <f>比赛参数!D52</f>
        <v>100000.0</v>
      </c>
      <c r="CK70" s="102" t="str">
        <f>比赛参数!E52</f>
        <v>220000.0</v>
      </c>
      <c r="CL70" s="102" t="str">
        <f>比赛参数!F52</f>
        <v>350000.0</v>
      </c>
      <c r="CM70" s="102" t="str">
        <f>比赛参数!G52</f>
        <v>450000.0</v>
      </c>
      <c r="CN70" s="102" t="str">
        <f>比赛参数!H52</f>
        <v>550000.0</v>
      </c>
      <c r="CO70" s="50"/>
      <c r="CP70" s="60" t="s">
        <v>40</v>
      </c>
      <c r="CQ70" s="60" t="str">
        <f>比赛参数!$F$28</f>
        <v>2200.0</v>
      </c>
      <c r="CR70" s="60" t="str">
        <f>比赛参数!$F$28</f>
        <v>2200.0</v>
      </c>
      <c r="CS70" s="60" t="str">
        <f>比赛参数!$F$28</f>
        <v>2200.0</v>
      </c>
      <c r="CT70" s="60" t="str">
        <f>比赛参数!$F$28</f>
        <v>2200.0</v>
      </c>
      <c r="CW70" s="9" t="s">
        <v>40</v>
      </c>
      <c r="CX70" s="215">
        <f>IF(CX52&gt;0,CX58/CX52,0)</f>
        <v>0</v>
      </c>
      <c r="CY70" s="215">
        <f>IF(CY52&gt;0,CY58/CY52,0)</f>
        <v>0</v>
      </c>
      <c r="CZ70" s="215">
        <f>IF(CZ52&gt;0,CZ58/CZ52,0)</f>
        <v>0</v>
      </c>
      <c r="DA70" s="215">
        <f>IF(DA52&gt;0,DA58/DA52,0)</f>
        <v>0</v>
      </c>
      <c r="DB70" s="215">
        <f>IF(DB52&gt;0,DB58/DB52,0)</f>
        <v>0</v>
      </c>
    </row>
    <row r="71" ht="15.6" spans="3:106">
      <c r="C71" s="19"/>
      <c r="D71" s="20" t="s">
        <v>21</v>
      </c>
      <c r="E71" s="20"/>
      <c r="F71" s="20"/>
      <c r="G71" s="20"/>
      <c r="H71" s="20" t="s">
        <v>22</v>
      </c>
      <c r="I71" s="20"/>
      <c r="J71" s="20"/>
      <c r="K71" s="20"/>
      <c r="L71" s="20" t="s">
        <v>23</v>
      </c>
      <c r="M71" s="20"/>
      <c r="N71" s="20"/>
      <c r="O71" s="20"/>
      <c r="P71" s="20" t="s">
        <v>24</v>
      </c>
      <c r="Q71" s="20"/>
      <c r="R71" s="20"/>
      <c r="S71" s="57"/>
      <c r="X71" s="9" t="s">
        <v>57</v>
      </c>
      <c r="Y71" s="247">
        <f>DT37</f>
        <v>0</v>
      </c>
      <c r="Z71" s="247">
        <f>DX37</f>
        <v>0</v>
      </c>
      <c r="AA71" s="247">
        <f>EB37</f>
        <v>0</v>
      </c>
      <c r="AB71" s="247">
        <f>EF37</f>
        <v>0</v>
      </c>
      <c r="AE71" s="9" t="s">
        <v>57</v>
      </c>
      <c r="AF71" s="121">
        <f>第十四期!DV7</f>
        <v>0</v>
      </c>
      <c r="AG71" s="121">
        <f>第十四期!DV11</f>
        <v>0</v>
      </c>
      <c r="AH71" s="121">
        <f>第十四期!DV15</f>
        <v>0</v>
      </c>
      <c r="AI71" s="121">
        <f>第十四期!DV19</f>
        <v>0</v>
      </c>
      <c r="AJ71" s="118">
        <f>AF71-Y58+AF58</f>
        <v>0</v>
      </c>
      <c r="AK71" s="118">
        <f>AG71-Z58+AG58</f>
        <v>0</v>
      </c>
      <c r="AL71" s="118">
        <f>AH71-AA58+AH58</f>
        <v>0</v>
      </c>
      <c r="AM71" s="118">
        <f>AI71-AB58+AI58</f>
        <v>0</v>
      </c>
      <c r="AR71" s="174">
        <v>15</v>
      </c>
      <c r="AS71" s="175" t="str">
        <f t="shared" ref="AS71:BH71" si="59">IF(AS47="","",(AS47-AS$54)^2)</f>
        <v/>
      </c>
      <c r="AT71" s="175" t="str">
        <f t="shared" si="59"/>
        <v/>
      </c>
      <c r="AU71" s="175" t="str">
        <f t="shared" si="59"/>
        <v/>
      </c>
      <c r="AV71" s="175" t="str">
        <f t="shared" si="59"/>
        <v/>
      </c>
      <c r="AW71" s="175" t="str">
        <f t="shared" si="59"/>
        <v/>
      </c>
      <c r="AX71" s="175" t="str">
        <f t="shared" si="59"/>
        <v/>
      </c>
      <c r="AY71" s="175" t="str">
        <f t="shared" si="59"/>
        <v/>
      </c>
      <c r="AZ71" s="175" t="str">
        <f t="shared" si="59"/>
        <v/>
      </c>
      <c r="BA71" s="175" t="str">
        <f t="shared" si="59"/>
        <v/>
      </c>
      <c r="BB71" s="175" t="str">
        <f t="shared" si="59"/>
        <v/>
      </c>
      <c r="BC71" s="175" t="str">
        <f t="shared" si="59"/>
        <v/>
      </c>
      <c r="BD71" s="175" t="str">
        <f t="shared" si="59"/>
        <v/>
      </c>
      <c r="BE71" s="175" t="str">
        <f t="shared" si="59"/>
        <v/>
      </c>
      <c r="BF71" s="175" t="str">
        <f t="shared" si="59"/>
        <v/>
      </c>
      <c r="BG71" s="175" t="str">
        <f t="shared" si="59"/>
        <v/>
      </c>
      <c r="BH71" s="175" t="str">
        <f t="shared" si="59"/>
        <v/>
      </c>
      <c r="BR71" s="190" t="s">
        <v>452</v>
      </c>
      <c r="BS71" s="86">
        <f>(第十四期!Z13*比赛参数!E65*260+第十四期!AA13*(比赛参数!F65-比赛参数!D65)*520+第十四期!AB13*比赛参数!G65*260)*第十四期!AH18</f>
        <v>0</v>
      </c>
      <c r="BT71" s="86"/>
      <c r="BU71" s="86">
        <f t="shared" ref="BU71:BU76" si="60">BU70+BS71</f>
        <v>0</v>
      </c>
      <c r="BV71" s="86">
        <f>BV70-BS71</f>
        <v>0</v>
      </c>
      <c r="BW71" s="118"/>
      <c r="CB71" s="180" t="s">
        <v>412</v>
      </c>
      <c r="CC71" s="102">
        <f>CC70/比赛参数!D26</f>
        <v>0</v>
      </c>
      <c r="CD71" s="102">
        <f>CD70/比赛参数!E26</f>
        <v>0</v>
      </c>
      <c r="CE71" s="102">
        <f>CE70/比赛参数!F26</f>
        <v>0</v>
      </c>
      <c r="CF71" s="102">
        <f>CF70/比赛参数!G26</f>
        <v>0</v>
      </c>
      <c r="CG71" s="50"/>
      <c r="CH71" s="50"/>
      <c r="CI71" s="180" t="s">
        <v>22</v>
      </c>
      <c r="CJ71" s="102" t="str">
        <f>比赛参数!D53</f>
        <v>200000.0</v>
      </c>
      <c r="CK71" s="102" t="str">
        <f>比赛参数!E53</f>
        <v>350000.0</v>
      </c>
      <c r="CL71" s="102" t="str">
        <f>比赛参数!F53</f>
        <v>500000.0</v>
      </c>
      <c r="CM71" s="102" t="str">
        <f>比赛参数!G53</f>
        <v>650000.0</v>
      </c>
      <c r="CN71" s="102" t="str">
        <f>比赛参数!H53</f>
        <v>700000.0</v>
      </c>
      <c r="CO71" s="50"/>
      <c r="CP71" s="60" t="s">
        <v>41</v>
      </c>
      <c r="CQ71" s="60" t="str">
        <f>比赛参数!$G$28</f>
        <v>3200.0</v>
      </c>
      <c r="CR71" s="60" t="str">
        <f>比赛参数!$G$28</f>
        <v>3200.0</v>
      </c>
      <c r="CS71" s="60" t="str">
        <f>比赛参数!$G$28</f>
        <v>3200.0</v>
      </c>
      <c r="CT71" s="60" t="str">
        <f>比赛参数!$G$28</f>
        <v>3200.0</v>
      </c>
      <c r="CW71" s="9" t="s">
        <v>41</v>
      </c>
      <c r="CX71" s="215">
        <f>IF(CX53&gt;0,CX59/CX53,0)</f>
        <v>0</v>
      </c>
      <c r="CY71" s="215">
        <f>IF(CY53&gt;0,CY59/CY53,0)</f>
        <v>0</v>
      </c>
      <c r="CZ71" s="215">
        <f>IF(CZ53&gt;0,CZ59/CZ53,0)</f>
        <v>0</v>
      </c>
      <c r="DA71" s="215">
        <f>IF(DA53&gt;0,DA59/DA53,0)</f>
        <v>0</v>
      </c>
      <c r="DB71" s="215">
        <f>IF(DB53&gt;0,DB59/DB53,0)</f>
        <v>0</v>
      </c>
    </row>
    <row r="72" ht="16.35" spans="3:93">
      <c r="C72" s="21" t="s">
        <v>392</v>
      </c>
      <c r="D72" s="22" t="s">
        <v>56</v>
      </c>
      <c r="E72" s="22" t="s">
        <v>57</v>
      </c>
      <c r="F72" s="22" t="s">
        <v>58</v>
      </c>
      <c r="G72" s="22" t="s">
        <v>59</v>
      </c>
      <c r="H72" s="22" t="s">
        <v>56</v>
      </c>
      <c r="I72" s="22" t="s">
        <v>57</v>
      </c>
      <c r="J72" s="22" t="s">
        <v>58</v>
      </c>
      <c r="K72" s="22" t="s">
        <v>59</v>
      </c>
      <c r="L72" s="22" t="s">
        <v>56</v>
      </c>
      <c r="M72" s="22" t="s">
        <v>57</v>
      </c>
      <c r="N72" s="22" t="s">
        <v>58</v>
      </c>
      <c r="O72" s="22" t="s">
        <v>59</v>
      </c>
      <c r="P72" s="22" t="s">
        <v>56</v>
      </c>
      <c r="Q72" s="22" t="s">
        <v>57</v>
      </c>
      <c r="R72" s="22" t="s">
        <v>58</v>
      </c>
      <c r="S72" s="58" t="s">
        <v>59</v>
      </c>
      <c r="X72" s="9" t="s">
        <v>58</v>
      </c>
      <c r="Y72" s="247">
        <f>DU37</f>
        <v>0</v>
      </c>
      <c r="Z72" s="247">
        <f>DY37</f>
        <v>0</v>
      </c>
      <c r="AA72" s="247">
        <f>EC37</f>
        <v>0</v>
      </c>
      <c r="AB72" s="247">
        <f>EG37</f>
        <v>0</v>
      </c>
      <c r="AE72" s="9" t="s">
        <v>58</v>
      </c>
      <c r="AF72" s="121">
        <f>第十四期!DV8</f>
        <v>0</v>
      </c>
      <c r="AG72" s="121">
        <f>第十四期!DV12</f>
        <v>0</v>
      </c>
      <c r="AH72" s="121">
        <f>第十四期!DV16</f>
        <v>0</v>
      </c>
      <c r="AI72" s="121">
        <f>第十四期!DV20</f>
        <v>0</v>
      </c>
      <c r="AJ72" s="118">
        <f>AF72-Y59+AF59</f>
        <v>0</v>
      </c>
      <c r="AK72" s="118">
        <f>AG72-Z59+AG59</f>
        <v>0</v>
      </c>
      <c r="AL72" s="118">
        <f>AH72-AA59+AH59</f>
        <v>0</v>
      </c>
      <c r="AM72" s="118">
        <f>AI72-AB59+AI59</f>
        <v>0</v>
      </c>
      <c r="AR72" s="174">
        <v>16</v>
      </c>
      <c r="AS72" s="175" t="str">
        <f t="shared" ref="AS72:BH72" si="61">IF(AS48="","",(AS48-AS$54)^2)</f>
        <v/>
      </c>
      <c r="AT72" s="175" t="str">
        <f t="shared" si="61"/>
        <v/>
      </c>
      <c r="AU72" s="175" t="str">
        <f t="shared" si="61"/>
        <v/>
      </c>
      <c r="AV72" s="175" t="str">
        <f t="shared" si="61"/>
        <v/>
      </c>
      <c r="AW72" s="175" t="str">
        <f t="shared" si="61"/>
        <v/>
      </c>
      <c r="AX72" s="175" t="str">
        <f t="shared" si="61"/>
        <v/>
      </c>
      <c r="AY72" s="175" t="str">
        <f t="shared" si="61"/>
        <v/>
      </c>
      <c r="AZ72" s="175" t="str">
        <f t="shared" si="61"/>
        <v/>
      </c>
      <c r="BA72" s="175" t="str">
        <f t="shared" si="61"/>
        <v/>
      </c>
      <c r="BB72" s="175" t="str">
        <f t="shared" si="61"/>
        <v/>
      </c>
      <c r="BC72" s="175" t="str">
        <f t="shared" si="61"/>
        <v/>
      </c>
      <c r="BD72" s="175" t="str">
        <f t="shared" si="61"/>
        <v/>
      </c>
      <c r="BE72" s="175" t="str">
        <f t="shared" si="61"/>
        <v/>
      </c>
      <c r="BF72" s="175" t="str">
        <f t="shared" si="61"/>
        <v/>
      </c>
      <c r="BG72" s="175" t="str">
        <f t="shared" si="61"/>
        <v/>
      </c>
      <c r="BH72" s="175" t="str">
        <f t="shared" si="61"/>
        <v/>
      </c>
      <c r="BR72" s="190" t="s">
        <v>138</v>
      </c>
      <c r="BS72" s="86">
        <f>第十四期!DM60</f>
        <v>0</v>
      </c>
      <c r="BT72" s="86"/>
      <c r="BU72" s="86">
        <f t="shared" si="60"/>
        <v>0</v>
      </c>
      <c r="BV72" s="86">
        <f>BV71-BS72</f>
        <v>0</v>
      </c>
      <c r="BW72" s="118"/>
      <c r="CB72" s="180" t="s">
        <v>414</v>
      </c>
      <c r="CC72" s="102">
        <f>IF(CC79&gt;0,CC70/CC79,0)</f>
        <v>0</v>
      </c>
      <c r="CD72" s="102">
        <f>IF(CD79&gt;0,CD70/CD79,0)</f>
        <v>0</v>
      </c>
      <c r="CE72" s="102">
        <f>IF(CE79&gt;0,CE70/CE79,0)</f>
        <v>0</v>
      </c>
      <c r="CF72" s="102">
        <f>IF(CF79&gt;0,CF70/CF79,0)</f>
        <v>0</v>
      </c>
      <c r="CG72" s="50"/>
      <c r="CH72" s="50"/>
      <c r="CI72" s="180" t="s">
        <v>23</v>
      </c>
      <c r="CJ72" s="102" t="str">
        <f>比赛参数!D54</f>
        <v>300000.0</v>
      </c>
      <c r="CK72" s="102" t="str">
        <f>比赛参数!E54</f>
        <v>450000.0</v>
      </c>
      <c r="CL72" s="102" t="str">
        <f>比赛参数!F54</f>
        <v>580000.0</v>
      </c>
      <c r="CM72" s="102" t="str">
        <f>比赛参数!G54</f>
        <v>700000.0</v>
      </c>
      <c r="CN72" s="102" t="str">
        <f>比赛参数!H54</f>
        <v>800000.0</v>
      </c>
      <c r="CO72" s="50"/>
    </row>
    <row r="73" ht="15.6" spans="2:98">
      <c r="B73" s="5"/>
      <c r="C73" s="23">
        <v>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"/>
      <c r="X73" s="9" t="s">
        <v>59</v>
      </c>
      <c r="Y73" s="247">
        <f>DV37</f>
        <v>0</v>
      </c>
      <c r="Z73" s="247">
        <f>DZ37</f>
        <v>0</v>
      </c>
      <c r="AA73" s="247">
        <f>ED37</f>
        <v>0</v>
      </c>
      <c r="AB73" s="247">
        <f>EH37</f>
        <v>0</v>
      </c>
      <c r="AE73" s="9" t="s">
        <v>59</v>
      </c>
      <c r="AF73" s="121">
        <f>第十四期!DV9</f>
        <v>0</v>
      </c>
      <c r="AG73" s="121">
        <f>第十四期!DV13</f>
        <v>0</v>
      </c>
      <c r="AH73" s="121">
        <f>第十四期!DV17</f>
        <v>0</v>
      </c>
      <c r="AI73" s="121">
        <f>第十四期!DV21</f>
        <v>0</v>
      </c>
      <c r="AJ73" s="118">
        <f>AF73-Y60+AF60</f>
        <v>0</v>
      </c>
      <c r="AK73" s="118">
        <f>AG73-Z60+AG60</f>
        <v>0</v>
      </c>
      <c r="AL73" s="118">
        <f>AH73-AA60+AH60</f>
        <v>0</v>
      </c>
      <c r="AM73" s="118">
        <f>AI73-AB60+AI60</f>
        <v>0</v>
      </c>
      <c r="AR73" s="174">
        <v>17</v>
      </c>
      <c r="AS73" s="175" t="str">
        <f t="shared" ref="AS73:BH73" si="62">IF(AS49="","",(AS49-AS$54)^2)</f>
        <v/>
      </c>
      <c r="AT73" s="175" t="str">
        <f t="shared" si="62"/>
        <v/>
      </c>
      <c r="AU73" s="175" t="str">
        <f t="shared" si="62"/>
        <v/>
      </c>
      <c r="AV73" s="175" t="str">
        <f t="shared" si="62"/>
        <v/>
      </c>
      <c r="AW73" s="175" t="str">
        <f t="shared" si="62"/>
        <v/>
      </c>
      <c r="AX73" s="175" t="str">
        <f t="shared" si="62"/>
        <v/>
      </c>
      <c r="AY73" s="175" t="str">
        <f t="shared" si="62"/>
        <v/>
      </c>
      <c r="AZ73" s="175" t="str">
        <f t="shared" si="62"/>
        <v/>
      </c>
      <c r="BA73" s="175" t="str">
        <f t="shared" si="62"/>
        <v/>
      </c>
      <c r="BB73" s="175" t="str">
        <f t="shared" si="62"/>
        <v/>
      </c>
      <c r="BC73" s="175" t="str">
        <f t="shared" si="62"/>
        <v/>
      </c>
      <c r="BD73" s="175" t="str">
        <f t="shared" si="62"/>
        <v/>
      </c>
      <c r="BE73" s="175" t="str">
        <f t="shared" si="62"/>
        <v/>
      </c>
      <c r="BF73" s="175" t="str">
        <f t="shared" si="62"/>
        <v/>
      </c>
      <c r="BG73" s="175" t="str">
        <f t="shared" si="62"/>
        <v/>
      </c>
      <c r="BH73" s="175" t="str">
        <f t="shared" si="62"/>
        <v/>
      </c>
      <c r="BR73" s="190" t="s">
        <v>453</v>
      </c>
      <c r="BS73" s="86">
        <f>第十四期!AC21</f>
        <v>0</v>
      </c>
      <c r="BT73" s="86"/>
      <c r="BU73" s="86">
        <f t="shared" si="60"/>
        <v>0</v>
      </c>
      <c r="BV73" s="86"/>
      <c r="BW73" s="118"/>
      <c r="CB73" s="50"/>
      <c r="CC73" s="50"/>
      <c r="CD73" s="50"/>
      <c r="CE73" s="50"/>
      <c r="CF73" s="50"/>
      <c r="CG73" s="50"/>
      <c r="CH73" s="50"/>
      <c r="CI73" s="180" t="s">
        <v>24</v>
      </c>
      <c r="CJ73" s="102" t="str">
        <f>比赛参数!D55</f>
        <v>500000.0</v>
      </c>
      <c r="CK73" s="102" t="str">
        <f>比赛参数!E55</f>
        <v>600000.0</v>
      </c>
      <c r="CL73" s="102" t="str">
        <f>比赛参数!F55</f>
        <v>700000.0</v>
      </c>
      <c r="CM73" s="102" t="str">
        <f>比赛参数!G55</f>
        <v>850000.0</v>
      </c>
      <c r="CN73" s="102" t="str">
        <f>比赛参数!H55</f>
        <v>1000000.0</v>
      </c>
      <c r="CO73" s="50"/>
      <c r="CP73" s="60" t="s">
        <v>417</v>
      </c>
      <c r="CQ73" s="60" t="s">
        <v>56</v>
      </c>
      <c r="CR73" s="60" t="s">
        <v>57</v>
      </c>
      <c r="CS73" s="60" t="s">
        <v>58</v>
      </c>
      <c r="CT73" s="60" t="s">
        <v>59</v>
      </c>
    </row>
    <row r="74" ht="16.35" spans="2:98">
      <c r="B74" s="5"/>
      <c r="C74" s="23">
        <v>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R74" s="174">
        <v>18</v>
      </c>
      <c r="AS74" s="175" t="str">
        <f t="shared" ref="AS74:BH74" si="63">IF(AS50="","",(AS50-AS$54)^2)</f>
        <v/>
      </c>
      <c r="AT74" s="175" t="str">
        <f t="shared" si="63"/>
        <v/>
      </c>
      <c r="AU74" s="175" t="str">
        <f t="shared" si="63"/>
        <v/>
      </c>
      <c r="AV74" s="175" t="str">
        <f t="shared" si="63"/>
        <v/>
      </c>
      <c r="AW74" s="175" t="str">
        <f t="shared" si="63"/>
        <v/>
      </c>
      <c r="AX74" s="175" t="str">
        <f t="shared" si="63"/>
        <v/>
      </c>
      <c r="AY74" s="175" t="str">
        <f t="shared" si="63"/>
        <v/>
      </c>
      <c r="AZ74" s="175" t="str">
        <f t="shared" si="63"/>
        <v/>
      </c>
      <c r="BA74" s="175" t="str">
        <f t="shared" si="63"/>
        <v/>
      </c>
      <c r="BB74" s="175" t="str">
        <f t="shared" si="63"/>
        <v/>
      </c>
      <c r="BC74" s="175" t="str">
        <f t="shared" si="63"/>
        <v/>
      </c>
      <c r="BD74" s="175" t="str">
        <f t="shared" si="63"/>
        <v/>
      </c>
      <c r="BE74" s="175" t="str">
        <f t="shared" si="63"/>
        <v/>
      </c>
      <c r="BF74" s="175" t="str">
        <f t="shared" si="63"/>
        <v/>
      </c>
      <c r="BG74" s="175" t="str">
        <f t="shared" si="63"/>
        <v/>
      </c>
      <c r="BH74" s="175" t="str">
        <f t="shared" si="63"/>
        <v/>
      </c>
      <c r="BR74" s="190" t="s">
        <v>454</v>
      </c>
      <c r="BS74" s="86">
        <f>第十四期!CG42</f>
        <v>0</v>
      </c>
      <c r="BT74" s="86"/>
      <c r="BU74" s="86">
        <f t="shared" si="60"/>
        <v>0</v>
      </c>
      <c r="BV74" s="86">
        <f>BV72-BS74</f>
        <v>0</v>
      </c>
      <c r="BW74" s="118"/>
      <c r="CB74" s="50"/>
      <c r="CC74" s="50">
        <f>AF64*AF76</f>
        <v>0</v>
      </c>
      <c r="CD74" s="50">
        <f>AG64*AG76</f>
        <v>0</v>
      </c>
      <c r="CE74" s="50">
        <f>AH64*AH76</f>
        <v>0</v>
      </c>
      <c r="CF74" s="50">
        <f>AI64*AI76</f>
        <v>0</v>
      </c>
      <c r="CG74" s="50"/>
      <c r="CH74" s="50"/>
      <c r="CI74" s="50"/>
      <c r="CJ74" s="50"/>
      <c r="CK74" s="50"/>
      <c r="CL74" s="50"/>
      <c r="CM74" s="50"/>
      <c r="CN74" s="50"/>
      <c r="CO74" s="50"/>
      <c r="CP74" s="60" t="s">
        <v>38</v>
      </c>
      <c r="CQ74" s="60" t="str">
        <f>比赛参数!D13</f>
        <v>83</v>
      </c>
      <c r="CR74" s="60" t="str">
        <f>比赛参数!E13</f>
        <v>42</v>
      </c>
      <c r="CS74" s="60" t="str">
        <f>比赛参数!F13</f>
        <v>200</v>
      </c>
      <c r="CT74" s="60" t="str">
        <f>比赛参数!G13</f>
        <v>250</v>
      </c>
    </row>
    <row r="75" ht="17.1" spans="2:98">
      <c r="B75" s="5"/>
      <c r="C75" s="23">
        <v>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"/>
      <c r="X75" s="43" t="s">
        <v>455</v>
      </c>
      <c r="Y75" s="68" t="s">
        <v>38</v>
      </c>
      <c r="Z75" s="68" t="s">
        <v>39</v>
      </c>
      <c r="AA75" s="68" t="s">
        <v>40</v>
      </c>
      <c r="AB75" s="68" t="s">
        <v>41</v>
      </c>
      <c r="AC75" s="118"/>
      <c r="AE75" s="43" t="s">
        <v>456</v>
      </c>
      <c r="AF75" s="55" t="s">
        <v>38</v>
      </c>
      <c r="AG75" s="55" t="s">
        <v>39</v>
      </c>
      <c r="AH75" s="55" t="s">
        <v>40</v>
      </c>
      <c r="AI75" s="55" t="s">
        <v>41</v>
      </c>
      <c r="AJ75" s="39" t="s">
        <v>302</v>
      </c>
      <c r="AK75" s="39" t="s">
        <v>457</v>
      </c>
      <c r="AR75" s="174">
        <v>19</v>
      </c>
      <c r="AS75" s="175" t="str">
        <f t="shared" ref="AS75:BH75" si="64">IF(AS51="","",(AS51-AS$54)^2)</f>
        <v/>
      </c>
      <c r="AT75" s="175" t="str">
        <f t="shared" si="64"/>
        <v/>
      </c>
      <c r="AU75" s="175" t="str">
        <f t="shared" si="64"/>
        <v/>
      </c>
      <c r="AV75" s="175" t="str">
        <f t="shared" si="64"/>
        <v/>
      </c>
      <c r="AW75" s="175" t="str">
        <f t="shared" si="64"/>
        <v/>
      </c>
      <c r="AX75" s="175" t="str">
        <f t="shared" si="64"/>
        <v/>
      </c>
      <c r="AY75" s="175" t="str">
        <f t="shared" si="64"/>
        <v/>
      </c>
      <c r="AZ75" s="175" t="str">
        <f t="shared" si="64"/>
        <v/>
      </c>
      <c r="BA75" s="175" t="str">
        <f t="shared" si="64"/>
        <v/>
      </c>
      <c r="BB75" s="175" t="str">
        <f t="shared" si="64"/>
        <v/>
      </c>
      <c r="BC75" s="175" t="str">
        <f t="shared" si="64"/>
        <v/>
      </c>
      <c r="BD75" s="175" t="str">
        <f t="shared" si="64"/>
        <v/>
      </c>
      <c r="BE75" s="175" t="str">
        <f t="shared" si="64"/>
        <v/>
      </c>
      <c r="BF75" s="175" t="str">
        <f t="shared" si="64"/>
        <v/>
      </c>
      <c r="BG75" s="175" t="str">
        <f t="shared" si="64"/>
        <v/>
      </c>
      <c r="BH75" s="175" t="str">
        <f t="shared" si="64"/>
        <v/>
      </c>
      <c r="BR75" s="190" t="s">
        <v>458</v>
      </c>
      <c r="BS75" s="86">
        <f>SUM(第十四期!AF80:AI80)</f>
        <v>0</v>
      </c>
      <c r="BT75" s="86"/>
      <c r="BU75" s="86">
        <f t="shared" si="60"/>
        <v>0</v>
      </c>
      <c r="BV75" s="86">
        <f>BV74-BS75</f>
        <v>0</v>
      </c>
      <c r="BW75" s="118"/>
      <c r="CB75" s="50"/>
      <c r="CC75" s="50">
        <f>AF65*AF77</f>
        <v>0</v>
      </c>
      <c r="CD75" s="50">
        <f>AG65*AG77</f>
        <v>0</v>
      </c>
      <c r="CE75" s="50">
        <f>AH65*AH77</f>
        <v>0</v>
      </c>
      <c r="CF75" s="50">
        <f>AI65*AI77</f>
        <v>0</v>
      </c>
      <c r="CG75" s="50"/>
      <c r="CH75" s="50"/>
      <c r="CI75" s="50"/>
      <c r="CJ75" s="50"/>
      <c r="CK75" s="50"/>
      <c r="CL75" s="50"/>
      <c r="CM75" s="50"/>
      <c r="CN75" s="50"/>
      <c r="CO75" s="50"/>
      <c r="CP75" s="60" t="s">
        <v>39</v>
      </c>
      <c r="CQ75" s="60" t="str">
        <f>比赛参数!H13</f>
        <v>467</v>
      </c>
      <c r="CR75" s="60" t="str">
        <f>比赛参数!I13</f>
        <v>383</v>
      </c>
      <c r="CS75" s="60" t="str">
        <f>比赛参数!J13</f>
        <v>600</v>
      </c>
      <c r="CT75" s="60" t="str">
        <f>比赛参数!K13</f>
        <v>650</v>
      </c>
    </row>
    <row r="76" ht="17.1" spans="2:98">
      <c r="B76" s="5"/>
      <c r="C76" s="23">
        <v>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"/>
      <c r="X76" s="59" t="s">
        <v>56</v>
      </c>
      <c r="Y76" s="247" t="e">
        <f>AB130/Y232</f>
        <v>#DIV/0!</v>
      </c>
      <c r="Z76" s="247" t="e">
        <f>AL130/AC232</f>
        <v>#DIV/0!</v>
      </c>
      <c r="AA76" s="247" t="e">
        <f>AB153/AG232</f>
        <v>#DIV/0!</v>
      </c>
      <c r="AB76" s="247" t="e">
        <f>AL153/AK232</f>
        <v>#DIV/0!</v>
      </c>
      <c r="AC76" s="118"/>
      <c r="AE76" s="44" t="s">
        <v>56</v>
      </c>
      <c r="AF76" s="96"/>
      <c r="AG76" s="96"/>
      <c r="AH76" s="96"/>
      <c r="AI76" s="96"/>
      <c r="AJ76" s="262"/>
      <c r="AK76" s="263" t="e">
        <f>AJ76/SUM(AF64:AI64)</f>
        <v>#DIV/0!</v>
      </c>
      <c r="AL76" s="106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74">
        <v>20</v>
      </c>
      <c r="AS76" s="175" t="str">
        <f t="shared" ref="AS76:BH76" si="65">IF(AS52="","",(AS52-AS$54)^2)</f>
        <v/>
      </c>
      <c r="AT76" s="175" t="str">
        <f t="shared" si="65"/>
        <v/>
      </c>
      <c r="AU76" s="175" t="str">
        <f t="shared" si="65"/>
        <v/>
      </c>
      <c r="AV76" s="175" t="str">
        <f t="shared" si="65"/>
        <v/>
      </c>
      <c r="AW76" s="175" t="str">
        <f t="shared" si="65"/>
        <v/>
      </c>
      <c r="AX76" s="175" t="str">
        <f t="shared" si="65"/>
        <v/>
      </c>
      <c r="AY76" s="175" t="str">
        <f t="shared" si="65"/>
        <v/>
      </c>
      <c r="AZ76" s="175" t="str">
        <f t="shared" si="65"/>
        <v/>
      </c>
      <c r="BA76" s="175" t="str">
        <f t="shared" si="65"/>
        <v/>
      </c>
      <c r="BB76" s="175" t="str">
        <f t="shared" si="65"/>
        <v/>
      </c>
      <c r="BC76" s="175" t="str">
        <f t="shared" si="65"/>
        <v/>
      </c>
      <c r="BD76" s="175" t="str">
        <f t="shared" si="65"/>
        <v/>
      </c>
      <c r="BE76" s="175" t="str">
        <f t="shared" si="65"/>
        <v/>
      </c>
      <c r="BF76" s="175" t="str">
        <f t="shared" si="65"/>
        <v/>
      </c>
      <c r="BG76" s="175" t="str">
        <f t="shared" si="65"/>
        <v/>
      </c>
      <c r="BH76" s="175" t="str">
        <f t="shared" si="65"/>
        <v/>
      </c>
      <c r="BR76" s="287" t="s">
        <v>459</v>
      </c>
      <c r="BS76" s="288">
        <f>SUM(第十四期!AJ76:AJ79)</f>
        <v>0</v>
      </c>
      <c r="BT76" s="288"/>
      <c r="BU76" s="288">
        <f t="shared" si="60"/>
        <v>0</v>
      </c>
      <c r="BV76" s="288">
        <f>BV75-BS76</f>
        <v>0</v>
      </c>
      <c r="BW76" s="292" t="str">
        <f>IF(BV76&gt;=0,"YES","NO")</f>
        <v>YES</v>
      </c>
      <c r="CB76" s="50"/>
      <c r="CC76" s="50">
        <f>AF66*AF78</f>
        <v>0</v>
      </c>
      <c r="CD76" s="50">
        <f>AG66*AG78</f>
        <v>0</v>
      </c>
      <c r="CE76" s="50">
        <f>AH66*AH78</f>
        <v>0</v>
      </c>
      <c r="CF76" s="50">
        <f>AI66*AI78</f>
        <v>0</v>
      </c>
      <c r="CG76" s="50"/>
      <c r="CH76" s="50"/>
      <c r="CI76" s="50"/>
      <c r="CJ76" s="50"/>
      <c r="CK76" s="50"/>
      <c r="CL76" s="50"/>
      <c r="CM76" s="50"/>
      <c r="CN76" s="50"/>
      <c r="CO76" s="50"/>
      <c r="CP76" s="60" t="s">
        <v>40</v>
      </c>
      <c r="CQ76" s="60" t="str">
        <f>比赛参数!D14</f>
        <v>656</v>
      </c>
      <c r="CR76" s="60" t="str">
        <f>比赛参数!E14</f>
        <v>544</v>
      </c>
      <c r="CS76" s="60" t="str">
        <f>比赛参数!F14</f>
        <v>800</v>
      </c>
      <c r="CT76" s="60" t="str">
        <f>比赛参数!G14</f>
        <v>850</v>
      </c>
    </row>
    <row r="77" ht="16.35" spans="2:98">
      <c r="B77" s="5"/>
      <c r="C77" s="23">
        <v>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"/>
      <c r="X77" s="9" t="s">
        <v>57</v>
      </c>
      <c r="Y77" s="247" t="e">
        <f>AC130/Z232</f>
        <v>#DIV/0!</v>
      </c>
      <c r="Z77" s="247" t="e">
        <f>AM130/AD232</f>
        <v>#DIV/0!</v>
      </c>
      <c r="AA77" s="247" t="e">
        <f>AC153/AH232</f>
        <v>#DIV/0!</v>
      </c>
      <c r="AB77" s="247" t="e">
        <f>AM153/AL232</f>
        <v>#DIV/0!</v>
      </c>
      <c r="AC77" s="118"/>
      <c r="AE77" s="9" t="s">
        <v>57</v>
      </c>
      <c r="AF77" s="96"/>
      <c r="AG77" s="96"/>
      <c r="AH77" s="96"/>
      <c r="AI77" s="96"/>
      <c r="AJ77" s="262"/>
      <c r="AK77" s="263" t="e">
        <f>AJ77/SUM(AF65:AI65)</f>
        <v>#DIV/0!</v>
      </c>
      <c r="AL77" s="106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190" t="s">
        <v>284</v>
      </c>
      <c r="BS77" s="289">
        <f>第十四期!CG53</f>
        <v>0</v>
      </c>
      <c r="BT77" s="289">
        <f>BT67+BS77</f>
        <v>0</v>
      </c>
      <c r="BU77" s="289"/>
      <c r="BV77" s="289">
        <f>BV76+BS77</f>
        <v>0</v>
      </c>
      <c r="BW77" s="118"/>
      <c r="CB77" s="50"/>
      <c r="CC77" s="50">
        <f>AF67*AF79</f>
        <v>0</v>
      </c>
      <c r="CD77" s="50">
        <f>AG67*AG79</f>
        <v>0</v>
      </c>
      <c r="CE77" s="50">
        <f>AH67*AH79</f>
        <v>0</v>
      </c>
      <c r="CF77" s="50">
        <f>AI67*AI79</f>
        <v>0</v>
      </c>
      <c r="CG77" s="50"/>
      <c r="CH77" s="50"/>
      <c r="CI77" s="50"/>
      <c r="CJ77" s="50"/>
      <c r="CK77" s="50"/>
      <c r="CL77" s="50"/>
      <c r="CM77" s="50"/>
      <c r="CN77" s="50"/>
      <c r="CO77" s="50"/>
      <c r="CP77" s="60" t="s">
        <v>41</v>
      </c>
      <c r="CQ77" s="60" t="str">
        <f>比赛参数!H14</f>
        <v>794</v>
      </c>
      <c r="CR77" s="60" t="str">
        <f>比赛参数!I14</f>
        <v>656</v>
      </c>
      <c r="CS77" s="60" t="str">
        <f>比赛参数!J14</f>
        <v>1000</v>
      </c>
      <c r="CT77" s="60" t="str">
        <f>比赛参数!K14</f>
        <v>1050</v>
      </c>
    </row>
    <row r="78" ht="15.6" spans="2:93">
      <c r="B78" s="5"/>
      <c r="C78" s="23">
        <v>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"/>
      <c r="X78" s="9" t="s">
        <v>58</v>
      </c>
      <c r="Y78" s="247" t="e">
        <f>AD130/AA232</f>
        <v>#DIV/0!</v>
      </c>
      <c r="Z78" s="247" t="e">
        <f>AN130/AE232</f>
        <v>#DIV/0!</v>
      </c>
      <c r="AA78" s="247" t="e">
        <f>AD153/AI232</f>
        <v>#DIV/0!</v>
      </c>
      <c r="AB78" s="247" t="e">
        <f>AN153/AM232</f>
        <v>#DIV/0!</v>
      </c>
      <c r="AC78" s="118"/>
      <c r="AE78" s="9" t="s">
        <v>58</v>
      </c>
      <c r="AF78" s="96"/>
      <c r="AG78" s="96"/>
      <c r="AH78" s="96"/>
      <c r="AI78" s="96"/>
      <c r="AJ78" s="262"/>
      <c r="AK78" s="263" t="e">
        <f>AJ78/SUM(AF66:AI66)</f>
        <v>#DIV/0!</v>
      </c>
      <c r="AL78" s="106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0" t="s">
        <v>460</v>
      </c>
      <c r="AS78" s="268" t="e">
        <f t="shared" ref="AS78:BH78" si="66">AVERAGE(AS57:AS76)^0.5</f>
        <v>#DIV/0!</v>
      </c>
      <c r="AT78" s="268" t="e">
        <f t="shared" si="66"/>
        <v>#DIV/0!</v>
      </c>
      <c r="AU78" s="268" t="e">
        <f t="shared" si="66"/>
        <v>#DIV/0!</v>
      </c>
      <c r="AV78" s="268" t="e">
        <f t="shared" si="66"/>
        <v>#DIV/0!</v>
      </c>
      <c r="AW78" s="268" t="e">
        <f t="shared" si="66"/>
        <v>#DIV/0!</v>
      </c>
      <c r="AX78" s="268" t="e">
        <f t="shared" si="66"/>
        <v>#DIV/0!</v>
      </c>
      <c r="AY78" s="268" t="e">
        <f t="shared" si="66"/>
        <v>#DIV/0!</v>
      </c>
      <c r="AZ78" s="268" t="e">
        <f t="shared" si="66"/>
        <v>#DIV/0!</v>
      </c>
      <c r="BA78" s="268" t="e">
        <f t="shared" si="66"/>
        <v>#DIV/0!</v>
      </c>
      <c r="BB78" s="268" t="e">
        <f t="shared" si="66"/>
        <v>#DIV/0!</v>
      </c>
      <c r="BC78" s="268" t="e">
        <f t="shared" si="66"/>
        <v>#DIV/0!</v>
      </c>
      <c r="BD78" s="268" t="e">
        <f t="shared" si="66"/>
        <v>#DIV/0!</v>
      </c>
      <c r="BE78" s="268" t="e">
        <f t="shared" si="66"/>
        <v>#DIV/0!</v>
      </c>
      <c r="BF78" s="268" t="e">
        <f t="shared" si="66"/>
        <v>#DIV/0!</v>
      </c>
      <c r="BG78" s="268" t="e">
        <f t="shared" si="66"/>
        <v>#DIV/0!</v>
      </c>
      <c r="BH78" s="268" t="e">
        <f t="shared" si="66"/>
        <v>#DIV/0!</v>
      </c>
      <c r="BR78" s="190" t="s">
        <v>367</v>
      </c>
      <c r="BS78" s="86">
        <f>第十四期!CN53</f>
        <v>0</v>
      </c>
      <c r="BT78" s="86"/>
      <c r="BU78" s="86">
        <f>BU76+BS78</f>
        <v>0</v>
      </c>
      <c r="BV78" s="86">
        <f>BV77-BS78</f>
        <v>0</v>
      </c>
      <c r="BW78" s="118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</row>
    <row r="79" ht="16.35" spans="2:99">
      <c r="B79" s="5"/>
      <c r="C79" s="23">
        <v>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"/>
      <c r="X79" s="9" t="s">
        <v>59</v>
      </c>
      <c r="Y79" s="247" t="e">
        <f>AE130/AB232</f>
        <v>#DIV/0!</v>
      </c>
      <c r="Z79" s="247" t="e">
        <f>AO130/AF232</f>
        <v>#DIV/0!</v>
      </c>
      <c r="AA79" s="247" t="e">
        <f>AE153/AJ232</f>
        <v>#DIV/0!</v>
      </c>
      <c r="AB79" s="247" t="e">
        <f>AO153/AN232</f>
        <v>#DIV/0!</v>
      </c>
      <c r="AC79" s="118"/>
      <c r="AE79" s="9" t="s">
        <v>59</v>
      </c>
      <c r="AF79" s="96"/>
      <c r="AG79" s="96"/>
      <c r="AH79" s="96"/>
      <c r="AI79" s="96"/>
      <c r="AJ79" s="262"/>
      <c r="AK79" s="263" t="e">
        <f>AJ79/SUM(AF67:AI67)</f>
        <v>#DIV/0!</v>
      </c>
      <c r="AL79" s="106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190" t="s">
        <v>461</v>
      </c>
      <c r="BS79" s="86">
        <f>第十四期!K9*比赛参数!D30*比赛参数!F30</f>
        <v>0</v>
      </c>
      <c r="BT79" s="86"/>
      <c r="BU79" s="86">
        <f>BU78+BS79</f>
        <v>0</v>
      </c>
      <c r="BV79" s="86"/>
      <c r="BW79" s="118"/>
      <c r="CB79" s="180" t="s">
        <v>462</v>
      </c>
      <c r="CC79" s="102">
        <f>IF(SUM(AF64:AF67)&gt;0,SUM(CC74:CC77)/SUM(AF64:AF67),0)</f>
        <v>0</v>
      </c>
      <c r="CD79" s="102">
        <f>IF(SUM(AG64:AG67)&gt;0,SUM(CD74:CD77)/SUM(AG64:AG67),0)</f>
        <v>0</v>
      </c>
      <c r="CE79" s="102">
        <f>IF(SUM(AH64:AH67)&gt;0,SUM(CE74:CE77)/SUM(AH64:AH67),0)</f>
        <v>0</v>
      </c>
      <c r="CF79" s="102">
        <f>IF(SUM(AI64:AI67)&gt;0,SUM(CF74:CF77)/SUM(AI64:AI67),0)</f>
        <v>0</v>
      </c>
      <c r="CG79" s="50"/>
      <c r="CH79" s="50"/>
      <c r="CM79" s="50"/>
      <c r="CN79" s="50"/>
      <c r="CO79" s="50"/>
      <c r="CP79" s="60" t="s">
        <v>463</v>
      </c>
      <c r="CQ79" s="60" t="s">
        <v>331</v>
      </c>
      <c r="CR79" s="60" t="s">
        <v>332</v>
      </c>
      <c r="CS79" s="60" t="s">
        <v>333</v>
      </c>
      <c r="CT79" s="60" t="s">
        <v>334</v>
      </c>
      <c r="CU79" s="60" t="s">
        <v>415</v>
      </c>
    </row>
    <row r="80" ht="16.35" spans="2:99">
      <c r="B80" s="5"/>
      <c r="C80" s="23">
        <v>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"/>
      <c r="AE80" s="39" t="s">
        <v>269</v>
      </c>
      <c r="AF80" s="248"/>
      <c r="AG80" s="248"/>
      <c r="AH80" s="248"/>
      <c r="AI80" s="248"/>
      <c r="AJ80" s="39" t="s">
        <v>464</v>
      </c>
      <c r="AK80" s="264" t="e">
        <f>BS75/BS77</f>
        <v>#DIV/0!</v>
      </c>
      <c r="AR80" s="87"/>
      <c r="AS80" s="164" t="s">
        <v>21</v>
      </c>
      <c r="AT80" s="165"/>
      <c r="AU80" s="165"/>
      <c r="AV80" s="166"/>
      <c r="AW80" s="164" t="s">
        <v>22</v>
      </c>
      <c r="AX80" s="165"/>
      <c r="AY80" s="165"/>
      <c r="AZ80" s="166"/>
      <c r="BA80" s="164" t="s">
        <v>23</v>
      </c>
      <c r="BB80" s="165"/>
      <c r="BC80" s="165"/>
      <c r="BD80" s="166"/>
      <c r="BE80" s="164" t="s">
        <v>24</v>
      </c>
      <c r="BF80" s="165"/>
      <c r="BG80" s="165"/>
      <c r="BH80" s="166"/>
      <c r="BR80" s="190" t="s">
        <v>465</v>
      </c>
      <c r="BS80" s="86">
        <f>第十四期!CG65</f>
        <v>0</v>
      </c>
      <c r="BT80" s="86"/>
      <c r="BU80" s="86">
        <f>BU79+BS80</f>
        <v>0</v>
      </c>
      <c r="BV80" s="86"/>
      <c r="BW80" s="118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60" t="s">
        <v>38</v>
      </c>
      <c r="CQ80" s="60">
        <f>第十四期!Y9*第十四期!CQ56</f>
        <v>0</v>
      </c>
      <c r="CR80" s="60">
        <f>第十四期!Z9*第十四期!CR56</f>
        <v>0</v>
      </c>
      <c r="CS80" s="60">
        <f>第十四期!AA9*第十四期!CS56</f>
        <v>0</v>
      </c>
      <c r="CT80" s="60">
        <f>第十四期!AB9*第十四期!CT56</f>
        <v>0</v>
      </c>
      <c r="CU80" s="60">
        <f>SUM(CQ80:CT80)</f>
        <v>0</v>
      </c>
    </row>
    <row r="81" ht="17.1" spans="2:99">
      <c r="B81" s="5"/>
      <c r="C81" s="23">
        <v>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"/>
      <c r="X81" s="43" t="s">
        <v>466</v>
      </c>
      <c r="Y81" s="68" t="s">
        <v>38</v>
      </c>
      <c r="Z81" s="68" t="s">
        <v>39</v>
      </c>
      <c r="AA81" s="68" t="s">
        <v>40</v>
      </c>
      <c r="AB81" s="68" t="s">
        <v>41</v>
      </c>
      <c r="AE81" s="39" t="s">
        <v>467</v>
      </c>
      <c r="AF81" s="249">
        <f>IF(SUM(AF64:AF67)&gt;0,AF80/SUM(AF64:AF67),0)</f>
        <v>0</v>
      </c>
      <c r="AG81" s="249">
        <f>IF(SUM(AG64:AG67)&gt;0,AG80/SUM(AG64:AG67),0)</f>
        <v>0</v>
      </c>
      <c r="AH81" s="249">
        <f>IF(SUM(AH64:AH67)&gt;0,AH80/SUM(AH64:AH67),0)</f>
        <v>0</v>
      </c>
      <c r="AI81" s="265">
        <f>IF(SUM(AI64:AI67)&gt;0,AI80/SUM(AI64:AI67),0)</f>
        <v>0</v>
      </c>
      <c r="AJ81" s="39" t="s">
        <v>468</v>
      </c>
      <c r="AK81" s="264" t="e">
        <f>BS76/BS77</f>
        <v>#DIV/0!</v>
      </c>
      <c r="AR81" s="87" t="s">
        <v>392</v>
      </c>
      <c r="AS81" s="167" t="s">
        <v>56</v>
      </c>
      <c r="AT81" s="9" t="s">
        <v>57</v>
      </c>
      <c r="AU81" s="9" t="s">
        <v>58</v>
      </c>
      <c r="AV81" s="168" t="s">
        <v>59</v>
      </c>
      <c r="AW81" s="167" t="s">
        <v>56</v>
      </c>
      <c r="AX81" s="9" t="s">
        <v>57</v>
      </c>
      <c r="AY81" s="9" t="s">
        <v>58</v>
      </c>
      <c r="AZ81" s="168" t="s">
        <v>59</v>
      </c>
      <c r="BA81" s="167" t="s">
        <v>56</v>
      </c>
      <c r="BB81" s="9" t="s">
        <v>57</v>
      </c>
      <c r="BC81" s="9" t="s">
        <v>58</v>
      </c>
      <c r="BD81" s="168" t="s">
        <v>59</v>
      </c>
      <c r="BE81" s="167" t="s">
        <v>56</v>
      </c>
      <c r="BF81" s="9" t="s">
        <v>57</v>
      </c>
      <c r="BG81" s="9" t="s">
        <v>58</v>
      </c>
      <c r="BH81" s="168" t="s">
        <v>59</v>
      </c>
      <c r="BI81" s="2" t="s">
        <v>469</v>
      </c>
      <c r="BR81" s="190" t="s">
        <v>470</v>
      </c>
      <c r="BS81" s="86">
        <f>(第十四期!K10+(第十四期!AC18+第十四期!K10-第十四期!AC21))/2*比赛参数!D16</f>
        <v>0</v>
      </c>
      <c r="BT81" s="86"/>
      <c r="BU81" s="86">
        <f>BU80+BS81</f>
        <v>0</v>
      </c>
      <c r="BV81" s="86">
        <f>BV78-BS81</f>
        <v>0</v>
      </c>
      <c r="BW81" s="118"/>
      <c r="CB81" s="50"/>
      <c r="CC81" s="50">
        <f>CJ19*AF64</f>
        <v>0</v>
      </c>
      <c r="CD81" s="50">
        <f>CK19*AG64</f>
        <v>0</v>
      </c>
      <c r="CE81" s="50">
        <f>CL19*AH64</f>
        <v>0</v>
      </c>
      <c r="CF81" s="50">
        <f>CM19*AI64</f>
        <v>0</v>
      </c>
      <c r="CG81" s="50"/>
      <c r="CH81" s="50"/>
      <c r="CI81" s="50"/>
      <c r="CJ81" s="50"/>
      <c r="CK81" s="50"/>
      <c r="CL81" s="50"/>
      <c r="CM81" s="50"/>
      <c r="CN81" s="50"/>
      <c r="CO81" s="50"/>
      <c r="CP81" s="60" t="s">
        <v>39</v>
      </c>
      <c r="CQ81" s="60">
        <f>第十四期!Y10*第十四期!CQ57</f>
        <v>0</v>
      </c>
      <c r="CR81" s="60">
        <f>第十四期!Z10*第十四期!CR57</f>
        <v>0</v>
      </c>
      <c r="CS81" s="60">
        <f>第十四期!AA10*第十四期!CS57</f>
        <v>0</v>
      </c>
      <c r="CT81" s="60">
        <f>第十四期!AB10*第十四期!CT57</f>
        <v>0</v>
      </c>
      <c r="CU81" s="60">
        <f>SUM(CQ81:CT81)</f>
        <v>0</v>
      </c>
    </row>
    <row r="82" ht="18.75" customHeight="1" spans="2:99">
      <c r="B82" s="5"/>
      <c r="C82" s="23">
        <v>10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"/>
      <c r="X82" s="59" t="s">
        <v>56</v>
      </c>
      <c r="Y82" s="250" t="e">
        <f>(Y76-AS54)/AS78</f>
        <v>#DIV/0!</v>
      </c>
      <c r="Z82" s="250" t="e">
        <f>(Z76-AW54)/AW78</f>
        <v>#DIV/0!</v>
      </c>
      <c r="AA82" s="250" t="e">
        <f>(AA76-BA54)/BA78</f>
        <v>#DIV/0!</v>
      </c>
      <c r="AB82" s="250" t="e">
        <f>(AB76-BE54)/BE78</f>
        <v>#DIV/0!</v>
      </c>
      <c r="AF82" s="2" t="e">
        <f>SUMPRODUCT(AF70:AF73,AF86:AF89)/SUM(AF70:AF73)</f>
        <v>#DIV/0!</v>
      </c>
      <c r="AG82" s="2" t="e">
        <f>SUMPRODUCT(AG70:AG73,AG86:AG89)/SUM(AG70:AG73)</f>
        <v>#DIV/0!</v>
      </c>
      <c r="AH82" s="2" t="e">
        <f>SUMPRODUCT(AH70:AH73,AH86:AH89)/SUM(AH70:AH73)</f>
        <v>#DIV/0!</v>
      </c>
      <c r="AI82" s="2" t="e">
        <f>SUMPRODUCT(AI70:AI73,AI86:AI89)/SUM(AI70:AI73)</f>
        <v>#DIV/0!</v>
      </c>
      <c r="AJ82" s="39" t="s">
        <v>200</v>
      </c>
      <c r="AK82" s="79">
        <f>AF14</f>
        <v>0</v>
      </c>
      <c r="AR82" s="169">
        <v>1</v>
      </c>
      <c r="AS82" s="269" t="str">
        <f t="shared" ref="AS82:BH82" si="67">IF(AS33="","",(AS33-AS$54)/AS$78)</f>
        <v/>
      </c>
      <c r="AT82" s="270" t="str">
        <f t="shared" si="67"/>
        <v/>
      </c>
      <c r="AU82" s="270" t="str">
        <f t="shared" si="67"/>
        <v/>
      </c>
      <c r="AV82" s="271" t="str">
        <f t="shared" si="67"/>
        <v/>
      </c>
      <c r="AW82" s="269" t="str">
        <f t="shared" si="67"/>
        <v/>
      </c>
      <c r="AX82" s="270" t="str">
        <f t="shared" si="67"/>
        <v/>
      </c>
      <c r="AY82" s="270" t="str">
        <f t="shared" si="67"/>
        <v/>
      </c>
      <c r="AZ82" s="271" t="str">
        <f t="shared" si="67"/>
        <v/>
      </c>
      <c r="BA82" s="269" t="str">
        <f t="shared" si="67"/>
        <v/>
      </c>
      <c r="BB82" s="270" t="str">
        <f t="shared" si="67"/>
        <v/>
      </c>
      <c r="BC82" s="270" t="str">
        <f t="shared" si="67"/>
        <v/>
      </c>
      <c r="BD82" s="271" t="str">
        <f t="shared" si="67"/>
        <v/>
      </c>
      <c r="BE82" s="269" t="str">
        <f t="shared" si="67"/>
        <v/>
      </c>
      <c r="BF82" s="270" t="str">
        <f t="shared" si="67"/>
        <v/>
      </c>
      <c r="BG82" s="270" t="str">
        <f t="shared" si="67"/>
        <v/>
      </c>
      <c r="BH82" s="271" t="str">
        <f t="shared" si="67"/>
        <v/>
      </c>
      <c r="BI82" s="280" t="str">
        <f t="shared" ref="BI82:BI101" si="68">IF(AS82="","",AVERAGE(AS82:BH82))</f>
        <v/>
      </c>
      <c r="BR82" s="190" t="s">
        <v>471</v>
      </c>
      <c r="BS82" s="86">
        <f>第十四期!CG67</f>
        <v>0</v>
      </c>
      <c r="BT82" s="86"/>
      <c r="BU82" s="86">
        <f>BU81+BS82</f>
        <v>0</v>
      </c>
      <c r="BV82" s="86">
        <f>BV81-BS82</f>
        <v>0</v>
      </c>
      <c r="BW82" s="118"/>
      <c r="CB82" s="50"/>
      <c r="CC82" s="50">
        <f>CJ20*AF65</f>
        <v>0</v>
      </c>
      <c r="CD82" s="50">
        <f>CK20*AG65</f>
        <v>0</v>
      </c>
      <c r="CE82" s="50">
        <f>CL20*AH65</f>
        <v>0</v>
      </c>
      <c r="CF82" s="50">
        <f>CM20*AI65</f>
        <v>0</v>
      </c>
      <c r="CG82" s="50"/>
      <c r="CH82" s="50"/>
      <c r="CI82" s="50"/>
      <c r="CJ82" s="50"/>
      <c r="CK82" s="50"/>
      <c r="CL82" s="50"/>
      <c r="CM82" s="50"/>
      <c r="CN82" s="50"/>
      <c r="CO82" s="50"/>
      <c r="CP82" s="60" t="s">
        <v>40</v>
      </c>
      <c r="CQ82" s="60">
        <f>第十四期!Y11*第十四期!CQ58</f>
        <v>0</v>
      </c>
      <c r="CR82" s="60">
        <f>第十四期!Z11*第十四期!CR58</f>
        <v>0</v>
      </c>
      <c r="CS82" s="60">
        <f>第十四期!AA11*第十四期!CS58</f>
        <v>0</v>
      </c>
      <c r="CT82" s="60">
        <f>第十四期!AB11*第十四期!CT58</f>
        <v>0</v>
      </c>
      <c r="CU82" s="60">
        <f>SUM(CQ82:CT82)</f>
        <v>0</v>
      </c>
    </row>
    <row r="83" ht="18.75" customHeight="1" spans="2:99">
      <c r="B83" s="5"/>
      <c r="C83" s="23">
        <v>11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"/>
      <c r="X83" s="9" t="s">
        <v>57</v>
      </c>
      <c r="Y83" s="250" t="e">
        <f>(Y77-AT54)/AT78</f>
        <v>#DIV/0!</v>
      </c>
      <c r="Z83" s="250" t="e">
        <f>(Z77-AX54)/AX78</f>
        <v>#DIV/0!</v>
      </c>
      <c r="AA83" s="250" t="e">
        <f>(AA77-BB54)/BB78</f>
        <v>#DIV/0!</v>
      </c>
      <c r="AB83" s="250" t="e">
        <f>(AB77-BF54)/BF78</f>
        <v>#DIV/0!</v>
      </c>
      <c r="AE83" s="39" t="s">
        <v>472</v>
      </c>
      <c r="AF83" s="249" t="e">
        <f>SUMPRODUCT(Y96:Y99,AF64:AF67)/SUM(AF64:AF67)</f>
        <v>#DIV/0!</v>
      </c>
      <c r="AG83" s="249" t="e">
        <f>SUMPRODUCT(Z96:Z99,AG64:AG67)/SUM(AG64:AG67)</f>
        <v>#DIV/0!</v>
      </c>
      <c r="AH83" s="249" t="e">
        <f>SUMPRODUCT(AA96:AA99,AH64:AH67)/SUM(AH64:AH67)</f>
        <v>#DIV/0!</v>
      </c>
      <c r="AI83" s="249" t="e">
        <f>SUMPRODUCT(AB96:AB99,AI64:AI67)/SUM(AI64:AI67)</f>
        <v>#DIV/0!</v>
      </c>
      <c r="AR83" s="169">
        <v>2</v>
      </c>
      <c r="AS83" s="269" t="str">
        <f t="shared" ref="AS83:BH83" si="69">IF(AS34="","",(AS34-AS$54)/AS$78)</f>
        <v/>
      </c>
      <c r="AT83" s="270" t="str">
        <f t="shared" si="69"/>
        <v/>
      </c>
      <c r="AU83" s="270" t="str">
        <f t="shared" si="69"/>
        <v/>
      </c>
      <c r="AV83" s="271" t="str">
        <f t="shared" si="69"/>
        <v/>
      </c>
      <c r="AW83" s="269" t="str">
        <f t="shared" si="69"/>
        <v/>
      </c>
      <c r="AX83" s="270" t="str">
        <f t="shared" si="69"/>
        <v/>
      </c>
      <c r="AY83" s="270" t="str">
        <f t="shared" si="69"/>
        <v/>
      </c>
      <c r="AZ83" s="271" t="str">
        <f t="shared" si="69"/>
        <v/>
      </c>
      <c r="BA83" s="269" t="str">
        <f t="shared" si="69"/>
        <v/>
      </c>
      <c r="BB83" s="270" t="str">
        <f t="shared" si="69"/>
        <v/>
      </c>
      <c r="BC83" s="270" t="str">
        <f t="shared" si="69"/>
        <v/>
      </c>
      <c r="BD83" s="271" t="str">
        <f t="shared" si="69"/>
        <v/>
      </c>
      <c r="BE83" s="269" t="str">
        <f t="shared" si="69"/>
        <v/>
      </c>
      <c r="BF83" s="270" t="str">
        <f t="shared" si="69"/>
        <v/>
      </c>
      <c r="BG83" s="270" t="str">
        <f t="shared" si="69"/>
        <v/>
      </c>
      <c r="BH83" s="271" t="str">
        <f t="shared" si="69"/>
        <v/>
      </c>
      <c r="BI83" s="280" t="str">
        <f t="shared" si="68"/>
        <v/>
      </c>
      <c r="BR83" s="190" t="s">
        <v>473</v>
      </c>
      <c r="BS83" s="86">
        <f>第十四期!K13</f>
        <v>0</v>
      </c>
      <c r="BT83" s="86"/>
      <c r="BU83" s="86"/>
      <c r="BV83" s="86">
        <f>BV82+BS83</f>
        <v>0</v>
      </c>
      <c r="BW83" s="118"/>
      <c r="CB83" s="50"/>
      <c r="CC83" s="50">
        <f>CJ21*AF66</f>
        <v>0</v>
      </c>
      <c r="CD83" s="50">
        <f>CK21*AG66</f>
        <v>0</v>
      </c>
      <c r="CE83" s="50">
        <f>CL21*AH66</f>
        <v>0</v>
      </c>
      <c r="CF83" s="50">
        <f>CM21*AI66</f>
        <v>0</v>
      </c>
      <c r="CG83" s="50"/>
      <c r="CH83" s="50"/>
      <c r="CI83" s="50"/>
      <c r="CJ83" s="50"/>
      <c r="CK83" s="50"/>
      <c r="CL83" s="50"/>
      <c r="CM83" s="50"/>
      <c r="CN83" s="50"/>
      <c r="CO83" s="50"/>
      <c r="CP83" s="60" t="s">
        <v>41</v>
      </c>
      <c r="CQ83" s="60">
        <f>第十四期!Y12*第十四期!CQ59</f>
        <v>0</v>
      </c>
      <c r="CR83" s="60">
        <f>第十四期!Z12*第十四期!CR59</f>
        <v>0</v>
      </c>
      <c r="CS83" s="60">
        <f>第十四期!AA12*第十四期!CS59</f>
        <v>0</v>
      </c>
      <c r="CT83" s="60">
        <f>第十四期!AB12*第十四期!CT59</f>
        <v>0</v>
      </c>
      <c r="CU83" s="60">
        <f>SUM(CQ83:CT83)</f>
        <v>0</v>
      </c>
    </row>
    <row r="84" ht="18.75" customHeight="1" spans="2:99">
      <c r="B84" s="5"/>
      <c r="C84" s="23">
        <v>12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"/>
      <c r="X84" s="9" t="s">
        <v>58</v>
      </c>
      <c r="Y84" s="250" t="e">
        <f>(Y78-AU54)/AU78</f>
        <v>#DIV/0!</v>
      </c>
      <c r="Z84" s="250" t="e">
        <f>(Z78-AY54)/AY78</f>
        <v>#DIV/0!</v>
      </c>
      <c r="AA84" s="250" t="e">
        <f>(AA78-BC54)/BC78</f>
        <v>#DIV/0!</v>
      </c>
      <c r="AB84" s="250" t="e">
        <f>(AB78-BG54)/BG78</f>
        <v>#DIV/0!</v>
      </c>
      <c r="AF84" s="106" t="e">
        <f>AF80/SUMPRODUCT(AF76:AF79,AF64:AF67)</f>
        <v>#DIV/0!</v>
      </c>
      <c r="AG84" s="106" t="e">
        <f>AG80/SUMPRODUCT(AG76:AG79,AG64:AG67)</f>
        <v>#DIV/0!</v>
      </c>
      <c r="AH84" s="106" t="e">
        <f>AH80/SUMPRODUCT(AH76:AH79,AH64:AH67)</f>
        <v>#DIV/0!</v>
      </c>
      <c r="AI84" s="106" t="e">
        <f>AI80/SUMPRODUCT(AI76:AI79,AI64:AI67)</f>
        <v>#DIV/0!</v>
      </c>
      <c r="AK84" s="2" t="s">
        <v>474</v>
      </c>
      <c r="AR84" s="169">
        <v>3</v>
      </c>
      <c r="AS84" s="269" t="str">
        <f t="shared" ref="AS84:BH84" si="70">IF(AS35="","",(AS35-AS$54)/AS$78)</f>
        <v/>
      </c>
      <c r="AT84" s="270" t="str">
        <f t="shared" si="70"/>
        <v/>
      </c>
      <c r="AU84" s="270" t="str">
        <f t="shared" si="70"/>
        <v/>
      </c>
      <c r="AV84" s="271" t="str">
        <f t="shared" si="70"/>
        <v/>
      </c>
      <c r="AW84" s="269" t="str">
        <f t="shared" si="70"/>
        <v/>
      </c>
      <c r="AX84" s="270" t="str">
        <f t="shared" si="70"/>
        <v/>
      </c>
      <c r="AY84" s="270" t="str">
        <f t="shared" si="70"/>
        <v/>
      </c>
      <c r="AZ84" s="271" t="str">
        <f t="shared" si="70"/>
        <v/>
      </c>
      <c r="BA84" s="269" t="str">
        <f t="shared" si="70"/>
        <v/>
      </c>
      <c r="BB84" s="270" t="str">
        <f t="shared" si="70"/>
        <v/>
      </c>
      <c r="BC84" s="270" t="str">
        <f t="shared" si="70"/>
        <v/>
      </c>
      <c r="BD84" s="271" t="str">
        <f t="shared" si="70"/>
        <v/>
      </c>
      <c r="BE84" s="269" t="str">
        <f t="shared" si="70"/>
        <v/>
      </c>
      <c r="BF84" s="270" t="str">
        <f t="shared" si="70"/>
        <v/>
      </c>
      <c r="BG84" s="270" t="str">
        <f t="shared" si="70"/>
        <v/>
      </c>
      <c r="BH84" s="271" t="str">
        <f t="shared" si="70"/>
        <v/>
      </c>
      <c r="BI84" s="280" t="str">
        <f t="shared" si="68"/>
        <v/>
      </c>
      <c r="BR84" s="190" t="s">
        <v>366</v>
      </c>
      <c r="BS84" s="86">
        <f>第十四期!K13*比赛参数!D70/4</f>
        <v>0</v>
      </c>
      <c r="BT84" s="290">
        <f>BT77+BS84</f>
        <v>0</v>
      </c>
      <c r="BU84" s="86"/>
      <c r="BV84" s="86">
        <f>BV83+BS84</f>
        <v>0</v>
      </c>
      <c r="BW84" s="118"/>
      <c r="CB84" s="50"/>
      <c r="CC84" s="50">
        <f>CJ22*AF67</f>
        <v>0</v>
      </c>
      <c r="CD84" s="50">
        <f>CK22*AG67</f>
        <v>0</v>
      </c>
      <c r="CE84" s="50">
        <f>CL22*AH67</f>
        <v>0</v>
      </c>
      <c r="CF84" s="50">
        <f>CM22*AI67</f>
        <v>0</v>
      </c>
      <c r="CG84" s="50"/>
      <c r="CH84" s="50"/>
      <c r="CI84" s="50"/>
      <c r="CJ84" s="50"/>
      <c r="CK84" s="50"/>
      <c r="CL84" s="50"/>
      <c r="CM84" s="50"/>
      <c r="CN84" s="50"/>
      <c r="CO84" s="50"/>
      <c r="CP84" s="60" t="s">
        <v>415</v>
      </c>
      <c r="CQ84" s="60">
        <f>SUM(CQ80:CQ83)</f>
        <v>0</v>
      </c>
      <c r="CR84" s="60">
        <f>SUM(CR80:CR83)</f>
        <v>0</v>
      </c>
      <c r="CS84" s="60">
        <f>SUM(CS80:CS83)</f>
        <v>0</v>
      </c>
      <c r="CT84" s="60">
        <f>SUM(CT80:CT83)</f>
        <v>0</v>
      </c>
      <c r="CU84" s="60">
        <f>SUM(CU80:CU83)</f>
        <v>0</v>
      </c>
    </row>
    <row r="85" ht="18.75" customHeight="1" spans="2:93">
      <c r="B85" s="5"/>
      <c r="C85" s="23">
        <v>13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"/>
      <c r="X85" s="9" t="s">
        <v>59</v>
      </c>
      <c r="Y85" s="250" t="e">
        <f>(Y79-AV54)/AV78</f>
        <v>#DIV/0!</v>
      </c>
      <c r="Z85" s="250" t="e">
        <f>(Z79-AZ54)/AZ78</f>
        <v>#DIV/0!</v>
      </c>
      <c r="AA85" s="250" t="e">
        <f>(AA79-BD54)/BD78</f>
        <v>#DIV/0!</v>
      </c>
      <c r="AB85" s="250" t="e">
        <f>(AB79-BH54)/BH78</f>
        <v>#DIV/0!</v>
      </c>
      <c r="AE85" s="43" t="s">
        <v>475</v>
      </c>
      <c r="AF85" s="55" t="s">
        <v>38</v>
      </c>
      <c r="AG85" s="55" t="s">
        <v>39</v>
      </c>
      <c r="AH85" s="55" t="s">
        <v>40</v>
      </c>
      <c r="AI85" s="55" t="s">
        <v>41</v>
      </c>
      <c r="AJ85" s="43" t="s">
        <v>476</v>
      </c>
      <c r="AK85" s="68" t="s">
        <v>38</v>
      </c>
      <c r="AL85" s="68" t="s">
        <v>39</v>
      </c>
      <c r="AM85" s="68" t="s">
        <v>40</v>
      </c>
      <c r="AN85" s="68" t="s">
        <v>41</v>
      </c>
      <c r="AR85" s="169">
        <v>4</v>
      </c>
      <c r="AS85" s="269" t="str">
        <f t="shared" ref="AS85:BH85" si="71">IF(AS36="","",(AS36-AS$54)/AS$78)</f>
        <v/>
      </c>
      <c r="AT85" s="270" t="str">
        <f t="shared" si="71"/>
        <v/>
      </c>
      <c r="AU85" s="270" t="str">
        <f t="shared" si="71"/>
        <v/>
      </c>
      <c r="AV85" s="271" t="str">
        <f t="shared" si="71"/>
        <v/>
      </c>
      <c r="AW85" s="269" t="str">
        <f t="shared" si="71"/>
        <v/>
      </c>
      <c r="AX85" s="270" t="str">
        <f t="shared" si="71"/>
        <v/>
      </c>
      <c r="AY85" s="270" t="str">
        <f t="shared" si="71"/>
        <v/>
      </c>
      <c r="AZ85" s="271" t="str">
        <f t="shared" si="71"/>
        <v/>
      </c>
      <c r="BA85" s="269" t="str">
        <f t="shared" si="71"/>
        <v/>
      </c>
      <c r="BB85" s="270" t="str">
        <f t="shared" si="71"/>
        <v/>
      </c>
      <c r="BC85" s="270" t="str">
        <f t="shared" si="71"/>
        <v/>
      </c>
      <c r="BD85" s="271" t="str">
        <f t="shared" si="71"/>
        <v/>
      </c>
      <c r="BE85" s="269" t="str">
        <f t="shared" si="71"/>
        <v/>
      </c>
      <c r="BF85" s="270" t="str">
        <f t="shared" si="71"/>
        <v/>
      </c>
      <c r="BG85" s="270" t="str">
        <f t="shared" si="71"/>
        <v/>
      </c>
      <c r="BH85" s="271" t="str">
        <f t="shared" si="71"/>
        <v/>
      </c>
      <c r="BI85" s="280" t="str">
        <f t="shared" si="68"/>
        <v/>
      </c>
      <c r="BR85" s="190" t="s">
        <v>477</v>
      </c>
      <c r="BS85" s="86">
        <f>第十四期!AH14</f>
        <v>0</v>
      </c>
      <c r="BT85" s="86"/>
      <c r="BU85" s="86"/>
      <c r="BV85" s="86">
        <f t="shared" ref="BV85:BV90" si="72">BV84-BS85</f>
        <v>0</v>
      </c>
      <c r="BW85" s="118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</row>
    <row r="86" ht="18.75" customHeight="1" spans="2:99">
      <c r="B86" s="5"/>
      <c r="C86" s="23">
        <v>14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8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4" t="s">
        <v>56</v>
      </c>
      <c r="AF86" s="121">
        <f>第十四期!DS33</f>
        <v>0</v>
      </c>
      <c r="AG86" s="121">
        <f>第十四期!DW33</f>
        <v>0</v>
      </c>
      <c r="AH86" s="121">
        <f>第十四期!EA33</f>
        <v>0</v>
      </c>
      <c r="AI86" s="121">
        <f>第十四期!EE33</f>
        <v>0</v>
      </c>
      <c r="AJ86" s="59" t="s">
        <v>56</v>
      </c>
      <c r="AK86" s="102">
        <f>AF76-AF86</f>
        <v>0</v>
      </c>
      <c r="AL86" s="102">
        <f>AG76-AG86</f>
        <v>0</v>
      </c>
      <c r="AM86" s="102">
        <f>AH76-AH86</f>
        <v>0</v>
      </c>
      <c r="AN86" s="102">
        <f>AI76-AI86</f>
        <v>0</v>
      </c>
      <c r="AR86" s="169">
        <v>5</v>
      </c>
      <c r="AS86" s="269" t="str">
        <f t="shared" ref="AS86:BH86" si="73">IF(AS37="","",(AS37-AS$54)/AS$78)</f>
        <v/>
      </c>
      <c r="AT86" s="270" t="str">
        <f t="shared" si="73"/>
        <v/>
      </c>
      <c r="AU86" s="270" t="str">
        <f t="shared" si="73"/>
        <v/>
      </c>
      <c r="AV86" s="271" t="str">
        <f t="shared" si="73"/>
        <v/>
      </c>
      <c r="AW86" s="269" t="str">
        <f t="shared" si="73"/>
        <v/>
      </c>
      <c r="AX86" s="270" t="str">
        <f t="shared" si="73"/>
        <v/>
      </c>
      <c r="AY86" s="270" t="str">
        <f t="shared" si="73"/>
        <v/>
      </c>
      <c r="AZ86" s="271" t="str">
        <f t="shared" si="73"/>
        <v/>
      </c>
      <c r="BA86" s="269" t="str">
        <f t="shared" si="73"/>
        <v/>
      </c>
      <c r="BB86" s="270" t="str">
        <f t="shared" si="73"/>
        <v/>
      </c>
      <c r="BC86" s="270" t="str">
        <f t="shared" si="73"/>
        <v/>
      </c>
      <c r="BD86" s="271" t="str">
        <f t="shared" si="73"/>
        <v/>
      </c>
      <c r="BE86" s="269" t="str">
        <f t="shared" si="73"/>
        <v/>
      </c>
      <c r="BF86" s="270" t="str">
        <f t="shared" si="73"/>
        <v/>
      </c>
      <c r="BG86" s="270" t="str">
        <f t="shared" si="73"/>
        <v/>
      </c>
      <c r="BH86" s="271" t="str">
        <f t="shared" si="73"/>
        <v/>
      </c>
      <c r="BI86" s="280" t="str">
        <f t="shared" si="68"/>
        <v/>
      </c>
      <c r="BR86" s="190" t="s">
        <v>478</v>
      </c>
      <c r="BS86" s="86">
        <f>第十四期!AH14*比赛参数!D69/4</f>
        <v>0</v>
      </c>
      <c r="BT86" s="86"/>
      <c r="BU86" s="290">
        <f>BU82+BS86</f>
        <v>0</v>
      </c>
      <c r="BV86" s="86">
        <f t="shared" si="72"/>
        <v>0</v>
      </c>
      <c r="BW86" s="118"/>
      <c r="CB86" s="180" t="s">
        <v>479</v>
      </c>
      <c r="CC86" s="102">
        <f>IF(SUM(AF64:AF67)&gt;0,SUM(CC81:CC84)/SUM(AF64:AF67),0)</f>
        <v>0</v>
      </c>
      <c r="CD86" s="102">
        <f>IF(SUM(AG64:AG67)&gt;0,SUM(CD81:CD84)/SUM(AG64:AG67),0)</f>
        <v>0</v>
      </c>
      <c r="CE86" s="102">
        <f>IF(SUM(AH64:AH67)&gt;0,SUM(CE81:CE84)/SUM(AH64:AH67),0)</f>
        <v>0</v>
      </c>
      <c r="CF86" s="102">
        <f>IF(SUM(AI64:AI67)&gt;0,SUM(CF81:CF84)/SUM(AI64:AI67),0)</f>
        <v>0</v>
      </c>
      <c r="CG86" s="50"/>
      <c r="CH86" s="50"/>
      <c r="CI86" s="50"/>
      <c r="CJ86" s="50"/>
      <c r="CK86" s="50"/>
      <c r="CL86" s="50"/>
      <c r="CM86" s="50"/>
      <c r="CN86" s="50"/>
      <c r="CO86" s="50"/>
      <c r="CP86" s="60" t="s">
        <v>480</v>
      </c>
      <c r="CQ86" s="60" t="s">
        <v>331</v>
      </c>
      <c r="CR86" s="60" t="s">
        <v>332</v>
      </c>
      <c r="CS86" s="60" t="s">
        <v>333</v>
      </c>
      <c r="CT86" s="60" t="s">
        <v>334</v>
      </c>
      <c r="CU86" s="60"/>
    </row>
    <row r="87" ht="18.75" customHeight="1" spans="2:99">
      <c r="B87" s="5"/>
      <c r="C87" s="23">
        <v>15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8"/>
      <c r="X87" s="43" t="s">
        <v>481</v>
      </c>
      <c r="Y87" s="68" t="s">
        <v>38</v>
      </c>
      <c r="Z87" s="68" t="s">
        <v>39</v>
      </c>
      <c r="AA87" s="68" t="s">
        <v>40</v>
      </c>
      <c r="AB87" s="124" t="s">
        <v>41</v>
      </c>
      <c r="AC87" s="251" t="s">
        <v>482</v>
      </c>
      <c r="AE87" s="9" t="s">
        <v>57</v>
      </c>
      <c r="AF87" s="121">
        <f>第十四期!DT33</f>
        <v>0</v>
      </c>
      <c r="AG87" s="121">
        <f>第十四期!DX33</f>
        <v>0</v>
      </c>
      <c r="AH87" s="121">
        <f>第十四期!EB33</f>
        <v>0</v>
      </c>
      <c r="AI87" s="121">
        <f>第十四期!EF33</f>
        <v>0</v>
      </c>
      <c r="AJ87" s="9" t="s">
        <v>57</v>
      </c>
      <c r="AK87" s="102">
        <f>AF77-AF87</f>
        <v>0</v>
      </c>
      <c r="AL87" s="102">
        <f>AG77-AG87</f>
        <v>0</v>
      </c>
      <c r="AM87" s="102">
        <f>AH77-AH87</f>
        <v>0</v>
      </c>
      <c r="AN87" s="102">
        <f>AI77-AI87</f>
        <v>0</v>
      </c>
      <c r="AR87" s="169">
        <v>6</v>
      </c>
      <c r="AS87" s="269" t="str">
        <f t="shared" ref="AS87:BH87" si="74">IF(AS38="","",(AS38-AS$54)/AS$78)</f>
        <v/>
      </c>
      <c r="AT87" s="270" t="str">
        <f t="shared" si="74"/>
        <v/>
      </c>
      <c r="AU87" s="270" t="str">
        <f t="shared" si="74"/>
        <v/>
      </c>
      <c r="AV87" s="271" t="str">
        <f t="shared" si="74"/>
        <v/>
      </c>
      <c r="AW87" s="269" t="str">
        <f t="shared" si="74"/>
        <v/>
      </c>
      <c r="AX87" s="270" t="str">
        <f t="shared" si="74"/>
        <v/>
      </c>
      <c r="AY87" s="270" t="str">
        <f t="shared" si="74"/>
        <v/>
      </c>
      <c r="AZ87" s="271" t="str">
        <f t="shared" si="74"/>
        <v/>
      </c>
      <c r="BA87" s="269" t="str">
        <f t="shared" si="74"/>
        <v/>
      </c>
      <c r="BB87" s="270" t="str">
        <f t="shared" si="74"/>
        <v/>
      </c>
      <c r="BC87" s="270" t="str">
        <f t="shared" si="74"/>
        <v/>
      </c>
      <c r="BD87" s="271" t="str">
        <f t="shared" si="74"/>
        <v/>
      </c>
      <c r="BE87" s="269" t="str">
        <f t="shared" si="74"/>
        <v/>
      </c>
      <c r="BF87" s="270" t="str">
        <f t="shared" si="74"/>
        <v/>
      </c>
      <c r="BG87" s="270" t="str">
        <f t="shared" si="74"/>
        <v/>
      </c>
      <c r="BH87" s="271" t="str">
        <f t="shared" si="74"/>
        <v/>
      </c>
      <c r="BI87" s="280" t="str">
        <f t="shared" si="68"/>
        <v/>
      </c>
      <c r="BR87" s="190" t="s">
        <v>483</v>
      </c>
      <c r="BS87" s="86" t="b">
        <f>IF(第十四期!BW92&gt;0,IF((第十四期!K15+第十四期!BW92*比赛参数!D72)&gt;0,第十四期!K15+第十四期!BW92*比赛参数!D72,0))</f>
        <v>0</v>
      </c>
      <c r="BT87" s="86"/>
      <c r="BU87" s="86"/>
      <c r="BV87" s="86">
        <f t="shared" si="72"/>
        <v>0</v>
      </c>
      <c r="BW87" s="118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60" t="s">
        <v>38</v>
      </c>
      <c r="CQ87" s="60" t="e">
        <f>CQ80/$CQ$84</f>
        <v>#DIV/0!</v>
      </c>
      <c r="CR87" s="60" t="e">
        <f>CR80/$CR$84</f>
        <v>#DIV/0!</v>
      </c>
      <c r="CS87" s="60" t="e">
        <f>CS80/$CS$84</f>
        <v>#DIV/0!</v>
      </c>
      <c r="CT87" s="60" t="e">
        <f>CT80/$CT$84</f>
        <v>#DIV/0!</v>
      </c>
      <c r="CU87" s="60" t="e">
        <f>CU80/$CU$84</f>
        <v>#DIV/0!</v>
      </c>
    </row>
    <row r="88" ht="18.75" customHeight="1" spans="2:99">
      <c r="B88" s="5"/>
      <c r="C88" s="23">
        <v>16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8"/>
      <c r="X88" s="59" t="s">
        <v>56</v>
      </c>
      <c r="Y88" s="96"/>
      <c r="Z88" s="96"/>
      <c r="AA88" s="96"/>
      <c r="AB88" s="96"/>
      <c r="AC88" s="252" t="s">
        <v>484</v>
      </c>
      <c r="AE88" s="9" t="s">
        <v>58</v>
      </c>
      <c r="AF88" s="121">
        <f>第十四期!DU33</f>
        <v>0</v>
      </c>
      <c r="AG88" s="121">
        <f>第十四期!DY33</f>
        <v>0</v>
      </c>
      <c r="AH88" s="121">
        <f>第十四期!EC33</f>
        <v>0</v>
      </c>
      <c r="AI88" s="121">
        <f>第十四期!EG33</f>
        <v>0</v>
      </c>
      <c r="AJ88" s="9" t="s">
        <v>58</v>
      </c>
      <c r="AK88" s="102">
        <f>AF78-AF88</f>
        <v>0</v>
      </c>
      <c r="AL88" s="102">
        <f>AG78-AG88</f>
        <v>0</v>
      </c>
      <c r="AM88" s="102">
        <f>AH78-AH88</f>
        <v>0</v>
      </c>
      <c r="AN88" s="102">
        <f>AI78-AI88</f>
        <v>0</v>
      </c>
      <c r="AR88" s="169">
        <v>7</v>
      </c>
      <c r="AS88" s="269" t="str">
        <f t="shared" ref="AS88:BH88" si="75">IF(AS39="","",(AS39-AS$54)/AS$78)</f>
        <v/>
      </c>
      <c r="AT88" s="270" t="str">
        <f t="shared" si="75"/>
        <v/>
      </c>
      <c r="AU88" s="270" t="str">
        <f t="shared" si="75"/>
        <v/>
      </c>
      <c r="AV88" s="271" t="str">
        <f t="shared" si="75"/>
        <v/>
      </c>
      <c r="AW88" s="269" t="str">
        <f t="shared" si="75"/>
        <v/>
      </c>
      <c r="AX88" s="270" t="str">
        <f t="shared" si="75"/>
        <v/>
      </c>
      <c r="AY88" s="270" t="str">
        <f t="shared" si="75"/>
        <v/>
      </c>
      <c r="AZ88" s="271" t="str">
        <f t="shared" si="75"/>
        <v/>
      </c>
      <c r="BA88" s="269" t="str">
        <f t="shared" si="75"/>
        <v/>
      </c>
      <c r="BB88" s="270" t="str">
        <f t="shared" si="75"/>
        <v/>
      </c>
      <c r="BC88" s="270" t="str">
        <f t="shared" si="75"/>
        <v/>
      </c>
      <c r="BD88" s="271" t="str">
        <f t="shared" si="75"/>
        <v/>
      </c>
      <c r="BE88" s="269" t="str">
        <f t="shared" si="75"/>
        <v/>
      </c>
      <c r="BF88" s="270" t="str">
        <f t="shared" si="75"/>
        <v/>
      </c>
      <c r="BG88" s="270" t="str">
        <f t="shared" si="75"/>
        <v/>
      </c>
      <c r="BH88" s="271" t="str">
        <f t="shared" si="75"/>
        <v/>
      </c>
      <c r="BI88" s="280" t="str">
        <f t="shared" si="68"/>
        <v/>
      </c>
      <c r="BR88" s="190" t="s">
        <v>389</v>
      </c>
      <c r="BS88" s="86">
        <f>第十四期!AF18*比赛参数!D30</f>
        <v>0</v>
      </c>
      <c r="BT88" s="86"/>
      <c r="BU88" s="86"/>
      <c r="BV88" s="86">
        <f t="shared" si="72"/>
        <v>0</v>
      </c>
      <c r="BW88" s="118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60" t="s">
        <v>39</v>
      </c>
      <c r="CQ88" s="60" t="e">
        <f>CQ81/$CQ$84</f>
        <v>#DIV/0!</v>
      </c>
      <c r="CR88" s="60" t="e">
        <f>CR81/$CR$84</f>
        <v>#DIV/0!</v>
      </c>
      <c r="CS88" s="60" t="e">
        <f>CS81/$CS$84</f>
        <v>#DIV/0!</v>
      </c>
      <c r="CT88" s="60" t="e">
        <f>CT81/$CT$84</f>
        <v>#DIV/0!</v>
      </c>
      <c r="CU88" s="60" t="e">
        <f>CU81/$CU$84</f>
        <v>#DIV/0!</v>
      </c>
    </row>
    <row r="89" ht="18.75" customHeight="1" spans="2:99">
      <c r="B89" s="5"/>
      <c r="C89" s="23">
        <v>17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8"/>
      <c r="X89" s="9" t="s">
        <v>57</v>
      </c>
      <c r="Y89" s="96"/>
      <c r="Z89" s="96"/>
      <c r="AA89" s="96"/>
      <c r="AB89" s="96"/>
      <c r="AC89" s="252" t="s">
        <v>485</v>
      </c>
      <c r="AE89" s="9" t="s">
        <v>59</v>
      </c>
      <c r="AF89" s="121">
        <f>第十四期!DV33</f>
        <v>0</v>
      </c>
      <c r="AG89" s="121">
        <f>第十四期!DZ33</f>
        <v>0</v>
      </c>
      <c r="AH89" s="121">
        <f>第十四期!ED33</f>
        <v>0</v>
      </c>
      <c r="AI89" s="121">
        <f>第十四期!EH33</f>
        <v>0</v>
      </c>
      <c r="AJ89" s="9" t="s">
        <v>59</v>
      </c>
      <c r="AK89" s="102">
        <f>AF79-AF89</f>
        <v>0</v>
      </c>
      <c r="AL89" s="102">
        <f>AG79-AG89</f>
        <v>0</v>
      </c>
      <c r="AM89" s="102">
        <f>AH79-AH89</f>
        <v>0</v>
      </c>
      <c r="AN89" s="102">
        <f>AI79-AI89</f>
        <v>0</v>
      </c>
      <c r="AR89" s="169">
        <v>8</v>
      </c>
      <c r="AS89" s="269" t="str">
        <f t="shared" ref="AS89:BH89" si="76">IF(AS40="","",(AS40-AS$54)/AS$78)</f>
        <v/>
      </c>
      <c r="AT89" s="270" t="str">
        <f t="shared" si="76"/>
        <v/>
      </c>
      <c r="AU89" s="270" t="str">
        <f t="shared" si="76"/>
        <v/>
      </c>
      <c r="AV89" s="271" t="str">
        <f t="shared" si="76"/>
        <v/>
      </c>
      <c r="AW89" s="269" t="str">
        <f t="shared" si="76"/>
        <v/>
      </c>
      <c r="AX89" s="270" t="str">
        <f t="shared" si="76"/>
        <v/>
      </c>
      <c r="AY89" s="270" t="str">
        <f t="shared" si="76"/>
        <v/>
      </c>
      <c r="AZ89" s="271" t="str">
        <f t="shared" si="76"/>
        <v/>
      </c>
      <c r="BA89" s="269" t="str">
        <f t="shared" si="76"/>
        <v/>
      </c>
      <c r="BB89" s="270" t="str">
        <f t="shared" si="76"/>
        <v/>
      </c>
      <c r="BC89" s="270" t="str">
        <f t="shared" si="76"/>
        <v/>
      </c>
      <c r="BD89" s="271" t="str">
        <f t="shared" si="76"/>
        <v/>
      </c>
      <c r="BE89" s="269" t="str">
        <f t="shared" si="76"/>
        <v/>
      </c>
      <c r="BF89" s="270" t="str">
        <f t="shared" si="76"/>
        <v/>
      </c>
      <c r="BG89" s="270" t="str">
        <f t="shared" si="76"/>
        <v/>
      </c>
      <c r="BH89" s="271" t="str">
        <f t="shared" si="76"/>
        <v/>
      </c>
      <c r="BI89" s="280" t="str">
        <f t="shared" si="68"/>
        <v/>
      </c>
      <c r="BR89" s="190" t="s">
        <v>345</v>
      </c>
      <c r="BS89" s="86">
        <f>第十四期!AJ18</f>
        <v>0</v>
      </c>
      <c r="BT89" s="86"/>
      <c r="BU89" s="86"/>
      <c r="BV89" s="86">
        <f t="shared" si="72"/>
        <v>0</v>
      </c>
      <c r="BW89" s="118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60" t="s">
        <v>40</v>
      </c>
      <c r="CQ89" s="60" t="e">
        <f>CQ82/$CQ$84</f>
        <v>#DIV/0!</v>
      </c>
      <c r="CR89" s="60" t="e">
        <f>CR82/$CR$84</f>
        <v>#DIV/0!</v>
      </c>
      <c r="CS89" s="60" t="e">
        <f>CS82/$CS$84</f>
        <v>#DIV/0!</v>
      </c>
      <c r="CT89" s="60" t="e">
        <f>CT82/$CT$84</f>
        <v>#DIV/0!</v>
      </c>
      <c r="CU89" s="60" t="e">
        <f>CU82/$CU$84</f>
        <v>#DIV/0!</v>
      </c>
    </row>
    <row r="90" ht="18.75" customHeight="1" spans="2:99">
      <c r="B90" s="5"/>
      <c r="C90" s="23">
        <v>18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"/>
      <c r="X90" s="9" t="s">
        <v>58</v>
      </c>
      <c r="Y90" s="96"/>
      <c r="Z90" s="96"/>
      <c r="AA90" s="96"/>
      <c r="AB90" s="96"/>
      <c r="AC90" s="252" t="s">
        <v>486</v>
      </c>
      <c r="AF90" s="2" t="e">
        <f>SUMPRODUCT(AF64:AF67,AF76:AF79)/SUM(AF64:AF67)</f>
        <v>#DIV/0!</v>
      </c>
      <c r="AG90" s="2" t="e">
        <f>SUMPRODUCT(AG64:AG67,AG76:AG79)/SUM(AG64:AG67)</f>
        <v>#DIV/0!</v>
      </c>
      <c r="AH90" s="2" t="e">
        <f>SUMPRODUCT(AH64:AH67,AH76:AH79)/SUM(AH64:AH67)</f>
        <v>#DIV/0!</v>
      </c>
      <c r="AI90" s="2" t="e">
        <f>SUMPRODUCT(AI64:AI67,AI76:AI79)/SUM(AI64:AI67)</f>
        <v>#DIV/0!</v>
      </c>
      <c r="AR90" s="169">
        <v>9</v>
      </c>
      <c r="AS90" s="269" t="str">
        <f t="shared" ref="AS90:BH90" si="77">IF(AS41="","",(AS41-AS$54)/AS$78)</f>
        <v/>
      </c>
      <c r="AT90" s="270" t="str">
        <f t="shared" si="77"/>
        <v/>
      </c>
      <c r="AU90" s="270" t="str">
        <f t="shared" si="77"/>
        <v/>
      </c>
      <c r="AV90" s="271" t="str">
        <f t="shared" si="77"/>
        <v/>
      </c>
      <c r="AW90" s="269" t="str">
        <f t="shared" si="77"/>
        <v/>
      </c>
      <c r="AX90" s="270" t="str">
        <f t="shared" si="77"/>
        <v/>
      </c>
      <c r="AY90" s="270" t="str">
        <f t="shared" si="77"/>
        <v/>
      </c>
      <c r="AZ90" s="271" t="str">
        <f t="shared" si="77"/>
        <v/>
      </c>
      <c r="BA90" s="269" t="str">
        <f t="shared" si="77"/>
        <v/>
      </c>
      <c r="BB90" s="270" t="str">
        <f t="shared" si="77"/>
        <v/>
      </c>
      <c r="BC90" s="270" t="str">
        <f t="shared" si="77"/>
        <v/>
      </c>
      <c r="BD90" s="271" t="str">
        <f t="shared" si="77"/>
        <v/>
      </c>
      <c r="BE90" s="269" t="str">
        <f t="shared" si="77"/>
        <v/>
      </c>
      <c r="BF90" s="270" t="str">
        <f t="shared" si="77"/>
        <v/>
      </c>
      <c r="BG90" s="270" t="str">
        <f t="shared" si="77"/>
        <v/>
      </c>
      <c r="BH90" s="271" t="str">
        <f t="shared" si="77"/>
        <v/>
      </c>
      <c r="BI90" s="280" t="str">
        <f t="shared" si="68"/>
        <v/>
      </c>
      <c r="BR90" s="190" t="s">
        <v>359</v>
      </c>
      <c r="BS90" s="86">
        <f>第十四期!AF20</f>
        <v>0</v>
      </c>
      <c r="BT90" s="86"/>
      <c r="BU90" s="86"/>
      <c r="BV90" s="290">
        <f t="shared" si="72"/>
        <v>0</v>
      </c>
      <c r="BW90" s="118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60" t="s">
        <v>41</v>
      </c>
      <c r="CQ90" s="60" t="e">
        <f>CQ83/$CQ$84</f>
        <v>#DIV/0!</v>
      </c>
      <c r="CR90" s="60" t="e">
        <f>CR83/$CR$84</f>
        <v>#DIV/0!</v>
      </c>
      <c r="CS90" s="60" t="e">
        <f>CS83/$CS$84</f>
        <v>#DIV/0!</v>
      </c>
      <c r="CT90" s="60" t="e">
        <f>CT83/$CT$84</f>
        <v>#DIV/0!</v>
      </c>
      <c r="CU90" s="60" t="e">
        <f>CU83/$CU$84</f>
        <v>#DIV/0!</v>
      </c>
    </row>
    <row r="91" ht="18.75" customHeight="1" spans="2:93">
      <c r="B91" s="5"/>
      <c r="C91" s="23">
        <v>19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"/>
      <c r="X91" s="9" t="s">
        <v>59</v>
      </c>
      <c r="Y91" s="96"/>
      <c r="Z91" s="96"/>
      <c r="AA91" s="96"/>
      <c r="AB91" s="96"/>
      <c r="AC91" s="252" t="s">
        <v>487</v>
      </c>
      <c r="AE91" s="43" t="s">
        <v>488</v>
      </c>
      <c r="AF91" s="55" t="s">
        <v>38</v>
      </c>
      <c r="AG91" s="55" t="s">
        <v>39</v>
      </c>
      <c r="AH91" s="55" t="s">
        <v>40</v>
      </c>
      <c r="AI91" s="55" t="s">
        <v>41</v>
      </c>
      <c r="AJ91" s="43" t="s">
        <v>489</v>
      </c>
      <c r="AK91" s="55" t="s">
        <v>38</v>
      </c>
      <c r="AL91" s="55" t="s">
        <v>39</v>
      </c>
      <c r="AM91" s="55" t="s">
        <v>40</v>
      </c>
      <c r="AN91" s="55" t="s">
        <v>41</v>
      </c>
      <c r="AR91" s="169">
        <v>10</v>
      </c>
      <c r="AS91" s="269" t="str">
        <f t="shared" ref="AS91:BH91" si="78">IF(AS42="","",(AS42-AS$54)/AS$78)</f>
        <v/>
      </c>
      <c r="AT91" s="270" t="str">
        <f t="shared" si="78"/>
        <v/>
      </c>
      <c r="AU91" s="270" t="str">
        <f t="shared" si="78"/>
        <v/>
      </c>
      <c r="AV91" s="271" t="str">
        <f t="shared" si="78"/>
        <v/>
      </c>
      <c r="AW91" s="269" t="str">
        <f t="shared" si="78"/>
        <v/>
      </c>
      <c r="AX91" s="270" t="str">
        <f t="shared" si="78"/>
        <v/>
      </c>
      <c r="AY91" s="270" t="str">
        <f t="shared" si="78"/>
        <v/>
      </c>
      <c r="AZ91" s="271" t="str">
        <f t="shared" si="78"/>
        <v/>
      </c>
      <c r="BA91" s="269" t="str">
        <f t="shared" si="78"/>
        <v/>
      </c>
      <c r="BB91" s="270" t="str">
        <f t="shared" si="78"/>
        <v/>
      </c>
      <c r="BC91" s="270" t="str">
        <f t="shared" si="78"/>
        <v/>
      </c>
      <c r="BD91" s="271" t="str">
        <f t="shared" si="78"/>
        <v/>
      </c>
      <c r="BE91" s="269" t="str">
        <f t="shared" si="78"/>
        <v/>
      </c>
      <c r="BF91" s="270" t="str">
        <f t="shared" si="78"/>
        <v/>
      </c>
      <c r="BG91" s="270" t="str">
        <f t="shared" si="78"/>
        <v/>
      </c>
      <c r="BH91" s="271" t="str">
        <f t="shared" si="78"/>
        <v/>
      </c>
      <c r="BI91" s="280" t="str">
        <f t="shared" si="68"/>
        <v/>
      </c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</row>
    <row r="92" ht="18.75" customHeight="1" spans="2:98">
      <c r="B92" s="5"/>
      <c r="C92" s="23">
        <v>20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"/>
      <c r="X92" s="39" t="s">
        <v>490</v>
      </c>
      <c r="Y92" s="71">
        <f>SUM(Y88:Y91)</f>
        <v>0</v>
      </c>
      <c r="Z92" s="71">
        <f>SUM(Z88:Z91)</f>
        <v>0</v>
      </c>
      <c r="AA92" s="71">
        <f>SUM(AA88:AA91)</f>
        <v>0</v>
      </c>
      <c r="AB92" s="253">
        <f>SUM(AB88:AB91)</f>
        <v>0</v>
      </c>
      <c r="AC92" s="254" t="str">
        <f>IF(Y92&lt;=Y93,IF(Z92&lt;=Z93,IF(AA92&lt;=AA93,IF(AB92&lt;=AB93,"YES","NO"),"NO"),"NO"),"NO")</f>
        <v>YES</v>
      </c>
      <c r="AE92" s="44" t="s">
        <v>56</v>
      </c>
      <c r="AF92" s="255">
        <f>X130</f>
        <v>0</v>
      </c>
      <c r="AG92" s="255">
        <f>AH130</f>
        <v>0</v>
      </c>
      <c r="AH92" s="255">
        <f>X153</f>
        <v>0</v>
      </c>
      <c r="AI92" s="255">
        <f>AH153</f>
        <v>0</v>
      </c>
      <c r="AJ92" s="44" t="s">
        <v>56</v>
      </c>
      <c r="AK92" s="134">
        <f>AF86-AF98</f>
        <v>0</v>
      </c>
      <c r="AL92" s="134">
        <f>AG86-AG98</f>
        <v>0</v>
      </c>
      <c r="AM92" s="134">
        <f>AH86-AH98</f>
        <v>0</v>
      </c>
      <c r="AN92" s="134">
        <f>AI86-AI98</f>
        <v>0</v>
      </c>
      <c r="AR92" s="169">
        <v>11</v>
      </c>
      <c r="AS92" s="269" t="str">
        <f t="shared" ref="AS92:BH92" si="79">IF(AS43="","",(AS43-AS$54)/AS$78)</f>
        <v/>
      </c>
      <c r="AT92" s="270" t="str">
        <f t="shared" si="79"/>
        <v/>
      </c>
      <c r="AU92" s="270" t="str">
        <f t="shared" si="79"/>
        <v/>
      </c>
      <c r="AV92" s="271" t="str">
        <f t="shared" si="79"/>
        <v/>
      </c>
      <c r="AW92" s="269" t="str">
        <f t="shared" si="79"/>
        <v/>
      </c>
      <c r="AX92" s="270" t="str">
        <f t="shared" si="79"/>
        <v/>
      </c>
      <c r="AY92" s="270" t="str">
        <f t="shared" si="79"/>
        <v/>
      </c>
      <c r="AZ92" s="271" t="str">
        <f t="shared" si="79"/>
        <v/>
      </c>
      <c r="BA92" s="269" t="str">
        <f t="shared" si="79"/>
        <v/>
      </c>
      <c r="BB92" s="270" t="str">
        <f t="shared" si="79"/>
        <v/>
      </c>
      <c r="BC92" s="270" t="str">
        <f t="shared" si="79"/>
        <v/>
      </c>
      <c r="BD92" s="271" t="str">
        <f t="shared" si="79"/>
        <v/>
      </c>
      <c r="BE92" s="269" t="str">
        <f t="shared" si="79"/>
        <v/>
      </c>
      <c r="BF92" s="270" t="str">
        <f t="shared" si="79"/>
        <v/>
      </c>
      <c r="BG92" s="270" t="str">
        <f t="shared" si="79"/>
        <v/>
      </c>
      <c r="BH92" s="271" t="str">
        <f t="shared" si="79"/>
        <v/>
      </c>
      <c r="BI92" s="280" t="str">
        <f t="shared" si="68"/>
        <v/>
      </c>
      <c r="BR92" s="291" t="s">
        <v>429</v>
      </c>
      <c r="BS92" s="86">
        <f>第十四期!BT84</f>
        <v>0</v>
      </c>
      <c r="BT92" s="291" t="s">
        <v>282</v>
      </c>
      <c r="BU92" s="86">
        <f>第十四期!BU86</f>
        <v>0</v>
      </c>
      <c r="BV92" s="293" t="s">
        <v>200</v>
      </c>
      <c r="BW92" s="294">
        <f>第十四期!BT84-第十四期!BU86</f>
        <v>0</v>
      </c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60" t="s">
        <v>491</v>
      </c>
      <c r="CQ92" s="60" t="s">
        <v>56</v>
      </c>
      <c r="CR92" s="60" t="s">
        <v>57</v>
      </c>
      <c r="CS92" s="60" t="s">
        <v>58</v>
      </c>
      <c r="CT92" s="60" t="s">
        <v>59</v>
      </c>
    </row>
    <row r="93" ht="18.75" customHeight="1" spans="3:98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42"/>
      <c r="X93" s="39" t="s">
        <v>492</v>
      </c>
      <c r="Y93" s="35">
        <f>AC9*比赛参数!D6+第十四期!DU26</f>
        <v>0</v>
      </c>
      <c r="Z93" s="35">
        <f>AC10*比赛参数!D6+第十四期!DU27</f>
        <v>0</v>
      </c>
      <c r="AA93" s="35">
        <f>AC11*比赛参数!D6+第十四期!DU28</f>
        <v>0</v>
      </c>
      <c r="AB93" s="35">
        <f>AC12*比赛参数!D6+第十四期!DU29</f>
        <v>0</v>
      </c>
      <c r="AE93" s="9" t="s">
        <v>57</v>
      </c>
      <c r="AF93" s="255">
        <f>Y130</f>
        <v>0</v>
      </c>
      <c r="AG93" s="255">
        <f>AI130</f>
        <v>0</v>
      </c>
      <c r="AH93" s="255">
        <f>Y153</f>
        <v>0</v>
      </c>
      <c r="AI93" s="255">
        <f>AI153</f>
        <v>0</v>
      </c>
      <c r="AJ93" s="9" t="s">
        <v>57</v>
      </c>
      <c r="AK93" s="134">
        <f>AF87-AF99</f>
        <v>0</v>
      </c>
      <c r="AL93" s="134">
        <f>AG87-AG99</f>
        <v>0</v>
      </c>
      <c r="AM93" s="134">
        <f>AH87-AH99</f>
        <v>0</v>
      </c>
      <c r="AN93" s="134">
        <f>AI87-AI99</f>
        <v>0</v>
      </c>
      <c r="AR93" s="169">
        <v>12</v>
      </c>
      <c r="AS93" s="269" t="str">
        <f t="shared" ref="AS93:BH93" si="80">IF(AS44="","",(AS44-AS$54)/AS$78)</f>
        <v/>
      </c>
      <c r="AT93" s="270" t="str">
        <f t="shared" si="80"/>
        <v/>
      </c>
      <c r="AU93" s="270" t="str">
        <f t="shared" si="80"/>
        <v/>
      </c>
      <c r="AV93" s="271" t="str">
        <f t="shared" si="80"/>
        <v/>
      </c>
      <c r="AW93" s="269" t="str">
        <f t="shared" si="80"/>
        <v/>
      </c>
      <c r="AX93" s="270" t="str">
        <f t="shared" si="80"/>
        <v/>
      </c>
      <c r="AY93" s="270" t="str">
        <f t="shared" si="80"/>
        <v/>
      </c>
      <c r="AZ93" s="271" t="str">
        <f t="shared" si="80"/>
        <v/>
      </c>
      <c r="BA93" s="269" t="str">
        <f t="shared" si="80"/>
        <v/>
      </c>
      <c r="BB93" s="270" t="str">
        <f t="shared" si="80"/>
        <v/>
      </c>
      <c r="BC93" s="270" t="str">
        <f t="shared" si="80"/>
        <v/>
      </c>
      <c r="BD93" s="271" t="str">
        <f t="shared" si="80"/>
        <v/>
      </c>
      <c r="BE93" s="269" t="str">
        <f t="shared" si="80"/>
        <v/>
      </c>
      <c r="BF93" s="270" t="str">
        <f t="shared" si="80"/>
        <v/>
      </c>
      <c r="BG93" s="270" t="str">
        <f t="shared" si="80"/>
        <v/>
      </c>
      <c r="BH93" s="271" t="str">
        <f t="shared" si="80"/>
        <v/>
      </c>
      <c r="BI93" s="280" t="str">
        <f t="shared" si="68"/>
        <v/>
      </c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60" t="s">
        <v>38</v>
      </c>
      <c r="CQ93" s="60">
        <f>IF(第十四期!$AC$9&gt;0,第十四期!$K$9*比赛参数!$D$30*比赛参数!$F$30*$CU$87/第十四期!$AC$9,0)</f>
        <v>0</v>
      </c>
      <c r="CR93" s="60">
        <f>IF(第十四期!$AC$9&gt;0,第十四期!$K$9*比赛参数!$D$30*比赛参数!$F$30*$CU$87/第十四期!$AC$9,0)</f>
        <v>0</v>
      </c>
      <c r="CS93" s="60">
        <f>IF(第十四期!$AC$9&gt;0,第十四期!$K$9*比赛参数!$D$30*比赛参数!$F$30*$CU$87/第十四期!$AC$9,0)</f>
        <v>0</v>
      </c>
      <c r="CT93" s="60">
        <f>IF(第十四期!$AC$9&gt;0,第十四期!$K$9*比赛参数!$D$30*比赛参数!$F$30*$CU$87/第十四期!$AC$9,0)</f>
        <v>0</v>
      </c>
    </row>
    <row r="94" ht="18.75" customHeight="1" spans="3:98">
      <c r="C94" s="14" t="s">
        <v>392</v>
      </c>
      <c r="D94" s="239" t="s">
        <v>429</v>
      </c>
      <c r="E94" s="239" t="s">
        <v>282</v>
      </c>
      <c r="F94" s="239" t="s">
        <v>200</v>
      </c>
      <c r="G94" s="239" t="s">
        <v>493</v>
      </c>
      <c r="H94" s="239" t="s">
        <v>202</v>
      </c>
      <c r="I94" s="239" t="s">
        <v>360</v>
      </c>
      <c r="J94" s="239" t="s">
        <v>204</v>
      </c>
      <c r="K94" s="240" t="s">
        <v>494</v>
      </c>
      <c r="AE94" s="9" t="s">
        <v>58</v>
      </c>
      <c r="AF94" s="255">
        <f>Z130</f>
        <v>0</v>
      </c>
      <c r="AG94" s="255">
        <f>AJ130</f>
        <v>0</v>
      </c>
      <c r="AH94" s="255">
        <f>Z153</f>
        <v>0</v>
      </c>
      <c r="AI94" s="255">
        <f>AJ153</f>
        <v>0</v>
      </c>
      <c r="AJ94" s="9" t="s">
        <v>58</v>
      </c>
      <c r="AK94" s="134">
        <f>AF88-AF100</f>
        <v>0</v>
      </c>
      <c r="AL94" s="134">
        <f>AG88-AG100</f>
        <v>0</v>
      </c>
      <c r="AM94" s="134">
        <f>AH88-AH100</f>
        <v>0</v>
      </c>
      <c r="AN94" s="134">
        <f>AI88-AI100</f>
        <v>0</v>
      </c>
      <c r="AR94" s="169">
        <v>13</v>
      </c>
      <c r="AS94" s="269" t="str">
        <f t="shared" ref="AS94:BH94" si="81">IF(AS45="","",(AS45-AS$54)/AS$78)</f>
        <v/>
      </c>
      <c r="AT94" s="270" t="str">
        <f t="shared" si="81"/>
        <v/>
      </c>
      <c r="AU94" s="270" t="str">
        <f t="shared" si="81"/>
        <v/>
      </c>
      <c r="AV94" s="271" t="str">
        <f t="shared" si="81"/>
        <v/>
      </c>
      <c r="AW94" s="269" t="str">
        <f t="shared" si="81"/>
        <v/>
      </c>
      <c r="AX94" s="270" t="str">
        <f t="shared" si="81"/>
        <v/>
      </c>
      <c r="AY94" s="270" t="str">
        <f t="shared" si="81"/>
        <v/>
      </c>
      <c r="AZ94" s="271" t="str">
        <f t="shared" si="81"/>
        <v/>
      </c>
      <c r="BA94" s="269" t="str">
        <f t="shared" si="81"/>
        <v/>
      </c>
      <c r="BB94" s="270" t="str">
        <f t="shared" si="81"/>
        <v/>
      </c>
      <c r="BC94" s="270" t="str">
        <f t="shared" si="81"/>
        <v/>
      </c>
      <c r="BD94" s="271" t="str">
        <f t="shared" si="81"/>
        <v/>
      </c>
      <c r="BE94" s="269" t="str">
        <f t="shared" si="81"/>
        <v/>
      </c>
      <c r="BF94" s="270" t="str">
        <f t="shared" si="81"/>
        <v/>
      </c>
      <c r="BG94" s="270" t="str">
        <f t="shared" si="81"/>
        <v/>
      </c>
      <c r="BH94" s="271" t="str">
        <f t="shared" si="81"/>
        <v/>
      </c>
      <c r="BI94" s="280" t="str">
        <f t="shared" si="68"/>
        <v/>
      </c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60" t="s">
        <v>39</v>
      </c>
      <c r="CQ94" s="60">
        <f>IF(第十四期!$AC$10&gt;0,第十四期!$K$9*比赛参数!$D$30*比赛参数!$F$30*$CU$88/第十四期!$AC$10,0)</f>
        <v>0</v>
      </c>
      <c r="CR94" s="60">
        <f>IF(第十四期!$AC$10&gt;0,第十四期!$K$9*比赛参数!$D$30*比赛参数!$F$30*$CU$88/第十四期!$AC$10,0)</f>
        <v>0</v>
      </c>
      <c r="CS94" s="60">
        <f>IF(第十四期!$AC$10&gt;0,第十四期!$K$9*比赛参数!$D$30*比赛参数!$F$30*$CU$88/第十四期!$AC$10,0)</f>
        <v>0</v>
      </c>
      <c r="CT94" s="60">
        <f>IF(第十四期!$AC$10&gt;0,第十四期!$K$9*比赛参数!$D$30*比赛参数!$F$30*$CU$88/第十四期!$AC$10,0)</f>
        <v>0</v>
      </c>
    </row>
    <row r="95" ht="18.75" customHeight="1" spans="2:98">
      <c r="B95" s="5"/>
      <c r="C95" s="23">
        <v>1</v>
      </c>
      <c r="D95" s="12"/>
      <c r="E95" s="12"/>
      <c r="F95" s="12"/>
      <c r="G95" s="7"/>
      <c r="H95" s="7"/>
      <c r="I95" s="12"/>
      <c r="J95" s="12"/>
      <c r="K95" s="7"/>
      <c r="L95" s="8"/>
      <c r="X95" s="43" t="s">
        <v>404</v>
      </c>
      <c r="Y95" s="68" t="s">
        <v>38</v>
      </c>
      <c r="Z95" s="68" t="s">
        <v>39</v>
      </c>
      <c r="AA95" s="68" t="s">
        <v>40</v>
      </c>
      <c r="AB95" s="68" t="s">
        <v>41</v>
      </c>
      <c r="AE95" s="9" t="s">
        <v>59</v>
      </c>
      <c r="AF95" s="255">
        <f>AA130</f>
        <v>0</v>
      </c>
      <c r="AG95" s="255">
        <f>AK130</f>
        <v>0</v>
      </c>
      <c r="AH95" s="255">
        <f>AA153</f>
        <v>0</v>
      </c>
      <c r="AI95" s="255">
        <f>AK153</f>
        <v>0</v>
      </c>
      <c r="AJ95" s="9" t="s">
        <v>59</v>
      </c>
      <c r="AK95" s="134">
        <f>AF89-AF101</f>
        <v>0</v>
      </c>
      <c r="AL95" s="134">
        <f>AG89-AG101</f>
        <v>0</v>
      </c>
      <c r="AM95" s="134">
        <f>AH89-AH101</f>
        <v>0</v>
      </c>
      <c r="AN95" s="134">
        <f>AI89-AI101</f>
        <v>0</v>
      </c>
      <c r="AR95" s="169">
        <v>14</v>
      </c>
      <c r="AS95" s="269" t="str">
        <f t="shared" ref="AS95:BH95" si="82">IF(AS46="","",(AS46-AS$54)/AS$78)</f>
        <v/>
      </c>
      <c r="AT95" s="270" t="str">
        <f t="shared" si="82"/>
        <v/>
      </c>
      <c r="AU95" s="270" t="str">
        <f t="shared" si="82"/>
        <v/>
      </c>
      <c r="AV95" s="271" t="str">
        <f t="shared" si="82"/>
        <v/>
      </c>
      <c r="AW95" s="269" t="str">
        <f t="shared" si="82"/>
        <v/>
      </c>
      <c r="AX95" s="270" t="str">
        <f t="shared" si="82"/>
        <v/>
      </c>
      <c r="AY95" s="270" t="str">
        <f t="shared" si="82"/>
        <v/>
      </c>
      <c r="AZ95" s="271" t="str">
        <f t="shared" si="82"/>
        <v/>
      </c>
      <c r="BA95" s="269" t="str">
        <f t="shared" si="82"/>
        <v/>
      </c>
      <c r="BB95" s="270" t="str">
        <f t="shared" si="82"/>
        <v/>
      </c>
      <c r="BC95" s="270" t="str">
        <f t="shared" si="82"/>
        <v/>
      </c>
      <c r="BD95" s="271" t="str">
        <f t="shared" si="82"/>
        <v/>
      </c>
      <c r="BE95" s="269" t="str">
        <f t="shared" si="82"/>
        <v/>
      </c>
      <c r="BF95" s="270" t="str">
        <f t="shared" si="82"/>
        <v/>
      </c>
      <c r="BG95" s="270" t="str">
        <f t="shared" si="82"/>
        <v/>
      </c>
      <c r="BH95" s="271" t="str">
        <f t="shared" si="82"/>
        <v/>
      </c>
      <c r="BI95" s="280" t="str">
        <f t="shared" si="68"/>
        <v/>
      </c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60" t="s">
        <v>40</v>
      </c>
      <c r="CQ95" s="60">
        <f>IF(第十四期!$AC$11&gt;0,第十四期!$K$9*比赛参数!$D$30*比赛参数!$F$30*$CU$89/第十四期!$AC$11,0)</f>
        <v>0</v>
      </c>
      <c r="CR95" s="60">
        <f>IF(第十四期!$AC$11&gt;0,第十四期!$K$9*比赛参数!$D$30*比赛参数!$F$30*$CU$89/第十四期!$AC$11,0)</f>
        <v>0</v>
      </c>
      <c r="CS95" s="60">
        <f>IF(第十四期!$AC$11&gt;0,第十四期!$K$9*比赛参数!$D$30*比赛参数!$F$30*$CU$89/第十四期!$AC$11,0)</f>
        <v>0</v>
      </c>
      <c r="CT95" s="60">
        <f>IF(第十四期!$AC$11&gt;0,第十四期!$K$9*比赛参数!$D$30*比赛参数!$F$30*$CU$89/第十四期!$AC$11,0)</f>
        <v>0</v>
      </c>
    </row>
    <row r="96" ht="18.75" customHeight="1" spans="2:98">
      <c r="B96" s="5"/>
      <c r="C96" s="23">
        <v>2</v>
      </c>
      <c r="D96" s="12"/>
      <c r="E96" s="12"/>
      <c r="F96" s="12"/>
      <c r="G96" s="7"/>
      <c r="H96" s="7"/>
      <c r="I96" s="12"/>
      <c r="J96" s="12"/>
      <c r="K96" s="7"/>
      <c r="L96" s="8"/>
      <c r="X96" s="59" t="s">
        <v>56</v>
      </c>
      <c r="Y96" s="89">
        <f>第十四期!CX62</f>
        <v>0</v>
      </c>
      <c r="Z96" s="89">
        <f>第十四期!CX63</f>
        <v>0</v>
      </c>
      <c r="AA96" s="89">
        <f>第十四期!CX64</f>
        <v>0</v>
      </c>
      <c r="AB96" s="89">
        <f>第十四期!CX65</f>
        <v>0</v>
      </c>
      <c r="AR96" s="169">
        <v>15</v>
      </c>
      <c r="AS96" s="269" t="str">
        <f t="shared" ref="AS96:BH96" si="83">IF(AS47="","",(AS47-AS$54)/AS$78)</f>
        <v/>
      </c>
      <c r="AT96" s="270" t="str">
        <f t="shared" si="83"/>
        <v/>
      </c>
      <c r="AU96" s="270" t="str">
        <f t="shared" si="83"/>
        <v/>
      </c>
      <c r="AV96" s="271" t="str">
        <f t="shared" si="83"/>
        <v/>
      </c>
      <c r="AW96" s="269" t="str">
        <f t="shared" si="83"/>
        <v/>
      </c>
      <c r="AX96" s="270" t="str">
        <f t="shared" si="83"/>
        <v/>
      </c>
      <c r="AY96" s="270" t="str">
        <f t="shared" si="83"/>
        <v/>
      </c>
      <c r="AZ96" s="271" t="str">
        <f t="shared" si="83"/>
        <v/>
      </c>
      <c r="BA96" s="269" t="str">
        <f t="shared" si="83"/>
        <v/>
      </c>
      <c r="BB96" s="270" t="str">
        <f t="shared" si="83"/>
        <v/>
      </c>
      <c r="BC96" s="270" t="str">
        <f t="shared" si="83"/>
        <v/>
      </c>
      <c r="BD96" s="271" t="str">
        <f t="shared" si="83"/>
        <v/>
      </c>
      <c r="BE96" s="269" t="str">
        <f t="shared" si="83"/>
        <v/>
      </c>
      <c r="BF96" s="270" t="str">
        <f t="shared" si="83"/>
        <v/>
      </c>
      <c r="BG96" s="270" t="str">
        <f t="shared" si="83"/>
        <v/>
      </c>
      <c r="BH96" s="271" t="str">
        <f t="shared" si="83"/>
        <v/>
      </c>
      <c r="BI96" s="280" t="str">
        <f t="shared" si="68"/>
        <v/>
      </c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60" t="s">
        <v>41</v>
      </c>
      <c r="CQ96" s="60">
        <f>IF(第十四期!$AC$12&gt;0,第十四期!$K$9*比赛参数!$D$30*比赛参数!$F$30*$CU$90/第十四期!$AC$12,0)</f>
        <v>0</v>
      </c>
      <c r="CR96" s="60">
        <f>IF(第十四期!$AC$12&gt;0,第十四期!$K$9*比赛参数!$D$30*比赛参数!$F$30*$CU$90/第十四期!$AC$12,0)</f>
        <v>0</v>
      </c>
      <c r="CS96" s="60">
        <f>IF(第十四期!$AC$12&gt;0,第十四期!$K$9*比赛参数!$D$30*比赛参数!$F$30*$CU$90/第十四期!$AC$12,0)</f>
        <v>0</v>
      </c>
      <c r="CT96" s="60">
        <f>IF(第十四期!$AC$12&gt;0,第十四期!$K$9*比赛参数!$D$30*比赛参数!$F$30*$CU$90/第十四期!$AC$12,0)</f>
        <v>0</v>
      </c>
    </row>
    <row r="97" ht="18.75" customHeight="1" spans="2:93">
      <c r="B97" s="5"/>
      <c r="C97" s="23">
        <v>3</v>
      </c>
      <c r="D97" s="12"/>
      <c r="E97" s="12"/>
      <c r="F97" s="12"/>
      <c r="G97" s="7"/>
      <c r="H97" s="7"/>
      <c r="I97" s="12"/>
      <c r="J97" s="12"/>
      <c r="K97" s="7"/>
      <c r="L97" s="8"/>
      <c r="X97" s="9" t="s">
        <v>57</v>
      </c>
      <c r="Y97" s="89">
        <f>第十四期!CY62</f>
        <v>0</v>
      </c>
      <c r="Z97" s="89">
        <f>第十四期!CY63</f>
        <v>0</v>
      </c>
      <c r="AA97" s="89">
        <f>第十四期!CY64</f>
        <v>0</v>
      </c>
      <c r="AB97" s="89">
        <f>第十四期!CY65</f>
        <v>0</v>
      </c>
      <c r="AC97" s="118"/>
      <c r="AE97" s="43" t="s">
        <v>495</v>
      </c>
      <c r="AF97" s="55" t="s">
        <v>38</v>
      </c>
      <c r="AG97" s="55" t="s">
        <v>39</v>
      </c>
      <c r="AH97" s="55" t="s">
        <v>40</v>
      </c>
      <c r="AI97" s="55" t="s">
        <v>41</v>
      </c>
      <c r="AJ97" s="43" t="s">
        <v>496</v>
      </c>
      <c r="AK97" s="55" t="s">
        <v>38</v>
      </c>
      <c r="AL97" s="55" t="s">
        <v>39</v>
      </c>
      <c r="AM97" s="55" t="s">
        <v>40</v>
      </c>
      <c r="AN97" s="55" t="s">
        <v>41</v>
      </c>
      <c r="AR97" s="169">
        <v>16</v>
      </c>
      <c r="AS97" s="269" t="str">
        <f t="shared" ref="AS97:BH97" si="84">IF(AS48="","",(AS48-AS$54)/AS$78)</f>
        <v/>
      </c>
      <c r="AT97" s="270" t="str">
        <f t="shared" si="84"/>
        <v/>
      </c>
      <c r="AU97" s="270" t="str">
        <f t="shared" si="84"/>
        <v/>
      </c>
      <c r="AV97" s="271" t="str">
        <f t="shared" si="84"/>
        <v/>
      </c>
      <c r="AW97" s="269" t="str">
        <f t="shared" si="84"/>
        <v/>
      </c>
      <c r="AX97" s="270" t="str">
        <f t="shared" si="84"/>
        <v/>
      </c>
      <c r="AY97" s="270" t="str">
        <f t="shared" si="84"/>
        <v/>
      </c>
      <c r="AZ97" s="271" t="str">
        <f t="shared" si="84"/>
        <v/>
      </c>
      <c r="BA97" s="269" t="str">
        <f t="shared" si="84"/>
        <v/>
      </c>
      <c r="BB97" s="270" t="str">
        <f t="shared" si="84"/>
        <v/>
      </c>
      <c r="BC97" s="270" t="str">
        <f t="shared" si="84"/>
        <v/>
      </c>
      <c r="BD97" s="271" t="str">
        <f t="shared" si="84"/>
        <v/>
      </c>
      <c r="BE97" s="269" t="str">
        <f t="shared" si="84"/>
        <v/>
      </c>
      <c r="BF97" s="270" t="str">
        <f t="shared" si="84"/>
        <v/>
      </c>
      <c r="BG97" s="270" t="str">
        <f t="shared" si="84"/>
        <v/>
      </c>
      <c r="BH97" s="271" t="str">
        <f t="shared" si="84"/>
        <v/>
      </c>
      <c r="BI97" s="280" t="str">
        <f t="shared" si="68"/>
        <v/>
      </c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</row>
    <row r="98" ht="18.75" customHeight="1" spans="2:61">
      <c r="B98" s="5"/>
      <c r="C98" s="23">
        <v>4</v>
      </c>
      <c r="D98" s="12"/>
      <c r="E98" s="12"/>
      <c r="F98" s="12"/>
      <c r="G98" s="7"/>
      <c r="H98" s="7"/>
      <c r="I98" s="12"/>
      <c r="J98" s="12"/>
      <c r="K98" s="7"/>
      <c r="L98" s="8"/>
      <c r="X98" s="9" t="s">
        <v>58</v>
      </c>
      <c r="Y98" s="89">
        <f>第十四期!CZ62</f>
        <v>0</v>
      </c>
      <c r="Z98" s="89">
        <f>第十四期!CZ63</f>
        <v>0</v>
      </c>
      <c r="AA98" s="89">
        <f>第十四期!CZ64</f>
        <v>0</v>
      </c>
      <c r="AB98" s="89">
        <f>第十四期!CZ65</f>
        <v>0</v>
      </c>
      <c r="AC98" s="118" t="s">
        <v>474</v>
      </c>
      <c r="AE98" s="44" t="s">
        <v>56</v>
      </c>
      <c r="AF98" s="256">
        <f>Y234</f>
        <v>0</v>
      </c>
      <c r="AG98" s="256">
        <f>AC234</f>
        <v>0</v>
      </c>
      <c r="AH98" s="256">
        <f>AG234</f>
        <v>0</v>
      </c>
      <c r="AI98" s="256">
        <f>AK234</f>
        <v>0</v>
      </c>
      <c r="AJ98" s="44" t="s">
        <v>56</v>
      </c>
      <c r="AK98" s="134">
        <f>AF76-AF98</f>
        <v>0</v>
      </c>
      <c r="AL98" s="134">
        <f>AG76-AG98</f>
        <v>0</v>
      </c>
      <c r="AM98" s="134">
        <f>AH76-AH98</f>
        <v>0</v>
      </c>
      <c r="AN98" s="134">
        <f>AI76-AI98</f>
        <v>0</v>
      </c>
      <c r="AR98" s="169">
        <v>17</v>
      </c>
      <c r="AS98" s="269" t="str">
        <f t="shared" ref="AS98:BH98" si="85">IF(AS49="","",(AS49-AS$54)/AS$78)</f>
        <v/>
      </c>
      <c r="AT98" s="270" t="str">
        <f t="shared" si="85"/>
        <v/>
      </c>
      <c r="AU98" s="270" t="str">
        <f t="shared" si="85"/>
        <v/>
      </c>
      <c r="AV98" s="271" t="str">
        <f t="shared" si="85"/>
        <v/>
      </c>
      <c r="AW98" s="269" t="str">
        <f t="shared" si="85"/>
        <v/>
      </c>
      <c r="AX98" s="270" t="str">
        <f t="shared" si="85"/>
        <v/>
      </c>
      <c r="AY98" s="270" t="str">
        <f t="shared" si="85"/>
        <v/>
      </c>
      <c r="AZ98" s="271" t="str">
        <f t="shared" si="85"/>
        <v/>
      </c>
      <c r="BA98" s="269" t="str">
        <f t="shared" si="85"/>
        <v/>
      </c>
      <c r="BB98" s="270" t="str">
        <f t="shared" si="85"/>
        <v/>
      </c>
      <c r="BC98" s="270" t="str">
        <f t="shared" si="85"/>
        <v/>
      </c>
      <c r="BD98" s="271" t="str">
        <f t="shared" si="85"/>
        <v/>
      </c>
      <c r="BE98" s="269" t="str">
        <f t="shared" si="85"/>
        <v/>
      </c>
      <c r="BF98" s="270" t="str">
        <f t="shared" si="85"/>
        <v/>
      </c>
      <c r="BG98" s="270" t="str">
        <f t="shared" si="85"/>
        <v/>
      </c>
      <c r="BH98" s="271" t="str">
        <f t="shared" si="85"/>
        <v/>
      </c>
      <c r="BI98" s="280" t="str">
        <f t="shared" si="68"/>
        <v/>
      </c>
    </row>
    <row r="99" ht="18.75" customHeight="1" spans="2:61">
      <c r="B99" s="5"/>
      <c r="C99" s="23">
        <v>5</v>
      </c>
      <c r="D99" s="12"/>
      <c r="E99" s="12"/>
      <c r="F99" s="12"/>
      <c r="G99" s="7"/>
      <c r="H99" s="7"/>
      <c r="I99" s="12"/>
      <c r="J99" s="12"/>
      <c r="K99" s="7"/>
      <c r="L99" s="8"/>
      <c r="X99" s="9" t="s">
        <v>59</v>
      </c>
      <c r="Y99" s="89">
        <f>第十四期!DA62</f>
        <v>0</v>
      </c>
      <c r="Z99" s="89">
        <f>第十四期!DA63</f>
        <v>0</v>
      </c>
      <c r="AA99" s="89">
        <f>第十四期!DA64</f>
        <v>0</v>
      </c>
      <c r="AB99" s="89">
        <f>第十四期!DA65</f>
        <v>0</v>
      </c>
      <c r="AC99" s="118"/>
      <c r="AE99" s="9" t="s">
        <v>57</v>
      </c>
      <c r="AF99" s="256">
        <f>Z234</f>
        <v>0</v>
      </c>
      <c r="AG99" s="256">
        <f>AD234</f>
        <v>0</v>
      </c>
      <c r="AH99" s="256">
        <f>AH234</f>
        <v>0</v>
      </c>
      <c r="AI99" s="256">
        <f>AL234</f>
        <v>0</v>
      </c>
      <c r="AJ99" s="9" t="s">
        <v>57</v>
      </c>
      <c r="AK99" s="134">
        <f>AF77-AF99</f>
        <v>0</v>
      </c>
      <c r="AL99" s="134">
        <f>AG77-AG99</f>
        <v>0</v>
      </c>
      <c r="AM99" s="134">
        <f>AH77-AH99</f>
        <v>0</v>
      </c>
      <c r="AN99" s="134">
        <f>AI77-AI99</f>
        <v>0</v>
      </c>
      <c r="AR99" s="169">
        <v>18</v>
      </c>
      <c r="AS99" s="269" t="str">
        <f t="shared" ref="AS99:BH99" si="86">IF(AS50="","",(AS50-AS$54)/AS$78)</f>
        <v/>
      </c>
      <c r="AT99" s="270" t="str">
        <f t="shared" si="86"/>
        <v/>
      </c>
      <c r="AU99" s="270" t="str">
        <f t="shared" si="86"/>
        <v/>
      </c>
      <c r="AV99" s="271" t="str">
        <f t="shared" si="86"/>
        <v/>
      </c>
      <c r="AW99" s="269" t="str">
        <f t="shared" si="86"/>
        <v/>
      </c>
      <c r="AX99" s="270" t="str">
        <f t="shared" si="86"/>
        <v/>
      </c>
      <c r="AY99" s="270" t="str">
        <f t="shared" si="86"/>
        <v/>
      </c>
      <c r="AZ99" s="271" t="str">
        <f t="shared" si="86"/>
        <v/>
      </c>
      <c r="BA99" s="269" t="str">
        <f t="shared" si="86"/>
        <v/>
      </c>
      <c r="BB99" s="270" t="str">
        <f t="shared" si="86"/>
        <v/>
      </c>
      <c r="BC99" s="270" t="str">
        <f t="shared" si="86"/>
        <v/>
      </c>
      <c r="BD99" s="271" t="str">
        <f t="shared" si="86"/>
        <v/>
      </c>
      <c r="BE99" s="269" t="str">
        <f t="shared" si="86"/>
        <v/>
      </c>
      <c r="BF99" s="270" t="str">
        <f t="shared" si="86"/>
        <v/>
      </c>
      <c r="BG99" s="270" t="str">
        <f t="shared" si="86"/>
        <v/>
      </c>
      <c r="BH99" s="271" t="str">
        <f t="shared" si="86"/>
        <v/>
      </c>
      <c r="BI99" s="280" t="str">
        <f t="shared" si="68"/>
        <v/>
      </c>
    </row>
    <row r="100" ht="18.75" customHeight="1" spans="2:61">
      <c r="B100" s="5"/>
      <c r="C100" s="23">
        <v>6</v>
      </c>
      <c r="D100" s="12"/>
      <c r="E100" s="12"/>
      <c r="F100" s="12"/>
      <c r="G100" s="7"/>
      <c r="H100" s="7"/>
      <c r="I100" s="12"/>
      <c r="J100" s="12"/>
      <c r="K100" s="7"/>
      <c r="L100" s="8"/>
      <c r="AE100" s="9" t="s">
        <v>58</v>
      </c>
      <c r="AF100" s="256">
        <f>AA234</f>
        <v>0</v>
      </c>
      <c r="AG100" s="256">
        <f>AE234</f>
        <v>0</v>
      </c>
      <c r="AH100" s="256">
        <f>AI234</f>
        <v>0</v>
      </c>
      <c r="AI100" s="256">
        <f>AM234</f>
        <v>0</v>
      </c>
      <c r="AJ100" s="9" t="s">
        <v>58</v>
      </c>
      <c r="AK100" s="134">
        <f>AF78-AF100</f>
        <v>0</v>
      </c>
      <c r="AL100" s="134">
        <f>AG78-AG100</f>
        <v>0</v>
      </c>
      <c r="AM100" s="134">
        <f>AH78-AH100</f>
        <v>0</v>
      </c>
      <c r="AN100" s="134">
        <f>AI78-AI100</f>
        <v>0</v>
      </c>
      <c r="AR100" s="169">
        <v>19</v>
      </c>
      <c r="AS100" s="269" t="str">
        <f t="shared" ref="AS100:BH100" si="87">IF(AS51="","",(AS51-AS$54)/AS$78)</f>
        <v/>
      </c>
      <c r="AT100" s="270" t="str">
        <f t="shared" si="87"/>
        <v/>
      </c>
      <c r="AU100" s="270" t="str">
        <f t="shared" si="87"/>
        <v/>
      </c>
      <c r="AV100" s="271" t="str">
        <f t="shared" si="87"/>
        <v/>
      </c>
      <c r="AW100" s="269" t="str">
        <f t="shared" si="87"/>
        <v/>
      </c>
      <c r="AX100" s="270" t="str">
        <f t="shared" si="87"/>
        <v/>
      </c>
      <c r="AY100" s="270" t="str">
        <f t="shared" si="87"/>
        <v/>
      </c>
      <c r="AZ100" s="271" t="str">
        <f t="shared" si="87"/>
        <v/>
      </c>
      <c r="BA100" s="269" t="str">
        <f t="shared" si="87"/>
        <v/>
      </c>
      <c r="BB100" s="270" t="str">
        <f t="shared" si="87"/>
        <v/>
      </c>
      <c r="BC100" s="270" t="str">
        <f t="shared" si="87"/>
        <v/>
      </c>
      <c r="BD100" s="271" t="str">
        <f t="shared" si="87"/>
        <v/>
      </c>
      <c r="BE100" s="269" t="str">
        <f t="shared" si="87"/>
        <v/>
      </c>
      <c r="BF100" s="270" t="str">
        <f t="shared" si="87"/>
        <v/>
      </c>
      <c r="BG100" s="270" t="str">
        <f t="shared" si="87"/>
        <v/>
      </c>
      <c r="BH100" s="271" t="str">
        <f t="shared" si="87"/>
        <v/>
      </c>
      <c r="BI100" s="280" t="str">
        <f t="shared" si="68"/>
        <v/>
      </c>
    </row>
    <row r="101" ht="18.75" customHeight="1" spans="2:61">
      <c r="B101" s="5"/>
      <c r="C101" s="23">
        <v>7</v>
      </c>
      <c r="D101" s="12"/>
      <c r="E101" s="12"/>
      <c r="F101" s="12"/>
      <c r="G101" s="7"/>
      <c r="H101" s="7"/>
      <c r="I101" s="12"/>
      <c r="J101" s="12"/>
      <c r="K101" s="7"/>
      <c r="L101" s="8"/>
      <c r="X101" s="243" t="s">
        <v>497</v>
      </c>
      <c r="Y101" s="257" t="s">
        <v>38</v>
      </c>
      <c r="Z101" s="257" t="s">
        <v>39</v>
      </c>
      <c r="AA101" s="257" t="s">
        <v>40</v>
      </c>
      <c r="AB101" s="257" t="s">
        <v>41</v>
      </c>
      <c r="AC101" s="118"/>
      <c r="AE101" s="9" t="s">
        <v>59</v>
      </c>
      <c r="AF101" s="256">
        <f>AB234</f>
        <v>0</v>
      </c>
      <c r="AG101" s="256">
        <f>AF234</f>
        <v>0</v>
      </c>
      <c r="AH101" s="256">
        <f>AJ234</f>
        <v>0</v>
      </c>
      <c r="AI101" s="256">
        <f>AN234</f>
        <v>0</v>
      </c>
      <c r="AJ101" s="9" t="s">
        <v>59</v>
      </c>
      <c r="AK101" s="134">
        <f>AF79-AF101</f>
        <v>0</v>
      </c>
      <c r="AL101" s="134">
        <f>AG79-AG101</f>
        <v>0</v>
      </c>
      <c r="AM101" s="134">
        <f>AH79-AH101</f>
        <v>0</v>
      </c>
      <c r="AN101" s="134">
        <f>AI79-AI101</f>
        <v>0</v>
      </c>
      <c r="AR101" s="169">
        <v>20</v>
      </c>
      <c r="AS101" s="269" t="str">
        <f t="shared" ref="AS101:BH101" si="88">IF(AS52="","",(AS52-AS$54)/AS$78)</f>
        <v/>
      </c>
      <c r="AT101" s="270" t="str">
        <f t="shared" si="88"/>
        <v/>
      </c>
      <c r="AU101" s="270" t="str">
        <f t="shared" si="88"/>
        <v/>
      </c>
      <c r="AV101" s="271" t="str">
        <f t="shared" si="88"/>
        <v/>
      </c>
      <c r="AW101" s="269" t="str">
        <f t="shared" si="88"/>
        <v/>
      </c>
      <c r="AX101" s="270" t="str">
        <f t="shared" si="88"/>
        <v/>
      </c>
      <c r="AY101" s="270" t="str">
        <f t="shared" si="88"/>
        <v/>
      </c>
      <c r="AZ101" s="271" t="str">
        <f t="shared" si="88"/>
        <v/>
      </c>
      <c r="BA101" s="269" t="str">
        <f t="shared" si="88"/>
        <v/>
      </c>
      <c r="BB101" s="270" t="str">
        <f t="shared" si="88"/>
        <v/>
      </c>
      <c r="BC101" s="270" t="str">
        <f t="shared" si="88"/>
        <v/>
      </c>
      <c r="BD101" s="271" t="str">
        <f t="shared" si="88"/>
        <v/>
      </c>
      <c r="BE101" s="269" t="str">
        <f t="shared" si="88"/>
        <v/>
      </c>
      <c r="BF101" s="270" t="str">
        <f t="shared" si="88"/>
        <v/>
      </c>
      <c r="BG101" s="270" t="str">
        <f t="shared" si="88"/>
        <v/>
      </c>
      <c r="BH101" s="271" t="str">
        <f t="shared" si="88"/>
        <v/>
      </c>
      <c r="BI101" s="280" t="str">
        <f t="shared" si="68"/>
        <v/>
      </c>
    </row>
    <row r="102" ht="18.75" customHeight="1" spans="2:28">
      <c r="B102" s="5"/>
      <c r="C102" s="23">
        <v>8</v>
      </c>
      <c r="D102" s="12"/>
      <c r="E102" s="12"/>
      <c r="F102" s="12"/>
      <c r="G102" s="7"/>
      <c r="H102" s="7"/>
      <c r="I102" s="12"/>
      <c r="J102" s="12"/>
      <c r="K102" s="7"/>
      <c r="L102" s="8"/>
      <c r="X102" s="244" t="s">
        <v>56</v>
      </c>
      <c r="Y102" s="89" t="e">
        <f>(AF76-CJ19)/AF76</f>
        <v>#DIV/0!</v>
      </c>
      <c r="Z102" s="89" t="e">
        <f>(AG76-CK19)/AG76</f>
        <v>#DIV/0!</v>
      </c>
      <c r="AA102" s="89" t="e">
        <f>(AH76-CL19)/AH76</f>
        <v>#DIV/0!</v>
      </c>
      <c r="AB102" s="89" t="e">
        <f>(AI76-CM19)/AI76</f>
        <v>#DIV/0!</v>
      </c>
    </row>
    <row r="103" ht="18.75" customHeight="1" spans="2:36">
      <c r="B103" s="5"/>
      <c r="C103" s="23">
        <v>9</v>
      </c>
      <c r="D103" s="12"/>
      <c r="E103" s="12"/>
      <c r="F103" s="12"/>
      <c r="G103" s="7"/>
      <c r="H103" s="7"/>
      <c r="I103" s="12"/>
      <c r="J103" s="12"/>
      <c r="K103" s="7"/>
      <c r="L103" s="8"/>
      <c r="X103" s="245" t="s">
        <v>57</v>
      </c>
      <c r="Y103" s="89" t="e">
        <f>(AF77-CJ20)/AF77</f>
        <v>#DIV/0!</v>
      </c>
      <c r="Z103" s="89" t="e">
        <f>(AG77-CK20)/AG77</f>
        <v>#DIV/0!</v>
      </c>
      <c r="AA103" s="89" t="e">
        <f>(AH77-CL20)/AH77</f>
        <v>#DIV/0!</v>
      </c>
      <c r="AB103" s="89" t="e">
        <f>(AI77-CM20)/AI77</f>
        <v>#DIV/0!</v>
      </c>
      <c r="AC103" s="118"/>
      <c r="AE103" s="43" t="s">
        <v>498</v>
      </c>
      <c r="AF103" s="68" t="s">
        <v>38</v>
      </c>
      <c r="AG103" s="68" t="s">
        <v>39</v>
      </c>
      <c r="AH103" s="68" t="s">
        <v>40</v>
      </c>
      <c r="AI103" s="68" t="s">
        <v>41</v>
      </c>
      <c r="AJ103" s="266" t="s">
        <v>200</v>
      </c>
    </row>
    <row r="104" ht="18.75" customHeight="1" spans="2:63">
      <c r="B104" s="5"/>
      <c r="C104" s="23">
        <v>10</v>
      </c>
      <c r="D104" s="12"/>
      <c r="E104" s="12"/>
      <c r="F104" s="12"/>
      <c r="G104" s="7"/>
      <c r="H104" s="7"/>
      <c r="I104" s="12"/>
      <c r="J104" s="12"/>
      <c r="K104" s="7"/>
      <c r="L104" s="8"/>
      <c r="X104" s="245" t="s">
        <v>58</v>
      </c>
      <c r="Y104" s="89" t="e">
        <f>(AF78-CJ21)/AF78</f>
        <v>#DIV/0!</v>
      </c>
      <c r="Z104" s="89" t="e">
        <f>(AG78-CK21)/AG78</f>
        <v>#DIV/0!</v>
      </c>
      <c r="AA104" s="89" t="e">
        <f>(AH78-CL21)/AH78</f>
        <v>#DIV/0!</v>
      </c>
      <c r="AB104" s="89" t="e">
        <f>(AI78-CM21)/AI78</f>
        <v>#DIV/0!</v>
      </c>
      <c r="AC104" s="118"/>
      <c r="AE104" s="44" t="s">
        <v>56</v>
      </c>
      <c r="AF104" s="96"/>
      <c r="AG104" s="96"/>
      <c r="AH104" s="96"/>
      <c r="AI104" s="96"/>
      <c r="AJ104" s="79">
        <f>AF14</f>
        <v>0</v>
      </c>
      <c r="AR104" s="272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81"/>
    </row>
    <row r="105" ht="18.75" customHeight="1" spans="2:63">
      <c r="B105" s="5"/>
      <c r="C105" s="23">
        <v>11</v>
      </c>
      <c r="D105" s="12"/>
      <c r="E105" s="12"/>
      <c r="F105" s="12"/>
      <c r="G105" s="7"/>
      <c r="H105" s="7"/>
      <c r="I105" s="12"/>
      <c r="J105" s="12"/>
      <c r="K105" s="7"/>
      <c r="L105" s="8"/>
      <c r="X105" s="245" t="s">
        <v>59</v>
      </c>
      <c r="Y105" s="89" t="e">
        <f>(AF79-CJ22)/AF79</f>
        <v>#DIV/0!</v>
      </c>
      <c r="Z105" s="89" t="e">
        <f>(AG79-CK22)/AG79</f>
        <v>#DIV/0!</v>
      </c>
      <c r="AA105" s="89" t="e">
        <f>(AH79-CL22)/AH79</f>
        <v>#DIV/0!</v>
      </c>
      <c r="AB105" s="89" t="e">
        <f>(AI79-CM22)/AI79</f>
        <v>#DIV/0!</v>
      </c>
      <c r="AC105" s="118"/>
      <c r="AE105" s="9" t="s">
        <v>57</v>
      </c>
      <c r="AF105" s="96"/>
      <c r="AG105" s="96"/>
      <c r="AH105" s="96"/>
      <c r="AI105" s="96"/>
      <c r="AJ105" s="39" t="s">
        <v>360</v>
      </c>
      <c r="AR105" s="274"/>
      <c r="AS105" s="9" t="s">
        <v>499</v>
      </c>
      <c r="AT105" s="9" t="s">
        <v>201</v>
      </c>
      <c r="AU105" s="87" t="str">
        <f>AR130</f>
        <v>0.15</v>
      </c>
      <c r="AV105" s="124"/>
      <c r="AW105" s="68"/>
      <c r="AX105" s="278"/>
      <c r="AY105" s="9" t="str">
        <f>AR130</f>
        <v>0.15</v>
      </c>
      <c r="AZ105" s="9" t="str">
        <f>AS181</f>
        <v>0.2</v>
      </c>
      <c r="BA105" s="9" t="str">
        <f>AT181</f>
        <v>0.12</v>
      </c>
      <c r="BB105" s="9" t="str">
        <f>AU181</f>
        <v>0.12</v>
      </c>
      <c r="BC105" s="9" t="str">
        <f>AV181</f>
        <v>0.16</v>
      </c>
      <c r="BD105" s="9" t="str">
        <f>AS130</f>
        <v>0.12</v>
      </c>
      <c r="BE105" s="9" t="str">
        <f>AV130</f>
        <v>0.13</v>
      </c>
      <c r="BF105" s="278"/>
      <c r="BG105" s="278"/>
      <c r="BH105" s="278"/>
      <c r="BI105" s="278"/>
      <c r="BJ105" s="278"/>
      <c r="BK105" s="282"/>
    </row>
    <row r="106" ht="18.75" customHeight="1" spans="2:63">
      <c r="B106" s="5"/>
      <c r="C106" s="23">
        <v>12</v>
      </c>
      <c r="D106" s="12"/>
      <c r="E106" s="12"/>
      <c r="F106" s="12"/>
      <c r="G106" s="7"/>
      <c r="H106" s="7"/>
      <c r="I106" s="12"/>
      <c r="J106" s="12"/>
      <c r="K106" s="7"/>
      <c r="L106" s="8"/>
      <c r="AE106" s="9" t="s">
        <v>58</v>
      </c>
      <c r="AF106" s="96"/>
      <c r="AG106" s="96"/>
      <c r="AH106" s="96"/>
      <c r="AI106" s="96"/>
      <c r="AJ106" s="86">
        <f>AJ20</f>
        <v>0</v>
      </c>
      <c r="AR106" s="274"/>
      <c r="AS106" s="9" t="s">
        <v>392</v>
      </c>
      <c r="AT106" s="9" t="s">
        <v>38</v>
      </c>
      <c r="AU106" s="9" t="s">
        <v>39</v>
      </c>
      <c r="AV106" s="9" t="s">
        <v>40</v>
      </c>
      <c r="AW106" s="9" t="s">
        <v>41</v>
      </c>
      <c r="AX106" s="9" t="s">
        <v>392</v>
      </c>
      <c r="AY106" s="9" t="s">
        <v>201</v>
      </c>
      <c r="AZ106" s="9" t="s">
        <v>200</v>
      </c>
      <c r="BA106" s="9" t="s">
        <v>493</v>
      </c>
      <c r="BB106" s="9" t="s">
        <v>202</v>
      </c>
      <c r="BC106" s="9" t="s">
        <v>204</v>
      </c>
      <c r="BD106" s="9" t="s">
        <v>205</v>
      </c>
      <c r="BE106" s="9" t="s">
        <v>206</v>
      </c>
      <c r="BF106" s="60" t="s">
        <v>500</v>
      </c>
      <c r="BG106" s="60" t="s">
        <v>501</v>
      </c>
      <c r="BH106" s="60" t="s">
        <v>502</v>
      </c>
      <c r="BI106" s="60" t="s">
        <v>503</v>
      </c>
      <c r="BJ106" s="283" t="s">
        <v>494</v>
      </c>
      <c r="BK106" s="282"/>
    </row>
    <row r="107" ht="18.75" customHeight="1" spans="2:64">
      <c r="B107" s="5"/>
      <c r="C107" s="23">
        <v>13</v>
      </c>
      <c r="D107" s="12"/>
      <c r="E107" s="12"/>
      <c r="F107" s="12"/>
      <c r="G107" s="7"/>
      <c r="H107" s="7"/>
      <c r="I107" s="12"/>
      <c r="J107" s="12"/>
      <c r="K107" s="7"/>
      <c r="L107" s="8"/>
      <c r="X107" s="43" t="s">
        <v>504</v>
      </c>
      <c r="Y107" s="55" t="s">
        <v>38</v>
      </c>
      <c r="Z107" s="55" t="s">
        <v>39</v>
      </c>
      <c r="AA107" s="68" t="s">
        <v>40</v>
      </c>
      <c r="AB107" s="68" t="s">
        <v>41</v>
      </c>
      <c r="AC107" s="118"/>
      <c r="AE107" s="9" t="s">
        <v>59</v>
      </c>
      <c r="AF107" s="96"/>
      <c r="AG107" s="96"/>
      <c r="AH107" s="96"/>
      <c r="AI107" s="96"/>
      <c r="AJ107" s="39" t="s">
        <v>505</v>
      </c>
      <c r="AR107" s="274"/>
      <c r="AS107" s="174">
        <v>1</v>
      </c>
      <c r="AT107" s="275" t="str">
        <f t="shared" ref="AT107:AT126" si="89">IF(AS82="","",AVERAGE(AS82:AV82)*$AR$130)</f>
        <v/>
      </c>
      <c r="AU107" s="275" t="str">
        <f t="shared" ref="AU107:AU126" si="90">IF(AW82="","",AVERAGE(AW82:AZ82)*$AR$130)</f>
        <v/>
      </c>
      <c r="AV107" s="275" t="str">
        <f t="shared" ref="AV107:AV126" si="91">IF(BA82="","",AVERAGE(BA82:BD82)*$AR$130)</f>
        <v/>
      </c>
      <c r="AW107" s="275" t="str">
        <f t="shared" ref="AW107:AW126" si="92">IF(BE82="","",AVERAGE(BE82:BH82)*$AR$130)</f>
        <v/>
      </c>
      <c r="AX107" s="174">
        <v>1</v>
      </c>
      <c r="AY107" s="275" t="str">
        <f t="shared" ref="AY107:AY126" si="93">IF(BI82="","",BI82*$AR$130)</f>
        <v/>
      </c>
      <c r="AZ107" s="275" t="str">
        <f t="shared" ref="AZ107:AZ126" si="94">AS183</f>
        <v/>
      </c>
      <c r="BA107" s="275" t="str">
        <f t="shared" ref="BA107:BA126" si="95">AT183</f>
        <v/>
      </c>
      <c r="BB107" s="275" t="str">
        <f t="shared" ref="BB107:BB126" si="96">AU183</f>
        <v/>
      </c>
      <c r="BC107" s="275" t="str">
        <f t="shared" ref="BC107:BC126" si="97">AV183</f>
        <v/>
      </c>
      <c r="BD107" s="279"/>
      <c r="BE107" s="279"/>
      <c r="BF107" s="275">
        <f t="shared" ref="BF107:BF126" si="98">(BJ107-BL107-BI107)/0.607</f>
        <v>0</v>
      </c>
      <c r="BG107" s="275">
        <f t="shared" ref="BG107:BG126" si="99">SUM(AY107:BC107)</f>
        <v>0</v>
      </c>
      <c r="BH107" s="96"/>
      <c r="BI107" s="275">
        <f t="shared" ref="BI107:BI126" si="100">(BG107+0.5*BH107)*0.607</f>
        <v>0</v>
      </c>
      <c r="BJ107" s="284">
        <f t="shared" ref="BJ107:BJ126" si="101">K95</f>
        <v>0</v>
      </c>
      <c r="BK107" s="285"/>
      <c r="BL107" s="2">
        <f t="shared" ref="BL107:BL126" si="102">IF(I95&lt;E95,-0.1,0)</f>
        <v>0</v>
      </c>
    </row>
    <row r="108" ht="18.75" customHeight="1" spans="2:64">
      <c r="B108" s="5"/>
      <c r="C108" s="23">
        <v>14</v>
      </c>
      <c r="D108" s="12"/>
      <c r="E108" s="12"/>
      <c r="F108" s="12"/>
      <c r="G108" s="7"/>
      <c r="H108" s="7"/>
      <c r="I108" s="12"/>
      <c r="J108" s="12"/>
      <c r="K108" s="7"/>
      <c r="L108" s="8"/>
      <c r="X108" s="44" t="s">
        <v>56</v>
      </c>
      <c r="Y108" s="60">
        <f>IF(Y88*$Y$113-INT(Y88*$Y$113)&lt;0.5,INT(Y88*$Y$113),INT(Y88*$Y$113)+1)</f>
        <v>0</v>
      </c>
      <c r="Z108" s="60">
        <f>IF(Z88*$Z$113-INT(Z88*$Z$113)&lt;0.5,INT(Z88*$Z$113),INT(Z88*$Z$113)+1)</f>
        <v>0</v>
      </c>
      <c r="AA108" s="60">
        <f>IF(AA88*$AA$113-INT(AA88*$AA$113)&lt;0.5,INT(AA88*$AA$113),INT(AA88*$AA$113)+1)</f>
        <v>0</v>
      </c>
      <c r="AB108" s="60">
        <f>IF(AB88*$AB$113-INT(AB88*$AB$113)&lt;0.5,INT(AB88*$AB$113),INT(AB88*$AB$113)+1)</f>
        <v>0</v>
      </c>
      <c r="AE108" s="9" t="s">
        <v>415</v>
      </c>
      <c r="AF108" s="60">
        <f>SUM(AF104:AF107)</f>
        <v>0</v>
      </c>
      <c r="AG108" s="60">
        <f>SUM(AG104:AG107)</f>
        <v>0</v>
      </c>
      <c r="AH108" s="60">
        <f>SUM(AH104:AH107)</f>
        <v>0</v>
      </c>
      <c r="AI108" s="60">
        <f>SUM(AI104:AI107)</f>
        <v>0</v>
      </c>
      <c r="AJ108" s="60">
        <f>SUMPRODUCT(AF104:AI107,AF76:AI79)</f>
        <v>0</v>
      </c>
      <c r="AR108" s="274"/>
      <c r="AS108" s="174">
        <v>2</v>
      </c>
      <c r="AT108" s="275" t="str">
        <f t="shared" si="89"/>
        <v/>
      </c>
      <c r="AU108" s="275" t="str">
        <f t="shared" si="90"/>
        <v/>
      </c>
      <c r="AV108" s="275" t="str">
        <f t="shared" si="91"/>
        <v/>
      </c>
      <c r="AW108" s="275" t="str">
        <f t="shared" si="92"/>
        <v/>
      </c>
      <c r="AX108" s="174">
        <v>2</v>
      </c>
      <c r="AY108" s="275" t="str">
        <f t="shared" si="93"/>
        <v/>
      </c>
      <c r="AZ108" s="275" t="str">
        <f t="shared" si="94"/>
        <v/>
      </c>
      <c r="BA108" s="275" t="str">
        <f t="shared" si="95"/>
        <v/>
      </c>
      <c r="BB108" s="275" t="str">
        <f t="shared" si="96"/>
        <v/>
      </c>
      <c r="BC108" s="275" t="str">
        <f t="shared" si="97"/>
        <v/>
      </c>
      <c r="BD108" s="279"/>
      <c r="BE108" s="279"/>
      <c r="BF108" s="275">
        <f t="shared" si="98"/>
        <v>0</v>
      </c>
      <c r="BG108" s="275">
        <f t="shared" si="99"/>
        <v>0</v>
      </c>
      <c r="BH108" s="96"/>
      <c r="BI108" s="275">
        <f t="shared" si="100"/>
        <v>0</v>
      </c>
      <c r="BJ108" s="284">
        <f t="shared" si="101"/>
        <v>0</v>
      </c>
      <c r="BK108" s="285"/>
      <c r="BL108" s="2">
        <f t="shared" si="102"/>
        <v>0</v>
      </c>
    </row>
    <row r="109" ht="18.75" customHeight="1" spans="2:64">
      <c r="B109" s="5"/>
      <c r="C109" s="23">
        <v>15</v>
      </c>
      <c r="D109" s="12"/>
      <c r="E109" s="12"/>
      <c r="F109" s="12"/>
      <c r="G109" s="7"/>
      <c r="H109" s="7"/>
      <c r="I109" s="12"/>
      <c r="J109" s="12"/>
      <c r="K109" s="7"/>
      <c r="L109" s="8"/>
      <c r="X109" s="9" t="s">
        <v>57</v>
      </c>
      <c r="Y109" s="60">
        <f>IF(Y89*$Y$113-INT(Y89*$Y$113)&lt;0.5,INT(Y89*$Y$113),INT(Y89*$Y$113)+1)</f>
        <v>0</v>
      </c>
      <c r="Z109" s="60">
        <f>IF(Z89*$Z$113-INT(Z89*$Z$113)&lt;0.5,INT(Z89*$Z$113),INT(Z89*$Z$113)+1)</f>
        <v>0</v>
      </c>
      <c r="AA109" s="60">
        <f>IF(AA89*$AA$113-INT(AA89*$AA$113)&lt;0.5,INT(AA89*$AA$113),INT(AA89*$AA$113)+1)</f>
        <v>0</v>
      </c>
      <c r="AB109" s="60">
        <f>IF(AB89*$AB$113-INT(AB89*$AB$113)&lt;0.5,INT(AB89*$AB$113),INT(AB89*$AB$113)+1)</f>
        <v>0</v>
      </c>
      <c r="AK109" s="39" t="s">
        <v>346</v>
      </c>
      <c r="AL109" s="134">
        <f>AA20</f>
        <v>0</v>
      </c>
      <c r="AR109" s="274"/>
      <c r="AS109" s="174">
        <v>3</v>
      </c>
      <c r="AT109" s="275" t="str">
        <f t="shared" si="89"/>
        <v/>
      </c>
      <c r="AU109" s="275" t="str">
        <f t="shared" si="90"/>
        <v/>
      </c>
      <c r="AV109" s="275" t="str">
        <f t="shared" si="91"/>
        <v/>
      </c>
      <c r="AW109" s="275" t="str">
        <f t="shared" si="92"/>
        <v/>
      </c>
      <c r="AX109" s="174">
        <v>3</v>
      </c>
      <c r="AY109" s="275" t="str">
        <f t="shared" si="93"/>
        <v/>
      </c>
      <c r="AZ109" s="275" t="str">
        <f t="shared" si="94"/>
        <v/>
      </c>
      <c r="BA109" s="275" t="str">
        <f t="shared" si="95"/>
        <v/>
      </c>
      <c r="BB109" s="275" t="str">
        <f t="shared" si="96"/>
        <v/>
      </c>
      <c r="BC109" s="275" t="str">
        <f t="shared" si="97"/>
        <v/>
      </c>
      <c r="BD109" s="279"/>
      <c r="BE109" s="279"/>
      <c r="BF109" s="275">
        <f t="shared" si="98"/>
        <v>0</v>
      </c>
      <c r="BG109" s="275">
        <f t="shared" si="99"/>
        <v>0</v>
      </c>
      <c r="BH109" s="96"/>
      <c r="BI109" s="275">
        <f t="shared" si="100"/>
        <v>0</v>
      </c>
      <c r="BJ109" s="284">
        <f t="shared" si="101"/>
        <v>0</v>
      </c>
      <c r="BK109" s="285"/>
      <c r="BL109" s="2">
        <f t="shared" si="102"/>
        <v>0</v>
      </c>
    </row>
    <row r="110" ht="18.75" customHeight="1" spans="2:64">
      <c r="B110" s="5"/>
      <c r="C110" s="23">
        <v>16</v>
      </c>
      <c r="D110" s="12"/>
      <c r="E110" s="12"/>
      <c r="F110" s="12"/>
      <c r="G110" s="7"/>
      <c r="H110" s="7"/>
      <c r="I110" s="12"/>
      <c r="J110" s="12"/>
      <c r="K110" s="7"/>
      <c r="L110" s="8"/>
      <c r="X110" s="9" t="s">
        <v>58</v>
      </c>
      <c r="Y110" s="60">
        <f>IF(Y90*$Y$113-INT(Y90*$Y$113)&lt;0.5,INT(Y90*$Y$113),INT(Y90*$Y$113)+1)</f>
        <v>0</v>
      </c>
      <c r="Z110" s="60">
        <f>IF(Z90*$Z$113-INT(Z90*$Z$113)&lt;0.5,INT(Z90*$Z$113),INT(Z90*$Z$113)+1)</f>
        <v>0</v>
      </c>
      <c r="AA110" s="60">
        <f>IF(AA90*$AA$113-INT(AA90*$AA$113)&lt;0.5,INT(AA90*$AA$113),INT(AA90*$AA$113)+1)</f>
        <v>0</v>
      </c>
      <c r="AB110" s="60">
        <f>IF(AB90*$AB$113-INT(AB90*$AB$113)&lt;0.5,INT(AB90*$AB$113),INT(AB90*$AB$113)+1)</f>
        <v>0</v>
      </c>
      <c r="AE110" s="39" t="s">
        <v>353</v>
      </c>
      <c r="AF110" s="60">
        <f>SUM(AF64:AF67)*比赛参数!D26/1300</f>
        <v>0</v>
      </c>
      <c r="AG110" s="60">
        <f>SUM(AG64:AG67)*比赛参数!E26/1300</f>
        <v>0</v>
      </c>
      <c r="AH110" s="60">
        <f>SUM(AH64:AH67)*比赛参数!F26/1300</f>
        <v>0</v>
      </c>
      <c r="AI110" s="60">
        <f>SUM(AI64:AI67)*比赛参数!G26/1300</f>
        <v>0</v>
      </c>
      <c r="AJ110" s="60">
        <f>SUM(AF110:AI110)</f>
        <v>0</v>
      </c>
      <c r="AK110" s="39" t="s">
        <v>353</v>
      </c>
      <c r="AL110" s="134">
        <f>SUM(AF110:AI110)</f>
        <v>0</v>
      </c>
      <c r="AR110" s="274"/>
      <c r="AS110" s="174">
        <v>4</v>
      </c>
      <c r="AT110" s="275" t="str">
        <f t="shared" si="89"/>
        <v/>
      </c>
      <c r="AU110" s="275" t="str">
        <f t="shared" si="90"/>
        <v/>
      </c>
      <c r="AV110" s="275" t="str">
        <f t="shared" si="91"/>
        <v/>
      </c>
      <c r="AW110" s="275" t="str">
        <f t="shared" si="92"/>
        <v/>
      </c>
      <c r="AX110" s="174">
        <v>4</v>
      </c>
      <c r="AY110" s="275" t="str">
        <f t="shared" si="93"/>
        <v/>
      </c>
      <c r="AZ110" s="275" t="str">
        <f t="shared" si="94"/>
        <v/>
      </c>
      <c r="BA110" s="275" t="str">
        <f t="shared" si="95"/>
        <v/>
      </c>
      <c r="BB110" s="275" t="str">
        <f t="shared" si="96"/>
        <v/>
      </c>
      <c r="BC110" s="275" t="str">
        <f t="shared" si="97"/>
        <v/>
      </c>
      <c r="BD110" s="279"/>
      <c r="BE110" s="279"/>
      <c r="BF110" s="275">
        <f t="shared" si="98"/>
        <v>0</v>
      </c>
      <c r="BG110" s="275">
        <f t="shared" si="99"/>
        <v>0</v>
      </c>
      <c r="BH110" s="96"/>
      <c r="BI110" s="275">
        <f t="shared" si="100"/>
        <v>0</v>
      </c>
      <c r="BJ110" s="284">
        <f t="shared" si="101"/>
        <v>0</v>
      </c>
      <c r="BK110" s="285"/>
      <c r="BL110" s="2">
        <f t="shared" si="102"/>
        <v>0</v>
      </c>
    </row>
    <row r="111" ht="18.75" customHeight="1" spans="2:64">
      <c r="B111" s="5"/>
      <c r="C111" s="23">
        <v>17</v>
      </c>
      <c r="D111" s="12"/>
      <c r="E111" s="12"/>
      <c r="F111" s="12"/>
      <c r="G111" s="7"/>
      <c r="H111" s="7"/>
      <c r="I111" s="12"/>
      <c r="J111" s="12"/>
      <c r="K111" s="7"/>
      <c r="L111" s="8"/>
      <c r="X111" s="9" t="s">
        <v>59</v>
      </c>
      <c r="Y111" s="60">
        <f>IF(Y91*$Y$113-INT(Y91*$Y$113)&lt;0.5,INT(Y91*$Y$113),INT(Y91*$Y$113)+1)</f>
        <v>0</v>
      </c>
      <c r="Z111" s="60">
        <f>IF(Z91*$Z$113-INT(Z91*$Z$113)&lt;0.5,INT(Z91*$Z$113),INT(Z91*$Z$113)+1)</f>
        <v>0</v>
      </c>
      <c r="AA111" s="60">
        <f>IF(AA91*$AA$113-INT(AA91*$AA$113)&lt;0.5,INT(AA91*$AA$113),INT(AA91*$AA$113)+1)</f>
        <v>0</v>
      </c>
      <c r="AB111" s="60">
        <f>IF(AB91*$AB$113-INT(AB91*$AB$113)&lt;0.5,INT(AB91*$AB$113),INT(AB91*$AB$113)+1)</f>
        <v>0</v>
      </c>
      <c r="AE111" s="39" t="s">
        <v>361</v>
      </c>
      <c r="AF111" s="60">
        <f>(SUM(AF64:AF67)-SUM(AF104:AF107))*比赛参数!D26/1300</f>
        <v>0</v>
      </c>
      <c r="AG111" s="60">
        <f>(SUM(AG64:AG67)-SUM(AG104:AG107))*比赛参数!E26/1300</f>
        <v>0</v>
      </c>
      <c r="AH111" s="60">
        <f>(SUM(AH64:AH67)-SUM(AH104:AH107))*比赛参数!F26/1300</f>
        <v>0</v>
      </c>
      <c r="AI111" s="60">
        <f>(SUM(AI64:AI67)-SUM(AI104:AI107))*比赛参数!G26/1300</f>
        <v>0</v>
      </c>
      <c r="AJ111" s="60">
        <f>SUM(AF111:AI111)</f>
        <v>0</v>
      </c>
      <c r="AK111" s="39" t="s">
        <v>361</v>
      </c>
      <c r="AL111" s="134">
        <f>AJ111</f>
        <v>0</v>
      </c>
      <c r="AR111" s="274"/>
      <c r="AS111" s="174">
        <v>5</v>
      </c>
      <c r="AT111" s="275" t="str">
        <f t="shared" si="89"/>
        <v/>
      </c>
      <c r="AU111" s="275" t="str">
        <f t="shared" si="90"/>
        <v/>
      </c>
      <c r="AV111" s="275" t="str">
        <f t="shared" si="91"/>
        <v/>
      </c>
      <c r="AW111" s="275" t="str">
        <f t="shared" si="92"/>
        <v/>
      </c>
      <c r="AX111" s="174">
        <v>5</v>
      </c>
      <c r="AY111" s="275" t="str">
        <f t="shared" si="93"/>
        <v/>
      </c>
      <c r="AZ111" s="275" t="str">
        <f t="shared" si="94"/>
        <v/>
      </c>
      <c r="BA111" s="275" t="str">
        <f t="shared" si="95"/>
        <v/>
      </c>
      <c r="BB111" s="275" t="str">
        <f t="shared" si="96"/>
        <v/>
      </c>
      <c r="BC111" s="275" t="str">
        <f t="shared" si="97"/>
        <v/>
      </c>
      <c r="BD111" s="279"/>
      <c r="BE111" s="279"/>
      <c r="BF111" s="275">
        <f t="shared" si="98"/>
        <v>0</v>
      </c>
      <c r="BG111" s="275">
        <f t="shared" si="99"/>
        <v>0</v>
      </c>
      <c r="BH111" s="96"/>
      <c r="BI111" s="275">
        <f t="shared" si="100"/>
        <v>0</v>
      </c>
      <c r="BJ111" s="284">
        <f t="shared" si="101"/>
        <v>0</v>
      </c>
      <c r="BK111" s="285"/>
      <c r="BL111" s="2">
        <f t="shared" si="102"/>
        <v>0</v>
      </c>
    </row>
    <row r="112" ht="18.75" customHeight="1" spans="2:64">
      <c r="B112" s="5"/>
      <c r="C112" s="23">
        <v>18</v>
      </c>
      <c r="D112" s="12"/>
      <c r="E112" s="12"/>
      <c r="F112" s="12"/>
      <c r="G112" s="7"/>
      <c r="H112" s="7"/>
      <c r="I112" s="12"/>
      <c r="J112" s="12"/>
      <c r="K112" s="7"/>
      <c r="L112" s="8"/>
      <c r="AE112" s="39" t="s">
        <v>506</v>
      </c>
      <c r="AF112" s="131" t="e">
        <f>AF111/AF110</f>
        <v>#DIV/0!</v>
      </c>
      <c r="AG112" s="131" t="e">
        <f>AG111/AG110</f>
        <v>#DIV/0!</v>
      </c>
      <c r="AH112" s="131" t="e">
        <f>AH111/AH110</f>
        <v>#DIV/0!</v>
      </c>
      <c r="AI112" s="131" t="e">
        <f>AI111/AI110</f>
        <v>#DIV/0!</v>
      </c>
      <c r="AJ112" s="131" t="e">
        <f>AJ111/AJ110</f>
        <v>#DIV/0!</v>
      </c>
      <c r="AK112" s="39" t="s">
        <v>369</v>
      </c>
      <c r="AL112" s="267" t="e">
        <f>AL111/AL110</f>
        <v>#DIV/0!</v>
      </c>
      <c r="AR112" s="274"/>
      <c r="AS112" s="174">
        <v>6</v>
      </c>
      <c r="AT112" s="275" t="str">
        <f t="shared" si="89"/>
        <v/>
      </c>
      <c r="AU112" s="275" t="str">
        <f t="shared" si="90"/>
        <v/>
      </c>
      <c r="AV112" s="275" t="str">
        <f t="shared" si="91"/>
        <v/>
      </c>
      <c r="AW112" s="275" t="str">
        <f t="shared" si="92"/>
        <v/>
      </c>
      <c r="AX112" s="174">
        <v>6</v>
      </c>
      <c r="AY112" s="275" t="str">
        <f t="shared" si="93"/>
        <v/>
      </c>
      <c r="AZ112" s="275" t="str">
        <f t="shared" si="94"/>
        <v/>
      </c>
      <c r="BA112" s="275" t="str">
        <f t="shared" si="95"/>
        <v/>
      </c>
      <c r="BB112" s="275" t="str">
        <f t="shared" si="96"/>
        <v/>
      </c>
      <c r="BC112" s="275" t="str">
        <f t="shared" si="97"/>
        <v/>
      </c>
      <c r="BD112" s="279"/>
      <c r="BE112" s="279"/>
      <c r="BF112" s="275">
        <f t="shared" si="98"/>
        <v>0</v>
      </c>
      <c r="BG112" s="275">
        <f t="shared" si="99"/>
        <v>0</v>
      </c>
      <c r="BH112" s="96"/>
      <c r="BI112" s="275">
        <f t="shared" si="100"/>
        <v>0</v>
      </c>
      <c r="BJ112" s="284">
        <f t="shared" si="101"/>
        <v>0</v>
      </c>
      <c r="BK112" s="285"/>
      <c r="BL112" s="2">
        <f t="shared" si="102"/>
        <v>0</v>
      </c>
    </row>
    <row r="113" ht="18.75" customHeight="1" spans="2:64">
      <c r="B113" s="5"/>
      <c r="C113" s="23">
        <v>19</v>
      </c>
      <c r="D113" s="12"/>
      <c r="E113" s="12"/>
      <c r="F113" s="12"/>
      <c r="G113" s="7"/>
      <c r="H113" s="7"/>
      <c r="I113" s="12"/>
      <c r="J113" s="12"/>
      <c r="K113" s="7"/>
      <c r="L113" s="8"/>
      <c r="X113" s="43" t="s">
        <v>215</v>
      </c>
      <c r="Y113" s="258">
        <f>Y122</f>
        <v>0.335</v>
      </c>
      <c r="Z113" s="258">
        <f>Z122</f>
        <v>0.335</v>
      </c>
      <c r="AA113" s="258">
        <f>AA122</f>
        <v>0.335</v>
      </c>
      <c r="AB113" s="258">
        <f>AB122</f>
        <v>0.335</v>
      </c>
      <c r="AR113" s="274"/>
      <c r="AS113" s="174">
        <v>7</v>
      </c>
      <c r="AT113" s="275" t="str">
        <f t="shared" si="89"/>
        <v/>
      </c>
      <c r="AU113" s="275" t="str">
        <f t="shared" si="90"/>
        <v/>
      </c>
      <c r="AV113" s="275" t="str">
        <f t="shared" si="91"/>
        <v/>
      </c>
      <c r="AW113" s="275" t="str">
        <f t="shared" si="92"/>
        <v/>
      </c>
      <c r="AX113" s="174">
        <v>7</v>
      </c>
      <c r="AY113" s="275" t="str">
        <f t="shared" si="93"/>
        <v/>
      </c>
      <c r="AZ113" s="275" t="str">
        <f t="shared" si="94"/>
        <v/>
      </c>
      <c r="BA113" s="275" t="str">
        <f t="shared" si="95"/>
        <v/>
      </c>
      <c r="BB113" s="275" t="str">
        <f t="shared" si="96"/>
        <v/>
      </c>
      <c r="BC113" s="275" t="str">
        <f t="shared" si="97"/>
        <v/>
      </c>
      <c r="BD113" s="279"/>
      <c r="BE113" s="279"/>
      <c r="BF113" s="275">
        <f t="shared" si="98"/>
        <v>0</v>
      </c>
      <c r="BG113" s="275">
        <f t="shared" si="99"/>
        <v>0</v>
      </c>
      <c r="BH113" s="96"/>
      <c r="BI113" s="275">
        <f t="shared" si="100"/>
        <v>0</v>
      </c>
      <c r="BJ113" s="284">
        <f t="shared" si="101"/>
        <v>0</v>
      </c>
      <c r="BK113" s="285"/>
      <c r="BL113" s="2">
        <f t="shared" si="102"/>
        <v>0</v>
      </c>
    </row>
    <row r="114" ht="20.1" customHeight="1" spans="2:64">
      <c r="B114" s="5"/>
      <c r="C114" s="23">
        <v>20</v>
      </c>
      <c r="D114" s="12"/>
      <c r="E114" s="12"/>
      <c r="F114" s="12"/>
      <c r="G114" s="7"/>
      <c r="H114" s="7"/>
      <c r="I114" s="12"/>
      <c r="J114" s="12"/>
      <c r="K114" s="7"/>
      <c r="L114" s="8"/>
      <c r="AR114" s="274"/>
      <c r="AS114" s="174">
        <v>8</v>
      </c>
      <c r="AT114" s="275" t="str">
        <f t="shared" si="89"/>
        <v/>
      </c>
      <c r="AU114" s="275" t="str">
        <f t="shared" si="90"/>
        <v/>
      </c>
      <c r="AV114" s="275" t="str">
        <f t="shared" si="91"/>
        <v/>
      </c>
      <c r="AW114" s="275" t="str">
        <f t="shared" si="92"/>
        <v/>
      </c>
      <c r="AX114" s="174">
        <v>8</v>
      </c>
      <c r="AY114" s="275" t="str">
        <f t="shared" si="93"/>
        <v/>
      </c>
      <c r="AZ114" s="275" t="str">
        <f t="shared" si="94"/>
        <v/>
      </c>
      <c r="BA114" s="275" t="str">
        <f t="shared" si="95"/>
        <v/>
      </c>
      <c r="BB114" s="275" t="str">
        <f t="shared" si="96"/>
        <v/>
      </c>
      <c r="BC114" s="275" t="str">
        <f t="shared" si="97"/>
        <v/>
      </c>
      <c r="BD114" s="279"/>
      <c r="BE114" s="279"/>
      <c r="BF114" s="275">
        <f t="shared" si="98"/>
        <v>0</v>
      </c>
      <c r="BG114" s="275">
        <f t="shared" si="99"/>
        <v>0</v>
      </c>
      <c r="BH114" s="96"/>
      <c r="BI114" s="275">
        <f t="shared" si="100"/>
        <v>0</v>
      </c>
      <c r="BJ114" s="284">
        <f t="shared" si="101"/>
        <v>0</v>
      </c>
      <c r="BK114" s="285"/>
      <c r="BL114" s="2">
        <f t="shared" si="102"/>
        <v>0</v>
      </c>
    </row>
    <row r="115" ht="20.1" customHeight="1" spans="3:64">
      <c r="C115" s="13"/>
      <c r="D115" s="13"/>
      <c r="E115" s="13"/>
      <c r="F115" s="13"/>
      <c r="G115" s="13"/>
      <c r="H115" s="13"/>
      <c r="I115" s="13"/>
      <c r="J115" s="13"/>
      <c r="K115" s="13"/>
      <c r="X115" s="43" t="s">
        <v>507</v>
      </c>
      <c r="Y115" s="68" t="s">
        <v>38</v>
      </c>
      <c r="Z115" s="68" t="s">
        <v>39</v>
      </c>
      <c r="AA115" s="68" t="s">
        <v>40</v>
      </c>
      <c r="AB115" s="68" t="s">
        <v>41</v>
      </c>
      <c r="AR115" s="274"/>
      <c r="AS115" s="174">
        <v>9</v>
      </c>
      <c r="AT115" s="275" t="str">
        <f t="shared" si="89"/>
        <v/>
      </c>
      <c r="AU115" s="275" t="str">
        <f t="shared" si="90"/>
        <v/>
      </c>
      <c r="AV115" s="275" t="str">
        <f t="shared" si="91"/>
        <v/>
      </c>
      <c r="AW115" s="275" t="str">
        <f t="shared" si="92"/>
        <v/>
      </c>
      <c r="AX115" s="174">
        <v>9</v>
      </c>
      <c r="AY115" s="275" t="str">
        <f t="shared" si="93"/>
        <v/>
      </c>
      <c r="AZ115" s="275" t="str">
        <f t="shared" si="94"/>
        <v/>
      </c>
      <c r="BA115" s="275" t="str">
        <f t="shared" si="95"/>
        <v/>
      </c>
      <c r="BB115" s="275" t="str">
        <f t="shared" si="96"/>
        <v/>
      </c>
      <c r="BC115" s="275" t="str">
        <f t="shared" si="97"/>
        <v/>
      </c>
      <c r="BD115" s="279"/>
      <c r="BE115" s="279"/>
      <c r="BF115" s="275">
        <f t="shared" si="98"/>
        <v>0</v>
      </c>
      <c r="BG115" s="275">
        <f t="shared" si="99"/>
        <v>0</v>
      </c>
      <c r="BH115" s="96"/>
      <c r="BI115" s="275">
        <f t="shared" si="100"/>
        <v>0</v>
      </c>
      <c r="BJ115" s="284">
        <f t="shared" si="101"/>
        <v>0</v>
      </c>
      <c r="BK115" s="285"/>
      <c r="BL115" s="2">
        <f t="shared" si="102"/>
        <v>0</v>
      </c>
    </row>
    <row r="116" ht="20.1" customHeight="1" spans="24:64">
      <c r="X116" s="44" t="s">
        <v>56</v>
      </c>
      <c r="Y116" s="249" t="e">
        <f>(AF76-CJ27-$AF$81-AK76)/(CJ27+$AF$81+AK76)</f>
        <v>#DIV/0!</v>
      </c>
      <c r="Z116" s="249" t="e">
        <f>(AG76-CK27-$AG$81-AK76)/(CK27+$AG$81+AK76)</f>
        <v>#DIV/0!</v>
      </c>
      <c r="AA116" s="249" t="e">
        <f>(AH76-CL27-$AH$81-AK76)/(CL27+$AH$81+AK76)</f>
        <v>#DIV/0!</v>
      </c>
      <c r="AB116" s="249" t="e">
        <f>(AI76-CM27-$AI$81-AK76)/(CM27+$AI$81+AK76)</f>
        <v>#DIV/0!</v>
      </c>
      <c r="AR116" s="274"/>
      <c r="AS116" s="174">
        <v>10</v>
      </c>
      <c r="AT116" s="275" t="str">
        <f t="shared" si="89"/>
        <v/>
      </c>
      <c r="AU116" s="275" t="str">
        <f t="shared" si="90"/>
        <v/>
      </c>
      <c r="AV116" s="275" t="str">
        <f t="shared" si="91"/>
        <v/>
      </c>
      <c r="AW116" s="275" t="str">
        <f t="shared" si="92"/>
        <v/>
      </c>
      <c r="AX116" s="174">
        <v>10</v>
      </c>
      <c r="AY116" s="275" t="str">
        <f t="shared" si="93"/>
        <v/>
      </c>
      <c r="AZ116" s="275" t="str">
        <f t="shared" si="94"/>
        <v/>
      </c>
      <c r="BA116" s="275" t="str">
        <f t="shared" si="95"/>
        <v/>
      </c>
      <c r="BB116" s="275" t="str">
        <f t="shared" si="96"/>
        <v/>
      </c>
      <c r="BC116" s="275" t="str">
        <f t="shared" si="97"/>
        <v/>
      </c>
      <c r="BD116" s="279"/>
      <c r="BE116" s="279"/>
      <c r="BF116" s="275">
        <f t="shared" si="98"/>
        <v>0</v>
      </c>
      <c r="BG116" s="275">
        <f t="shared" si="99"/>
        <v>0</v>
      </c>
      <c r="BH116" s="96"/>
      <c r="BI116" s="275">
        <f t="shared" si="100"/>
        <v>0</v>
      </c>
      <c r="BJ116" s="284">
        <f t="shared" si="101"/>
        <v>0</v>
      </c>
      <c r="BK116" s="285"/>
      <c r="BL116" s="2">
        <f t="shared" si="102"/>
        <v>0</v>
      </c>
    </row>
    <row r="117" ht="20.1" customHeight="1" spans="24:64">
      <c r="X117" s="9" t="s">
        <v>57</v>
      </c>
      <c r="Y117" s="249" t="e">
        <f>(AF77-CJ28-$AF$81-AK77)/(CJ28+$AF$81+AK77)</f>
        <v>#DIV/0!</v>
      </c>
      <c r="Z117" s="249" t="e">
        <f>(AG77-CK28-$AG$81-AK77)/(CK28+$AG$81+AK77)</f>
        <v>#DIV/0!</v>
      </c>
      <c r="AA117" s="249" t="e">
        <f>(AH77-CL28-$AH$81-AK77)/(CL28+$AH$81+AK77)</f>
        <v>#DIV/0!</v>
      </c>
      <c r="AB117" s="249" t="e">
        <f>(AI77-CM28-$AI$81-AK77)/(CM28+$AI$81+AK77)</f>
        <v>#DIV/0!</v>
      </c>
      <c r="AR117" s="274"/>
      <c r="AS117" s="174">
        <v>11</v>
      </c>
      <c r="AT117" s="275" t="str">
        <f t="shared" si="89"/>
        <v/>
      </c>
      <c r="AU117" s="275" t="str">
        <f t="shared" si="90"/>
        <v/>
      </c>
      <c r="AV117" s="275" t="str">
        <f t="shared" si="91"/>
        <v/>
      </c>
      <c r="AW117" s="275" t="str">
        <f t="shared" si="92"/>
        <v/>
      </c>
      <c r="AX117" s="174">
        <v>11</v>
      </c>
      <c r="AY117" s="275" t="str">
        <f t="shared" si="93"/>
        <v/>
      </c>
      <c r="AZ117" s="275" t="str">
        <f t="shared" si="94"/>
        <v/>
      </c>
      <c r="BA117" s="275" t="str">
        <f t="shared" si="95"/>
        <v/>
      </c>
      <c r="BB117" s="275" t="str">
        <f t="shared" si="96"/>
        <v/>
      </c>
      <c r="BC117" s="275" t="str">
        <f t="shared" si="97"/>
        <v/>
      </c>
      <c r="BD117" s="279"/>
      <c r="BE117" s="279"/>
      <c r="BF117" s="275">
        <f t="shared" si="98"/>
        <v>0</v>
      </c>
      <c r="BG117" s="275">
        <f t="shared" si="99"/>
        <v>0</v>
      </c>
      <c r="BH117" s="96"/>
      <c r="BI117" s="275">
        <f t="shared" si="100"/>
        <v>0</v>
      </c>
      <c r="BJ117" s="284">
        <f t="shared" si="101"/>
        <v>0</v>
      </c>
      <c r="BK117" s="285"/>
      <c r="BL117" s="2">
        <f t="shared" si="102"/>
        <v>0</v>
      </c>
    </row>
    <row r="118" ht="20.1" customHeight="1" spans="24:64">
      <c r="X118" s="9" t="s">
        <v>58</v>
      </c>
      <c r="Y118" s="249" t="e">
        <f>(AF78-CJ29-$AF$81-AK78)/(CJ29+$AF$81+AK78)</f>
        <v>#DIV/0!</v>
      </c>
      <c r="Z118" s="249" t="e">
        <f>(AG78-CK29-$AG$81-AK78)/(CK29+$AG$81+AK78)</f>
        <v>#DIV/0!</v>
      </c>
      <c r="AA118" s="249" t="e">
        <f>(AH78-CL29-$AH$81-AK78)/(CL29+$AH$81+AK78)</f>
        <v>#DIV/0!</v>
      </c>
      <c r="AB118" s="249" t="e">
        <f>(AI78-CM29-$AI$81-AK78)/(CM29+$AI$81+AK78)</f>
        <v>#DIV/0!</v>
      </c>
      <c r="AR118" s="274"/>
      <c r="AS118" s="174">
        <v>12</v>
      </c>
      <c r="AT118" s="275" t="str">
        <f t="shared" si="89"/>
        <v/>
      </c>
      <c r="AU118" s="275" t="str">
        <f t="shared" si="90"/>
        <v/>
      </c>
      <c r="AV118" s="275" t="str">
        <f t="shared" si="91"/>
        <v/>
      </c>
      <c r="AW118" s="275" t="str">
        <f t="shared" si="92"/>
        <v/>
      </c>
      <c r="AX118" s="174">
        <v>12</v>
      </c>
      <c r="AY118" s="275" t="str">
        <f t="shared" si="93"/>
        <v/>
      </c>
      <c r="AZ118" s="275" t="str">
        <f t="shared" si="94"/>
        <v/>
      </c>
      <c r="BA118" s="275" t="str">
        <f t="shared" si="95"/>
        <v/>
      </c>
      <c r="BB118" s="275" t="str">
        <f t="shared" si="96"/>
        <v/>
      </c>
      <c r="BC118" s="275" t="str">
        <f t="shared" si="97"/>
        <v/>
      </c>
      <c r="BD118" s="279"/>
      <c r="BE118" s="279"/>
      <c r="BF118" s="275">
        <f t="shared" si="98"/>
        <v>0</v>
      </c>
      <c r="BG118" s="275">
        <f t="shared" si="99"/>
        <v>0</v>
      </c>
      <c r="BH118" s="96"/>
      <c r="BI118" s="275">
        <f t="shared" si="100"/>
        <v>0</v>
      </c>
      <c r="BJ118" s="284">
        <f t="shared" si="101"/>
        <v>0</v>
      </c>
      <c r="BK118" s="285"/>
      <c r="BL118" s="2">
        <f t="shared" si="102"/>
        <v>0</v>
      </c>
    </row>
    <row r="119" ht="20.1" customHeight="1" spans="24:64">
      <c r="X119" s="9" t="s">
        <v>59</v>
      </c>
      <c r="Y119" s="249" t="e">
        <f>(AF79-CJ30-$AF$81-AK79)/(CJ30+$AF$81+AK79)</f>
        <v>#DIV/0!</v>
      </c>
      <c r="Z119" s="249" t="e">
        <f>(AG79-CK30-$AG$81-AK79)/(CK30+$AG$81+AK79)</f>
        <v>#DIV/0!</v>
      </c>
      <c r="AA119" s="249" t="e">
        <f>(AH79-CL30-$AH$81-AK79)/(CL30+$AH$81+AK79)</f>
        <v>#DIV/0!</v>
      </c>
      <c r="AB119" s="249" t="e">
        <f>(AI79-CM30-$AI$81-AK79)/(CM30+$AI$81+AK79)</f>
        <v>#DIV/0!</v>
      </c>
      <c r="AC119" s="259"/>
      <c r="AR119" s="274"/>
      <c r="AS119" s="174">
        <v>13</v>
      </c>
      <c r="AT119" s="275" t="str">
        <f t="shared" si="89"/>
        <v/>
      </c>
      <c r="AU119" s="275" t="str">
        <f t="shared" si="90"/>
        <v/>
      </c>
      <c r="AV119" s="275" t="str">
        <f t="shared" si="91"/>
        <v/>
      </c>
      <c r="AW119" s="275" t="str">
        <f t="shared" si="92"/>
        <v/>
      </c>
      <c r="AX119" s="174">
        <v>13</v>
      </c>
      <c r="AY119" s="275" t="str">
        <f t="shared" si="93"/>
        <v/>
      </c>
      <c r="AZ119" s="275" t="str">
        <f t="shared" si="94"/>
        <v/>
      </c>
      <c r="BA119" s="275" t="str">
        <f t="shared" si="95"/>
        <v/>
      </c>
      <c r="BB119" s="275" t="str">
        <f t="shared" si="96"/>
        <v/>
      </c>
      <c r="BC119" s="275" t="str">
        <f t="shared" si="97"/>
        <v/>
      </c>
      <c r="BD119" s="279"/>
      <c r="BE119" s="279"/>
      <c r="BF119" s="275">
        <f t="shared" si="98"/>
        <v>0</v>
      </c>
      <c r="BG119" s="275">
        <f t="shared" si="99"/>
        <v>0</v>
      </c>
      <c r="BH119" s="96"/>
      <c r="BI119" s="275">
        <f t="shared" si="100"/>
        <v>0</v>
      </c>
      <c r="BJ119" s="284">
        <f t="shared" si="101"/>
        <v>0</v>
      </c>
      <c r="BK119" s="285"/>
      <c r="BL119" s="2">
        <f t="shared" si="102"/>
        <v>0</v>
      </c>
    </row>
    <row r="120" ht="20.1" customHeight="1" spans="44:64">
      <c r="AR120" s="274"/>
      <c r="AS120" s="174">
        <v>14</v>
      </c>
      <c r="AT120" s="275" t="str">
        <f t="shared" si="89"/>
        <v/>
      </c>
      <c r="AU120" s="275" t="str">
        <f t="shared" si="90"/>
        <v/>
      </c>
      <c r="AV120" s="275" t="str">
        <f t="shared" si="91"/>
        <v/>
      </c>
      <c r="AW120" s="275" t="str">
        <f t="shared" si="92"/>
        <v/>
      </c>
      <c r="AX120" s="174">
        <v>14</v>
      </c>
      <c r="AY120" s="275" t="str">
        <f t="shared" si="93"/>
        <v/>
      </c>
      <c r="AZ120" s="275" t="str">
        <f t="shared" si="94"/>
        <v/>
      </c>
      <c r="BA120" s="275" t="str">
        <f t="shared" si="95"/>
        <v/>
      </c>
      <c r="BB120" s="275" t="str">
        <f t="shared" si="96"/>
        <v/>
      </c>
      <c r="BC120" s="275" t="str">
        <f t="shared" si="97"/>
        <v/>
      </c>
      <c r="BD120" s="279"/>
      <c r="BE120" s="279"/>
      <c r="BF120" s="275">
        <f t="shared" si="98"/>
        <v>0</v>
      </c>
      <c r="BG120" s="275">
        <f t="shared" si="99"/>
        <v>0</v>
      </c>
      <c r="BH120" s="96"/>
      <c r="BI120" s="275">
        <f t="shared" si="100"/>
        <v>0</v>
      </c>
      <c r="BJ120" s="284">
        <f t="shared" si="101"/>
        <v>0</v>
      </c>
      <c r="BK120" s="285"/>
      <c r="BL120" s="2">
        <f t="shared" si="102"/>
        <v>0</v>
      </c>
    </row>
    <row r="121" ht="20.1" customHeight="1" spans="24:64">
      <c r="X121" s="43" t="s">
        <v>215</v>
      </c>
      <c r="Y121" s="260" t="s">
        <v>38</v>
      </c>
      <c r="Z121" s="260" t="s">
        <v>39</v>
      </c>
      <c r="AA121" s="260" t="s">
        <v>40</v>
      </c>
      <c r="AB121" s="260" t="s">
        <v>41</v>
      </c>
      <c r="AR121" s="274"/>
      <c r="AS121" s="174">
        <v>15</v>
      </c>
      <c r="AT121" s="275" t="str">
        <f t="shared" si="89"/>
        <v/>
      </c>
      <c r="AU121" s="275" t="str">
        <f t="shared" si="90"/>
        <v/>
      </c>
      <c r="AV121" s="275" t="str">
        <f t="shared" si="91"/>
        <v/>
      </c>
      <c r="AW121" s="275" t="str">
        <f t="shared" si="92"/>
        <v/>
      </c>
      <c r="AX121" s="174">
        <v>15</v>
      </c>
      <c r="AY121" s="275" t="str">
        <f t="shared" si="93"/>
        <v/>
      </c>
      <c r="AZ121" s="275" t="str">
        <f t="shared" si="94"/>
        <v/>
      </c>
      <c r="BA121" s="275" t="str">
        <f t="shared" si="95"/>
        <v/>
      </c>
      <c r="BB121" s="275" t="str">
        <f t="shared" si="96"/>
        <v/>
      </c>
      <c r="BC121" s="275" t="str">
        <f t="shared" si="97"/>
        <v/>
      </c>
      <c r="BD121" s="279"/>
      <c r="BE121" s="279"/>
      <c r="BF121" s="275">
        <f t="shared" si="98"/>
        <v>0</v>
      </c>
      <c r="BG121" s="275">
        <f t="shared" si="99"/>
        <v>0</v>
      </c>
      <c r="BH121" s="96"/>
      <c r="BI121" s="275">
        <f t="shared" si="100"/>
        <v>0</v>
      </c>
      <c r="BJ121" s="284">
        <f t="shared" si="101"/>
        <v>0</v>
      </c>
      <c r="BK121" s="285"/>
      <c r="BL121" s="2">
        <f t="shared" si="102"/>
        <v>0</v>
      </c>
    </row>
    <row r="122" ht="20.1" customHeight="1" spans="24:64">
      <c r="X122" s="246" t="s">
        <v>216</v>
      </c>
      <c r="Y122" s="261">
        <f>IF(1-(($AH$18-1)*Y125/10+0.95+(H42-0.95)*Y124)&gt;0,1-(($AH$18-1)*Y125/10+0.95+(H42-0.95)*Y124),0)</f>
        <v>0.335</v>
      </c>
      <c r="Z122" s="261">
        <f>IF(1-(($AH$18-1)*Z125/10+0.95+(H43-0.95)*Z124)&gt;0,1-(($AH$18-1)*Z125/10+0.95+(H43-0.95)*Z124),0)</f>
        <v>0.335</v>
      </c>
      <c r="AA122" s="261">
        <f>1-(($AH$18-1)*AA125/10+0.95+(H44-0.95)*AA124)</f>
        <v>0.335</v>
      </c>
      <c r="AB122" s="261">
        <f>1-(($AH$18-1)*AB125/10+0.95+(H45-0.95)*AB124)</f>
        <v>0.335</v>
      </c>
      <c r="AR122" s="274"/>
      <c r="AS122" s="174">
        <v>16</v>
      </c>
      <c r="AT122" s="275" t="str">
        <f t="shared" si="89"/>
        <v/>
      </c>
      <c r="AU122" s="275" t="str">
        <f t="shared" si="90"/>
        <v/>
      </c>
      <c r="AV122" s="275" t="str">
        <f t="shared" si="91"/>
        <v/>
      </c>
      <c r="AW122" s="275" t="str">
        <f t="shared" si="92"/>
        <v/>
      </c>
      <c r="AX122" s="174">
        <v>16</v>
      </c>
      <c r="AY122" s="275" t="str">
        <f t="shared" si="93"/>
        <v/>
      </c>
      <c r="AZ122" s="275" t="str">
        <f t="shared" si="94"/>
        <v/>
      </c>
      <c r="BA122" s="275" t="str">
        <f t="shared" si="95"/>
        <v/>
      </c>
      <c r="BB122" s="275" t="str">
        <f t="shared" si="96"/>
        <v/>
      </c>
      <c r="BC122" s="275" t="str">
        <f t="shared" si="97"/>
        <v/>
      </c>
      <c r="BD122" s="279"/>
      <c r="BE122" s="279"/>
      <c r="BF122" s="275">
        <f t="shared" si="98"/>
        <v>0</v>
      </c>
      <c r="BG122" s="275">
        <f t="shared" si="99"/>
        <v>0</v>
      </c>
      <c r="BH122" s="96"/>
      <c r="BI122" s="275">
        <f t="shared" si="100"/>
        <v>0</v>
      </c>
      <c r="BJ122" s="284">
        <f t="shared" si="101"/>
        <v>0</v>
      </c>
      <c r="BK122" s="285"/>
      <c r="BL122" s="2">
        <f t="shared" si="102"/>
        <v>0</v>
      </c>
    </row>
    <row r="123" ht="20.1" customHeight="1" spans="24:64">
      <c r="X123" s="246" t="s">
        <v>218</v>
      </c>
      <c r="Y123" s="261">
        <f>1-Y122</f>
        <v>0.665</v>
      </c>
      <c r="Z123" s="261">
        <f>1-Z122</f>
        <v>0.665</v>
      </c>
      <c r="AA123" s="261">
        <f>1-AA122</f>
        <v>0.665</v>
      </c>
      <c r="AB123" s="261">
        <f>1-AB122</f>
        <v>0.665</v>
      </c>
      <c r="AR123" s="274"/>
      <c r="AS123" s="174">
        <v>17</v>
      </c>
      <c r="AT123" s="275" t="str">
        <f t="shared" si="89"/>
        <v/>
      </c>
      <c r="AU123" s="275" t="str">
        <f t="shared" si="90"/>
        <v/>
      </c>
      <c r="AV123" s="275" t="str">
        <f t="shared" si="91"/>
        <v/>
      </c>
      <c r="AW123" s="275" t="str">
        <f t="shared" si="92"/>
        <v/>
      </c>
      <c r="AX123" s="174">
        <v>17</v>
      </c>
      <c r="AY123" s="275" t="str">
        <f t="shared" si="93"/>
        <v/>
      </c>
      <c r="AZ123" s="275" t="str">
        <f t="shared" si="94"/>
        <v/>
      </c>
      <c r="BA123" s="275" t="str">
        <f t="shared" si="95"/>
        <v/>
      </c>
      <c r="BB123" s="275" t="str">
        <f t="shared" si="96"/>
        <v/>
      </c>
      <c r="BC123" s="275" t="str">
        <f t="shared" si="97"/>
        <v/>
      </c>
      <c r="BD123" s="279"/>
      <c r="BE123" s="279"/>
      <c r="BF123" s="275">
        <f t="shared" si="98"/>
        <v>0</v>
      </c>
      <c r="BG123" s="275">
        <f t="shared" si="99"/>
        <v>0</v>
      </c>
      <c r="BH123" s="96"/>
      <c r="BI123" s="275">
        <f t="shared" si="100"/>
        <v>0</v>
      </c>
      <c r="BJ123" s="284">
        <f t="shared" si="101"/>
        <v>0</v>
      </c>
      <c r="BK123" s="285"/>
      <c r="BL123" s="2">
        <f t="shared" si="102"/>
        <v>0</v>
      </c>
    </row>
    <row r="124" ht="20.1" customHeight="1" spans="24:64">
      <c r="X124" s="246" t="s">
        <v>219</v>
      </c>
      <c r="Y124" s="96">
        <v>0.3</v>
      </c>
      <c r="Z124" s="96">
        <v>0.3</v>
      </c>
      <c r="AA124" s="96">
        <v>0.3</v>
      </c>
      <c r="AB124" s="96">
        <v>0.3</v>
      </c>
      <c r="AR124" s="274"/>
      <c r="AS124" s="174">
        <v>18</v>
      </c>
      <c r="AT124" s="275" t="str">
        <f t="shared" si="89"/>
        <v/>
      </c>
      <c r="AU124" s="275" t="str">
        <f t="shared" si="90"/>
        <v/>
      </c>
      <c r="AV124" s="275" t="str">
        <f t="shared" si="91"/>
        <v/>
      </c>
      <c r="AW124" s="275" t="str">
        <f t="shared" si="92"/>
        <v/>
      </c>
      <c r="AX124" s="174">
        <v>18</v>
      </c>
      <c r="AY124" s="275" t="str">
        <f t="shared" si="93"/>
        <v/>
      </c>
      <c r="AZ124" s="275" t="str">
        <f t="shared" si="94"/>
        <v/>
      </c>
      <c r="BA124" s="275" t="str">
        <f t="shared" si="95"/>
        <v/>
      </c>
      <c r="BB124" s="275" t="str">
        <f t="shared" si="96"/>
        <v/>
      </c>
      <c r="BC124" s="275" t="str">
        <f t="shared" si="97"/>
        <v/>
      </c>
      <c r="BD124" s="279"/>
      <c r="BE124" s="279"/>
      <c r="BF124" s="275">
        <f t="shared" si="98"/>
        <v>0</v>
      </c>
      <c r="BG124" s="275">
        <f t="shared" si="99"/>
        <v>0</v>
      </c>
      <c r="BH124" s="96"/>
      <c r="BI124" s="275">
        <f t="shared" si="100"/>
        <v>0</v>
      </c>
      <c r="BJ124" s="284">
        <f t="shared" si="101"/>
        <v>0</v>
      </c>
      <c r="BK124" s="285"/>
      <c r="BL124" s="2">
        <f t="shared" si="102"/>
        <v>0</v>
      </c>
    </row>
    <row r="125" ht="20.1" customHeight="1" spans="24:64">
      <c r="X125" s="2" t="s">
        <v>508</v>
      </c>
      <c r="Y125" s="96">
        <v>0.7</v>
      </c>
      <c r="Z125" s="96">
        <v>0.7</v>
      </c>
      <c r="AA125" s="96">
        <v>0.7</v>
      </c>
      <c r="AB125" s="96">
        <v>0.7</v>
      </c>
      <c r="AR125" s="274"/>
      <c r="AS125" s="174">
        <v>19</v>
      </c>
      <c r="AT125" s="275" t="str">
        <f t="shared" si="89"/>
        <v/>
      </c>
      <c r="AU125" s="275" t="str">
        <f t="shared" si="90"/>
        <v/>
      </c>
      <c r="AV125" s="275" t="str">
        <f t="shared" si="91"/>
        <v/>
      </c>
      <c r="AW125" s="275" t="str">
        <f t="shared" si="92"/>
        <v/>
      </c>
      <c r="AX125" s="174">
        <v>19</v>
      </c>
      <c r="AY125" s="275" t="str">
        <f t="shared" si="93"/>
        <v/>
      </c>
      <c r="AZ125" s="275" t="str">
        <f t="shared" si="94"/>
        <v/>
      </c>
      <c r="BA125" s="275" t="str">
        <f t="shared" si="95"/>
        <v/>
      </c>
      <c r="BB125" s="275" t="str">
        <f t="shared" si="96"/>
        <v/>
      </c>
      <c r="BC125" s="275" t="str">
        <f t="shared" si="97"/>
        <v/>
      </c>
      <c r="BD125" s="279"/>
      <c r="BE125" s="279"/>
      <c r="BF125" s="275">
        <f t="shared" si="98"/>
        <v>0</v>
      </c>
      <c r="BG125" s="275">
        <f t="shared" si="99"/>
        <v>0</v>
      </c>
      <c r="BH125" s="96"/>
      <c r="BI125" s="275">
        <f t="shared" si="100"/>
        <v>0</v>
      </c>
      <c r="BJ125" s="284">
        <f t="shared" si="101"/>
        <v>0</v>
      </c>
      <c r="BK125" s="285"/>
      <c r="BL125" s="2">
        <f t="shared" si="102"/>
        <v>0</v>
      </c>
    </row>
    <row r="126" ht="20.1" customHeight="1" spans="44:64">
      <c r="AR126" s="274"/>
      <c r="AS126" s="174">
        <v>20</v>
      </c>
      <c r="AT126" s="275" t="str">
        <f t="shared" si="89"/>
        <v/>
      </c>
      <c r="AU126" s="275" t="str">
        <f t="shared" si="90"/>
        <v/>
      </c>
      <c r="AV126" s="275" t="str">
        <f t="shared" si="91"/>
        <v/>
      </c>
      <c r="AW126" s="275" t="str">
        <f t="shared" si="92"/>
        <v/>
      </c>
      <c r="AX126" s="174">
        <v>20</v>
      </c>
      <c r="AY126" s="275" t="str">
        <f t="shared" si="93"/>
        <v/>
      </c>
      <c r="AZ126" s="275" t="str">
        <f t="shared" si="94"/>
        <v/>
      </c>
      <c r="BA126" s="275" t="str">
        <f t="shared" si="95"/>
        <v/>
      </c>
      <c r="BB126" s="275" t="str">
        <f t="shared" si="96"/>
        <v/>
      </c>
      <c r="BC126" s="275" t="str">
        <f t="shared" si="97"/>
        <v/>
      </c>
      <c r="BD126" s="279"/>
      <c r="BE126" s="279"/>
      <c r="BF126" s="275">
        <f t="shared" si="98"/>
        <v>0</v>
      </c>
      <c r="BG126" s="275">
        <f t="shared" si="99"/>
        <v>0</v>
      </c>
      <c r="BH126" s="96"/>
      <c r="BI126" s="275">
        <f t="shared" si="100"/>
        <v>0</v>
      </c>
      <c r="BJ126" s="284">
        <f t="shared" si="101"/>
        <v>0</v>
      </c>
      <c r="BK126" s="285"/>
      <c r="BL126" s="2">
        <f t="shared" si="102"/>
        <v>0</v>
      </c>
    </row>
    <row r="127" ht="20.1" customHeight="1" spans="44:64">
      <c r="AR127" s="276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  <c r="BC127" s="277"/>
      <c r="BD127" s="277"/>
      <c r="BE127" s="277"/>
      <c r="BF127" s="277"/>
      <c r="BG127" s="277"/>
      <c r="BH127" s="277"/>
      <c r="BI127" s="277"/>
      <c r="BJ127" s="277"/>
      <c r="BK127" s="286"/>
      <c r="BL127" s="2">
        <f>IF(I105&lt;E105,-0.1,0)</f>
        <v>0</v>
      </c>
    </row>
    <row r="128" ht="20.1" customHeight="1"/>
    <row r="129" ht="20.1" customHeight="1" spans="44:55">
      <c r="AR129" s="218" t="s">
        <v>201</v>
      </c>
      <c r="AS129" s="218" t="s">
        <v>205</v>
      </c>
      <c r="AV129" s="302" t="s">
        <v>206</v>
      </c>
      <c r="BB129" s="218" t="s">
        <v>202</v>
      </c>
      <c r="BC129" s="218" t="s">
        <v>204</v>
      </c>
    </row>
    <row r="130" ht="20.1" customHeight="1" spans="22:55">
      <c r="V130" s="9" t="s">
        <v>509</v>
      </c>
      <c r="W130" s="71">
        <f>比赛参数!D4</f>
        <v>11</v>
      </c>
      <c r="X130" s="96"/>
      <c r="Y130" s="96"/>
      <c r="Z130" s="96"/>
      <c r="AA130" s="96"/>
      <c r="AB130" s="177">
        <f>AF64</f>
        <v>0</v>
      </c>
      <c r="AC130" s="177">
        <f>AF65</f>
        <v>0</v>
      </c>
      <c r="AD130" s="177">
        <f>AF66</f>
        <v>0</v>
      </c>
      <c r="AE130" s="177">
        <f>AF67</f>
        <v>0</v>
      </c>
      <c r="AH130" s="96"/>
      <c r="AI130" s="96"/>
      <c r="AJ130" s="96"/>
      <c r="AK130" s="96"/>
      <c r="AL130" s="177">
        <f>AG64</f>
        <v>0</v>
      </c>
      <c r="AM130" s="177">
        <f>AG65</f>
        <v>0</v>
      </c>
      <c r="AN130" s="177">
        <f>AG66</f>
        <v>0</v>
      </c>
      <c r="AO130" s="177">
        <f>AG67</f>
        <v>0</v>
      </c>
      <c r="AR130" s="303" t="str">
        <f>比赛参数!E75</f>
        <v>0.15</v>
      </c>
      <c r="AS130" s="303" t="str">
        <f>比赛参数!I75</f>
        <v>0.12</v>
      </c>
      <c r="AV130" s="303" t="str">
        <f>比赛参数!J75</f>
        <v>0.13</v>
      </c>
      <c r="BB130" s="218" t="str">
        <f>AU181</f>
        <v>0.12</v>
      </c>
      <c r="BC130" s="218" t="str">
        <f>AV181</f>
        <v>0.16</v>
      </c>
    </row>
    <row r="131" ht="20.1" customHeight="1" spans="22:56">
      <c r="V131" s="295" t="s">
        <v>21</v>
      </c>
      <c r="W131" s="9">
        <v>1</v>
      </c>
      <c r="X131" s="296">
        <f t="shared" ref="X131:X150" si="103">D50</f>
        <v>0</v>
      </c>
      <c r="Y131" s="296">
        <f t="shared" ref="Y131:Y150" si="104">E50</f>
        <v>0</v>
      </c>
      <c r="Z131" s="296">
        <f t="shared" ref="Z131:Z150" si="105">F50</f>
        <v>0</v>
      </c>
      <c r="AA131" s="296">
        <f t="shared" ref="AA131:AA150" si="106">G50</f>
        <v>0</v>
      </c>
      <c r="AB131" s="299" t="e">
        <f t="shared" ref="AB131:AB150" si="107">INT(Y$232*D73+0.5)</f>
        <v>#DIV/0!</v>
      </c>
      <c r="AC131" s="299" t="e">
        <f t="shared" ref="AC131:AC150" si="108">INT(Z$232*E73+0.5)</f>
        <v>#DIV/0!</v>
      </c>
      <c r="AD131" s="299" t="e">
        <f t="shared" ref="AD131:AD150" si="109">INT(AA$232*F73+0.5)</f>
        <v>#DIV/0!</v>
      </c>
      <c r="AE131" s="299" t="e">
        <f t="shared" ref="AE131:AE150" si="110">INT(AB$232*G73+0.5)</f>
        <v>#DIV/0!</v>
      </c>
      <c r="AF131" s="295" t="s">
        <v>22</v>
      </c>
      <c r="AG131" s="9">
        <v>1</v>
      </c>
      <c r="AH131" s="300">
        <f t="shared" ref="AH131:AH150" si="111">H50</f>
        <v>0</v>
      </c>
      <c r="AI131" s="300">
        <f t="shared" ref="AI131:AI150" si="112">I50</f>
        <v>0</v>
      </c>
      <c r="AJ131" s="300">
        <f t="shared" ref="AJ131:AJ150" si="113">J50</f>
        <v>0</v>
      </c>
      <c r="AK131" s="300">
        <f t="shared" ref="AK131:AK150" si="114">K50</f>
        <v>0</v>
      </c>
      <c r="AL131" s="301" t="e">
        <f t="shared" ref="AL131:AL150" si="115">INT(AC$232*H73+0.5)</f>
        <v>#DIV/0!</v>
      </c>
      <c r="AM131" s="301" t="e">
        <f t="shared" ref="AM131:AM150" si="116">INT(AD$232*I73+0.5)</f>
        <v>#DIV/0!</v>
      </c>
      <c r="AN131" s="301" t="e">
        <f t="shared" ref="AN131:AN150" si="117">INT(AE$232*J73+0.5)</f>
        <v>#DIV/0!</v>
      </c>
      <c r="AO131" s="301" t="e">
        <f t="shared" ref="AO131:AO150" si="118">INT(AF$232*K73+0.5)</f>
        <v>#DIV/0!</v>
      </c>
      <c r="AR131" s="9" t="s">
        <v>392</v>
      </c>
      <c r="AS131" s="304" t="s">
        <v>200</v>
      </c>
      <c r="AT131" s="304" t="s">
        <v>493</v>
      </c>
      <c r="AU131" s="304" t="s">
        <v>202</v>
      </c>
      <c r="AV131" s="304" t="s">
        <v>204</v>
      </c>
      <c r="AX131" s="2" t="s">
        <v>345</v>
      </c>
      <c r="BA131" s="9" t="s">
        <v>392</v>
      </c>
      <c r="BB131" s="307" t="s">
        <v>202</v>
      </c>
      <c r="BC131" s="308" t="s">
        <v>204</v>
      </c>
      <c r="BD131" s="2" t="s">
        <v>510</v>
      </c>
    </row>
    <row r="132" ht="20.1" customHeight="1" spans="22:60">
      <c r="V132" s="297"/>
      <c r="W132" s="9">
        <v>2</v>
      </c>
      <c r="X132" s="296">
        <f t="shared" si="103"/>
        <v>0</v>
      </c>
      <c r="Y132" s="296">
        <f t="shared" si="104"/>
        <v>0</v>
      </c>
      <c r="Z132" s="296">
        <f t="shared" si="105"/>
        <v>0</v>
      </c>
      <c r="AA132" s="296">
        <f t="shared" si="106"/>
        <v>0</v>
      </c>
      <c r="AB132" s="299" t="e">
        <f t="shared" si="107"/>
        <v>#DIV/0!</v>
      </c>
      <c r="AC132" s="299" t="e">
        <f t="shared" si="108"/>
        <v>#DIV/0!</v>
      </c>
      <c r="AD132" s="299" t="e">
        <f t="shared" si="109"/>
        <v>#DIV/0!</v>
      </c>
      <c r="AE132" s="299" t="e">
        <f t="shared" si="110"/>
        <v>#DIV/0!</v>
      </c>
      <c r="AF132" s="297"/>
      <c r="AG132" s="9">
        <v>2</v>
      </c>
      <c r="AH132" s="300">
        <f t="shared" si="111"/>
        <v>0</v>
      </c>
      <c r="AI132" s="300">
        <f t="shared" si="112"/>
        <v>0</v>
      </c>
      <c r="AJ132" s="300">
        <f t="shared" si="113"/>
        <v>0</v>
      </c>
      <c r="AK132" s="300">
        <f t="shared" si="114"/>
        <v>0</v>
      </c>
      <c r="AL132" s="301" t="e">
        <f t="shared" si="115"/>
        <v>#DIV/0!</v>
      </c>
      <c r="AM132" s="301" t="e">
        <f t="shared" si="116"/>
        <v>#DIV/0!</v>
      </c>
      <c r="AN132" s="301" t="e">
        <f t="shared" si="117"/>
        <v>#DIV/0!</v>
      </c>
      <c r="AO132" s="301" t="e">
        <f t="shared" si="118"/>
        <v>#DIV/0!</v>
      </c>
      <c r="AR132" s="174">
        <v>1</v>
      </c>
      <c r="AS132" s="305" t="str">
        <f t="shared" ref="AS132:AS151" si="119">IF(F95="","",F95)</f>
        <v/>
      </c>
      <c r="AT132" s="306" t="str">
        <f t="shared" ref="AT132:AT151" si="120">IF(G95="","",G95)</f>
        <v/>
      </c>
      <c r="AU132" s="306" t="str">
        <f t="shared" ref="AU132:AU151" si="121">IF(H95="","",H95)</f>
        <v/>
      </c>
      <c r="AV132" s="306" t="str">
        <f t="shared" ref="AV132:AV151" si="122">IF(J95="","",J95)</f>
        <v/>
      </c>
      <c r="AW132" s="309"/>
      <c r="AX132" s="142"/>
      <c r="AY132" s="306" t="str">
        <f t="shared" ref="AY132:AY151" si="123">IF(AU132="","",AU132+AX132)</f>
        <v/>
      </c>
      <c r="AZ132" s="306" t="str">
        <f t="shared" ref="AZ132:AZ151" si="124">IF(AV132="","",AV132-AX132)</f>
        <v/>
      </c>
      <c r="BA132" s="174">
        <v>1</v>
      </c>
      <c r="BB132" s="310" t="e">
        <f t="shared" ref="BB132:BB151" si="125">(AY132-AY$153)/AY$178*BB$130</f>
        <v>#VALUE!</v>
      </c>
      <c r="BC132" s="279" t="e">
        <f t="shared" ref="BC132:BC151" si="126">(AZ132-AZ$153)/AZ$178*BC$130</f>
        <v>#VALUE!</v>
      </c>
      <c r="BD132" s="311" t="e">
        <f t="shared" ref="BD132:BD151" si="127">BB132+BC132</f>
        <v>#VALUE!</v>
      </c>
      <c r="BE132" s="175"/>
      <c r="BF132" s="175"/>
      <c r="BG132" s="175"/>
      <c r="BH132" s="175"/>
    </row>
    <row r="133" ht="20.1" customHeight="1" spans="22:60">
      <c r="V133" s="297"/>
      <c r="W133" s="9">
        <v>3</v>
      </c>
      <c r="X133" s="296">
        <f t="shared" si="103"/>
        <v>0</v>
      </c>
      <c r="Y133" s="296">
        <f t="shared" si="104"/>
        <v>0</v>
      </c>
      <c r="Z133" s="296">
        <f t="shared" si="105"/>
        <v>0</v>
      </c>
      <c r="AA133" s="296">
        <f t="shared" si="106"/>
        <v>0</v>
      </c>
      <c r="AB133" s="299" t="e">
        <f t="shared" si="107"/>
        <v>#DIV/0!</v>
      </c>
      <c r="AC133" s="299" t="e">
        <f t="shared" si="108"/>
        <v>#DIV/0!</v>
      </c>
      <c r="AD133" s="299" t="e">
        <f t="shared" si="109"/>
        <v>#DIV/0!</v>
      </c>
      <c r="AE133" s="299" t="e">
        <f t="shared" si="110"/>
        <v>#DIV/0!</v>
      </c>
      <c r="AF133" s="297"/>
      <c r="AG133" s="9">
        <v>3</v>
      </c>
      <c r="AH133" s="300">
        <f t="shared" si="111"/>
        <v>0</v>
      </c>
      <c r="AI133" s="300">
        <f t="shared" si="112"/>
        <v>0</v>
      </c>
      <c r="AJ133" s="300">
        <f t="shared" si="113"/>
        <v>0</v>
      </c>
      <c r="AK133" s="300">
        <f t="shared" si="114"/>
        <v>0</v>
      </c>
      <c r="AL133" s="301" t="e">
        <f t="shared" si="115"/>
        <v>#DIV/0!</v>
      </c>
      <c r="AM133" s="301" t="e">
        <f t="shared" si="116"/>
        <v>#DIV/0!</v>
      </c>
      <c r="AN133" s="301" t="e">
        <f t="shared" si="117"/>
        <v>#DIV/0!</v>
      </c>
      <c r="AO133" s="301" t="e">
        <f t="shared" si="118"/>
        <v>#DIV/0!</v>
      </c>
      <c r="AR133" s="174">
        <v>2</v>
      </c>
      <c r="AS133" s="306" t="str">
        <f t="shared" si="119"/>
        <v/>
      </c>
      <c r="AT133" s="306" t="str">
        <f t="shared" si="120"/>
        <v/>
      </c>
      <c r="AU133" s="306" t="str">
        <f t="shared" si="121"/>
        <v/>
      </c>
      <c r="AV133" s="306" t="str">
        <f t="shared" si="122"/>
        <v/>
      </c>
      <c r="AX133" s="142"/>
      <c r="AY133" s="306" t="str">
        <f t="shared" si="123"/>
        <v/>
      </c>
      <c r="AZ133" s="306" t="str">
        <f t="shared" si="124"/>
        <v/>
      </c>
      <c r="BA133" s="174">
        <v>2</v>
      </c>
      <c r="BB133" s="310" t="e">
        <f t="shared" si="125"/>
        <v>#VALUE!</v>
      </c>
      <c r="BC133" s="279" t="e">
        <f t="shared" si="126"/>
        <v>#VALUE!</v>
      </c>
      <c r="BD133" s="311" t="e">
        <f t="shared" si="127"/>
        <v>#VALUE!</v>
      </c>
      <c r="BE133" s="175"/>
      <c r="BF133" s="175"/>
      <c r="BG133" s="175"/>
      <c r="BH133" s="175"/>
    </row>
    <row r="134" ht="20.1" customHeight="1" spans="22:56">
      <c r="V134" s="297"/>
      <c r="W134" s="9">
        <v>4</v>
      </c>
      <c r="X134" s="296">
        <f t="shared" si="103"/>
        <v>0</v>
      </c>
      <c r="Y134" s="296">
        <f t="shared" si="104"/>
        <v>0</v>
      </c>
      <c r="Z134" s="296">
        <f t="shared" si="105"/>
        <v>0</v>
      </c>
      <c r="AA134" s="296">
        <f t="shared" si="106"/>
        <v>0</v>
      </c>
      <c r="AB134" s="299" t="e">
        <f t="shared" si="107"/>
        <v>#DIV/0!</v>
      </c>
      <c r="AC134" s="299" t="e">
        <f t="shared" si="108"/>
        <v>#DIV/0!</v>
      </c>
      <c r="AD134" s="299" t="e">
        <f t="shared" si="109"/>
        <v>#DIV/0!</v>
      </c>
      <c r="AE134" s="299" t="e">
        <f t="shared" si="110"/>
        <v>#DIV/0!</v>
      </c>
      <c r="AF134" s="297"/>
      <c r="AG134" s="9">
        <v>4</v>
      </c>
      <c r="AH134" s="300">
        <f t="shared" si="111"/>
        <v>0</v>
      </c>
      <c r="AI134" s="300">
        <f t="shared" si="112"/>
        <v>0</v>
      </c>
      <c r="AJ134" s="300">
        <f t="shared" si="113"/>
        <v>0</v>
      </c>
      <c r="AK134" s="300">
        <f t="shared" si="114"/>
        <v>0</v>
      </c>
      <c r="AL134" s="301" t="e">
        <f t="shared" si="115"/>
        <v>#DIV/0!</v>
      </c>
      <c r="AM134" s="301" t="e">
        <f t="shared" si="116"/>
        <v>#DIV/0!</v>
      </c>
      <c r="AN134" s="301" t="e">
        <f t="shared" si="117"/>
        <v>#DIV/0!</v>
      </c>
      <c r="AO134" s="301" t="e">
        <f t="shared" si="118"/>
        <v>#DIV/0!</v>
      </c>
      <c r="AR134" s="174">
        <v>3</v>
      </c>
      <c r="AS134" s="306" t="str">
        <f t="shared" si="119"/>
        <v/>
      </c>
      <c r="AT134" s="306" t="str">
        <f t="shared" si="120"/>
        <v/>
      </c>
      <c r="AU134" s="306" t="str">
        <f t="shared" si="121"/>
        <v/>
      </c>
      <c r="AV134" s="306" t="str">
        <f t="shared" si="122"/>
        <v/>
      </c>
      <c r="AX134" s="142"/>
      <c r="AY134" s="306" t="str">
        <f t="shared" si="123"/>
        <v/>
      </c>
      <c r="AZ134" s="306" t="str">
        <f t="shared" si="124"/>
        <v/>
      </c>
      <c r="BA134" s="174">
        <v>3</v>
      </c>
      <c r="BB134" s="310" t="e">
        <f t="shared" si="125"/>
        <v>#VALUE!</v>
      </c>
      <c r="BC134" s="279" t="e">
        <f t="shared" si="126"/>
        <v>#VALUE!</v>
      </c>
      <c r="BD134" s="311" t="e">
        <f t="shared" si="127"/>
        <v>#VALUE!</v>
      </c>
    </row>
    <row r="135" ht="20.1" customHeight="1" spans="22:56">
      <c r="V135" s="297"/>
      <c r="W135" s="9">
        <v>5</v>
      </c>
      <c r="X135" s="296">
        <f t="shared" si="103"/>
        <v>0</v>
      </c>
      <c r="Y135" s="296">
        <f t="shared" si="104"/>
        <v>0</v>
      </c>
      <c r="Z135" s="296">
        <f t="shared" si="105"/>
        <v>0</v>
      </c>
      <c r="AA135" s="296">
        <f t="shared" si="106"/>
        <v>0</v>
      </c>
      <c r="AB135" s="299" t="e">
        <f t="shared" si="107"/>
        <v>#DIV/0!</v>
      </c>
      <c r="AC135" s="299" t="e">
        <f t="shared" si="108"/>
        <v>#DIV/0!</v>
      </c>
      <c r="AD135" s="299" t="e">
        <f t="shared" si="109"/>
        <v>#DIV/0!</v>
      </c>
      <c r="AE135" s="299" t="e">
        <f t="shared" si="110"/>
        <v>#DIV/0!</v>
      </c>
      <c r="AF135" s="297"/>
      <c r="AG135" s="9">
        <v>5</v>
      </c>
      <c r="AH135" s="300">
        <f t="shared" si="111"/>
        <v>0</v>
      </c>
      <c r="AI135" s="300">
        <f t="shared" si="112"/>
        <v>0</v>
      </c>
      <c r="AJ135" s="300">
        <f t="shared" si="113"/>
        <v>0</v>
      </c>
      <c r="AK135" s="300">
        <f t="shared" si="114"/>
        <v>0</v>
      </c>
      <c r="AL135" s="301" t="e">
        <f t="shared" si="115"/>
        <v>#DIV/0!</v>
      </c>
      <c r="AM135" s="301" t="e">
        <f t="shared" si="116"/>
        <v>#DIV/0!</v>
      </c>
      <c r="AN135" s="301" t="e">
        <f t="shared" si="117"/>
        <v>#DIV/0!</v>
      </c>
      <c r="AO135" s="301" t="e">
        <f t="shared" si="118"/>
        <v>#DIV/0!</v>
      </c>
      <c r="AR135" s="174">
        <v>4</v>
      </c>
      <c r="AS135" s="306" t="str">
        <f t="shared" si="119"/>
        <v/>
      </c>
      <c r="AT135" s="306" t="str">
        <f t="shared" si="120"/>
        <v/>
      </c>
      <c r="AU135" s="306" t="str">
        <f t="shared" si="121"/>
        <v/>
      </c>
      <c r="AV135" s="306" t="str">
        <f t="shared" si="122"/>
        <v/>
      </c>
      <c r="AX135" s="142"/>
      <c r="AY135" s="306" t="str">
        <f t="shared" si="123"/>
        <v/>
      </c>
      <c r="AZ135" s="306" t="str">
        <f t="shared" si="124"/>
        <v/>
      </c>
      <c r="BA135" s="174">
        <v>4</v>
      </c>
      <c r="BB135" s="310" t="e">
        <f t="shared" si="125"/>
        <v>#VALUE!</v>
      </c>
      <c r="BC135" s="279" t="e">
        <f t="shared" si="126"/>
        <v>#VALUE!</v>
      </c>
      <c r="BD135" s="311" t="e">
        <f t="shared" si="127"/>
        <v>#VALUE!</v>
      </c>
    </row>
    <row r="136" ht="20.1" customHeight="1" spans="22:56">
      <c r="V136" s="297"/>
      <c r="W136" s="9">
        <v>6</v>
      </c>
      <c r="X136" s="296">
        <f t="shared" si="103"/>
        <v>0</v>
      </c>
      <c r="Y136" s="296">
        <f t="shared" si="104"/>
        <v>0</v>
      </c>
      <c r="Z136" s="296">
        <f t="shared" si="105"/>
        <v>0</v>
      </c>
      <c r="AA136" s="296">
        <f t="shared" si="106"/>
        <v>0</v>
      </c>
      <c r="AB136" s="299" t="e">
        <f t="shared" si="107"/>
        <v>#DIV/0!</v>
      </c>
      <c r="AC136" s="299" t="e">
        <f t="shared" si="108"/>
        <v>#DIV/0!</v>
      </c>
      <c r="AD136" s="299" t="e">
        <f t="shared" si="109"/>
        <v>#DIV/0!</v>
      </c>
      <c r="AE136" s="299" t="e">
        <f t="shared" si="110"/>
        <v>#DIV/0!</v>
      </c>
      <c r="AF136" s="297"/>
      <c r="AG136" s="9">
        <v>6</v>
      </c>
      <c r="AH136" s="300">
        <f t="shared" si="111"/>
        <v>0</v>
      </c>
      <c r="AI136" s="300">
        <f t="shared" si="112"/>
        <v>0</v>
      </c>
      <c r="AJ136" s="300">
        <f t="shared" si="113"/>
        <v>0</v>
      </c>
      <c r="AK136" s="300">
        <f t="shared" si="114"/>
        <v>0</v>
      </c>
      <c r="AL136" s="301" t="e">
        <f t="shared" si="115"/>
        <v>#DIV/0!</v>
      </c>
      <c r="AM136" s="301" t="e">
        <f t="shared" si="116"/>
        <v>#DIV/0!</v>
      </c>
      <c r="AN136" s="301" t="e">
        <f t="shared" si="117"/>
        <v>#DIV/0!</v>
      </c>
      <c r="AO136" s="301" t="e">
        <f t="shared" si="118"/>
        <v>#DIV/0!</v>
      </c>
      <c r="AR136" s="174">
        <v>5</v>
      </c>
      <c r="AS136" s="306" t="str">
        <f t="shared" si="119"/>
        <v/>
      </c>
      <c r="AT136" s="306" t="str">
        <f t="shared" si="120"/>
        <v/>
      </c>
      <c r="AU136" s="306" t="str">
        <f t="shared" si="121"/>
        <v/>
      </c>
      <c r="AV136" s="306" t="str">
        <f t="shared" si="122"/>
        <v/>
      </c>
      <c r="AX136" s="142"/>
      <c r="AY136" s="306" t="str">
        <f t="shared" si="123"/>
        <v/>
      </c>
      <c r="AZ136" s="306" t="str">
        <f t="shared" si="124"/>
        <v/>
      </c>
      <c r="BA136" s="174">
        <v>5</v>
      </c>
      <c r="BB136" s="310" t="e">
        <f t="shared" si="125"/>
        <v>#VALUE!</v>
      </c>
      <c r="BC136" s="279" t="e">
        <f t="shared" si="126"/>
        <v>#VALUE!</v>
      </c>
      <c r="BD136" s="311" t="e">
        <f t="shared" si="127"/>
        <v>#VALUE!</v>
      </c>
    </row>
    <row r="137" ht="20.1" customHeight="1" spans="22:56">
      <c r="V137" s="297"/>
      <c r="W137" s="9">
        <v>7</v>
      </c>
      <c r="X137" s="296">
        <f t="shared" si="103"/>
        <v>0</v>
      </c>
      <c r="Y137" s="296">
        <f t="shared" si="104"/>
        <v>0</v>
      </c>
      <c r="Z137" s="296">
        <f t="shared" si="105"/>
        <v>0</v>
      </c>
      <c r="AA137" s="296">
        <f t="shared" si="106"/>
        <v>0</v>
      </c>
      <c r="AB137" s="299" t="e">
        <f t="shared" si="107"/>
        <v>#DIV/0!</v>
      </c>
      <c r="AC137" s="299" t="e">
        <f t="shared" si="108"/>
        <v>#DIV/0!</v>
      </c>
      <c r="AD137" s="299" t="e">
        <f t="shared" si="109"/>
        <v>#DIV/0!</v>
      </c>
      <c r="AE137" s="299" t="e">
        <f t="shared" si="110"/>
        <v>#DIV/0!</v>
      </c>
      <c r="AF137" s="297"/>
      <c r="AG137" s="9">
        <v>7</v>
      </c>
      <c r="AH137" s="300">
        <f t="shared" si="111"/>
        <v>0</v>
      </c>
      <c r="AI137" s="300">
        <f t="shared" si="112"/>
        <v>0</v>
      </c>
      <c r="AJ137" s="300">
        <f t="shared" si="113"/>
        <v>0</v>
      </c>
      <c r="AK137" s="300">
        <f t="shared" si="114"/>
        <v>0</v>
      </c>
      <c r="AL137" s="301" t="e">
        <f t="shared" si="115"/>
        <v>#DIV/0!</v>
      </c>
      <c r="AM137" s="301" t="e">
        <f t="shared" si="116"/>
        <v>#DIV/0!</v>
      </c>
      <c r="AN137" s="301" t="e">
        <f t="shared" si="117"/>
        <v>#DIV/0!</v>
      </c>
      <c r="AO137" s="301" t="e">
        <f t="shared" si="118"/>
        <v>#DIV/0!</v>
      </c>
      <c r="AR137" s="174">
        <v>6</v>
      </c>
      <c r="AS137" s="306" t="str">
        <f t="shared" si="119"/>
        <v/>
      </c>
      <c r="AT137" s="306" t="str">
        <f t="shared" si="120"/>
        <v/>
      </c>
      <c r="AU137" s="306" t="str">
        <f t="shared" si="121"/>
        <v/>
      </c>
      <c r="AV137" s="306" t="str">
        <f t="shared" si="122"/>
        <v/>
      </c>
      <c r="AX137" s="142"/>
      <c r="AY137" s="306" t="str">
        <f t="shared" si="123"/>
        <v/>
      </c>
      <c r="AZ137" s="306" t="str">
        <f t="shared" si="124"/>
        <v/>
      </c>
      <c r="BA137" s="174">
        <v>6</v>
      </c>
      <c r="BB137" s="310" t="e">
        <f t="shared" si="125"/>
        <v>#VALUE!</v>
      </c>
      <c r="BC137" s="279" t="e">
        <f t="shared" si="126"/>
        <v>#VALUE!</v>
      </c>
      <c r="BD137" s="311" t="e">
        <f t="shared" si="127"/>
        <v>#VALUE!</v>
      </c>
    </row>
    <row r="138" ht="20.1" customHeight="1" spans="22:56">
      <c r="V138" s="297"/>
      <c r="W138" s="9">
        <v>8</v>
      </c>
      <c r="X138" s="296">
        <f t="shared" si="103"/>
        <v>0</v>
      </c>
      <c r="Y138" s="296">
        <f t="shared" si="104"/>
        <v>0</v>
      </c>
      <c r="Z138" s="296">
        <f t="shared" si="105"/>
        <v>0</v>
      </c>
      <c r="AA138" s="296">
        <f t="shared" si="106"/>
        <v>0</v>
      </c>
      <c r="AB138" s="299" t="e">
        <f t="shared" si="107"/>
        <v>#DIV/0!</v>
      </c>
      <c r="AC138" s="299" t="e">
        <f t="shared" si="108"/>
        <v>#DIV/0!</v>
      </c>
      <c r="AD138" s="299" t="e">
        <f t="shared" si="109"/>
        <v>#DIV/0!</v>
      </c>
      <c r="AE138" s="299" t="e">
        <f t="shared" si="110"/>
        <v>#DIV/0!</v>
      </c>
      <c r="AF138" s="297"/>
      <c r="AG138" s="9">
        <v>8</v>
      </c>
      <c r="AH138" s="300">
        <f t="shared" si="111"/>
        <v>0</v>
      </c>
      <c r="AI138" s="300">
        <f t="shared" si="112"/>
        <v>0</v>
      </c>
      <c r="AJ138" s="300">
        <f t="shared" si="113"/>
        <v>0</v>
      </c>
      <c r="AK138" s="300">
        <f t="shared" si="114"/>
        <v>0</v>
      </c>
      <c r="AL138" s="301" t="e">
        <f t="shared" si="115"/>
        <v>#DIV/0!</v>
      </c>
      <c r="AM138" s="301" t="e">
        <f t="shared" si="116"/>
        <v>#DIV/0!</v>
      </c>
      <c r="AN138" s="301" t="e">
        <f t="shared" si="117"/>
        <v>#DIV/0!</v>
      </c>
      <c r="AO138" s="301" t="e">
        <f t="shared" si="118"/>
        <v>#DIV/0!</v>
      </c>
      <c r="AR138" s="174">
        <v>7</v>
      </c>
      <c r="AS138" s="306" t="str">
        <f t="shared" si="119"/>
        <v/>
      </c>
      <c r="AT138" s="306" t="str">
        <f t="shared" si="120"/>
        <v/>
      </c>
      <c r="AU138" s="306" t="str">
        <f t="shared" si="121"/>
        <v/>
      </c>
      <c r="AV138" s="306" t="str">
        <f t="shared" si="122"/>
        <v/>
      </c>
      <c r="AX138" s="142"/>
      <c r="AY138" s="306" t="str">
        <f t="shared" si="123"/>
        <v/>
      </c>
      <c r="AZ138" s="306" t="str">
        <f t="shared" si="124"/>
        <v/>
      </c>
      <c r="BA138" s="174">
        <v>7</v>
      </c>
      <c r="BB138" s="310" t="e">
        <f t="shared" si="125"/>
        <v>#VALUE!</v>
      </c>
      <c r="BC138" s="279" t="e">
        <f t="shared" si="126"/>
        <v>#VALUE!</v>
      </c>
      <c r="BD138" s="311" t="e">
        <f t="shared" si="127"/>
        <v>#VALUE!</v>
      </c>
    </row>
    <row r="139" ht="20.1" customHeight="1" spans="22:56">
      <c r="V139" s="297"/>
      <c r="W139" s="9">
        <v>9</v>
      </c>
      <c r="X139" s="296">
        <f t="shared" si="103"/>
        <v>0</v>
      </c>
      <c r="Y139" s="296">
        <f t="shared" si="104"/>
        <v>0</v>
      </c>
      <c r="Z139" s="296">
        <f t="shared" si="105"/>
        <v>0</v>
      </c>
      <c r="AA139" s="296">
        <f t="shared" si="106"/>
        <v>0</v>
      </c>
      <c r="AB139" s="299" t="e">
        <f t="shared" si="107"/>
        <v>#DIV/0!</v>
      </c>
      <c r="AC139" s="299" t="e">
        <f t="shared" si="108"/>
        <v>#DIV/0!</v>
      </c>
      <c r="AD139" s="299" t="e">
        <f t="shared" si="109"/>
        <v>#DIV/0!</v>
      </c>
      <c r="AE139" s="299" t="e">
        <f t="shared" si="110"/>
        <v>#DIV/0!</v>
      </c>
      <c r="AF139" s="297"/>
      <c r="AG139" s="9">
        <v>9</v>
      </c>
      <c r="AH139" s="300">
        <f t="shared" si="111"/>
        <v>0</v>
      </c>
      <c r="AI139" s="300">
        <f t="shared" si="112"/>
        <v>0</v>
      </c>
      <c r="AJ139" s="300">
        <f t="shared" si="113"/>
        <v>0</v>
      </c>
      <c r="AK139" s="300">
        <f t="shared" si="114"/>
        <v>0</v>
      </c>
      <c r="AL139" s="301" t="e">
        <f t="shared" si="115"/>
        <v>#DIV/0!</v>
      </c>
      <c r="AM139" s="301" t="e">
        <f t="shared" si="116"/>
        <v>#DIV/0!</v>
      </c>
      <c r="AN139" s="301" t="e">
        <f t="shared" si="117"/>
        <v>#DIV/0!</v>
      </c>
      <c r="AO139" s="301" t="e">
        <f t="shared" si="118"/>
        <v>#DIV/0!</v>
      </c>
      <c r="AR139" s="174">
        <v>8</v>
      </c>
      <c r="AS139" s="306" t="str">
        <f t="shared" si="119"/>
        <v/>
      </c>
      <c r="AT139" s="306" t="str">
        <f t="shared" si="120"/>
        <v/>
      </c>
      <c r="AU139" s="306" t="str">
        <f t="shared" si="121"/>
        <v/>
      </c>
      <c r="AV139" s="306" t="str">
        <f t="shared" si="122"/>
        <v/>
      </c>
      <c r="AX139" s="142"/>
      <c r="AY139" s="306" t="str">
        <f t="shared" si="123"/>
        <v/>
      </c>
      <c r="AZ139" s="306" t="str">
        <f t="shared" si="124"/>
        <v/>
      </c>
      <c r="BA139" s="174">
        <v>8</v>
      </c>
      <c r="BB139" s="310" t="e">
        <f t="shared" si="125"/>
        <v>#VALUE!</v>
      </c>
      <c r="BC139" s="279" t="e">
        <f t="shared" si="126"/>
        <v>#VALUE!</v>
      </c>
      <c r="BD139" s="311" t="e">
        <f t="shared" si="127"/>
        <v>#VALUE!</v>
      </c>
    </row>
    <row r="140" ht="20.1" customHeight="1" spans="22:56">
      <c r="V140" s="297"/>
      <c r="W140" s="9">
        <v>10</v>
      </c>
      <c r="X140" s="296">
        <f t="shared" si="103"/>
        <v>0</v>
      </c>
      <c r="Y140" s="296">
        <f t="shared" si="104"/>
        <v>0</v>
      </c>
      <c r="Z140" s="296">
        <f t="shared" si="105"/>
        <v>0</v>
      </c>
      <c r="AA140" s="296">
        <f t="shared" si="106"/>
        <v>0</v>
      </c>
      <c r="AB140" s="299" t="e">
        <f t="shared" si="107"/>
        <v>#DIV/0!</v>
      </c>
      <c r="AC140" s="299" t="e">
        <f t="shared" si="108"/>
        <v>#DIV/0!</v>
      </c>
      <c r="AD140" s="299" t="e">
        <f t="shared" si="109"/>
        <v>#DIV/0!</v>
      </c>
      <c r="AE140" s="299" t="e">
        <f t="shared" si="110"/>
        <v>#DIV/0!</v>
      </c>
      <c r="AF140" s="297"/>
      <c r="AG140" s="9">
        <v>10</v>
      </c>
      <c r="AH140" s="300">
        <f t="shared" si="111"/>
        <v>0</v>
      </c>
      <c r="AI140" s="300">
        <f t="shared" si="112"/>
        <v>0</v>
      </c>
      <c r="AJ140" s="300">
        <f t="shared" si="113"/>
        <v>0</v>
      </c>
      <c r="AK140" s="300">
        <f t="shared" si="114"/>
        <v>0</v>
      </c>
      <c r="AL140" s="301" t="e">
        <f t="shared" si="115"/>
        <v>#DIV/0!</v>
      </c>
      <c r="AM140" s="301" t="e">
        <f t="shared" si="116"/>
        <v>#DIV/0!</v>
      </c>
      <c r="AN140" s="301" t="e">
        <f t="shared" si="117"/>
        <v>#DIV/0!</v>
      </c>
      <c r="AO140" s="301" t="e">
        <f t="shared" si="118"/>
        <v>#DIV/0!</v>
      </c>
      <c r="AR140" s="174">
        <v>9</v>
      </c>
      <c r="AS140" s="306" t="str">
        <f t="shared" si="119"/>
        <v/>
      </c>
      <c r="AT140" s="306" t="str">
        <f t="shared" si="120"/>
        <v/>
      </c>
      <c r="AU140" s="306" t="str">
        <f t="shared" si="121"/>
        <v/>
      </c>
      <c r="AV140" s="306" t="str">
        <f t="shared" si="122"/>
        <v/>
      </c>
      <c r="AX140" s="142"/>
      <c r="AY140" s="306" t="str">
        <f t="shared" si="123"/>
        <v/>
      </c>
      <c r="AZ140" s="306" t="str">
        <f t="shared" si="124"/>
        <v/>
      </c>
      <c r="BA140" s="174">
        <v>9</v>
      </c>
      <c r="BB140" s="310" t="e">
        <f t="shared" si="125"/>
        <v>#VALUE!</v>
      </c>
      <c r="BC140" s="279" t="e">
        <f t="shared" si="126"/>
        <v>#VALUE!</v>
      </c>
      <c r="BD140" s="311" t="e">
        <f t="shared" si="127"/>
        <v>#VALUE!</v>
      </c>
    </row>
    <row r="141" ht="20.1" customHeight="1" spans="22:56">
      <c r="V141" s="297"/>
      <c r="W141" s="9">
        <v>11</v>
      </c>
      <c r="X141" s="296">
        <f t="shared" si="103"/>
        <v>0</v>
      </c>
      <c r="Y141" s="296">
        <f t="shared" si="104"/>
        <v>0</v>
      </c>
      <c r="Z141" s="296">
        <f t="shared" si="105"/>
        <v>0</v>
      </c>
      <c r="AA141" s="296">
        <f t="shared" si="106"/>
        <v>0</v>
      </c>
      <c r="AB141" s="299" t="e">
        <f t="shared" si="107"/>
        <v>#DIV/0!</v>
      </c>
      <c r="AC141" s="299" t="e">
        <f t="shared" si="108"/>
        <v>#DIV/0!</v>
      </c>
      <c r="AD141" s="299" t="e">
        <f t="shared" si="109"/>
        <v>#DIV/0!</v>
      </c>
      <c r="AE141" s="299" t="e">
        <f t="shared" si="110"/>
        <v>#DIV/0!</v>
      </c>
      <c r="AF141" s="297"/>
      <c r="AG141" s="9">
        <v>11</v>
      </c>
      <c r="AH141" s="300">
        <f t="shared" si="111"/>
        <v>0</v>
      </c>
      <c r="AI141" s="300">
        <f t="shared" si="112"/>
        <v>0</v>
      </c>
      <c r="AJ141" s="300">
        <f t="shared" si="113"/>
        <v>0</v>
      </c>
      <c r="AK141" s="300">
        <f t="shared" si="114"/>
        <v>0</v>
      </c>
      <c r="AL141" s="301" t="e">
        <f t="shared" si="115"/>
        <v>#DIV/0!</v>
      </c>
      <c r="AM141" s="301" t="e">
        <f t="shared" si="116"/>
        <v>#DIV/0!</v>
      </c>
      <c r="AN141" s="301" t="e">
        <f t="shared" si="117"/>
        <v>#DIV/0!</v>
      </c>
      <c r="AO141" s="301" t="e">
        <f t="shared" si="118"/>
        <v>#DIV/0!</v>
      </c>
      <c r="AR141" s="174">
        <v>10</v>
      </c>
      <c r="AS141" s="306" t="str">
        <f t="shared" si="119"/>
        <v/>
      </c>
      <c r="AT141" s="306" t="str">
        <f t="shared" si="120"/>
        <v/>
      </c>
      <c r="AU141" s="306" t="str">
        <f t="shared" si="121"/>
        <v/>
      </c>
      <c r="AV141" s="306" t="str">
        <f t="shared" si="122"/>
        <v/>
      </c>
      <c r="AX141" s="142"/>
      <c r="AY141" s="306" t="str">
        <f t="shared" si="123"/>
        <v/>
      </c>
      <c r="AZ141" s="306" t="str">
        <f t="shared" si="124"/>
        <v/>
      </c>
      <c r="BA141" s="174">
        <v>10</v>
      </c>
      <c r="BB141" s="310" t="e">
        <f t="shared" si="125"/>
        <v>#VALUE!</v>
      </c>
      <c r="BC141" s="279" t="e">
        <f t="shared" si="126"/>
        <v>#VALUE!</v>
      </c>
      <c r="BD141" s="311" t="e">
        <f t="shared" si="127"/>
        <v>#VALUE!</v>
      </c>
    </row>
    <row r="142" ht="20.1" customHeight="1" spans="22:56">
      <c r="V142" s="297"/>
      <c r="W142" s="9">
        <v>12</v>
      </c>
      <c r="X142" s="296">
        <f t="shared" si="103"/>
        <v>0</v>
      </c>
      <c r="Y142" s="296">
        <f t="shared" si="104"/>
        <v>0</v>
      </c>
      <c r="Z142" s="296">
        <f t="shared" si="105"/>
        <v>0</v>
      </c>
      <c r="AA142" s="296">
        <f t="shared" si="106"/>
        <v>0</v>
      </c>
      <c r="AB142" s="299" t="e">
        <f t="shared" si="107"/>
        <v>#DIV/0!</v>
      </c>
      <c r="AC142" s="299" t="e">
        <f t="shared" si="108"/>
        <v>#DIV/0!</v>
      </c>
      <c r="AD142" s="299" t="e">
        <f t="shared" si="109"/>
        <v>#DIV/0!</v>
      </c>
      <c r="AE142" s="299" t="e">
        <f t="shared" si="110"/>
        <v>#DIV/0!</v>
      </c>
      <c r="AF142" s="297"/>
      <c r="AG142" s="9">
        <v>12</v>
      </c>
      <c r="AH142" s="300">
        <f t="shared" si="111"/>
        <v>0</v>
      </c>
      <c r="AI142" s="300">
        <f t="shared" si="112"/>
        <v>0</v>
      </c>
      <c r="AJ142" s="300">
        <f t="shared" si="113"/>
        <v>0</v>
      </c>
      <c r="AK142" s="300">
        <f t="shared" si="114"/>
        <v>0</v>
      </c>
      <c r="AL142" s="301" t="e">
        <f t="shared" si="115"/>
        <v>#DIV/0!</v>
      </c>
      <c r="AM142" s="301" t="e">
        <f t="shared" si="116"/>
        <v>#DIV/0!</v>
      </c>
      <c r="AN142" s="301" t="e">
        <f t="shared" si="117"/>
        <v>#DIV/0!</v>
      </c>
      <c r="AO142" s="301" t="e">
        <f t="shared" si="118"/>
        <v>#DIV/0!</v>
      </c>
      <c r="AR142" s="174">
        <v>11</v>
      </c>
      <c r="AS142" s="306" t="str">
        <f t="shared" si="119"/>
        <v/>
      </c>
      <c r="AT142" s="306" t="str">
        <f t="shared" si="120"/>
        <v/>
      </c>
      <c r="AU142" s="306" t="str">
        <f t="shared" si="121"/>
        <v/>
      </c>
      <c r="AV142" s="306" t="str">
        <f t="shared" si="122"/>
        <v/>
      </c>
      <c r="AX142" s="142"/>
      <c r="AY142" s="306" t="str">
        <f t="shared" si="123"/>
        <v/>
      </c>
      <c r="AZ142" s="306" t="str">
        <f t="shared" si="124"/>
        <v/>
      </c>
      <c r="BA142" s="174">
        <v>11</v>
      </c>
      <c r="BB142" s="310" t="e">
        <f t="shared" si="125"/>
        <v>#VALUE!</v>
      </c>
      <c r="BC142" s="279" t="e">
        <f t="shared" si="126"/>
        <v>#VALUE!</v>
      </c>
      <c r="BD142" s="311" t="e">
        <f t="shared" si="127"/>
        <v>#VALUE!</v>
      </c>
    </row>
    <row r="143" ht="20.1" customHeight="1" spans="22:56">
      <c r="V143" s="297"/>
      <c r="W143" s="9">
        <v>13</v>
      </c>
      <c r="X143" s="296">
        <f t="shared" si="103"/>
        <v>0</v>
      </c>
      <c r="Y143" s="296">
        <f t="shared" si="104"/>
        <v>0</v>
      </c>
      <c r="Z143" s="296">
        <f t="shared" si="105"/>
        <v>0</v>
      </c>
      <c r="AA143" s="296">
        <f t="shared" si="106"/>
        <v>0</v>
      </c>
      <c r="AB143" s="299" t="e">
        <f t="shared" si="107"/>
        <v>#DIV/0!</v>
      </c>
      <c r="AC143" s="299" t="e">
        <f t="shared" si="108"/>
        <v>#DIV/0!</v>
      </c>
      <c r="AD143" s="299" t="e">
        <f t="shared" si="109"/>
        <v>#DIV/0!</v>
      </c>
      <c r="AE143" s="299" t="e">
        <f t="shared" si="110"/>
        <v>#DIV/0!</v>
      </c>
      <c r="AF143" s="297"/>
      <c r="AG143" s="9">
        <v>13</v>
      </c>
      <c r="AH143" s="300">
        <f t="shared" si="111"/>
        <v>0</v>
      </c>
      <c r="AI143" s="300">
        <f t="shared" si="112"/>
        <v>0</v>
      </c>
      <c r="AJ143" s="300">
        <f t="shared" si="113"/>
        <v>0</v>
      </c>
      <c r="AK143" s="300">
        <f t="shared" si="114"/>
        <v>0</v>
      </c>
      <c r="AL143" s="301" t="e">
        <f t="shared" si="115"/>
        <v>#DIV/0!</v>
      </c>
      <c r="AM143" s="301" t="e">
        <f t="shared" si="116"/>
        <v>#DIV/0!</v>
      </c>
      <c r="AN143" s="301" t="e">
        <f t="shared" si="117"/>
        <v>#DIV/0!</v>
      </c>
      <c r="AO143" s="301" t="e">
        <f t="shared" si="118"/>
        <v>#DIV/0!</v>
      </c>
      <c r="AR143" s="174">
        <v>12</v>
      </c>
      <c r="AS143" s="306" t="str">
        <f t="shared" si="119"/>
        <v/>
      </c>
      <c r="AT143" s="306" t="str">
        <f t="shared" si="120"/>
        <v/>
      </c>
      <c r="AU143" s="306" t="str">
        <f t="shared" si="121"/>
        <v/>
      </c>
      <c r="AV143" s="306" t="str">
        <f t="shared" si="122"/>
        <v/>
      </c>
      <c r="AX143" s="142"/>
      <c r="AY143" s="306" t="str">
        <f t="shared" si="123"/>
        <v/>
      </c>
      <c r="AZ143" s="306" t="str">
        <f t="shared" si="124"/>
        <v/>
      </c>
      <c r="BA143" s="174">
        <v>12</v>
      </c>
      <c r="BB143" s="310" t="e">
        <f t="shared" si="125"/>
        <v>#VALUE!</v>
      </c>
      <c r="BC143" s="279" t="e">
        <f t="shared" si="126"/>
        <v>#VALUE!</v>
      </c>
      <c r="BD143" s="311" t="e">
        <f t="shared" si="127"/>
        <v>#VALUE!</v>
      </c>
    </row>
    <row r="144" ht="20.1" customHeight="1" spans="22:56">
      <c r="V144" s="297"/>
      <c r="W144" s="9">
        <v>14</v>
      </c>
      <c r="X144" s="296">
        <f t="shared" si="103"/>
        <v>0</v>
      </c>
      <c r="Y144" s="296">
        <f t="shared" si="104"/>
        <v>0</v>
      </c>
      <c r="Z144" s="296">
        <f t="shared" si="105"/>
        <v>0</v>
      </c>
      <c r="AA144" s="296">
        <f t="shared" si="106"/>
        <v>0</v>
      </c>
      <c r="AB144" s="299" t="e">
        <f t="shared" si="107"/>
        <v>#DIV/0!</v>
      </c>
      <c r="AC144" s="299" t="e">
        <f t="shared" si="108"/>
        <v>#DIV/0!</v>
      </c>
      <c r="AD144" s="299" t="e">
        <f t="shared" si="109"/>
        <v>#DIV/0!</v>
      </c>
      <c r="AE144" s="299" t="e">
        <f t="shared" si="110"/>
        <v>#DIV/0!</v>
      </c>
      <c r="AF144" s="297"/>
      <c r="AG144" s="9">
        <v>14</v>
      </c>
      <c r="AH144" s="300">
        <f t="shared" si="111"/>
        <v>0</v>
      </c>
      <c r="AI144" s="300">
        <f t="shared" si="112"/>
        <v>0</v>
      </c>
      <c r="AJ144" s="300">
        <f t="shared" si="113"/>
        <v>0</v>
      </c>
      <c r="AK144" s="300">
        <f t="shared" si="114"/>
        <v>0</v>
      </c>
      <c r="AL144" s="301" t="e">
        <f t="shared" si="115"/>
        <v>#DIV/0!</v>
      </c>
      <c r="AM144" s="301" t="e">
        <f t="shared" si="116"/>
        <v>#DIV/0!</v>
      </c>
      <c r="AN144" s="301" t="e">
        <f t="shared" si="117"/>
        <v>#DIV/0!</v>
      </c>
      <c r="AO144" s="301" t="e">
        <f t="shared" si="118"/>
        <v>#DIV/0!</v>
      </c>
      <c r="AR144" s="174">
        <v>13</v>
      </c>
      <c r="AS144" s="306" t="str">
        <f t="shared" si="119"/>
        <v/>
      </c>
      <c r="AT144" s="306" t="str">
        <f t="shared" si="120"/>
        <v/>
      </c>
      <c r="AU144" s="306" t="str">
        <f t="shared" si="121"/>
        <v/>
      </c>
      <c r="AV144" s="306" t="str">
        <f t="shared" si="122"/>
        <v/>
      </c>
      <c r="AX144" s="142"/>
      <c r="AY144" s="306" t="str">
        <f t="shared" si="123"/>
        <v/>
      </c>
      <c r="AZ144" s="306" t="str">
        <f t="shared" si="124"/>
        <v/>
      </c>
      <c r="BA144" s="174">
        <v>13</v>
      </c>
      <c r="BB144" s="310" t="e">
        <f t="shared" si="125"/>
        <v>#VALUE!</v>
      </c>
      <c r="BC144" s="279" t="e">
        <f t="shared" si="126"/>
        <v>#VALUE!</v>
      </c>
      <c r="BD144" s="311" t="e">
        <f t="shared" si="127"/>
        <v>#VALUE!</v>
      </c>
    </row>
    <row r="145" ht="20.1" customHeight="1" spans="22:56">
      <c r="V145" s="297"/>
      <c r="W145" s="9">
        <v>15</v>
      </c>
      <c r="X145" s="296">
        <f t="shared" si="103"/>
        <v>0</v>
      </c>
      <c r="Y145" s="296">
        <f t="shared" si="104"/>
        <v>0</v>
      </c>
      <c r="Z145" s="296">
        <f t="shared" si="105"/>
        <v>0</v>
      </c>
      <c r="AA145" s="296">
        <f t="shared" si="106"/>
        <v>0</v>
      </c>
      <c r="AB145" s="299" t="e">
        <f t="shared" si="107"/>
        <v>#DIV/0!</v>
      </c>
      <c r="AC145" s="299" t="e">
        <f t="shared" si="108"/>
        <v>#DIV/0!</v>
      </c>
      <c r="AD145" s="299" t="e">
        <f t="shared" si="109"/>
        <v>#DIV/0!</v>
      </c>
      <c r="AE145" s="299" t="e">
        <f t="shared" si="110"/>
        <v>#DIV/0!</v>
      </c>
      <c r="AF145" s="297"/>
      <c r="AG145" s="9">
        <v>15</v>
      </c>
      <c r="AH145" s="300">
        <f t="shared" si="111"/>
        <v>0</v>
      </c>
      <c r="AI145" s="300">
        <f t="shared" si="112"/>
        <v>0</v>
      </c>
      <c r="AJ145" s="300">
        <f t="shared" si="113"/>
        <v>0</v>
      </c>
      <c r="AK145" s="300">
        <f t="shared" si="114"/>
        <v>0</v>
      </c>
      <c r="AL145" s="301" t="e">
        <f t="shared" si="115"/>
        <v>#DIV/0!</v>
      </c>
      <c r="AM145" s="301" t="e">
        <f t="shared" si="116"/>
        <v>#DIV/0!</v>
      </c>
      <c r="AN145" s="301" t="e">
        <f t="shared" si="117"/>
        <v>#DIV/0!</v>
      </c>
      <c r="AO145" s="301" t="e">
        <f t="shared" si="118"/>
        <v>#DIV/0!</v>
      </c>
      <c r="AR145" s="174">
        <v>14</v>
      </c>
      <c r="AS145" s="306" t="str">
        <f t="shared" si="119"/>
        <v/>
      </c>
      <c r="AT145" s="306" t="str">
        <f t="shared" si="120"/>
        <v/>
      </c>
      <c r="AU145" s="306" t="str">
        <f t="shared" si="121"/>
        <v/>
      </c>
      <c r="AV145" s="306" t="str">
        <f t="shared" si="122"/>
        <v/>
      </c>
      <c r="AX145" s="142"/>
      <c r="AY145" s="306" t="str">
        <f t="shared" si="123"/>
        <v/>
      </c>
      <c r="AZ145" s="306" t="str">
        <f t="shared" si="124"/>
        <v/>
      </c>
      <c r="BA145" s="174">
        <v>14</v>
      </c>
      <c r="BB145" s="310" t="e">
        <f t="shared" si="125"/>
        <v>#VALUE!</v>
      </c>
      <c r="BC145" s="279" t="e">
        <f t="shared" si="126"/>
        <v>#VALUE!</v>
      </c>
      <c r="BD145" s="311" t="e">
        <f t="shared" si="127"/>
        <v>#VALUE!</v>
      </c>
    </row>
    <row r="146" ht="20.1" customHeight="1" spans="22:56">
      <c r="V146" s="297"/>
      <c r="W146" s="9">
        <v>16</v>
      </c>
      <c r="X146" s="296">
        <f t="shared" si="103"/>
        <v>0</v>
      </c>
      <c r="Y146" s="296">
        <f t="shared" si="104"/>
        <v>0</v>
      </c>
      <c r="Z146" s="296">
        <f t="shared" si="105"/>
        <v>0</v>
      </c>
      <c r="AA146" s="296">
        <f t="shared" si="106"/>
        <v>0</v>
      </c>
      <c r="AB146" s="299" t="e">
        <f t="shared" si="107"/>
        <v>#DIV/0!</v>
      </c>
      <c r="AC146" s="299" t="e">
        <f t="shared" si="108"/>
        <v>#DIV/0!</v>
      </c>
      <c r="AD146" s="299" t="e">
        <f t="shared" si="109"/>
        <v>#DIV/0!</v>
      </c>
      <c r="AE146" s="299" t="e">
        <f t="shared" si="110"/>
        <v>#DIV/0!</v>
      </c>
      <c r="AF146" s="297"/>
      <c r="AG146" s="9">
        <v>16</v>
      </c>
      <c r="AH146" s="300">
        <f t="shared" si="111"/>
        <v>0</v>
      </c>
      <c r="AI146" s="300">
        <f t="shared" si="112"/>
        <v>0</v>
      </c>
      <c r="AJ146" s="300">
        <f t="shared" si="113"/>
        <v>0</v>
      </c>
      <c r="AK146" s="300">
        <f t="shared" si="114"/>
        <v>0</v>
      </c>
      <c r="AL146" s="301" t="e">
        <f t="shared" si="115"/>
        <v>#DIV/0!</v>
      </c>
      <c r="AM146" s="301" t="e">
        <f t="shared" si="116"/>
        <v>#DIV/0!</v>
      </c>
      <c r="AN146" s="301" t="e">
        <f t="shared" si="117"/>
        <v>#DIV/0!</v>
      </c>
      <c r="AO146" s="301" t="e">
        <f t="shared" si="118"/>
        <v>#DIV/0!</v>
      </c>
      <c r="AR146" s="174">
        <v>15</v>
      </c>
      <c r="AS146" s="306" t="str">
        <f t="shared" si="119"/>
        <v/>
      </c>
      <c r="AT146" s="306" t="str">
        <f t="shared" si="120"/>
        <v/>
      </c>
      <c r="AU146" s="306" t="str">
        <f t="shared" si="121"/>
        <v/>
      </c>
      <c r="AV146" s="306" t="str">
        <f t="shared" si="122"/>
        <v/>
      </c>
      <c r="AX146" s="142"/>
      <c r="AY146" s="306" t="str">
        <f t="shared" si="123"/>
        <v/>
      </c>
      <c r="AZ146" s="306" t="str">
        <f t="shared" si="124"/>
        <v/>
      </c>
      <c r="BA146" s="174">
        <v>15</v>
      </c>
      <c r="BB146" s="310" t="e">
        <f t="shared" si="125"/>
        <v>#VALUE!</v>
      </c>
      <c r="BC146" s="279" t="e">
        <f t="shared" si="126"/>
        <v>#VALUE!</v>
      </c>
      <c r="BD146" s="311" t="e">
        <f t="shared" si="127"/>
        <v>#VALUE!</v>
      </c>
    </row>
    <row r="147" ht="20.1" customHeight="1" spans="22:56">
      <c r="V147" s="297"/>
      <c r="W147" s="9">
        <v>17</v>
      </c>
      <c r="X147" s="296">
        <f t="shared" si="103"/>
        <v>0</v>
      </c>
      <c r="Y147" s="296">
        <f t="shared" si="104"/>
        <v>0</v>
      </c>
      <c r="Z147" s="296">
        <f t="shared" si="105"/>
        <v>0</v>
      </c>
      <c r="AA147" s="296">
        <f t="shared" si="106"/>
        <v>0</v>
      </c>
      <c r="AB147" s="299" t="e">
        <f t="shared" si="107"/>
        <v>#DIV/0!</v>
      </c>
      <c r="AC147" s="299" t="e">
        <f t="shared" si="108"/>
        <v>#DIV/0!</v>
      </c>
      <c r="AD147" s="299" t="e">
        <f t="shared" si="109"/>
        <v>#DIV/0!</v>
      </c>
      <c r="AE147" s="299" t="e">
        <f t="shared" si="110"/>
        <v>#DIV/0!</v>
      </c>
      <c r="AF147" s="297"/>
      <c r="AG147" s="9">
        <v>17</v>
      </c>
      <c r="AH147" s="300">
        <f t="shared" si="111"/>
        <v>0</v>
      </c>
      <c r="AI147" s="300">
        <f t="shared" si="112"/>
        <v>0</v>
      </c>
      <c r="AJ147" s="300">
        <f t="shared" si="113"/>
        <v>0</v>
      </c>
      <c r="AK147" s="300">
        <f t="shared" si="114"/>
        <v>0</v>
      </c>
      <c r="AL147" s="301" t="e">
        <f t="shared" si="115"/>
        <v>#DIV/0!</v>
      </c>
      <c r="AM147" s="301" t="e">
        <f t="shared" si="116"/>
        <v>#DIV/0!</v>
      </c>
      <c r="AN147" s="301" t="e">
        <f t="shared" si="117"/>
        <v>#DIV/0!</v>
      </c>
      <c r="AO147" s="301" t="e">
        <f t="shared" si="118"/>
        <v>#DIV/0!</v>
      </c>
      <c r="AR147" s="174">
        <v>16</v>
      </c>
      <c r="AS147" s="306" t="str">
        <f t="shared" si="119"/>
        <v/>
      </c>
      <c r="AT147" s="306" t="str">
        <f t="shared" si="120"/>
        <v/>
      </c>
      <c r="AU147" s="306" t="str">
        <f t="shared" si="121"/>
        <v/>
      </c>
      <c r="AV147" s="306" t="str">
        <f t="shared" si="122"/>
        <v/>
      </c>
      <c r="AX147" s="142"/>
      <c r="AY147" s="306" t="str">
        <f t="shared" si="123"/>
        <v/>
      </c>
      <c r="AZ147" s="306" t="str">
        <f t="shared" si="124"/>
        <v/>
      </c>
      <c r="BA147" s="174">
        <v>16</v>
      </c>
      <c r="BB147" s="310" t="e">
        <f t="shared" si="125"/>
        <v>#VALUE!</v>
      </c>
      <c r="BC147" s="279" t="e">
        <f t="shared" si="126"/>
        <v>#VALUE!</v>
      </c>
      <c r="BD147" s="311" t="e">
        <f t="shared" si="127"/>
        <v>#VALUE!</v>
      </c>
    </row>
    <row r="148" ht="20.1" customHeight="1" spans="22:56">
      <c r="V148" s="297"/>
      <c r="W148" s="9">
        <v>18</v>
      </c>
      <c r="X148" s="296">
        <f t="shared" si="103"/>
        <v>0</v>
      </c>
      <c r="Y148" s="296">
        <f t="shared" si="104"/>
        <v>0</v>
      </c>
      <c r="Z148" s="296">
        <f t="shared" si="105"/>
        <v>0</v>
      </c>
      <c r="AA148" s="296">
        <f t="shared" si="106"/>
        <v>0</v>
      </c>
      <c r="AB148" s="299" t="e">
        <f t="shared" si="107"/>
        <v>#DIV/0!</v>
      </c>
      <c r="AC148" s="299" t="e">
        <f t="shared" si="108"/>
        <v>#DIV/0!</v>
      </c>
      <c r="AD148" s="299" t="e">
        <f t="shared" si="109"/>
        <v>#DIV/0!</v>
      </c>
      <c r="AE148" s="299" t="e">
        <f t="shared" si="110"/>
        <v>#DIV/0!</v>
      </c>
      <c r="AF148" s="297"/>
      <c r="AG148" s="9">
        <v>18</v>
      </c>
      <c r="AH148" s="300">
        <f t="shared" si="111"/>
        <v>0</v>
      </c>
      <c r="AI148" s="300">
        <f t="shared" si="112"/>
        <v>0</v>
      </c>
      <c r="AJ148" s="300">
        <f t="shared" si="113"/>
        <v>0</v>
      </c>
      <c r="AK148" s="300">
        <f t="shared" si="114"/>
        <v>0</v>
      </c>
      <c r="AL148" s="301" t="e">
        <f t="shared" si="115"/>
        <v>#DIV/0!</v>
      </c>
      <c r="AM148" s="301" t="e">
        <f t="shared" si="116"/>
        <v>#DIV/0!</v>
      </c>
      <c r="AN148" s="301" t="e">
        <f t="shared" si="117"/>
        <v>#DIV/0!</v>
      </c>
      <c r="AO148" s="301" t="e">
        <f t="shared" si="118"/>
        <v>#DIV/0!</v>
      </c>
      <c r="AR148" s="174">
        <v>17</v>
      </c>
      <c r="AS148" s="306" t="str">
        <f t="shared" si="119"/>
        <v/>
      </c>
      <c r="AT148" s="306" t="str">
        <f t="shared" si="120"/>
        <v/>
      </c>
      <c r="AU148" s="306" t="str">
        <f t="shared" si="121"/>
        <v/>
      </c>
      <c r="AV148" s="306" t="str">
        <f t="shared" si="122"/>
        <v/>
      </c>
      <c r="AX148" s="142"/>
      <c r="AY148" s="306" t="str">
        <f t="shared" si="123"/>
        <v/>
      </c>
      <c r="AZ148" s="306" t="str">
        <f t="shared" si="124"/>
        <v/>
      </c>
      <c r="BA148" s="174">
        <v>17</v>
      </c>
      <c r="BB148" s="310" t="e">
        <f t="shared" si="125"/>
        <v>#VALUE!</v>
      </c>
      <c r="BC148" s="279" t="e">
        <f t="shared" si="126"/>
        <v>#VALUE!</v>
      </c>
      <c r="BD148" s="311" t="e">
        <f t="shared" si="127"/>
        <v>#VALUE!</v>
      </c>
    </row>
    <row r="149" ht="20.1" customHeight="1" spans="22:56">
      <c r="V149" s="297"/>
      <c r="W149" s="9">
        <v>19</v>
      </c>
      <c r="X149" s="296">
        <f t="shared" si="103"/>
        <v>0</v>
      </c>
      <c r="Y149" s="296">
        <f t="shared" si="104"/>
        <v>0</v>
      </c>
      <c r="Z149" s="296">
        <f t="shared" si="105"/>
        <v>0</v>
      </c>
      <c r="AA149" s="296">
        <f t="shared" si="106"/>
        <v>0</v>
      </c>
      <c r="AB149" s="299" t="e">
        <f t="shared" si="107"/>
        <v>#DIV/0!</v>
      </c>
      <c r="AC149" s="299" t="e">
        <f t="shared" si="108"/>
        <v>#DIV/0!</v>
      </c>
      <c r="AD149" s="299" t="e">
        <f t="shared" si="109"/>
        <v>#DIV/0!</v>
      </c>
      <c r="AE149" s="299" t="e">
        <f t="shared" si="110"/>
        <v>#DIV/0!</v>
      </c>
      <c r="AF149" s="297"/>
      <c r="AG149" s="9">
        <v>19</v>
      </c>
      <c r="AH149" s="300">
        <f t="shared" si="111"/>
        <v>0</v>
      </c>
      <c r="AI149" s="300">
        <f t="shared" si="112"/>
        <v>0</v>
      </c>
      <c r="AJ149" s="300">
        <f t="shared" si="113"/>
        <v>0</v>
      </c>
      <c r="AK149" s="300">
        <f t="shared" si="114"/>
        <v>0</v>
      </c>
      <c r="AL149" s="301" t="e">
        <f t="shared" si="115"/>
        <v>#DIV/0!</v>
      </c>
      <c r="AM149" s="301" t="e">
        <f t="shared" si="116"/>
        <v>#DIV/0!</v>
      </c>
      <c r="AN149" s="301" t="e">
        <f t="shared" si="117"/>
        <v>#DIV/0!</v>
      </c>
      <c r="AO149" s="301" t="e">
        <f t="shared" si="118"/>
        <v>#DIV/0!</v>
      </c>
      <c r="AR149" s="174">
        <v>18</v>
      </c>
      <c r="AS149" s="306" t="str">
        <f t="shared" si="119"/>
        <v/>
      </c>
      <c r="AT149" s="306" t="str">
        <f t="shared" si="120"/>
        <v/>
      </c>
      <c r="AU149" s="306" t="str">
        <f t="shared" si="121"/>
        <v/>
      </c>
      <c r="AV149" s="306" t="str">
        <f t="shared" si="122"/>
        <v/>
      </c>
      <c r="AX149" s="142"/>
      <c r="AY149" s="306" t="str">
        <f t="shared" si="123"/>
        <v/>
      </c>
      <c r="AZ149" s="306" t="str">
        <f t="shared" si="124"/>
        <v/>
      </c>
      <c r="BA149" s="174">
        <v>18</v>
      </c>
      <c r="BB149" s="310" t="e">
        <f t="shared" si="125"/>
        <v>#VALUE!</v>
      </c>
      <c r="BC149" s="279" t="e">
        <f t="shared" si="126"/>
        <v>#VALUE!</v>
      </c>
      <c r="BD149" s="311" t="e">
        <f t="shared" si="127"/>
        <v>#VALUE!</v>
      </c>
    </row>
    <row r="150" ht="20.1" customHeight="1" spans="22:56">
      <c r="V150" s="298"/>
      <c r="W150" s="9">
        <v>20</v>
      </c>
      <c r="X150" s="296">
        <f t="shared" si="103"/>
        <v>0</v>
      </c>
      <c r="Y150" s="296">
        <f t="shared" si="104"/>
        <v>0</v>
      </c>
      <c r="Z150" s="296">
        <f t="shared" si="105"/>
        <v>0</v>
      </c>
      <c r="AA150" s="296">
        <f t="shared" si="106"/>
        <v>0</v>
      </c>
      <c r="AB150" s="299" t="e">
        <f t="shared" si="107"/>
        <v>#DIV/0!</v>
      </c>
      <c r="AC150" s="299" t="e">
        <f t="shared" si="108"/>
        <v>#DIV/0!</v>
      </c>
      <c r="AD150" s="299" t="e">
        <f t="shared" si="109"/>
        <v>#DIV/0!</v>
      </c>
      <c r="AE150" s="299" t="e">
        <f t="shared" si="110"/>
        <v>#DIV/0!</v>
      </c>
      <c r="AF150" s="298"/>
      <c r="AG150" s="9">
        <v>20</v>
      </c>
      <c r="AH150" s="300">
        <f t="shared" si="111"/>
        <v>0</v>
      </c>
      <c r="AI150" s="300">
        <f t="shared" si="112"/>
        <v>0</v>
      </c>
      <c r="AJ150" s="300">
        <f t="shared" si="113"/>
        <v>0</v>
      </c>
      <c r="AK150" s="300">
        <f t="shared" si="114"/>
        <v>0</v>
      </c>
      <c r="AL150" s="301" t="e">
        <f t="shared" si="115"/>
        <v>#DIV/0!</v>
      </c>
      <c r="AM150" s="301" t="e">
        <f t="shared" si="116"/>
        <v>#DIV/0!</v>
      </c>
      <c r="AN150" s="301" t="e">
        <f t="shared" si="117"/>
        <v>#DIV/0!</v>
      </c>
      <c r="AO150" s="301" t="e">
        <f t="shared" si="118"/>
        <v>#DIV/0!</v>
      </c>
      <c r="AR150" s="174">
        <v>19</v>
      </c>
      <c r="AS150" s="306" t="str">
        <f t="shared" si="119"/>
        <v/>
      </c>
      <c r="AT150" s="306" t="str">
        <f t="shared" si="120"/>
        <v/>
      </c>
      <c r="AU150" s="306" t="str">
        <f t="shared" si="121"/>
        <v/>
      </c>
      <c r="AV150" s="306" t="str">
        <f t="shared" si="122"/>
        <v/>
      </c>
      <c r="AX150" s="142"/>
      <c r="AY150" s="306" t="str">
        <f t="shared" si="123"/>
        <v/>
      </c>
      <c r="AZ150" s="306" t="str">
        <f t="shared" si="124"/>
        <v/>
      </c>
      <c r="BA150" s="174">
        <v>19</v>
      </c>
      <c r="BB150" s="310" t="e">
        <f t="shared" si="125"/>
        <v>#VALUE!</v>
      </c>
      <c r="BC150" s="279" t="e">
        <f t="shared" si="126"/>
        <v>#VALUE!</v>
      </c>
      <c r="BD150" s="311" t="e">
        <f t="shared" si="127"/>
        <v>#VALUE!</v>
      </c>
    </row>
    <row r="151" ht="20.1" customHeight="1" spans="44:56">
      <c r="AR151" s="174">
        <v>20</v>
      </c>
      <c r="AS151" s="306" t="str">
        <f t="shared" si="119"/>
        <v/>
      </c>
      <c r="AT151" s="306" t="str">
        <f t="shared" si="120"/>
        <v/>
      </c>
      <c r="AU151" s="306" t="str">
        <f t="shared" si="121"/>
        <v/>
      </c>
      <c r="AV151" s="306" t="str">
        <f t="shared" si="122"/>
        <v/>
      </c>
      <c r="AX151" s="142"/>
      <c r="AY151" s="306" t="str">
        <f t="shared" si="123"/>
        <v/>
      </c>
      <c r="AZ151" s="306" t="str">
        <f t="shared" si="124"/>
        <v/>
      </c>
      <c r="BA151" s="174">
        <v>20</v>
      </c>
      <c r="BB151" s="310" t="e">
        <f t="shared" si="125"/>
        <v>#VALUE!</v>
      </c>
      <c r="BC151" s="279" t="e">
        <f t="shared" si="126"/>
        <v>#VALUE!</v>
      </c>
      <c r="BD151" s="311" t="e">
        <f t="shared" si="127"/>
        <v>#VALUE!</v>
      </c>
    </row>
    <row r="152" ht="20.1" customHeight="1"/>
    <row r="153" ht="20.1" customHeight="1" spans="24:52">
      <c r="X153" s="96"/>
      <c r="Y153" s="96"/>
      <c r="Z153" s="96"/>
      <c r="AA153" s="96"/>
      <c r="AB153" s="177">
        <f>AH64</f>
        <v>0</v>
      </c>
      <c r="AC153" s="177">
        <f>AH65</f>
        <v>0</v>
      </c>
      <c r="AD153" s="177">
        <f>AH66</f>
        <v>0</v>
      </c>
      <c r="AE153" s="177">
        <f>AH67</f>
        <v>0</v>
      </c>
      <c r="AH153" s="96"/>
      <c r="AI153" s="96"/>
      <c r="AJ153" s="96"/>
      <c r="AK153" s="96"/>
      <c r="AL153" s="177">
        <f>AI64</f>
        <v>0</v>
      </c>
      <c r="AM153" s="177">
        <f>AI65</f>
        <v>0</v>
      </c>
      <c r="AN153" s="177">
        <f>AI66</f>
        <v>0</v>
      </c>
      <c r="AO153" s="177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295" t="s">
        <v>23</v>
      </c>
      <c r="W154" s="9">
        <v>1</v>
      </c>
      <c r="X154" s="296">
        <f t="shared" ref="X154:X173" si="128">L50</f>
        <v>0</v>
      </c>
      <c r="Y154" s="296">
        <f t="shared" ref="Y154:Y173" si="129">M50</f>
        <v>0</v>
      </c>
      <c r="Z154" s="296">
        <f t="shared" ref="Z154:Z173" si="130">N50</f>
        <v>0</v>
      </c>
      <c r="AA154" s="296">
        <f t="shared" ref="AA154:AA173" si="131">O50</f>
        <v>0</v>
      </c>
      <c r="AB154" s="299">
        <f t="shared" ref="AB154:AB173" si="132">INT(AG$232*L73+0.5)</f>
        <v>0</v>
      </c>
      <c r="AC154" s="299">
        <f t="shared" ref="AC154:AC173" si="133">INT(AH$232*M73+0.5)</f>
        <v>0</v>
      </c>
      <c r="AD154" s="299">
        <f t="shared" ref="AD154:AD173" si="134">INT(AI$232*N73+0.5)</f>
        <v>0</v>
      </c>
      <c r="AE154" s="299">
        <f t="shared" ref="AE154:AE173" si="135">INT(AJ$232*O73+0.5)</f>
        <v>0</v>
      </c>
      <c r="AF154" s="295" t="s">
        <v>24</v>
      </c>
      <c r="AG154" s="9">
        <v>1</v>
      </c>
      <c r="AH154" s="300">
        <f t="shared" ref="AH154:AH173" si="136">P50</f>
        <v>0</v>
      </c>
      <c r="AI154" s="300">
        <f t="shared" ref="AI154:AI173" si="137">Q50</f>
        <v>0</v>
      </c>
      <c r="AJ154" s="300">
        <f t="shared" ref="AJ154:AJ173" si="138">R50</f>
        <v>0</v>
      </c>
      <c r="AK154" s="300">
        <f t="shared" ref="AK154:AK173" si="139">S50</f>
        <v>0</v>
      </c>
      <c r="AL154" s="301">
        <f t="shared" ref="AL154:AL173" si="140">INT(AK$232*P73+0.5)</f>
        <v>0</v>
      </c>
      <c r="AM154" s="301">
        <f t="shared" ref="AM154:AM173" si="141">INT(AL$232*Q73+0.5)</f>
        <v>0</v>
      </c>
      <c r="AN154" s="301">
        <f t="shared" ref="AN154:AN173" si="142">INT(AM$232*R73+0.5)</f>
        <v>0</v>
      </c>
      <c r="AO154" s="301">
        <f t="shared" ref="AO154:AO173" si="143">INT(AN$232*S73+0.5)</f>
        <v>0</v>
      </c>
    </row>
    <row r="155" ht="20.1" customHeight="1" spans="22:41">
      <c r="V155" s="297"/>
      <c r="W155" s="9">
        <v>2</v>
      </c>
      <c r="X155" s="296">
        <f t="shared" si="128"/>
        <v>0</v>
      </c>
      <c r="Y155" s="296">
        <f t="shared" si="129"/>
        <v>0</v>
      </c>
      <c r="Z155" s="296">
        <f t="shared" si="130"/>
        <v>0</v>
      </c>
      <c r="AA155" s="296">
        <f t="shared" si="131"/>
        <v>0</v>
      </c>
      <c r="AB155" s="299">
        <f t="shared" si="132"/>
        <v>0</v>
      </c>
      <c r="AC155" s="299">
        <f t="shared" si="133"/>
        <v>0</v>
      </c>
      <c r="AD155" s="299">
        <f t="shared" si="134"/>
        <v>0</v>
      </c>
      <c r="AE155" s="299">
        <f t="shared" si="135"/>
        <v>0</v>
      </c>
      <c r="AF155" s="297"/>
      <c r="AG155" s="9">
        <v>2</v>
      </c>
      <c r="AH155" s="300">
        <f t="shared" si="136"/>
        <v>0</v>
      </c>
      <c r="AI155" s="300">
        <f t="shared" si="137"/>
        <v>0</v>
      </c>
      <c r="AJ155" s="300">
        <f t="shared" si="138"/>
        <v>0</v>
      </c>
      <c r="AK155" s="300">
        <f t="shared" si="139"/>
        <v>0</v>
      </c>
      <c r="AL155" s="301">
        <f t="shared" si="140"/>
        <v>0</v>
      </c>
      <c r="AM155" s="301">
        <f t="shared" si="141"/>
        <v>0</v>
      </c>
      <c r="AN155" s="301">
        <f t="shared" si="142"/>
        <v>0</v>
      </c>
      <c r="AO155" s="301">
        <f t="shared" si="143"/>
        <v>0</v>
      </c>
    </row>
    <row r="156" ht="20.1" customHeight="1" spans="22:44">
      <c r="V156" s="297"/>
      <c r="W156" s="9">
        <v>3</v>
      </c>
      <c r="X156" s="296">
        <f t="shared" si="128"/>
        <v>0</v>
      </c>
      <c r="Y156" s="296">
        <f t="shared" si="129"/>
        <v>0</v>
      </c>
      <c r="Z156" s="296">
        <f t="shared" si="130"/>
        <v>0</v>
      </c>
      <c r="AA156" s="296">
        <f t="shared" si="131"/>
        <v>0</v>
      </c>
      <c r="AB156" s="299">
        <f t="shared" si="132"/>
        <v>0</v>
      </c>
      <c r="AC156" s="299">
        <f t="shared" si="133"/>
        <v>0</v>
      </c>
      <c r="AD156" s="299">
        <f t="shared" si="134"/>
        <v>0</v>
      </c>
      <c r="AE156" s="299">
        <f t="shared" si="135"/>
        <v>0</v>
      </c>
      <c r="AF156" s="297"/>
      <c r="AG156" s="9">
        <v>3</v>
      </c>
      <c r="AH156" s="300">
        <f t="shared" si="136"/>
        <v>0</v>
      </c>
      <c r="AI156" s="300">
        <f t="shared" si="137"/>
        <v>0</v>
      </c>
      <c r="AJ156" s="300">
        <f t="shared" si="138"/>
        <v>0</v>
      </c>
      <c r="AK156" s="300">
        <f t="shared" si="139"/>
        <v>0</v>
      </c>
      <c r="AL156" s="301">
        <f t="shared" si="140"/>
        <v>0</v>
      </c>
      <c r="AM156" s="301">
        <f t="shared" si="141"/>
        <v>0</v>
      </c>
      <c r="AN156" s="301">
        <f t="shared" si="142"/>
        <v>0</v>
      </c>
      <c r="AO156" s="301">
        <f t="shared" si="143"/>
        <v>0</v>
      </c>
      <c r="AR156" s="2" t="s">
        <v>392</v>
      </c>
    </row>
    <row r="157" ht="20.1" customHeight="1" spans="22:52">
      <c r="V157" s="297"/>
      <c r="W157" s="9">
        <v>4</v>
      </c>
      <c r="X157" s="296">
        <f t="shared" si="128"/>
        <v>0</v>
      </c>
      <c r="Y157" s="296">
        <f t="shared" si="129"/>
        <v>0</v>
      </c>
      <c r="Z157" s="296">
        <f t="shared" si="130"/>
        <v>0</v>
      </c>
      <c r="AA157" s="296">
        <f t="shared" si="131"/>
        <v>0</v>
      </c>
      <c r="AB157" s="299">
        <f t="shared" si="132"/>
        <v>0</v>
      </c>
      <c r="AC157" s="299">
        <f t="shared" si="133"/>
        <v>0</v>
      </c>
      <c r="AD157" s="299">
        <f t="shared" si="134"/>
        <v>0</v>
      </c>
      <c r="AE157" s="299">
        <f t="shared" si="135"/>
        <v>0</v>
      </c>
      <c r="AF157" s="297"/>
      <c r="AG157" s="9">
        <v>4</v>
      </c>
      <c r="AH157" s="300">
        <f t="shared" si="136"/>
        <v>0</v>
      </c>
      <c r="AI157" s="300">
        <f t="shared" si="137"/>
        <v>0</v>
      </c>
      <c r="AJ157" s="300">
        <f t="shared" si="138"/>
        <v>0</v>
      </c>
      <c r="AK157" s="300">
        <f t="shared" si="139"/>
        <v>0</v>
      </c>
      <c r="AL157" s="301">
        <f t="shared" si="140"/>
        <v>0</v>
      </c>
      <c r="AM157" s="301">
        <f t="shared" si="141"/>
        <v>0</v>
      </c>
      <c r="AN157" s="301">
        <f t="shared" si="142"/>
        <v>0</v>
      </c>
      <c r="AO157" s="301">
        <f t="shared" si="143"/>
        <v>0</v>
      </c>
      <c r="AR157" s="2">
        <v>1</v>
      </c>
      <c r="AS157" s="2" t="str">
        <f t="shared" ref="AS157:AS176" si="144">IF(AS132="","",(AS132-AS$153)^2)</f>
        <v/>
      </c>
      <c r="AT157" s="2" t="str">
        <f t="shared" ref="AT157:AT176" si="145">IF(AT132="","",(AT132-AT$153)^2)</f>
        <v/>
      </c>
      <c r="AU157" s="2" t="str">
        <f t="shared" ref="AU157:AU176" si="146">IF(AU132="","",(AU132-AU$153)^2)</f>
        <v/>
      </c>
      <c r="AV157" s="2" t="str">
        <f t="shared" ref="AV157:AV176" si="147">IF(AV132="","",(AV132-AV$153)^2)</f>
        <v/>
      </c>
      <c r="AY157" s="2" t="str">
        <f t="shared" ref="AY157:AY176" si="148">IF(AY132="","",(AY132-AY$153)^2)</f>
        <v/>
      </c>
      <c r="AZ157" s="2" t="str">
        <f t="shared" ref="AZ157:AZ176" si="149">IF(AZ132="","",(AZ132-AZ$153)^2)</f>
        <v/>
      </c>
    </row>
    <row r="158" ht="20.1" customHeight="1" spans="22:52">
      <c r="V158" s="297"/>
      <c r="W158" s="9">
        <v>5</v>
      </c>
      <c r="X158" s="296">
        <f t="shared" si="128"/>
        <v>0</v>
      </c>
      <c r="Y158" s="296">
        <f t="shared" si="129"/>
        <v>0</v>
      </c>
      <c r="Z158" s="296">
        <f t="shared" si="130"/>
        <v>0</v>
      </c>
      <c r="AA158" s="296">
        <f t="shared" si="131"/>
        <v>0</v>
      </c>
      <c r="AB158" s="299">
        <f t="shared" si="132"/>
        <v>0</v>
      </c>
      <c r="AC158" s="299">
        <f t="shared" si="133"/>
        <v>0</v>
      </c>
      <c r="AD158" s="299">
        <f t="shared" si="134"/>
        <v>0</v>
      </c>
      <c r="AE158" s="299">
        <f t="shared" si="135"/>
        <v>0</v>
      </c>
      <c r="AF158" s="297"/>
      <c r="AG158" s="9">
        <v>5</v>
      </c>
      <c r="AH158" s="300">
        <f t="shared" si="136"/>
        <v>0</v>
      </c>
      <c r="AI158" s="300">
        <f t="shared" si="137"/>
        <v>0</v>
      </c>
      <c r="AJ158" s="300">
        <f t="shared" si="138"/>
        <v>0</v>
      </c>
      <c r="AK158" s="300">
        <f t="shared" si="139"/>
        <v>0</v>
      </c>
      <c r="AL158" s="301">
        <f t="shared" si="140"/>
        <v>0</v>
      </c>
      <c r="AM158" s="301">
        <f t="shared" si="141"/>
        <v>0</v>
      </c>
      <c r="AN158" s="301">
        <f t="shared" si="142"/>
        <v>0</v>
      </c>
      <c r="AO158" s="301">
        <f t="shared" si="143"/>
        <v>0</v>
      </c>
      <c r="AR158" s="2">
        <v>2</v>
      </c>
      <c r="AS158" s="2" t="str">
        <f t="shared" si="144"/>
        <v/>
      </c>
      <c r="AT158" s="2" t="str">
        <f t="shared" si="145"/>
        <v/>
      </c>
      <c r="AU158" s="2" t="str">
        <f t="shared" si="146"/>
        <v/>
      </c>
      <c r="AV158" s="2" t="str">
        <f t="shared" si="147"/>
        <v/>
      </c>
      <c r="AY158" s="2" t="str">
        <f t="shared" si="148"/>
        <v/>
      </c>
      <c r="AZ158" s="2" t="str">
        <f t="shared" si="149"/>
        <v/>
      </c>
    </row>
    <row r="159" ht="20.1" customHeight="1" spans="22:52">
      <c r="V159" s="297"/>
      <c r="W159" s="9">
        <v>6</v>
      </c>
      <c r="X159" s="296">
        <f t="shared" si="128"/>
        <v>0</v>
      </c>
      <c r="Y159" s="296">
        <f t="shared" si="129"/>
        <v>0</v>
      </c>
      <c r="Z159" s="296">
        <f t="shared" si="130"/>
        <v>0</v>
      </c>
      <c r="AA159" s="296">
        <f t="shared" si="131"/>
        <v>0</v>
      </c>
      <c r="AB159" s="299">
        <f t="shared" si="132"/>
        <v>0</v>
      </c>
      <c r="AC159" s="299">
        <f t="shared" si="133"/>
        <v>0</v>
      </c>
      <c r="AD159" s="299">
        <f t="shared" si="134"/>
        <v>0</v>
      </c>
      <c r="AE159" s="299">
        <f t="shared" si="135"/>
        <v>0</v>
      </c>
      <c r="AF159" s="297"/>
      <c r="AG159" s="9">
        <v>6</v>
      </c>
      <c r="AH159" s="300">
        <f t="shared" si="136"/>
        <v>0</v>
      </c>
      <c r="AI159" s="300">
        <f t="shared" si="137"/>
        <v>0</v>
      </c>
      <c r="AJ159" s="300">
        <f t="shared" si="138"/>
        <v>0</v>
      </c>
      <c r="AK159" s="300">
        <f t="shared" si="139"/>
        <v>0</v>
      </c>
      <c r="AL159" s="301">
        <f t="shared" si="140"/>
        <v>0</v>
      </c>
      <c r="AM159" s="301">
        <f t="shared" si="141"/>
        <v>0</v>
      </c>
      <c r="AN159" s="301">
        <f t="shared" si="142"/>
        <v>0</v>
      </c>
      <c r="AO159" s="301">
        <f t="shared" si="143"/>
        <v>0</v>
      </c>
      <c r="AR159" s="2">
        <v>3</v>
      </c>
      <c r="AS159" s="2" t="str">
        <f t="shared" si="144"/>
        <v/>
      </c>
      <c r="AT159" s="2" t="str">
        <f t="shared" si="145"/>
        <v/>
      </c>
      <c r="AU159" s="2" t="str">
        <f t="shared" si="146"/>
        <v/>
      </c>
      <c r="AV159" s="2" t="str">
        <f t="shared" si="147"/>
        <v/>
      </c>
      <c r="AY159" s="2" t="str">
        <f t="shared" si="148"/>
        <v/>
      </c>
      <c r="AZ159" s="2" t="str">
        <f t="shared" si="149"/>
        <v/>
      </c>
    </row>
    <row r="160" ht="20.1" customHeight="1" spans="22:52">
      <c r="V160" s="297"/>
      <c r="W160" s="9">
        <v>7</v>
      </c>
      <c r="X160" s="296">
        <f t="shared" si="128"/>
        <v>0</v>
      </c>
      <c r="Y160" s="296">
        <f t="shared" si="129"/>
        <v>0</v>
      </c>
      <c r="Z160" s="296">
        <f t="shared" si="130"/>
        <v>0</v>
      </c>
      <c r="AA160" s="296">
        <f t="shared" si="131"/>
        <v>0</v>
      </c>
      <c r="AB160" s="299">
        <f t="shared" si="132"/>
        <v>0</v>
      </c>
      <c r="AC160" s="299">
        <f t="shared" si="133"/>
        <v>0</v>
      </c>
      <c r="AD160" s="299">
        <f t="shared" si="134"/>
        <v>0</v>
      </c>
      <c r="AE160" s="299">
        <f t="shared" si="135"/>
        <v>0</v>
      </c>
      <c r="AF160" s="297"/>
      <c r="AG160" s="9">
        <v>7</v>
      </c>
      <c r="AH160" s="300">
        <f t="shared" si="136"/>
        <v>0</v>
      </c>
      <c r="AI160" s="300">
        <f t="shared" si="137"/>
        <v>0</v>
      </c>
      <c r="AJ160" s="300">
        <f t="shared" si="138"/>
        <v>0</v>
      </c>
      <c r="AK160" s="300">
        <f t="shared" si="139"/>
        <v>0</v>
      </c>
      <c r="AL160" s="301">
        <f t="shared" si="140"/>
        <v>0</v>
      </c>
      <c r="AM160" s="301">
        <f t="shared" si="141"/>
        <v>0</v>
      </c>
      <c r="AN160" s="301">
        <f t="shared" si="142"/>
        <v>0</v>
      </c>
      <c r="AO160" s="301">
        <f t="shared" si="143"/>
        <v>0</v>
      </c>
      <c r="AR160" s="2">
        <v>4</v>
      </c>
      <c r="AS160" s="2" t="str">
        <f t="shared" si="144"/>
        <v/>
      </c>
      <c r="AT160" s="2" t="str">
        <f t="shared" si="145"/>
        <v/>
      </c>
      <c r="AU160" s="2" t="str">
        <f t="shared" si="146"/>
        <v/>
      </c>
      <c r="AV160" s="2" t="str">
        <f t="shared" si="147"/>
        <v/>
      </c>
      <c r="AY160" s="2" t="str">
        <f t="shared" si="148"/>
        <v/>
      </c>
      <c r="AZ160" s="2" t="str">
        <f t="shared" si="149"/>
        <v/>
      </c>
    </row>
    <row r="161" ht="20.1" customHeight="1" spans="22:52">
      <c r="V161" s="297"/>
      <c r="W161" s="9">
        <v>8</v>
      </c>
      <c r="X161" s="296">
        <f t="shared" si="128"/>
        <v>0</v>
      </c>
      <c r="Y161" s="296">
        <f t="shared" si="129"/>
        <v>0</v>
      </c>
      <c r="Z161" s="296">
        <f t="shared" si="130"/>
        <v>0</v>
      </c>
      <c r="AA161" s="296">
        <f t="shared" si="131"/>
        <v>0</v>
      </c>
      <c r="AB161" s="299">
        <f t="shared" si="132"/>
        <v>0</v>
      </c>
      <c r="AC161" s="299">
        <f t="shared" si="133"/>
        <v>0</v>
      </c>
      <c r="AD161" s="299">
        <f t="shared" si="134"/>
        <v>0</v>
      </c>
      <c r="AE161" s="299">
        <f t="shared" si="135"/>
        <v>0</v>
      </c>
      <c r="AF161" s="297"/>
      <c r="AG161" s="9">
        <v>8</v>
      </c>
      <c r="AH161" s="300">
        <f t="shared" si="136"/>
        <v>0</v>
      </c>
      <c r="AI161" s="300">
        <f t="shared" si="137"/>
        <v>0</v>
      </c>
      <c r="AJ161" s="300">
        <f t="shared" si="138"/>
        <v>0</v>
      </c>
      <c r="AK161" s="300">
        <f t="shared" si="139"/>
        <v>0</v>
      </c>
      <c r="AL161" s="301">
        <f t="shared" si="140"/>
        <v>0</v>
      </c>
      <c r="AM161" s="301">
        <f t="shared" si="141"/>
        <v>0</v>
      </c>
      <c r="AN161" s="301">
        <f t="shared" si="142"/>
        <v>0</v>
      </c>
      <c r="AO161" s="301">
        <f t="shared" si="143"/>
        <v>0</v>
      </c>
      <c r="AR161" s="2">
        <v>5</v>
      </c>
      <c r="AS161" s="2" t="str">
        <f t="shared" si="144"/>
        <v/>
      </c>
      <c r="AT161" s="2" t="str">
        <f t="shared" si="145"/>
        <v/>
      </c>
      <c r="AU161" s="2" t="str">
        <f t="shared" si="146"/>
        <v/>
      </c>
      <c r="AV161" s="2" t="str">
        <f t="shared" si="147"/>
        <v/>
      </c>
      <c r="AY161" s="2" t="str">
        <f t="shared" si="148"/>
        <v/>
      </c>
      <c r="AZ161" s="2" t="str">
        <f t="shared" si="149"/>
        <v/>
      </c>
    </row>
    <row r="162" ht="20.1" customHeight="1" spans="22:52">
      <c r="V162" s="297"/>
      <c r="W162" s="9">
        <v>9</v>
      </c>
      <c r="X162" s="296">
        <f t="shared" si="128"/>
        <v>0</v>
      </c>
      <c r="Y162" s="296">
        <f t="shared" si="129"/>
        <v>0</v>
      </c>
      <c r="Z162" s="296">
        <f t="shared" si="130"/>
        <v>0</v>
      </c>
      <c r="AA162" s="296">
        <f t="shared" si="131"/>
        <v>0</v>
      </c>
      <c r="AB162" s="299">
        <f t="shared" si="132"/>
        <v>0</v>
      </c>
      <c r="AC162" s="299">
        <f t="shared" si="133"/>
        <v>0</v>
      </c>
      <c r="AD162" s="299">
        <f t="shared" si="134"/>
        <v>0</v>
      </c>
      <c r="AE162" s="299">
        <f t="shared" si="135"/>
        <v>0</v>
      </c>
      <c r="AF162" s="297"/>
      <c r="AG162" s="9">
        <v>9</v>
      </c>
      <c r="AH162" s="300">
        <f t="shared" si="136"/>
        <v>0</v>
      </c>
      <c r="AI162" s="300">
        <f t="shared" si="137"/>
        <v>0</v>
      </c>
      <c r="AJ162" s="300">
        <f t="shared" si="138"/>
        <v>0</v>
      </c>
      <c r="AK162" s="300">
        <f t="shared" si="139"/>
        <v>0</v>
      </c>
      <c r="AL162" s="301">
        <f t="shared" si="140"/>
        <v>0</v>
      </c>
      <c r="AM162" s="301">
        <f t="shared" si="141"/>
        <v>0</v>
      </c>
      <c r="AN162" s="301">
        <f t="shared" si="142"/>
        <v>0</v>
      </c>
      <c r="AO162" s="301">
        <f t="shared" si="143"/>
        <v>0</v>
      </c>
      <c r="AR162" s="2">
        <v>6</v>
      </c>
      <c r="AS162" s="2" t="str">
        <f t="shared" si="144"/>
        <v/>
      </c>
      <c r="AT162" s="2" t="str">
        <f t="shared" si="145"/>
        <v/>
      </c>
      <c r="AU162" s="2" t="str">
        <f t="shared" si="146"/>
        <v/>
      </c>
      <c r="AV162" s="2" t="str">
        <f t="shared" si="147"/>
        <v/>
      </c>
      <c r="AY162" s="2" t="str">
        <f t="shared" si="148"/>
        <v/>
      </c>
      <c r="AZ162" s="2" t="str">
        <f t="shared" si="149"/>
        <v/>
      </c>
    </row>
    <row r="163" ht="20.1" customHeight="1" spans="22:52">
      <c r="V163" s="297"/>
      <c r="W163" s="9">
        <v>10</v>
      </c>
      <c r="X163" s="296">
        <f t="shared" si="128"/>
        <v>0</v>
      </c>
      <c r="Y163" s="296">
        <f t="shared" si="129"/>
        <v>0</v>
      </c>
      <c r="Z163" s="296">
        <f t="shared" si="130"/>
        <v>0</v>
      </c>
      <c r="AA163" s="296">
        <f t="shared" si="131"/>
        <v>0</v>
      </c>
      <c r="AB163" s="299">
        <f t="shared" si="132"/>
        <v>0</v>
      </c>
      <c r="AC163" s="299">
        <f t="shared" si="133"/>
        <v>0</v>
      </c>
      <c r="AD163" s="299">
        <f t="shared" si="134"/>
        <v>0</v>
      </c>
      <c r="AE163" s="299">
        <f t="shared" si="135"/>
        <v>0</v>
      </c>
      <c r="AF163" s="297"/>
      <c r="AG163" s="9">
        <v>10</v>
      </c>
      <c r="AH163" s="300">
        <f t="shared" si="136"/>
        <v>0</v>
      </c>
      <c r="AI163" s="300">
        <f t="shared" si="137"/>
        <v>0</v>
      </c>
      <c r="AJ163" s="300">
        <f t="shared" si="138"/>
        <v>0</v>
      </c>
      <c r="AK163" s="300">
        <f t="shared" si="139"/>
        <v>0</v>
      </c>
      <c r="AL163" s="301">
        <f t="shared" si="140"/>
        <v>0</v>
      </c>
      <c r="AM163" s="301">
        <f t="shared" si="141"/>
        <v>0</v>
      </c>
      <c r="AN163" s="301">
        <f t="shared" si="142"/>
        <v>0</v>
      </c>
      <c r="AO163" s="301">
        <f t="shared" si="143"/>
        <v>0</v>
      </c>
      <c r="AR163" s="2">
        <v>7</v>
      </c>
      <c r="AS163" s="2" t="str">
        <f t="shared" si="144"/>
        <v/>
      </c>
      <c r="AT163" s="2" t="str">
        <f t="shared" si="145"/>
        <v/>
      </c>
      <c r="AU163" s="2" t="str">
        <f t="shared" si="146"/>
        <v/>
      </c>
      <c r="AV163" s="2" t="str">
        <f t="shared" si="147"/>
        <v/>
      </c>
      <c r="AY163" s="2" t="str">
        <f t="shared" si="148"/>
        <v/>
      </c>
      <c r="AZ163" s="2" t="str">
        <f t="shared" si="149"/>
        <v/>
      </c>
    </row>
    <row r="164" ht="20.1" customHeight="1" spans="22:52">
      <c r="V164" s="297"/>
      <c r="W164" s="9">
        <v>11</v>
      </c>
      <c r="X164" s="296">
        <f t="shared" si="128"/>
        <v>0</v>
      </c>
      <c r="Y164" s="296">
        <f t="shared" si="129"/>
        <v>0</v>
      </c>
      <c r="Z164" s="296">
        <f t="shared" si="130"/>
        <v>0</v>
      </c>
      <c r="AA164" s="296">
        <f t="shared" si="131"/>
        <v>0</v>
      </c>
      <c r="AB164" s="299">
        <f t="shared" si="132"/>
        <v>0</v>
      </c>
      <c r="AC164" s="299">
        <f t="shared" si="133"/>
        <v>0</v>
      </c>
      <c r="AD164" s="299">
        <f t="shared" si="134"/>
        <v>0</v>
      </c>
      <c r="AE164" s="299">
        <f t="shared" si="135"/>
        <v>0</v>
      </c>
      <c r="AF164" s="297"/>
      <c r="AG164" s="9">
        <v>11</v>
      </c>
      <c r="AH164" s="300">
        <f t="shared" si="136"/>
        <v>0</v>
      </c>
      <c r="AI164" s="300">
        <f t="shared" si="137"/>
        <v>0</v>
      </c>
      <c r="AJ164" s="300">
        <f t="shared" si="138"/>
        <v>0</v>
      </c>
      <c r="AK164" s="300">
        <f t="shared" si="139"/>
        <v>0</v>
      </c>
      <c r="AL164" s="301">
        <f t="shared" si="140"/>
        <v>0</v>
      </c>
      <c r="AM164" s="301">
        <f t="shared" si="141"/>
        <v>0</v>
      </c>
      <c r="AN164" s="301">
        <f t="shared" si="142"/>
        <v>0</v>
      </c>
      <c r="AO164" s="301">
        <f t="shared" si="143"/>
        <v>0</v>
      </c>
      <c r="AR164" s="2">
        <v>8</v>
      </c>
      <c r="AS164" s="2" t="str">
        <f t="shared" si="144"/>
        <v/>
      </c>
      <c r="AT164" s="2" t="str">
        <f t="shared" si="145"/>
        <v/>
      </c>
      <c r="AU164" s="2" t="str">
        <f t="shared" si="146"/>
        <v/>
      </c>
      <c r="AV164" s="2" t="str">
        <f t="shared" si="147"/>
        <v/>
      </c>
      <c r="AY164" s="2" t="str">
        <f t="shared" si="148"/>
        <v/>
      </c>
      <c r="AZ164" s="2" t="str">
        <f t="shared" si="149"/>
        <v/>
      </c>
    </row>
    <row r="165" ht="20.1" customHeight="1" spans="22:52">
      <c r="V165" s="297"/>
      <c r="W165" s="9">
        <v>12</v>
      </c>
      <c r="X165" s="296">
        <f t="shared" si="128"/>
        <v>0</v>
      </c>
      <c r="Y165" s="296">
        <f t="shared" si="129"/>
        <v>0</v>
      </c>
      <c r="Z165" s="296">
        <f t="shared" si="130"/>
        <v>0</v>
      </c>
      <c r="AA165" s="296">
        <f t="shared" si="131"/>
        <v>0</v>
      </c>
      <c r="AB165" s="299">
        <f t="shared" si="132"/>
        <v>0</v>
      </c>
      <c r="AC165" s="299">
        <f t="shared" si="133"/>
        <v>0</v>
      </c>
      <c r="AD165" s="299">
        <f t="shared" si="134"/>
        <v>0</v>
      </c>
      <c r="AE165" s="299">
        <f t="shared" si="135"/>
        <v>0</v>
      </c>
      <c r="AF165" s="297"/>
      <c r="AG165" s="9">
        <v>12</v>
      </c>
      <c r="AH165" s="300">
        <f t="shared" si="136"/>
        <v>0</v>
      </c>
      <c r="AI165" s="300">
        <f t="shared" si="137"/>
        <v>0</v>
      </c>
      <c r="AJ165" s="300">
        <f t="shared" si="138"/>
        <v>0</v>
      </c>
      <c r="AK165" s="300">
        <f t="shared" si="139"/>
        <v>0</v>
      </c>
      <c r="AL165" s="301">
        <f t="shared" si="140"/>
        <v>0</v>
      </c>
      <c r="AM165" s="301">
        <f t="shared" si="141"/>
        <v>0</v>
      </c>
      <c r="AN165" s="301">
        <f t="shared" si="142"/>
        <v>0</v>
      </c>
      <c r="AO165" s="301">
        <f t="shared" si="143"/>
        <v>0</v>
      </c>
      <c r="AR165" s="2">
        <v>9</v>
      </c>
      <c r="AS165" s="2" t="str">
        <f t="shared" si="144"/>
        <v/>
      </c>
      <c r="AT165" s="2" t="str">
        <f t="shared" si="145"/>
        <v/>
      </c>
      <c r="AU165" s="2" t="str">
        <f t="shared" si="146"/>
        <v/>
      </c>
      <c r="AV165" s="2" t="str">
        <f t="shared" si="147"/>
        <v/>
      </c>
      <c r="AY165" s="2" t="str">
        <f t="shared" si="148"/>
        <v/>
      </c>
      <c r="AZ165" s="2" t="str">
        <f t="shared" si="149"/>
        <v/>
      </c>
    </row>
    <row r="166" ht="20.1" customHeight="1" spans="22:52">
      <c r="V166" s="297"/>
      <c r="W166" s="9">
        <v>13</v>
      </c>
      <c r="X166" s="296">
        <f t="shared" si="128"/>
        <v>0</v>
      </c>
      <c r="Y166" s="296">
        <f t="shared" si="129"/>
        <v>0</v>
      </c>
      <c r="Z166" s="296">
        <f t="shared" si="130"/>
        <v>0</v>
      </c>
      <c r="AA166" s="296">
        <f t="shared" si="131"/>
        <v>0</v>
      </c>
      <c r="AB166" s="299">
        <f t="shared" si="132"/>
        <v>0</v>
      </c>
      <c r="AC166" s="299">
        <f t="shared" si="133"/>
        <v>0</v>
      </c>
      <c r="AD166" s="299">
        <f t="shared" si="134"/>
        <v>0</v>
      </c>
      <c r="AE166" s="299">
        <f t="shared" si="135"/>
        <v>0</v>
      </c>
      <c r="AF166" s="297"/>
      <c r="AG166" s="9">
        <v>13</v>
      </c>
      <c r="AH166" s="300">
        <f t="shared" si="136"/>
        <v>0</v>
      </c>
      <c r="AI166" s="300">
        <f t="shared" si="137"/>
        <v>0</v>
      </c>
      <c r="AJ166" s="300">
        <f t="shared" si="138"/>
        <v>0</v>
      </c>
      <c r="AK166" s="300">
        <f t="shared" si="139"/>
        <v>0</v>
      </c>
      <c r="AL166" s="301">
        <f t="shared" si="140"/>
        <v>0</v>
      </c>
      <c r="AM166" s="301">
        <f t="shared" si="141"/>
        <v>0</v>
      </c>
      <c r="AN166" s="301">
        <f t="shared" si="142"/>
        <v>0</v>
      </c>
      <c r="AO166" s="301">
        <f t="shared" si="143"/>
        <v>0</v>
      </c>
      <c r="AR166" s="2">
        <v>10</v>
      </c>
      <c r="AS166" s="2" t="str">
        <f t="shared" si="144"/>
        <v/>
      </c>
      <c r="AT166" s="2" t="str">
        <f t="shared" si="145"/>
        <v/>
      </c>
      <c r="AU166" s="2" t="str">
        <f t="shared" si="146"/>
        <v/>
      </c>
      <c r="AV166" s="2" t="str">
        <f t="shared" si="147"/>
        <v/>
      </c>
      <c r="AY166" s="2" t="str">
        <f t="shared" si="148"/>
        <v/>
      </c>
      <c r="AZ166" s="2" t="str">
        <f t="shared" si="149"/>
        <v/>
      </c>
    </row>
    <row r="167" ht="19.5" customHeight="1" spans="22:52">
      <c r="V167" s="297"/>
      <c r="W167" s="9">
        <v>14</v>
      </c>
      <c r="X167" s="296">
        <f t="shared" si="128"/>
        <v>0</v>
      </c>
      <c r="Y167" s="296">
        <f t="shared" si="129"/>
        <v>0</v>
      </c>
      <c r="Z167" s="296">
        <f t="shared" si="130"/>
        <v>0</v>
      </c>
      <c r="AA167" s="296">
        <f t="shared" si="131"/>
        <v>0</v>
      </c>
      <c r="AB167" s="299">
        <f t="shared" si="132"/>
        <v>0</v>
      </c>
      <c r="AC167" s="299">
        <f t="shared" si="133"/>
        <v>0</v>
      </c>
      <c r="AD167" s="299">
        <f t="shared" si="134"/>
        <v>0</v>
      </c>
      <c r="AE167" s="299">
        <f t="shared" si="135"/>
        <v>0</v>
      </c>
      <c r="AF167" s="297"/>
      <c r="AG167" s="9">
        <v>14</v>
      </c>
      <c r="AH167" s="300">
        <f t="shared" si="136"/>
        <v>0</v>
      </c>
      <c r="AI167" s="300">
        <f t="shared" si="137"/>
        <v>0</v>
      </c>
      <c r="AJ167" s="300">
        <f t="shared" si="138"/>
        <v>0</v>
      </c>
      <c r="AK167" s="300">
        <f t="shared" si="139"/>
        <v>0</v>
      </c>
      <c r="AL167" s="301">
        <f t="shared" si="140"/>
        <v>0</v>
      </c>
      <c r="AM167" s="301">
        <f t="shared" si="141"/>
        <v>0</v>
      </c>
      <c r="AN167" s="301">
        <f t="shared" si="142"/>
        <v>0</v>
      </c>
      <c r="AO167" s="301">
        <f t="shared" si="143"/>
        <v>0</v>
      </c>
      <c r="AR167" s="2">
        <v>11</v>
      </c>
      <c r="AS167" s="2" t="str">
        <f t="shared" si="144"/>
        <v/>
      </c>
      <c r="AT167" s="2" t="str">
        <f t="shared" si="145"/>
        <v/>
      </c>
      <c r="AU167" s="2" t="str">
        <f t="shared" si="146"/>
        <v/>
      </c>
      <c r="AV167" s="2" t="str">
        <f t="shared" si="147"/>
        <v/>
      </c>
      <c r="AY167" s="2" t="str">
        <f t="shared" si="148"/>
        <v/>
      </c>
      <c r="AZ167" s="2" t="str">
        <f t="shared" si="149"/>
        <v/>
      </c>
    </row>
    <row r="168" ht="19.5" customHeight="1" spans="22:52">
      <c r="V168" s="297"/>
      <c r="W168" s="9">
        <v>15</v>
      </c>
      <c r="X168" s="296">
        <f t="shared" si="128"/>
        <v>0</v>
      </c>
      <c r="Y168" s="296">
        <f t="shared" si="129"/>
        <v>0</v>
      </c>
      <c r="Z168" s="296">
        <f t="shared" si="130"/>
        <v>0</v>
      </c>
      <c r="AA168" s="296">
        <f t="shared" si="131"/>
        <v>0</v>
      </c>
      <c r="AB168" s="299">
        <f t="shared" si="132"/>
        <v>0</v>
      </c>
      <c r="AC168" s="299">
        <f t="shared" si="133"/>
        <v>0</v>
      </c>
      <c r="AD168" s="299">
        <f t="shared" si="134"/>
        <v>0</v>
      </c>
      <c r="AE168" s="299">
        <f t="shared" si="135"/>
        <v>0</v>
      </c>
      <c r="AF168" s="297"/>
      <c r="AG168" s="9">
        <v>15</v>
      </c>
      <c r="AH168" s="300">
        <f t="shared" si="136"/>
        <v>0</v>
      </c>
      <c r="AI168" s="300">
        <f t="shared" si="137"/>
        <v>0</v>
      </c>
      <c r="AJ168" s="300">
        <f t="shared" si="138"/>
        <v>0</v>
      </c>
      <c r="AK168" s="300">
        <f t="shared" si="139"/>
        <v>0</v>
      </c>
      <c r="AL168" s="301">
        <f t="shared" si="140"/>
        <v>0</v>
      </c>
      <c r="AM168" s="301">
        <f t="shared" si="141"/>
        <v>0</v>
      </c>
      <c r="AN168" s="301">
        <f t="shared" si="142"/>
        <v>0</v>
      </c>
      <c r="AO168" s="301">
        <f t="shared" si="143"/>
        <v>0</v>
      </c>
      <c r="AR168" s="2">
        <v>12</v>
      </c>
      <c r="AS168" s="2" t="str">
        <f t="shared" si="144"/>
        <v/>
      </c>
      <c r="AT168" s="2" t="str">
        <f t="shared" si="145"/>
        <v/>
      </c>
      <c r="AU168" s="2" t="str">
        <f t="shared" si="146"/>
        <v/>
      </c>
      <c r="AV168" s="2" t="str">
        <f t="shared" si="147"/>
        <v/>
      </c>
      <c r="AY168" s="2" t="str">
        <f t="shared" si="148"/>
        <v/>
      </c>
      <c r="AZ168" s="2" t="str">
        <f t="shared" si="149"/>
        <v/>
      </c>
    </row>
    <row r="169" ht="19.5" customHeight="1" spans="22:52">
      <c r="V169" s="297"/>
      <c r="W169" s="9">
        <v>16</v>
      </c>
      <c r="X169" s="296">
        <f t="shared" si="128"/>
        <v>0</v>
      </c>
      <c r="Y169" s="296">
        <f t="shared" si="129"/>
        <v>0</v>
      </c>
      <c r="Z169" s="296">
        <f t="shared" si="130"/>
        <v>0</v>
      </c>
      <c r="AA169" s="296">
        <f t="shared" si="131"/>
        <v>0</v>
      </c>
      <c r="AB169" s="299">
        <f t="shared" si="132"/>
        <v>0</v>
      </c>
      <c r="AC169" s="299">
        <f t="shared" si="133"/>
        <v>0</v>
      </c>
      <c r="AD169" s="299">
        <f t="shared" si="134"/>
        <v>0</v>
      </c>
      <c r="AE169" s="299">
        <f t="shared" si="135"/>
        <v>0</v>
      </c>
      <c r="AF169" s="297"/>
      <c r="AG169" s="9">
        <v>16</v>
      </c>
      <c r="AH169" s="300">
        <f t="shared" si="136"/>
        <v>0</v>
      </c>
      <c r="AI169" s="300">
        <f t="shared" si="137"/>
        <v>0</v>
      </c>
      <c r="AJ169" s="300">
        <f t="shared" si="138"/>
        <v>0</v>
      </c>
      <c r="AK169" s="300">
        <f t="shared" si="139"/>
        <v>0</v>
      </c>
      <c r="AL169" s="301">
        <f t="shared" si="140"/>
        <v>0</v>
      </c>
      <c r="AM169" s="301">
        <f t="shared" si="141"/>
        <v>0</v>
      </c>
      <c r="AN169" s="301">
        <f t="shared" si="142"/>
        <v>0</v>
      </c>
      <c r="AO169" s="301">
        <f t="shared" si="143"/>
        <v>0</v>
      </c>
      <c r="AR169" s="2">
        <v>13</v>
      </c>
      <c r="AS169" s="2" t="str">
        <f t="shared" si="144"/>
        <v/>
      </c>
      <c r="AT169" s="2" t="str">
        <f t="shared" si="145"/>
        <v/>
      </c>
      <c r="AU169" s="2" t="str">
        <f t="shared" si="146"/>
        <v/>
      </c>
      <c r="AV169" s="2" t="str">
        <f t="shared" si="147"/>
        <v/>
      </c>
      <c r="AY169" s="2" t="str">
        <f t="shared" si="148"/>
        <v/>
      </c>
      <c r="AZ169" s="2" t="str">
        <f t="shared" si="149"/>
        <v/>
      </c>
    </row>
    <row r="170" ht="19.5" customHeight="1" spans="22:52">
      <c r="V170" s="297"/>
      <c r="W170" s="9">
        <v>17</v>
      </c>
      <c r="X170" s="296">
        <f t="shared" si="128"/>
        <v>0</v>
      </c>
      <c r="Y170" s="296">
        <f t="shared" si="129"/>
        <v>0</v>
      </c>
      <c r="Z170" s="296">
        <f t="shared" si="130"/>
        <v>0</v>
      </c>
      <c r="AA170" s="296">
        <f t="shared" si="131"/>
        <v>0</v>
      </c>
      <c r="AB170" s="299">
        <f t="shared" si="132"/>
        <v>0</v>
      </c>
      <c r="AC170" s="299">
        <f t="shared" si="133"/>
        <v>0</v>
      </c>
      <c r="AD170" s="299">
        <f t="shared" si="134"/>
        <v>0</v>
      </c>
      <c r="AE170" s="299">
        <f t="shared" si="135"/>
        <v>0</v>
      </c>
      <c r="AF170" s="297"/>
      <c r="AG170" s="9">
        <v>17</v>
      </c>
      <c r="AH170" s="300">
        <f t="shared" si="136"/>
        <v>0</v>
      </c>
      <c r="AI170" s="300">
        <f t="shared" si="137"/>
        <v>0</v>
      </c>
      <c r="AJ170" s="300">
        <f t="shared" si="138"/>
        <v>0</v>
      </c>
      <c r="AK170" s="300">
        <f t="shared" si="139"/>
        <v>0</v>
      </c>
      <c r="AL170" s="301">
        <f t="shared" si="140"/>
        <v>0</v>
      </c>
      <c r="AM170" s="301">
        <f t="shared" si="141"/>
        <v>0</v>
      </c>
      <c r="AN170" s="301">
        <f t="shared" si="142"/>
        <v>0</v>
      </c>
      <c r="AO170" s="301">
        <f t="shared" si="143"/>
        <v>0</v>
      </c>
      <c r="AR170" s="2">
        <v>14</v>
      </c>
      <c r="AS170" s="2" t="str">
        <f t="shared" si="144"/>
        <v/>
      </c>
      <c r="AT170" s="2" t="str">
        <f t="shared" si="145"/>
        <v/>
      </c>
      <c r="AU170" s="2" t="str">
        <f t="shared" si="146"/>
        <v/>
      </c>
      <c r="AV170" s="2" t="str">
        <f t="shared" si="147"/>
        <v/>
      </c>
      <c r="AY170" s="2" t="str">
        <f t="shared" si="148"/>
        <v/>
      </c>
      <c r="AZ170" s="2" t="str">
        <f t="shared" si="149"/>
        <v/>
      </c>
    </row>
    <row r="171" ht="19.5" customHeight="1" spans="22:52">
      <c r="V171" s="297"/>
      <c r="W171" s="9">
        <v>18</v>
      </c>
      <c r="X171" s="296">
        <f t="shared" si="128"/>
        <v>0</v>
      </c>
      <c r="Y171" s="296">
        <f t="shared" si="129"/>
        <v>0</v>
      </c>
      <c r="Z171" s="296">
        <f t="shared" si="130"/>
        <v>0</v>
      </c>
      <c r="AA171" s="296">
        <f t="shared" si="131"/>
        <v>0</v>
      </c>
      <c r="AB171" s="299">
        <f t="shared" si="132"/>
        <v>0</v>
      </c>
      <c r="AC171" s="299">
        <f t="shared" si="133"/>
        <v>0</v>
      </c>
      <c r="AD171" s="299">
        <f t="shared" si="134"/>
        <v>0</v>
      </c>
      <c r="AE171" s="299">
        <f t="shared" si="135"/>
        <v>0</v>
      </c>
      <c r="AF171" s="297"/>
      <c r="AG171" s="9">
        <v>18</v>
      </c>
      <c r="AH171" s="300">
        <f t="shared" si="136"/>
        <v>0</v>
      </c>
      <c r="AI171" s="300">
        <f t="shared" si="137"/>
        <v>0</v>
      </c>
      <c r="AJ171" s="300">
        <f t="shared" si="138"/>
        <v>0</v>
      </c>
      <c r="AK171" s="300">
        <f t="shared" si="139"/>
        <v>0</v>
      </c>
      <c r="AL171" s="301">
        <f t="shared" si="140"/>
        <v>0</v>
      </c>
      <c r="AM171" s="301">
        <f t="shared" si="141"/>
        <v>0</v>
      </c>
      <c r="AN171" s="301">
        <f t="shared" si="142"/>
        <v>0</v>
      </c>
      <c r="AO171" s="301">
        <f t="shared" si="143"/>
        <v>0</v>
      </c>
      <c r="AR171" s="2">
        <v>15</v>
      </c>
      <c r="AS171" s="2" t="str">
        <f t="shared" si="144"/>
        <v/>
      </c>
      <c r="AT171" s="2" t="str">
        <f t="shared" si="145"/>
        <v/>
      </c>
      <c r="AU171" s="2" t="str">
        <f t="shared" si="146"/>
        <v/>
      </c>
      <c r="AV171" s="2" t="str">
        <f t="shared" si="147"/>
        <v/>
      </c>
      <c r="AY171" s="2" t="str">
        <f t="shared" si="148"/>
        <v/>
      </c>
      <c r="AZ171" s="2" t="str">
        <f t="shared" si="149"/>
        <v/>
      </c>
    </row>
    <row r="172" ht="19.5" customHeight="1" spans="22:52">
      <c r="V172" s="297"/>
      <c r="W172" s="9">
        <v>19</v>
      </c>
      <c r="X172" s="296">
        <f t="shared" si="128"/>
        <v>0</v>
      </c>
      <c r="Y172" s="296">
        <f t="shared" si="129"/>
        <v>0</v>
      </c>
      <c r="Z172" s="296">
        <f t="shared" si="130"/>
        <v>0</v>
      </c>
      <c r="AA172" s="296">
        <f t="shared" si="131"/>
        <v>0</v>
      </c>
      <c r="AB172" s="299">
        <f t="shared" si="132"/>
        <v>0</v>
      </c>
      <c r="AC172" s="299">
        <f t="shared" si="133"/>
        <v>0</v>
      </c>
      <c r="AD172" s="299">
        <f t="shared" si="134"/>
        <v>0</v>
      </c>
      <c r="AE172" s="299">
        <f t="shared" si="135"/>
        <v>0</v>
      </c>
      <c r="AF172" s="297"/>
      <c r="AG172" s="9">
        <v>19</v>
      </c>
      <c r="AH172" s="300">
        <f t="shared" si="136"/>
        <v>0</v>
      </c>
      <c r="AI172" s="300">
        <f t="shared" si="137"/>
        <v>0</v>
      </c>
      <c r="AJ172" s="300">
        <f t="shared" si="138"/>
        <v>0</v>
      </c>
      <c r="AK172" s="300">
        <f t="shared" si="139"/>
        <v>0</v>
      </c>
      <c r="AL172" s="301">
        <f t="shared" si="140"/>
        <v>0</v>
      </c>
      <c r="AM172" s="301">
        <f t="shared" si="141"/>
        <v>0</v>
      </c>
      <c r="AN172" s="301">
        <f t="shared" si="142"/>
        <v>0</v>
      </c>
      <c r="AO172" s="301">
        <f t="shared" si="143"/>
        <v>0</v>
      </c>
      <c r="AR172" s="2">
        <v>16</v>
      </c>
      <c r="AS172" s="2" t="str">
        <f t="shared" si="144"/>
        <v/>
      </c>
      <c r="AT172" s="2" t="str">
        <f t="shared" si="145"/>
        <v/>
      </c>
      <c r="AU172" s="2" t="str">
        <f t="shared" si="146"/>
        <v/>
      </c>
      <c r="AV172" s="2" t="str">
        <f t="shared" si="147"/>
        <v/>
      </c>
      <c r="AY172" s="2" t="str">
        <f t="shared" si="148"/>
        <v/>
      </c>
      <c r="AZ172" s="2" t="str">
        <f t="shared" si="149"/>
        <v/>
      </c>
    </row>
    <row r="173" ht="19.5" customHeight="1" spans="22:52">
      <c r="V173" s="298"/>
      <c r="W173" s="9">
        <v>20</v>
      </c>
      <c r="X173" s="296">
        <f t="shared" si="128"/>
        <v>0</v>
      </c>
      <c r="Y173" s="296">
        <f t="shared" si="129"/>
        <v>0</v>
      </c>
      <c r="Z173" s="296">
        <f t="shared" si="130"/>
        <v>0</v>
      </c>
      <c r="AA173" s="296">
        <f t="shared" si="131"/>
        <v>0</v>
      </c>
      <c r="AB173" s="299">
        <f t="shared" si="132"/>
        <v>0</v>
      </c>
      <c r="AC173" s="299">
        <f t="shared" si="133"/>
        <v>0</v>
      </c>
      <c r="AD173" s="299">
        <f t="shared" si="134"/>
        <v>0</v>
      </c>
      <c r="AE173" s="299">
        <f t="shared" si="135"/>
        <v>0</v>
      </c>
      <c r="AF173" s="298"/>
      <c r="AG173" s="9">
        <v>20</v>
      </c>
      <c r="AH173" s="300">
        <f t="shared" si="136"/>
        <v>0</v>
      </c>
      <c r="AI173" s="300">
        <f t="shared" si="137"/>
        <v>0</v>
      </c>
      <c r="AJ173" s="300">
        <f t="shared" si="138"/>
        <v>0</v>
      </c>
      <c r="AK173" s="300">
        <f t="shared" si="139"/>
        <v>0</v>
      </c>
      <c r="AL173" s="301">
        <f t="shared" si="140"/>
        <v>0</v>
      </c>
      <c r="AM173" s="301">
        <f t="shared" si="141"/>
        <v>0</v>
      </c>
      <c r="AN173" s="301">
        <f t="shared" si="142"/>
        <v>0</v>
      </c>
      <c r="AO173" s="301">
        <f t="shared" si="143"/>
        <v>0</v>
      </c>
      <c r="AR173" s="2">
        <v>17</v>
      </c>
      <c r="AS173" s="2" t="str">
        <f t="shared" si="144"/>
        <v/>
      </c>
      <c r="AT173" s="2" t="str">
        <f t="shared" si="145"/>
        <v/>
      </c>
      <c r="AU173" s="2" t="str">
        <f t="shared" si="146"/>
        <v/>
      </c>
      <c r="AV173" s="2" t="str">
        <f t="shared" si="147"/>
        <v/>
      </c>
      <c r="AY173" s="2" t="str">
        <f t="shared" si="148"/>
        <v/>
      </c>
      <c r="AZ173" s="2" t="str">
        <f t="shared" si="149"/>
        <v/>
      </c>
    </row>
    <row r="174" ht="19.5" customHeight="1" spans="44:52">
      <c r="AR174" s="2">
        <v>18</v>
      </c>
      <c r="AS174" s="2" t="str">
        <f t="shared" si="144"/>
        <v/>
      </c>
      <c r="AT174" s="2" t="str">
        <f t="shared" si="145"/>
        <v/>
      </c>
      <c r="AU174" s="2" t="str">
        <f t="shared" si="146"/>
        <v/>
      </c>
      <c r="AV174" s="2" t="str">
        <f t="shared" si="147"/>
        <v/>
      </c>
      <c r="AY174" s="2" t="str">
        <f t="shared" si="148"/>
        <v/>
      </c>
      <c r="AZ174" s="2" t="str">
        <f t="shared" si="149"/>
        <v/>
      </c>
    </row>
    <row r="175" ht="19.5" customHeight="1" spans="44:52">
      <c r="AR175" s="2">
        <v>19</v>
      </c>
      <c r="AS175" s="2" t="str">
        <f t="shared" si="144"/>
        <v/>
      </c>
      <c r="AT175" s="2" t="str">
        <f t="shared" si="145"/>
        <v/>
      </c>
      <c r="AU175" s="2" t="str">
        <f t="shared" si="146"/>
        <v/>
      </c>
      <c r="AV175" s="2" t="str">
        <f t="shared" si="147"/>
        <v/>
      </c>
      <c r="AY175" s="2" t="str">
        <f t="shared" si="148"/>
        <v/>
      </c>
      <c r="AZ175" s="2" t="str">
        <f t="shared" si="149"/>
        <v/>
      </c>
    </row>
    <row r="176" ht="19.5" customHeight="1" spans="44:52">
      <c r="AR176" s="2">
        <v>20</v>
      </c>
      <c r="AS176" s="2" t="str">
        <f t="shared" si="144"/>
        <v/>
      </c>
      <c r="AT176" s="2" t="str">
        <f t="shared" si="145"/>
        <v/>
      </c>
      <c r="AU176" s="2" t="str">
        <f t="shared" si="146"/>
        <v/>
      </c>
      <c r="AV176" s="2" t="str">
        <f t="shared" si="147"/>
        <v/>
      </c>
      <c r="AY176" s="2" t="str">
        <f t="shared" si="148"/>
        <v/>
      </c>
      <c r="AZ176" s="2" t="str">
        <f t="shared" si="149"/>
        <v/>
      </c>
    </row>
    <row r="177" ht="19.5" customHeight="1"/>
    <row r="178" ht="19.5" customHeight="1" spans="44:52">
      <c r="AR178" s="2" t="s">
        <v>460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18" t="s">
        <v>200</v>
      </c>
      <c r="AT180" s="218" t="s">
        <v>203</v>
      </c>
      <c r="AU180" s="218" t="s">
        <v>202</v>
      </c>
      <c r="AV180" s="218" t="s">
        <v>204</v>
      </c>
    </row>
    <row r="181" ht="15.6" spans="45:48">
      <c r="AS181" s="303" t="str">
        <f>比赛参数!D75</f>
        <v>0.2</v>
      </c>
      <c r="AT181" s="303" t="str">
        <f>比赛参数!G75</f>
        <v>0.12</v>
      </c>
      <c r="AU181" s="303" t="str">
        <f>比赛参数!F75</f>
        <v>0.12</v>
      </c>
      <c r="AV181" s="303" t="str">
        <f>比赛参数!H75</f>
        <v>0.16</v>
      </c>
    </row>
    <row r="182" ht="15.6" spans="44:48">
      <c r="AR182" s="9" t="s">
        <v>392</v>
      </c>
      <c r="AS182" s="304" t="s">
        <v>200</v>
      </c>
      <c r="AT182" s="304" t="s">
        <v>493</v>
      </c>
      <c r="AU182" s="304" t="s">
        <v>202</v>
      </c>
      <c r="AV182" s="304" t="s">
        <v>204</v>
      </c>
    </row>
    <row r="183" ht="15.6" spans="44:48">
      <c r="AR183" s="174">
        <v>1</v>
      </c>
      <c r="AS183" s="279" t="str">
        <f t="shared" ref="AS183:AS202" si="150">IF(AS132="","",(AS132-AS$153)/AS$178*AS$181)</f>
        <v/>
      </c>
      <c r="AT183" s="279" t="str">
        <f t="shared" ref="AT183:AT202" si="151">IF(AT132="","",(AT132-AT$153)/AT$178*AT$181)</f>
        <v/>
      </c>
      <c r="AU183" s="279" t="str">
        <f t="shared" ref="AU183:AU202" si="152">IF(AU132="","",(AU132-AU$153)/AU$178*AU$181)</f>
        <v/>
      </c>
      <c r="AV183" s="279" t="str">
        <f t="shared" ref="AV183:AV202" si="153">IF(AV132="","",(AV132-AV$153)/AV$178*AV$181)</f>
        <v/>
      </c>
    </row>
    <row r="184" ht="15.6" spans="44:48">
      <c r="AR184" s="174">
        <v>2</v>
      </c>
      <c r="AS184" s="279" t="str">
        <f t="shared" si="150"/>
        <v/>
      </c>
      <c r="AT184" s="279" t="str">
        <f t="shared" si="151"/>
        <v/>
      </c>
      <c r="AU184" s="279" t="str">
        <f t="shared" si="152"/>
        <v/>
      </c>
      <c r="AV184" s="279" t="str">
        <f t="shared" si="153"/>
        <v/>
      </c>
    </row>
    <row r="185" ht="15.6" spans="44:48">
      <c r="AR185" s="174">
        <v>3</v>
      </c>
      <c r="AS185" s="279" t="str">
        <f t="shared" si="150"/>
        <v/>
      </c>
      <c r="AT185" s="279" t="str">
        <f t="shared" si="151"/>
        <v/>
      </c>
      <c r="AU185" s="279" t="str">
        <f t="shared" si="152"/>
        <v/>
      </c>
      <c r="AV185" s="279" t="str">
        <f t="shared" si="153"/>
        <v/>
      </c>
    </row>
    <row r="186" ht="15.6" spans="44:48">
      <c r="AR186" s="174">
        <v>4</v>
      </c>
      <c r="AS186" s="279" t="str">
        <f t="shared" si="150"/>
        <v/>
      </c>
      <c r="AT186" s="279" t="str">
        <f t="shared" si="151"/>
        <v/>
      </c>
      <c r="AU186" s="279" t="str">
        <f t="shared" si="152"/>
        <v/>
      </c>
      <c r="AV186" s="279" t="str">
        <f t="shared" si="153"/>
        <v/>
      </c>
    </row>
    <row r="187" ht="15.6" spans="44:48">
      <c r="AR187" s="174">
        <v>5</v>
      </c>
      <c r="AS187" s="279" t="str">
        <f t="shared" si="150"/>
        <v/>
      </c>
      <c r="AT187" s="279" t="str">
        <f t="shared" si="151"/>
        <v/>
      </c>
      <c r="AU187" s="279" t="str">
        <f t="shared" si="152"/>
        <v/>
      </c>
      <c r="AV187" s="279" t="str">
        <f t="shared" si="153"/>
        <v/>
      </c>
    </row>
    <row r="188" ht="15.6" spans="44:48">
      <c r="AR188" s="174">
        <v>6</v>
      </c>
      <c r="AS188" s="279" t="str">
        <f t="shared" si="150"/>
        <v/>
      </c>
      <c r="AT188" s="279" t="str">
        <f t="shared" si="151"/>
        <v/>
      </c>
      <c r="AU188" s="279" t="str">
        <f t="shared" si="152"/>
        <v/>
      </c>
      <c r="AV188" s="279" t="str">
        <f t="shared" si="153"/>
        <v/>
      </c>
    </row>
    <row r="189" ht="15.6" spans="44:48">
      <c r="AR189" s="174">
        <v>7</v>
      </c>
      <c r="AS189" s="279" t="str">
        <f t="shared" si="150"/>
        <v/>
      </c>
      <c r="AT189" s="279" t="str">
        <f t="shared" si="151"/>
        <v/>
      </c>
      <c r="AU189" s="279" t="str">
        <f t="shared" si="152"/>
        <v/>
      </c>
      <c r="AV189" s="279" t="str">
        <f t="shared" si="153"/>
        <v/>
      </c>
    </row>
    <row r="190" ht="15.6" spans="44:48">
      <c r="AR190" s="174">
        <v>8</v>
      </c>
      <c r="AS190" s="279" t="str">
        <f t="shared" si="150"/>
        <v/>
      </c>
      <c r="AT190" s="279" t="str">
        <f t="shared" si="151"/>
        <v/>
      </c>
      <c r="AU190" s="279" t="str">
        <f t="shared" si="152"/>
        <v/>
      </c>
      <c r="AV190" s="279" t="str">
        <f t="shared" si="153"/>
        <v/>
      </c>
    </row>
    <row r="191" ht="15.6" spans="44:48">
      <c r="AR191" s="174">
        <v>9</v>
      </c>
      <c r="AS191" s="279" t="str">
        <f t="shared" si="150"/>
        <v/>
      </c>
      <c r="AT191" s="279" t="str">
        <f t="shared" si="151"/>
        <v/>
      </c>
      <c r="AU191" s="279" t="str">
        <f t="shared" si="152"/>
        <v/>
      </c>
      <c r="AV191" s="279" t="str">
        <f t="shared" si="153"/>
        <v/>
      </c>
    </row>
    <row r="192" ht="15.6" spans="44:48">
      <c r="AR192" s="174">
        <v>10</v>
      </c>
      <c r="AS192" s="279" t="str">
        <f t="shared" si="150"/>
        <v/>
      </c>
      <c r="AT192" s="279" t="str">
        <f t="shared" si="151"/>
        <v/>
      </c>
      <c r="AU192" s="279" t="str">
        <f t="shared" si="152"/>
        <v/>
      </c>
      <c r="AV192" s="279" t="str">
        <f t="shared" si="153"/>
        <v/>
      </c>
    </row>
    <row r="193" ht="15.6" spans="44:48">
      <c r="AR193" s="174">
        <v>11</v>
      </c>
      <c r="AS193" s="279" t="str">
        <f t="shared" si="150"/>
        <v/>
      </c>
      <c r="AT193" s="279" t="str">
        <f t="shared" si="151"/>
        <v/>
      </c>
      <c r="AU193" s="279" t="str">
        <f t="shared" si="152"/>
        <v/>
      </c>
      <c r="AV193" s="279" t="str">
        <f t="shared" si="153"/>
        <v/>
      </c>
    </row>
    <row r="194" ht="15.6" spans="44:48">
      <c r="AR194" s="174">
        <v>12</v>
      </c>
      <c r="AS194" s="279" t="str">
        <f t="shared" si="150"/>
        <v/>
      </c>
      <c r="AT194" s="279" t="str">
        <f t="shared" si="151"/>
        <v/>
      </c>
      <c r="AU194" s="279" t="str">
        <f t="shared" si="152"/>
        <v/>
      </c>
      <c r="AV194" s="279" t="str">
        <f t="shared" si="153"/>
        <v/>
      </c>
    </row>
    <row r="195" ht="15.6" spans="44:48">
      <c r="AR195" s="174">
        <v>13</v>
      </c>
      <c r="AS195" s="279" t="str">
        <f t="shared" si="150"/>
        <v/>
      </c>
      <c r="AT195" s="279" t="str">
        <f t="shared" si="151"/>
        <v/>
      </c>
      <c r="AU195" s="279" t="str">
        <f t="shared" si="152"/>
        <v/>
      </c>
      <c r="AV195" s="279" t="str">
        <f t="shared" si="153"/>
        <v/>
      </c>
    </row>
    <row r="196" ht="15.6" spans="44:48">
      <c r="AR196" s="174">
        <v>14</v>
      </c>
      <c r="AS196" s="279" t="str">
        <f t="shared" si="150"/>
        <v/>
      </c>
      <c r="AT196" s="279" t="str">
        <f t="shared" si="151"/>
        <v/>
      </c>
      <c r="AU196" s="279" t="str">
        <f t="shared" si="152"/>
        <v/>
      </c>
      <c r="AV196" s="279" t="str">
        <f t="shared" si="153"/>
        <v/>
      </c>
    </row>
    <row r="197" ht="19.5" customHeight="1" spans="44:48">
      <c r="AR197" s="174">
        <v>15</v>
      </c>
      <c r="AS197" s="279" t="str">
        <f t="shared" si="150"/>
        <v/>
      </c>
      <c r="AT197" s="279" t="str">
        <f t="shared" si="151"/>
        <v/>
      </c>
      <c r="AU197" s="279" t="str">
        <f t="shared" si="152"/>
        <v/>
      </c>
      <c r="AV197" s="279" t="str">
        <f t="shared" si="153"/>
        <v/>
      </c>
    </row>
    <row r="198" ht="19.5" customHeight="1" spans="44:48">
      <c r="AR198" s="174">
        <v>16</v>
      </c>
      <c r="AS198" s="279" t="str">
        <f t="shared" si="150"/>
        <v/>
      </c>
      <c r="AT198" s="279" t="str">
        <f t="shared" si="151"/>
        <v/>
      </c>
      <c r="AU198" s="279" t="str">
        <f t="shared" si="152"/>
        <v/>
      </c>
      <c r="AV198" s="279" t="str">
        <f t="shared" si="153"/>
        <v/>
      </c>
    </row>
    <row r="199" ht="19.5" customHeight="1" spans="44:48">
      <c r="AR199" s="174">
        <v>17</v>
      </c>
      <c r="AS199" s="279" t="str">
        <f t="shared" si="150"/>
        <v/>
      </c>
      <c r="AT199" s="279" t="str">
        <f t="shared" si="151"/>
        <v/>
      </c>
      <c r="AU199" s="279" t="str">
        <f t="shared" si="152"/>
        <v/>
      </c>
      <c r="AV199" s="279" t="str">
        <f t="shared" si="153"/>
        <v/>
      </c>
    </row>
    <row r="200" ht="19.5" customHeight="1" spans="44:48">
      <c r="AR200" s="174">
        <v>18</v>
      </c>
      <c r="AS200" s="279" t="str">
        <f t="shared" si="150"/>
        <v/>
      </c>
      <c r="AT200" s="279" t="str">
        <f t="shared" si="151"/>
        <v/>
      </c>
      <c r="AU200" s="279" t="str">
        <f t="shared" si="152"/>
        <v/>
      </c>
      <c r="AV200" s="279" t="str">
        <f t="shared" si="153"/>
        <v/>
      </c>
    </row>
    <row r="201" ht="19.5" customHeight="1" spans="44:48">
      <c r="AR201" s="174">
        <v>19</v>
      </c>
      <c r="AS201" s="279" t="str">
        <f t="shared" si="150"/>
        <v/>
      </c>
      <c r="AT201" s="279" t="str">
        <f t="shared" si="151"/>
        <v/>
      </c>
      <c r="AU201" s="279" t="str">
        <f t="shared" si="152"/>
        <v/>
      </c>
      <c r="AV201" s="279" t="str">
        <f t="shared" si="153"/>
        <v/>
      </c>
    </row>
    <row r="202" ht="19.5" customHeight="1" spans="44:48">
      <c r="AR202" s="174">
        <v>20</v>
      </c>
      <c r="AS202" s="279" t="str">
        <f t="shared" si="150"/>
        <v/>
      </c>
      <c r="AT202" s="279" t="str">
        <f t="shared" si="151"/>
        <v/>
      </c>
      <c r="AU202" s="279" t="str">
        <f t="shared" si="152"/>
        <v/>
      </c>
      <c r="AV202" s="279" t="str">
        <f t="shared" si="153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ht="15.6" spans="24:40">
      <c r="X231" s="9" t="s">
        <v>511</v>
      </c>
      <c r="Y231" s="60">
        <f>G24</f>
        <v>0</v>
      </c>
      <c r="Z231" s="60">
        <f>G25</f>
        <v>0</v>
      </c>
      <c r="AA231" s="60">
        <f>G26</f>
        <v>0</v>
      </c>
      <c r="AB231" s="60">
        <f>G27</f>
        <v>0</v>
      </c>
      <c r="AC231" s="60">
        <f>G28</f>
        <v>0</v>
      </c>
      <c r="AD231" s="60">
        <f>G29</f>
        <v>0</v>
      </c>
      <c r="AE231" s="60">
        <f>G30</f>
        <v>0</v>
      </c>
      <c r="AF231" s="60">
        <f>G31</f>
        <v>0</v>
      </c>
      <c r="AG231" s="60">
        <f>G32</f>
        <v>0</v>
      </c>
      <c r="AH231" s="60">
        <f>G33</f>
        <v>0</v>
      </c>
      <c r="AI231" s="60">
        <f>G34</f>
        <v>0</v>
      </c>
      <c r="AJ231" s="60">
        <f>G35</f>
        <v>0</v>
      </c>
      <c r="AK231" s="60">
        <f>G36</f>
        <v>0</v>
      </c>
      <c r="AL231" s="60">
        <f>G37</f>
        <v>0</v>
      </c>
      <c r="AM231" s="60">
        <f>G38</f>
        <v>0</v>
      </c>
      <c r="AN231" s="60">
        <f>G39</f>
        <v>0</v>
      </c>
    </row>
    <row r="232" ht="15.6" spans="24:40">
      <c r="X232" s="9" t="s">
        <v>512</v>
      </c>
      <c r="Y232" s="60" t="e">
        <f t="shared" ref="Y232:AF232" si="154">INT(Y231/DS37+0.5)</f>
        <v>#DIV/0!</v>
      </c>
      <c r="Z232" s="60" t="e">
        <f t="shared" si="154"/>
        <v>#DIV/0!</v>
      </c>
      <c r="AA232" s="60" t="e">
        <f t="shared" si="154"/>
        <v>#DIV/0!</v>
      </c>
      <c r="AB232" s="60" t="e">
        <f t="shared" si="154"/>
        <v>#DIV/0!</v>
      </c>
      <c r="AC232" s="60" t="e">
        <f t="shared" si="154"/>
        <v>#DIV/0!</v>
      </c>
      <c r="AD232" s="60" t="e">
        <f t="shared" si="154"/>
        <v>#DIV/0!</v>
      </c>
      <c r="AE232" s="60" t="e">
        <f t="shared" si="154"/>
        <v>#DIV/0!</v>
      </c>
      <c r="AF232" s="60" t="e">
        <f t="shared" si="154"/>
        <v>#DIV/0!</v>
      </c>
      <c r="AG232" s="60">
        <f t="shared" ref="AG232:AN232" si="155">IF(EA37&gt;0,INT(AG231/EA37+0.5),0)</f>
        <v>0</v>
      </c>
      <c r="AH232" s="60">
        <f t="shared" si="155"/>
        <v>0</v>
      </c>
      <c r="AI232" s="60">
        <f t="shared" si="155"/>
        <v>0</v>
      </c>
      <c r="AJ232" s="60">
        <f t="shared" si="155"/>
        <v>0</v>
      </c>
      <c r="AK232" s="60">
        <f t="shared" si="155"/>
        <v>0</v>
      </c>
      <c r="AL232" s="60">
        <f t="shared" si="155"/>
        <v>0</v>
      </c>
      <c r="AM232" s="60">
        <f t="shared" si="155"/>
        <v>0</v>
      </c>
      <c r="AN232" s="60">
        <f t="shared" si="155"/>
        <v>0</v>
      </c>
    </row>
    <row r="233" ht="15.6" spans="24:40">
      <c r="X233" s="9" t="s">
        <v>513</v>
      </c>
      <c r="Y233" s="105" t="e">
        <f>SUM(AB131:AB150)/比赛参数!$G$4</f>
        <v>#DIV/0!</v>
      </c>
      <c r="Z233" s="105" t="e">
        <f>SUM(AC131:AC150)/比赛参数!$G$4</f>
        <v>#DIV/0!</v>
      </c>
      <c r="AA233" s="105" t="e">
        <f>SUM(AD131:AD150)/比赛参数!$G$4</f>
        <v>#DIV/0!</v>
      </c>
      <c r="AB233" s="105" t="e">
        <f>SUM(AE131:AE150)/比赛参数!$G$4</f>
        <v>#DIV/0!</v>
      </c>
      <c r="AC233" s="105" t="e">
        <f>SUM(AL131:AL150)/比赛参数!$G$4</f>
        <v>#DIV/0!</v>
      </c>
      <c r="AD233" s="105" t="e">
        <f>SUM(AM131:AM150)/比赛参数!$G$4</f>
        <v>#DIV/0!</v>
      </c>
      <c r="AE233" s="105" t="e">
        <f>SUM(AN131:AN150)/比赛参数!$G$4</f>
        <v>#DIV/0!</v>
      </c>
      <c r="AF233" s="105" t="e">
        <f>SUM(AO131:AO150)/比赛参数!$G$4</f>
        <v>#DIV/0!</v>
      </c>
      <c r="AG233" s="105">
        <f>SUM(AB154:AB173)/比赛参数!$G$4</f>
        <v>0</v>
      </c>
      <c r="AH233" s="105">
        <f>SUM(AC154:AC173)/比赛参数!$G$4</f>
        <v>0</v>
      </c>
      <c r="AI233" s="105">
        <f>SUM(AD154:AD173)/比赛参数!$G$4</f>
        <v>0</v>
      </c>
      <c r="AJ233" s="105">
        <f>SUM(AE154:AE173)/比赛参数!$G$4</f>
        <v>0</v>
      </c>
      <c r="AK233" s="105">
        <f>SUM(AL154:AL173)/比赛参数!$G$4</f>
        <v>0</v>
      </c>
      <c r="AL233" s="105">
        <f>SUM(AM154:AM173)/比赛参数!$G$4</f>
        <v>0</v>
      </c>
      <c r="AM233" s="105">
        <f>SUM(AN154:AN173)/比赛参数!$G$4</f>
        <v>0</v>
      </c>
      <c r="AN233" s="105">
        <f>SUM(AO154:AO173)/比赛参数!$G$4</f>
        <v>0</v>
      </c>
    </row>
    <row r="234" ht="15.6" spans="24:40">
      <c r="X234" s="9" t="s">
        <v>514</v>
      </c>
      <c r="Y234" s="134">
        <f t="shared" ref="Y234:AN234" si="156">SUMPRODUCT(D50:D69,D73:D92)</f>
        <v>0</v>
      </c>
      <c r="Z234" s="134">
        <f t="shared" si="156"/>
        <v>0</v>
      </c>
      <c r="AA234" s="134">
        <f t="shared" si="156"/>
        <v>0</v>
      </c>
      <c r="AB234" s="134">
        <f t="shared" si="156"/>
        <v>0</v>
      </c>
      <c r="AC234" s="134">
        <f t="shared" si="156"/>
        <v>0</v>
      </c>
      <c r="AD234" s="134">
        <f t="shared" si="156"/>
        <v>0</v>
      </c>
      <c r="AE234" s="134">
        <f t="shared" si="156"/>
        <v>0</v>
      </c>
      <c r="AF234" s="134">
        <f t="shared" si="156"/>
        <v>0</v>
      </c>
      <c r="AG234" s="134">
        <f t="shared" si="156"/>
        <v>0</v>
      </c>
      <c r="AH234" s="134">
        <f t="shared" si="156"/>
        <v>0</v>
      </c>
      <c r="AI234" s="134">
        <f t="shared" si="156"/>
        <v>0</v>
      </c>
      <c r="AJ234" s="134">
        <f t="shared" si="156"/>
        <v>0</v>
      </c>
      <c r="AK234" s="134">
        <f t="shared" si="156"/>
        <v>0</v>
      </c>
      <c r="AL234" s="134">
        <f t="shared" si="156"/>
        <v>0</v>
      </c>
      <c r="AM234" s="134">
        <f t="shared" si="156"/>
        <v>0</v>
      </c>
      <c r="AN234" s="134">
        <f t="shared" si="156"/>
        <v>0</v>
      </c>
    </row>
    <row r="235" ht="15.6" spans="24:40">
      <c r="X235" s="2" t="s">
        <v>515</v>
      </c>
      <c r="Y235" s="105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05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>0</v>
      </c>
      <c r="AA235" s="105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>0</v>
      </c>
      <c r="AB235" s="105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>0</v>
      </c>
      <c r="AC235" s="105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>0</v>
      </c>
      <c r="AD235" s="105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>0</v>
      </c>
      <c r="AE235" s="105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>0</v>
      </c>
      <c r="AF235" s="105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>0</v>
      </c>
      <c r="AG235" s="105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>0</v>
      </c>
      <c r="AH235" s="105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>0</v>
      </c>
      <c r="AI235" s="105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>0</v>
      </c>
      <c r="AJ235" s="105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>0</v>
      </c>
      <c r="AK235" s="105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>0</v>
      </c>
      <c r="AL235" s="105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>0</v>
      </c>
      <c r="AM235" s="105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>0</v>
      </c>
      <c r="AN235" s="105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>0</v>
      </c>
    </row>
    <row r="236" ht="15.6" spans="24:40">
      <c r="X236" s="2" t="s">
        <v>516</v>
      </c>
      <c r="Y236" s="106" t="e">
        <f t="shared" ref="Y236:AN236" si="157">Y235/Y234</f>
        <v>#DIV/0!</v>
      </c>
      <c r="Z236" s="106" t="e">
        <f t="shared" si="157"/>
        <v>#DIV/0!</v>
      </c>
      <c r="AA236" s="106" t="e">
        <f t="shared" si="157"/>
        <v>#DIV/0!</v>
      </c>
      <c r="AB236" s="106" t="e">
        <f t="shared" si="157"/>
        <v>#DIV/0!</v>
      </c>
      <c r="AC236" s="106" t="e">
        <f t="shared" si="157"/>
        <v>#DIV/0!</v>
      </c>
      <c r="AD236" s="106" t="e">
        <f t="shared" si="157"/>
        <v>#DIV/0!</v>
      </c>
      <c r="AE236" s="106" t="e">
        <f t="shared" si="157"/>
        <v>#DIV/0!</v>
      </c>
      <c r="AF236" s="106" t="e">
        <f t="shared" si="157"/>
        <v>#DIV/0!</v>
      </c>
      <c r="AG236" s="106" t="e">
        <f t="shared" si="157"/>
        <v>#DIV/0!</v>
      </c>
      <c r="AH236" s="106" t="e">
        <f t="shared" si="157"/>
        <v>#DIV/0!</v>
      </c>
      <c r="AI236" s="106" t="e">
        <f t="shared" si="157"/>
        <v>#DIV/0!</v>
      </c>
      <c r="AJ236" s="106" t="e">
        <f t="shared" si="157"/>
        <v>#DIV/0!</v>
      </c>
      <c r="AK236" s="106" t="e">
        <f t="shared" si="157"/>
        <v>#DIV/0!</v>
      </c>
      <c r="AL236" s="106" t="e">
        <f t="shared" si="157"/>
        <v>#DIV/0!</v>
      </c>
      <c r="AM236" s="106" t="e">
        <f t="shared" si="157"/>
        <v>#DIV/0!</v>
      </c>
      <c r="AN236" s="106" t="e">
        <f t="shared" si="157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(第十四期!#REF!-$BE$54)&lt;0</formula>
    </cfRule>
  </conditionalFormatting>
  <conditionalFormatting sqref="BF132:BF133">
    <cfRule type="expression" dxfId="6" priority="26" stopIfTrue="1">
      <formula>(第十四期!#REF!-$BF$54)&lt;0</formula>
    </cfRule>
  </conditionalFormatting>
  <conditionalFormatting sqref="BG132:BG133">
    <cfRule type="expression" dxfId="6" priority="25" stopIfTrue="1">
      <formula>(第十四期!#REF!-$BG$54)&lt;0</formula>
    </cfRule>
  </conditionalFormatting>
  <conditionalFormatting sqref="BH132:BH133">
    <cfRule type="expression" dxfId="6" priority="24" stopIfTrue="1">
      <formula>(第十四期!#REF!-$BH$54)&lt;0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投资预算</vt:lpstr>
      <vt:lpstr>比赛参数</vt:lpstr>
      <vt:lpstr>工资系数</vt:lpstr>
      <vt:lpstr>第九期</vt:lpstr>
      <vt:lpstr>第十期</vt:lpstr>
      <vt:lpstr>第十一期</vt:lpstr>
      <vt:lpstr>第十二期</vt:lpstr>
      <vt:lpstr>第十三期</vt:lpstr>
      <vt:lpstr>第十四期</vt:lpstr>
      <vt:lpstr>第十五期</vt:lpstr>
      <vt:lpstr>第十六期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决策工具</dc:title>
  <dc:creator>chen</dc:creator>
  <cp:lastModifiedBy>罹</cp:lastModifiedBy>
  <dcterms:created xsi:type="dcterms:W3CDTF">1996-12-17T01:32:00Z</dcterms:created>
  <dcterms:modified xsi:type="dcterms:W3CDTF">2019-10-25T08:55:44Z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