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65" visibility="visible" windowHeight="9155" windowWidth="12215"/>
  </bookViews>
  <sheets>
    <sheet xmlns:r="http://schemas.openxmlformats.org/officeDocument/2006/relationships" name="投资预算" sheetId="1" state="visible" r:id="rId1"/>
    <sheet xmlns:r="http://schemas.openxmlformats.org/officeDocument/2006/relationships" name="比赛参数" sheetId="2" state="visible" r:id="rId2"/>
    <sheet xmlns:r="http://schemas.openxmlformats.org/officeDocument/2006/relationships" name="工资系数" sheetId="3" state="visible" r:id="rId3"/>
    <sheet xmlns:r="http://schemas.openxmlformats.org/officeDocument/2006/relationships" name="第九期" sheetId="4" state="visible" r:id="rId4"/>
    <sheet xmlns:r="http://schemas.openxmlformats.org/officeDocument/2006/relationships" name="第十期" sheetId="5" state="visible" r:id="rId5"/>
    <sheet xmlns:r="http://schemas.openxmlformats.org/officeDocument/2006/relationships" name="第十一期" sheetId="6" state="visible" r:id="rId6"/>
    <sheet xmlns:r="http://schemas.openxmlformats.org/officeDocument/2006/relationships" name="第十二期" sheetId="7" state="visible" r:id="rId7"/>
    <sheet xmlns:r="http://schemas.openxmlformats.org/officeDocument/2006/relationships" name="第十三期" sheetId="8" state="visible" r:id="rId8"/>
    <sheet xmlns:r="http://schemas.openxmlformats.org/officeDocument/2006/relationships" name="第十四期" sheetId="9" state="visible" r:id="rId9"/>
    <sheet xmlns:r="http://schemas.openxmlformats.org/officeDocument/2006/relationships" name="第十五期" sheetId="10" state="visible" r:id="rId10"/>
    <sheet xmlns:r="http://schemas.openxmlformats.org/officeDocument/2006/relationships" name="第十六期" sheetId="11" state="visible" r:id="rId11"/>
  </sheets>
  <definedNames>
    <definedName name="cailiao">#REF!</definedName>
    <definedName name="chengben">#REF!</definedName>
    <definedName name="chengben2">#REF!</definedName>
    <definedName name="cost">#REF!</definedName>
    <definedName name="gkucun">#REF!</definedName>
    <definedName name="gongzi">#REF!</definedName>
    <definedName name="guanli">#REF!</definedName>
    <definedName name="jiage">#REF!</definedName>
    <definedName name="jishi">#REF!</definedName>
    <definedName name="jungong">#REF!</definedName>
    <definedName name="junjia">#REF!</definedName>
    <definedName name="keyongjiqi">#REF!</definedName>
    <definedName name="keyongjiqi2">#REF!</definedName>
    <definedName name="keyongren">#REF!</definedName>
    <definedName name="keyongren2">#REF!</definedName>
    <definedName name="lirun">#REF!</definedName>
    <definedName name="mubiaoA">#REF!</definedName>
    <definedName name="mubiaoB">#REF!</definedName>
    <definedName name="mubiaoC">#REF!</definedName>
    <definedName name="mubiaoD">#REF!</definedName>
    <definedName name="renshi">#REF!</definedName>
    <definedName name="result">#REF!</definedName>
    <definedName name="result2">#REF!</definedName>
    <definedName name="sdinghuo">#REF!</definedName>
    <definedName name="skucun">#REF!</definedName>
    <definedName hidden="1" localSheetId="3" name="solver_adj">第九期!$AX$133</definedName>
    <definedName hidden="1" localSheetId="6" name="solver_adj">第十二期!$AX$133</definedName>
    <definedName hidden="1" localSheetId="10" name="solver_adj">第十六期!$AX$133</definedName>
    <definedName hidden="1" localSheetId="4" name="solver_adj">第十期!$AX$133</definedName>
    <definedName hidden="1" localSheetId="7" name="solver_adj">第十三期!$AX$133</definedName>
    <definedName hidden="1" localSheetId="8" name="solver_adj">第十四期!$AX$133</definedName>
    <definedName hidden="1" localSheetId="9" name="solver_adj">第十五期!$AX$133</definedName>
    <definedName hidden="1" localSheetId="5" name="solver_adj">第十一期!$AX$133</definedName>
    <definedName hidden="1" localSheetId="3" name="solver_cvg">0.0001</definedName>
    <definedName hidden="1" localSheetId="6" name="solver_cvg">0.0001</definedName>
    <definedName hidden="1" localSheetId="10" name="solver_cvg">0.0001</definedName>
    <definedName hidden="1" localSheetId="4" name="solver_cvg">0.0001</definedName>
    <definedName hidden="1" localSheetId="7" name="solver_cvg">0.0001</definedName>
    <definedName hidden="1" localSheetId="8" name="solver_cvg">0.0001</definedName>
    <definedName hidden="1" localSheetId="9" name="solver_cvg">0.0001</definedName>
    <definedName hidden="1" localSheetId="5" name="solver_cvg">0.0001</definedName>
    <definedName hidden="1" localSheetId="3" name="solver_drv">1</definedName>
    <definedName hidden="1" localSheetId="6" name="solver_drv">1</definedName>
    <definedName hidden="1" localSheetId="10" name="solver_drv">1</definedName>
    <definedName hidden="1" localSheetId="4" name="solver_drv">1</definedName>
    <definedName hidden="1" localSheetId="7" name="solver_drv">1</definedName>
    <definedName hidden="1" localSheetId="8" name="solver_drv">1</definedName>
    <definedName hidden="1" localSheetId="9" name="solver_drv">1</definedName>
    <definedName hidden="1" localSheetId="5" name="solver_drv">1</definedName>
    <definedName hidden="1" localSheetId="3" name="solver_eng">1</definedName>
    <definedName hidden="1" localSheetId="6" name="solver_eng">1</definedName>
    <definedName hidden="1" localSheetId="10" name="solver_eng">1</definedName>
    <definedName hidden="1" localSheetId="4" name="solver_eng">1</definedName>
    <definedName hidden="1" localSheetId="7" name="solver_eng">1</definedName>
    <definedName hidden="1" localSheetId="8" name="solver_eng">1</definedName>
    <definedName hidden="1" localSheetId="9" name="solver_eng">1</definedName>
    <definedName hidden="1" localSheetId="5" name="solver_eng">1</definedName>
    <definedName hidden="1" localSheetId="3" name="solver_est">1</definedName>
    <definedName hidden="1" localSheetId="6" name="solver_est">1</definedName>
    <definedName hidden="1" localSheetId="10" name="solver_est">1</definedName>
    <definedName hidden="1" localSheetId="4" name="solver_est">1</definedName>
    <definedName hidden="1" localSheetId="7" name="solver_est">1</definedName>
    <definedName hidden="1" localSheetId="8" name="solver_est">1</definedName>
    <definedName hidden="1" localSheetId="9" name="solver_est">1</definedName>
    <definedName hidden="1" localSheetId="5" name="solver_est">1</definedName>
    <definedName hidden="1" localSheetId="3" name="solver_itr">100</definedName>
    <definedName hidden="1" localSheetId="6" name="solver_itr">100</definedName>
    <definedName hidden="1" localSheetId="10" name="solver_itr">100</definedName>
    <definedName hidden="1" localSheetId="4" name="solver_itr">100</definedName>
    <definedName hidden="1" localSheetId="7" name="solver_itr">100</definedName>
    <definedName hidden="1" localSheetId="8" name="solver_itr">100</definedName>
    <definedName hidden="1" localSheetId="9" name="solver_itr">100</definedName>
    <definedName hidden="1" localSheetId="5" name="solver_itr">100</definedName>
    <definedName hidden="1" localSheetId="3" name="solver_lhs1">第九期!$AW$130</definedName>
    <definedName hidden="1" localSheetId="6" name="solver_lhs1">第十二期!$AW$130</definedName>
    <definedName hidden="1" localSheetId="10" name="solver_lhs1">第十六期!$AW$130</definedName>
    <definedName hidden="1" localSheetId="4" name="solver_lhs1">第十期!$AW$130</definedName>
    <definedName hidden="1" localSheetId="7" name="solver_lhs1">第十三期!$AW$130</definedName>
    <definedName hidden="1" localSheetId="8" name="solver_lhs1">第十四期!$AW$130</definedName>
    <definedName hidden="1" localSheetId="9" name="solver_lhs1">第十五期!$AW$130</definedName>
    <definedName hidden="1" localSheetId="5" name="solver_lhs1">第十一期!$AW$130</definedName>
    <definedName hidden="1" localSheetId="3" name="solver_lin">2</definedName>
    <definedName hidden="1" localSheetId="6" name="solver_lin">2</definedName>
    <definedName hidden="1" localSheetId="10" name="solver_lin">2</definedName>
    <definedName hidden="1" localSheetId="4" name="solver_lin">2</definedName>
    <definedName hidden="1" localSheetId="7" name="solver_lin">2</definedName>
    <definedName hidden="1" localSheetId="8" name="solver_lin">2</definedName>
    <definedName hidden="1" localSheetId="9" name="solver_lin">2</definedName>
    <definedName hidden="1" localSheetId="5" name="solver_lin">2</definedName>
    <definedName hidden="1" localSheetId="3" name="solver_mip">2147483647</definedName>
    <definedName hidden="1" localSheetId="6" name="solver_mip">2147483647</definedName>
    <definedName hidden="1" localSheetId="10" name="solver_mip">2147483647</definedName>
    <definedName hidden="1" localSheetId="4" name="solver_mip">2147483647</definedName>
    <definedName hidden="1" localSheetId="7" name="solver_mip">2147483647</definedName>
    <definedName hidden="1" localSheetId="8" name="solver_mip">2147483647</definedName>
    <definedName hidden="1" localSheetId="9" name="solver_mip">2147483647</definedName>
    <definedName hidden="1" localSheetId="5" name="solver_mip">2147483647</definedName>
    <definedName hidden="1" localSheetId="3" name="solver_mni">30</definedName>
    <definedName hidden="1" localSheetId="6" name="solver_mni">30</definedName>
    <definedName hidden="1" localSheetId="10" name="solver_mni">30</definedName>
    <definedName hidden="1" localSheetId="4" name="solver_mni">30</definedName>
    <definedName hidden="1" localSheetId="7" name="solver_mni">30</definedName>
    <definedName hidden="1" localSheetId="8" name="solver_mni">30</definedName>
    <definedName hidden="1" localSheetId="9" name="solver_mni">30</definedName>
    <definedName hidden="1" localSheetId="5" name="solver_mni">30</definedName>
    <definedName hidden="1" localSheetId="3" name="solver_mrt">0.075</definedName>
    <definedName hidden="1" localSheetId="6" name="solver_mrt">0.075</definedName>
    <definedName hidden="1" localSheetId="10" name="solver_mrt">0.075</definedName>
    <definedName hidden="1" localSheetId="4" name="solver_mrt">0.075</definedName>
    <definedName hidden="1" localSheetId="7" name="solver_mrt">0.075</definedName>
    <definedName hidden="1" localSheetId="8" name="solver_mrt">0.075</definedName>
    <definedName hidden="1" localSheetId="9" name="solver_mrt">0.075</definedName>
    <definedName hidden="1" localSheetId="5" name="solver_mrt">0.075</definedName>
    <definedName hidden="1" localSheetId="3" name="solver_msl">2</definedName>
    <definedName hidden="1" localSheetId="6" name="solver_msl">2</definedName>
    <definedName hidden="1" localSheetId="10" name="solver_msl">2</definedName>
    <definedName hidden="1" localSheetId="4" name="solver_msl">2</definedName>
    <definedName hidden="1" localSheetId="7" name="solver_msl">2</definedName>
    <definedName hidden="1" localSheetId="8" name="solver_msl">2</definedName>
    <definedName hidden="1" localSheetId="9" name="solver_msl">2</definedName>
    <definedName hidden="1" localSheetId="5" name="solver_msl">2</definedName>
    <definedName hidden="1" localSheetId="3" name="solver_neg">2</definedName>
    <definedName hidden="1" localSheetId="6" name="solver_neg">2</definedName>
    <definedName hidden="1" localSheetId="10" name="solver_neg">2</definedName>
    <definedName hidden="1" localSheetId="4" name="solver_neg">2</definedName>
    <definedName hidden="1" localSheetId="7" name="solver_neg">2</definedName>
    <definedName hidden="1" localSheetId="8" name="solver_neg">2</definedName>
    <definedName hidden="1" localSheetId="9" name="solver_neg">2</definedName>
    <definedName hidden="1" localSheetId="5" name="solver_neg">2</definedName>
    <definedName hidden="1" localSheetId="3" name="solver_nod">2147483647</definedName>
    <definedName hidden="1" localSheetId="6" name="solver_nod">2147483647</definedName>
    <definedName hidden="1" localSheetId="10" name="solver_nod">2147483647</definedName>
    <definedName hidden="1" localSheetId="4" name="solver_nod">2147483647</definedName>
    <definedName hidden="1" localSheetId="7" name="solver_nod">2147483647</definedName>
    <definedName hidden="1" localSheetId="8" name="solver_nod">2147483647</definedName>
    <definedName hidden="1" localSheetId="9" name="solver_nod">2147483647</definedName>
    <definedName hidden="1" localSheetId="5" name="solver_nod">2147483647</definedName>
    <definedName hidden="1" localSheetId="3" name="solver_num">0</definedName>
    <definedName hidden="1" localSheetId="6" name="solver_num">0</definedName>
    <definedName hidden="1" localSheetId="10" name="solver_num">0</definedName>
    <definedName hidden="1" localSheetId="4" name="solver_num">0</definedName>
    <definedName hidden="1" localSheetId="7" name="solver_num">0</definedName>
    <definedName hidden="1" localSheetId="8" name="solver_num">0</definedName>
    <definedName hidden="1" localSheetId="9" name="solver_num">0</definedName>
    <definedName hidden="1" localSheetId="5" name="solver_num">0</definedName>
    <definedName hidden="1" localSheetId="3" name="solver_nwt">1</definedName>
    <definedName hidden="1" localSheetId="6" name="solver_nwt">1</definedName>
    <definedName hidden="1" localSheetId="10" name="solver_nwt">1</definedName>
    <definedName hidden="1" localSheetId="4" name="solver_nwt">1</definedName>
    <definedName hidden="1" localSheetId="7" name="solver_nwt">1</definedName>
    <definedName hidden="1" localSheetId="8" name="solver_nwt">1</definedName>
    <definedName hidden="1" localSheetId="9" name="solver_nwt">1</definedName>
    <definedName hidden="1" localSheetId="5" name="solver_nwt">1</definedName>
    <definedName hidden="1" localSheetId="3" name="solver_opt">第九期!$BD$133</definedName>
    <definedName hidden="1" localSheetId="6" name="solver_opt">第十二期!$BD$133</definedName>
    <definedName hidden="1" localSheetId="10" name="solver_opt">第十六期!$BD$133</definedName>
    <definedName hidden="1" localSheetId="4" name="solver_opt">第十期!$BD$133</definedName>
    <definedName hidden="1" localSheetId="7" name="solver_opt">第十三期!$BD$133</definedName>
    <definedName hidden="1" localSheetId="8" name="solver_opt">第十四期!$BD$133</definedName>
    <definedName hidden="1" localSheetId="9" name="solver_opt">第十五期!$BD$133</definedName>
    <definedName hidden="1" localSheetId="5" name="solver_opt">第十一期!$BD$133</definedName>
    <definedName hidden="1" localSheetId="3" name="solver_pre">0.000001</definedName>
    <definedName hidden="1" localSheetId="6" name="solver_pre">0.000001</definedName>
    <definedName hidden="1" localSheetId="10" name="solver_pre">0.000001</definedName>
    <definedName hidden="1" localSheetId="4" name="solver_pre">0.000001</definedName>
    <definedName hidden="1" localSheetId="7" name="solver_pre">0.000001</definedName>
    <definedName hidden="1" localSheetId="8" name="solver_pre">0.000001</definedName>
    <definedName hidden="1" localSheetId="9" name="solver_pre">0.000001</definedName>
    <definedName hidden="1" localSheetId="5" name="solver_pre">0.000001</definedName>
    <definedName hidden="1" localSheetId="3" name="solver_rbv">1</definedName>
    <definedName hidden="1" localSheetId="6" name="solver_rbv">1</definedName>
    <definedName hidden="1" localSheetId="10" name="solver_rbv">1</definedName>
    <definedName hidden="1" localSheetId="4" name="solver_rbv">1</definedName>
    <definedName hidden="1" localSheetId="7" name="solver_rbv">1</definedName>
    <definedName hidden="1" localSheetId="8" name="solver_rbv">1</definedName>
    <definedName hidden="1" localSheetId="9" name="solver_rbv">1</definedName>
    <definedName hidden="1" localSheetId="5" name="solver_rbv">1</definedName>
    <definedName hidden="1" localSheetId="3" name="solver_rel1">2</definedName>
    <definedName hidden="1" localSheetId="6" name="solver_rel1">2</definedName>
    <definedName hidden="1" localSheetId="10" name="solver_rel1">2</definedName>
    <definedName hidden="1" localSheetId="4" name="solver_rel1">2</definedName>
    <definedName hidden="1" localSheetId="7" name="solver_rel1">2</definedName>
    <definedName hidden="1" localSheetId="8" name="solver_rel1">2</definedName>
    <definedName hidden="1" localSheetId="9" name="solver_rel1">2</definedName>
    <definedName hidden="1" localSheetId="5" name="solver_rel1">2</definedName>
    <definedName hidden="1" localSheetId="3" name="solver_rhs1">第九期!$AW$129</definedName>
    <definedName hidden="1" localSheetId="6" name="solver_rhs1">第十二期!$AW$129</definedName>
    <definedName hidden="1" localSheetId="10" name="solver_rhs1">第十六期!$AW$129</definedName>
    <definedName hidden="1" localSheetId="4" name="solver_rhs1">第十期!$AW$129</definedName>
    <definedName hidden="1" localSheetId="7" name="solver_rhs1">第十三期!$AW$129</definedName>
    <definedName hidden="1" localSheetId="8" name="solver_rhs1">第十四期!$AW$129</definedName>
    <definedName hidden="1" localSheetId="9" name="solver_rhs1">第十五期!$AW$129</definedName>
    <definedName hidden="1" localSheetId="5" name="solver_rhs1">第十一期!$AW$129</definedName>
    <definedName hidden="1" localSheetId="3" name="solver_rlx">1</definedName>
    <definedName hidden="1" localSheetId="6" name="solver_rlx">1</definedName>
    <definedName hidden="1" localSheetId="10" name="solver_rlx">1</definedName>
    <definedName hidden="1" localSheetId="4" name="solver_rlx">1</definedName>
    <definedName hidden="1" localSheetId="7" name="solver_rlx">1</definedName>
    <definedName hidden="1" localSheetId="8" name="solver_rlx">1</definedName>
    <definedName hidden="1" localSheetId="9" name="solver_rlx">1</definedName>
    <definedName hidden="1" localSheetId="5" name="solver_rlx">1</definedName>
    <definedName hidden="1" localSheetId="3" name="solver_rsd">0</definedName>
    <definedName hidden="1" localSheetId="6" name="solver_rsd">0</definedName>
    <definedName hidden="1" localSheetId="10" name="solver_rsd">0</definedName>
    <definedName hidden="1" localSheetId="4" name="solver_rsd">0</definedName>
    <definedName hidden="1" localSheetId="7" name="solver_rsd">0</definedName>
    <definedName hidden="1" localSheetId="8" name="solver_rsd">0</definedName>
    <definedName hidden="1" localSheetId="9" name="solver_rsd">0</definedName>
    <definedName hidden="1" localSheetId="5" name="solver_rsd">0</definedName>
    <definedName hidden="1" localSheetId="3" name="solver_scl">2</definedName>
    <definedName hidden="1" localSheetId="6" name="solver_scl">2</definedName>
    <definedName hidden="1" localSheetId="10" name="solver_scl">2</definedName>
    <definedName hidden="1" localSheetId="4" name="solver_scl">2</definedName>
    <definedName hidden="1" localSheetId="7" name="solver_scl">2</definedName>
    <definedName hidden="1" localSheetId="8" name="solver_scl">2</definedName>
    <definedName hidden="1" localSheetId="9" name="solver_scl">2</definedName>
    <definedName hidden="1" localSheetId="5" name="solver_scl">2</definedName>
    <definedName hidden="1" localSheetId="3" name="solver_sho">2</definedName>
    <definedName hidden="1" localSheetId="6" name="solver_sho">2</definedName>
    <definedName hidden="1" localSheetId="10" name="solver_sho">2</definedName>
    <definedName hidden="1" localSheetId="4" name="solver_sho">2</definedName>
    <definedName hidden="1" localSheetId="7" name="solver_sho">2</definedName>
    <definedName hidden="1" localSheetId="8" name="solver_sho">2</definedName>
    <definedName hidden="1" localSheetId="9" name="solver_sho">2</definedName>
    <definedName hidden="1" localSheetId="5" name="solver_sho">2</definedName>
    <definedName hidden="1" localSheetId="3" name="solver_ssz">100</definedName>
    <definedName hidden="1" localSheetId="6" name="solver_ssz">100</definedName>
    <definedName hidden="1" localSheetId="10" name="solver_ssz">100</definedName>
    <definedName hidden="1" localSheetId="4" name="solver_ssz">100</definedName>
    <definedName hidden="1" localSheetId="7" name="solver_ssz">100</definedName>
    <definedName hidden="1" localSheetId="8" name="solver_ssz">100</definedName>
    <definedName hidden="1" localSheetId="9" name="solver_ssz">100</definedName>
    <definedName hidden="1" localSheetId="5" name="solver_ssz">100</definedName>
    <definedName hidden="1" localSheetId="3" name="solver_tim">100</definedName>
    <definedName hidden="1" localSheetId="6" name="solver_tim">100</definedName>
    <definedName hidden="1" localSheetId="10" name="solver_tim">100</definedName>
    <definedName hidden="1" localSheetId="4" name="solver_tim">100</definedName>
    <definedName hidden="1" localSheetId="7" name="solver_tim">100</definedName>
    <definedName hidden="1" localSheetId="8" name="solver_tim">100</definedName>
    <definedName hidden="1" localSheetId="9" name="solver_tim">100</definedName>
    <definedName hidden="1" localSheetId="5" name="solver_tim">100</definedName>
    <definedName hidden="1" localSheetId="3" name="solver_tol">0.05</definedName>
    <definedName hidden="1" localSheetId="6" name="solver_tol">0.05</definedName>
    <definedName hidden="1" localSheetId="10" name="solver_tol">0.05</definedName>
    <definedName hidden="1" localSheetId="4" name="solver_tol">0.05</definedName>
    <definedName hidden="1" localSheetId="7" name="solver_tol">0.05</definedName>
    <definedName hidden="1" localSheetId="8" name="solver_tol">0.05</definedName>
    <definedName hidden="1" localSheetId="9" name="solver_tol">0.05</definedName>
    <definedName hidden="1" localSheetId="5" name="solver_tol">0.05</definedName>
    <definedName hidden="1" localSheetId="3" name="solver_typ">1</definedName>
    <definedName hidden="1" localSheetId="6" name="solver_typ">1</definedName>
    <definedName hidden="1" localSheetId="10" name="solver_typ">1</definedName>
    <definedName hidden="1" localSheetId="4" name="solver_typ">1</definedName>
    <definedName hidden="1" localSheetId="7" name="solver_typ">1</definedName>
    <definedName hidden="1" localSheetId="8" name="solver_typ">1</definedName>
    <definedName hidden="1" localSheetId="9" name="solver_typ">1</definedName>
    <definedName hidden="1" localSheetId="5" name="solver_typ">1</definedName>
    <definedName hidden="1" localSheetId="3" name="solver_val">0</definedName>
    <definedName hidden="1" localSheetId="6" name="solver_val">0</definedName>
    <definedName hidden="1" localSheetId="10" name="solver_val">0</definedName>
    <definedName hidden="1" localSheetId="4" name="solver_val">0</definedName>
    <definedName hidden="1" localSheetId="7" name="solver_val">0</definedName>
    <definedName hidden="1" localSheetId="8" name="solver_val">0</definedName>
    <definedName hidden="1" localSheetId="9" name="solver_val">0</definedName>
    <definedName hidden="1" localSheetId="5" name="solver_val">0</definedName>
    <definedName hidden="1" localSheetId="3" name="solver_ver">3</definedName>
    <definedName hidden="1" localSheetId="6" name="solver_ver">3</definedName>
    <definedName hidden="1" localSheetId="10" name="solver_ver">3</definedName>
    <definedName hidden="1" localSheetId="4" name="solver_ver">3</definedName>
    <definedName hidden="1" localSheetId="7" name="solver_ver">3</definedName>
    <definedName hidden="1" localSheetId="8" name="solver_ver">3</definedName>
    <definedName hidden="1" localSheetId="9" name="solver_ver">3</definedName>
    <definedName hidden="1" localSheetId="5" name="solver_ver">3</definedName>
    <definedName name="yinzi">#REF!</definedName>
    <definedName name="zhuangtai">#REF!</definedName>
    <definedName name="zhuangtai2">#REF!</definedName>
    <definedName localSheetId="3" name="数据导入">第九期!$M$26:$N$40</definedName>
    <definedName localSheetId="6" name="数据导入">第十二期!$M$26:$N$40</definedName>
    <definedName localSheetId="10" name="数据导入">第十六期!$M$26:$N$40</definedName>
    <definedName localSheetId="4" name="数据导入">第十期!$M$26:$N$40</definedName>
    <definedName localSheetId="7" name="数据导入">第十三期!$M$26:$N$40</definedName>
    <definedName localSheetId="8" name="数据导入">第十四期!$M$26:$N$40</definedName>
    <definedName localSheetId="9" name="数据导入">第十五期!$M$26:$N$40</definedName>
    <definedName localSheetId="5" name="数据导入">第十一期!$M$26:$N$40</definedName>
  </definedNames>
  <calcPr calcId="144525" fullCalcOnLoad="1"/>
</workbook>
</file>

<file path=xl/styles.xml><?xml version="1.0" encoding="utf-8"?>
<styleSheet xmlns="http://schemas.openxmlformats.org/spreadsheetml/2006/main">
  <numFmts count="14">
    <numFmt formatCode="#,##0_ " numFmtId="164"/>
    <numFmt formatCode="0.0_ " numFmtId="165"/>
    <numFmt formatCode="0_ " numFmtId="166"/>
    <numFmt formatCode="0.000_ " numFmtId="167"/>
    <numFmt formatCode="0.000%" numFmtId="168"/>
    <numFmt formatCode="0.00_ " numFmtId="169"/>
    <numFmt formatCode="#,##0_);[Red]\(#,##0\)" numFmtId="170"/>
    <numFmt formatCode="0.0000%" numFmtId="171"/>
    <numFmt formatCode="#,##0.000_ " numFmtId="172"/>
    <numFmt formatCode="0.0%" numFmtId="173"/>
    <numFmt formatCode="0.00000%" numFmtId="174"/>
    <numFmt formatCode="0.0000_ " numFmtId="175"/>
    <numFmt formatCode="0.0000_);[Red]\(0.0000\)" numFmtId="176"/>
    <numFmt formatCode="0.0000;[Red]0.0000" numFmtId="177"/>
  </numFmts>
  <fonts count="44">
    <font>
      <name val="宋体"/>
      <charset val="134"/>
      <sz val="12"/>
    </font>
    <font>
      <name val="宋体"/>
      <charset val="134"/>
      <b val="1"/>
      <sz val="12"/>
    </font>
    <font>
      <name val="宋体"/>
      <charset val="134"/>
      <b val="1"/>
      <color indexed="9"/>
      <sz val="28"/>
    </font>
    <font>
      <name val="宋体"/>
      <charset val="134"/>
      <b val="1"/>
      <sz val="14"/>
    </font>
    <font>
      <name val="宋体"/>
      <charset val="134"/>
      <b val="1"/>
      <color theme="0"/>
      <sz val="12"/>
    </font>
    <font>
      <name val="宋体"/>
      <charset val="134"/>
      <b val="1"/>
      <color indexed="10"/>
      <sz val="12"/>
    </font>
    <font>
      <name val="宋体"/>
      <charset val="134"/>
      <color rgb="FFFF0000"/>
      <sz val="12"/>
    </font>
    <font>
      <name val="宋体"/>
      <charset val="134"/>
      <b val="1"/>
      <color indexed="9"/>
      <sz val="12"/>
    </font>
    <font>
      <name val="宋体"/>
      <charset val="134"/>
      <b val="1"/>
      <sz val="10"/>
    </font>
    <font>
      <name val="Times New Roman"/>
      <charset val="0"/>
      <family val="1"/>
      <sz val="10.5"/>
    </font>
    <font>
      <name val="Times New Roman"/>
      <charset val="0"/>
      <family val="1"/>
      <b val="1"/>
      <sz val="12"/>
    </font>
    <font>
      <name val="宋体"/>
      <charset val="134"/>
      <b val="1"/>
      <sz val="26"/>
    </font>
    <font>
      <name val="宋体"/>
      <charset val="134"/>
      <color indexed="9"/>
      <sz val="28"/>
    </font>
    <font>
      <name val="宋体"/>
      <charset val="134"/>
      <sz val="28"/>
    </font>
    <font>
      <name val="宋体"/>
      <charset val="134"/>
      <sz val="11"/>
    </font>
    <font>
      <name val="宋体"/>
      <charset val="134"/>
      <b val="1"/>
      <sz val="10.5"/>
    </font>
    <font>
      <name val="宋体"/>
      <charset val="134"/>
      <color indexed="12"/>
      <sz val="12"/>
    </font>
    <font>
      <name val="宋体"/>
      <charset val="134"/>
      <b val="1"/>
      <color indexed="9"/>
      <sz val="48"/>
    </font>
    <font>
      <name val="宋体"/>
      <charset val="134"/>
      <b val="1"/>
      <color indexed="56"/>
      <sz val="12"/>
    </font>
    <font>
      <name val="Times New Roman"/>
      <charset val="0"/>
      <family val="1"/>
      <sz val="12"/>
    </font>
    <font>
      <name val="宋体"/>
      <charset val="134"/>
      <color indexed="9"/>
      <sz val="16"/>
    </font>
    <font>
      <name val="宋体"/>
      <charset val="134"/>
      <sz val="16"/>
    </font>
    <font>
      <name val="宋体"/>
      <charset val="134"/>
      <b val="1"/>
      <color indexed="9"/>
      <sz val="18"/>
    </font>
    <font>
      <name val="宋体"/>
      <charset val="134"/>
      <sz val="18"/>
    </font>
    <font>
      <name val="宋体"/>
      <charset val="134"/>
      <color theme="10"/>
      <sz val="11"/>
      <u val="single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3"/>
      <sz val="18"/>
      <scheme val="major"/>
    </font>
    <font>
      <name val="宋体"/>
      <charset val="134"/>
      <color rgb="FF9C650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indexed="9"/>
      <sz val="48"/>
    </font>
  </fonts>
  <fills count="60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ck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7">
    <xf borderId="0" fillId="0" fontId="0" numFmtId="0"/>
    <xf applyAlignment="1" borderId="0" fillId="0" fontId="0" numFmtId="42">
      <alignment vertical="center"/>
    </xf>
    <xf applyAlignment="1" borderId="0" fillId="39" fontId="26" numFmtId="0">
      <alignment vertical="center"/>
    </xf>
    <xf applyAlignment="1" borderId="80" fillId="36" fontId="30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31" fontId="26" numFmtId="0">
      <alignment vertical="center"/>
    </xf>
    <xf applyAlignment="1" borderId="0" fillId="32" fontId="29" numFmtId="0">
      <alignment vertical="center"/>
    </xf>
    <xf applyAlignment="1" borderId="0" fillId="0" fontId="0" numFmtId="43">
      <alignment vertical="center"/>
    </xf>
    <xf applyAlignment="1" borderId="0" fillId="35" fontId="28" numFmtId="0">
      <alignment vertical="center"/>
    </xf>
    <xf applyAlignment="1" applyProtection="1" borderId="0" fillId="0" fontId="24" numFmtId="0">
      <alignment vertical="top"/>
      <protection hidden="0" locked="0"/>
    </xf>
    <xf applyAlignment="1" borderId="0" fillId="0" fontId="0" numFmtId="9">
      <alignment vertical="center"/>
    </xf>
    <xf applyAlignment="1" borderId="0" fillId="0" fontId="25" numFmtId="0">
      <alignment vertical="center"/>
    </xf>
    <xf applyAlignment="1" borderId="0" fillId="0" fontId="26" numFmtId="0">
      <alignment vertical="center"/>
    </xf>
    <xf applyAlignment="1" borderId="85" fillId="43" fontId="0" numFmtId="0">
      <alignment vertical="center"/>
    </xf>
    <xf applyAlignment="1" borderId="0" fillId="34" fontId="28" numFmtId="0">
      <alignment vertical="center"/>
    </xf>
    <xf applyAlignment="1" borderId="0" fillId="0" fontId="34" numFmtId="0">
      <alignment vertical="center"/>
    </xf>
    <xf applyAlignment="1" borderId="0" fillId="0" fontId="39" numFmtId="0">
      <alignment vertical="center"/>
    </xf>
    <xf applyAlignment="1" borderId="0" fillId="0" fontId="35" numFmtId="0">
      <alignment vertical="center"/>
    </xf>
    <xf applyAlignment="1" borderId="0" fillId="0" fontId="38" numFmtId="0">
      <alignment vertical="center"/>
    </xf>
    <xf applyAlignment="1" borderId="0" fillId="0" fontId="26" numFmtId="0">
      <alignment vertical="center"/>
    </xf>
    <xf applyAlignment="1" borderId="87" fillId="0" fontId="42" numFmtId="0">
      <alignment vertical="center"/>
    </xf>
    <xf applyAlignment="1" borderId="0" fillId="0" fontId="26" numFmtId="0">
      <alignment vertical="center"/>
    </xf>
    <xf applyAlignment="1" borderId="86" fillId="0" fontId="41" numFmtId="0">
      <alignment vertical="center"/>
    </xf>
    <xf applyAlignment="1" borderId="0" fillId="53" fontId="28" numFmtId="0">
      <alignment vertical="center"/>
    </xf>
    <xf applyAlignment="1" borderId="84" fillId="0" fontId="34" numFmtId="0">
      <alignment vertical="center"/>
    </xf>
    <xf applyAlignment="1" borderId="0" fillId="30" fontId="28" numFmtId="0">
      <alignment vertical="center"/>
    </xf>
    <xf applyAlignment="1" borderId="82" fillId="38" fontId="32" numFmtId="0">
      <alignment vertical="center"/>
    </xf>
    <xf applyAlignment="1" borderId="80" fillId="38" fontId="40" numFmtId="0">
      <alignment vertical="center"/>
    </xf>
    <xf applyAlignment="1" borderId="83" fillId="42" fontId="33" numFmtId="0">
      <alignment vertical="center"/>
    </xf>
    <xf applyAlignment="1" borderId="0" fillId="59" fontId="26" numFmtId="0">
      <alignment vertical="center"/>
    </xf>
    <xf applyAlignment="1" borderId="0" fillId="41" fontId="28" numFmtId="0">
      <alignment vertical="center"/>
    </xf>
    <xf applyAlignment="1" borderId="81" fillId="0" fontId="31" numFmtId="0">
      <alignment vertical="center"/>
    </xf>
    <xf applyAlignment="1" borderId="79" fillId="0" fontId="27" numFmtId="0">
      <alignment vertical="center"/>
    </xf>
    <xf applyAlignment="1" borderId="0" fillId="48" fontId="37" numFmtId="0">
      <alignment vertical="center"/>
    </xf>
    <xf applyAlignment="1" borderId="0" fillId="47" fontId="36" numFmtId="0">
      <alignment vertical="center"/>
    </xf>
    <xf applyAlignment="1" borderId="0" fillId="40" fontId="26" numFmtId="0">
      <alignment vertical="center"/>
    </xf>
    <xf applyAlignment="1" borderId="0" fillId="58" fontId="28" numFmtId="0">
      <alignment vertical="center"/>
    </xf>
    <xf applyAlignment="1" borderId="0" fillId="52" fontId="26" numFmtId="0">
      <alignment vertical="center"/>
    </xf>
    <xf applyAlignment="1" borderId="0" fillId="33" fontId="26" numFmtId="0">
      <alignment vertical="center"/>
    </xf>
    <xf applyAlignment="1" borderId="0" fillId="57" fontId="26" numFmtId="0">
      <alignment vertical="center"/>
    </xf>
    <xf applyAlignment="1" borderId="0" fillId="51" fontId="26" numFmtId="0">
      <alignment vertical="center"/>
    </xf>
    <xf applyAlignment="1" borderId="0" fillId="56" fontId="28" numFmtId="0">
      <alignment vertical="center"/>
    </xf>
    <xf applyAlignment="1" borderId="0" fillId="37" fontId="28" numFmtId="0">
      <alignment vertical="center"/>
    </xf>
    <xf applyAlignment="1" borderId="0" fillId="55" fontId="26" numFmtId="0">
      <alignment vertical="center"/>
    </xf>
    <xf applyAlignment="1" borderId="0" fillId="46" fontId="26" numFmtId="0">
      <alignment vertical="center"/>
    </xf>
    <xf applyAlignment="1" borderId="0" fillId="54" fontId="28" numFmtId="0">
      <alignment vertical="center"/>
    </xf>
    <xf applyAlignment="1" borderId="0" fillId="29" fontId="26" numFmtId="0">
      <alignment vertical="center"/>
    </xf>
    <xf applyAlignment="1" borderId="0" fillId="50" fontId="28" numFmtId="0">
      <alignment vertical="center"/>
    </xf>
    <xf applyAlignment="1" borderId="0" fillId="45" fontId="28" numFmtId="0">
      <alignment vertical="center"/>
    </xf>
    <xf applyAlignment="1" borderId="0" fillId="44" fontId="26" numFmtId="0">
      <alignment vertical="center"/>
    </xf>
    <xf applyAlignment="1" borderId="0" fillId="49" fontId="28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</cellStyleXfs>
  <cellXfs count="561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right" vertical="center" wrapText="1"/>
    </xf>
    <xf applyAlignment="1" borderId="3" fillId="0" fontId="1" numFmtId="0" pivotButton="0" quotePrefix="0" xfId="0">
      <alignment horizontal="center" vertical="center"/>
    </xf>
    <xf applyAlignment="1" borderId="4" fillId="3" fontId="1" numFmtId="0" pivotButton="0" quotePrefix="0" xfId="0">
      <alignment horizontal="center" vertical="center"/>
    </xf>
    <xf applyAlignment="1" borderId="4" fillId="4" fontId="0" numFmtId="0" pivotButton="0" quotePrefix="0" xfId="0">
      <alignment horizontal="center"/>
    </xf>
    <xf applyAlignment="1" borderId="4" fillId="4" fontId="0" numFmtId="3" pivotButton="0" quotePrefix="0" xfId="0">
      <alignment horizontal="center"/>
    </xf>
    <xf applyAlignment="1" borderId="0" fillId="0" fontId="0" numFmtId="4" pivotButton="0" quotePrefix="0" xfId="0">
      <alignment horizontal="right" vertical="center" wrapText="1"/>
    </xf>
    <xf applyAlignment="1" borderId="5" fillId="0" fontId="1" numFmtId="0" pivotButton="0" quotePrefix="0" xfId="0">
      <alignment horizontal="center" vertical="center"/>
    </xf>
    <xf applyAlignment="1" borderId="6" fillId="3" fontId="1" numFmtId="0" pivotButton="0" quotePrefix="0" xfId="0">
      <alignment horizontal="center" vertical="center"/>
    </xf>
    <xf applyAlignment="1" borderId="7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wrapText="1"/>
    </xf>
    <xf applyAlignment="1" borderId="0" fillId="0" fontId="0" numFmtId="10" pivotButton="0" quotePrefix="0" xfId="0">
      <alignment horizontal="right" vertical="center" wrapText="1"/>
    </xf>
    <xf applyAlignment="1" borderId="8" fillId="3" fontId="1" numFmtId="0" pivotButton="0" quotePrefix="0" xfId="0">
      <alignment horizontal="center" vertical="center"/>
    </xf>
    <xf applyAlignment="1" borderId="9" fillId="3" fontId="1" numFmtId="0" pivotButton="0" quotePrefix="0" xfId="0">
      <alignment horizontal="center" vertical="center"/>
    </xf>
    <xf applyAlignment="1" borderId="10" fillId="3" fontId="1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12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3" pivotButton="0" quotePrefix="0" xfId="0">
      <alignment horizontal="right" vertical="center" wrapText="1"/>
    </xf>
    <xf applyAlignment="1" borderId="13" fillId="5" fontId="1" numFmtId="0" pivotButton="0" quotePrefix="0" xfId="0">
      <alignment horizontal="center" vertical="center"/>
    </xf>
    <xf applyAlignment="1" borderId="14" fillId="5" fontId="0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4" fillId="5" fontId="0" numFmtId="0" pivotButton="0" quotePrefix="0" xfId="0">
      <alignment horizontal="left" wrapText="1"/>
    </xf>
    <xf applyAlignment="1" borderId="4" fillId="5" fontId="0" numFmtId="0" pivotButton="0" quotePrefix="0" xfId="0">
      <alignment horizontal="center" vertical="center"/>
    </xf>
    <xf applyAlignment="1" borderId="16" fillId="5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/>
    </xf>
    <xf applyAlignment="1" borderId="0" fillId="5" fontId="1" numFmtId="0" pivotButton="0" quotePrefix="0" xfId="0">
      <alignment horizontal="center" vertical="center"/>
    </xf>
    <xf applyAlignment="1" borderId="15" fillId="5" fontId="3" numFmtId="0" pivotButton="0" quotePrefix="0" xfId="0">
      <alignment horizontal="center" vertical="center"/>
    </xf>
    <xf applyAlignment="1" borderId="4" fillId="5" fontId="1" numFmtId="0" pivotButton="0" quotePrefix="0" xfId="0">
      <alignment horizontal="center" vertical="center"/>
    </xf>
    <xf applyAlignment="1" borderId="4" fillId="5" fontId="0" numFmtId="164" pivotButton="0" quotePrefix="0" xfId="0">
      <alignment horizontal="center" vertical="center"/>
    </xf>
    <xf applyAlignment="1" borderId="4" fillId="5" fontId="0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4" fillId="6" fontId="1" numFmtId="0" pivotButton="0" quotePrefix="0" xfId="0">
      <alignment horizontal="center" vertical="center"/>
    </xf>
    <xf applyAlignment="1" borderId="0" fillId="0" fontId="1" numFmtId="165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 vertical="center"/>
    </xf>
    <xf applyAlignment="1" borderId="22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7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right" vertical="center"/>
    </xf>
    <xf applyAlignment="1" borderId="0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" fillId="8" fontId="1" numFmtId="165" pivotButton="0" quotePrefix="0" xfId="0">
      <alignment horizontal="center" vertical="center"/>
    </xf>
    <xf applyAlignment="1" borderId="0" fillId="9" fontId="1" numFmtId="0" pivotButton="0" quotePrefix="0" xfId="0">
      <alignment horizontal="center" vertical="center"/>
    </xf>
    <xf applyAlignment="1" borderId="20" fillId="5" fontId="0" numFmtId="0" pivotButton="0" quotePrefix="0" xfId="0">
      <alignment horizontal="center" vertical="center"/>
    </xf>
    <xf applyAlignment="1" borderId="24" fillId="5" fontId="1" numFmtId="0" pivotButton="0" quotePrefix="0" xfId="0">
      <alignment horizontal="center" vertical="center"/>
    </xf>
    <xf applyAlignment="1" borderId="19" fillId="3" fontId="1" numFmtId="0" pivotButton="0" quotePrefix="0" xfId="0">
      <alignment horizontal="center" vertical="center"/>
    </xf>
    <xf applyAlignment="1" borderId="25" fillId="6" fontId="5" numFmtId="0" pivotButton="0" quotePrefix="0" xfId="0">
      <alignment horizontal="center" vertical="center"/>
    </xf>
    <xf applyAlignment="1" borderId="26" fillId="3" fontId="1" numFmtId="0" pivotButton="0" quotePrefix="0" xfId="0">
      <alignment horizontal="center" vertical="center"/>
    </xf>
    <xf applyAlignment="1" borderId="27" fillId="3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 vertical="center"/>
    </xf>
    <xf applyAlignment="1" borderId="28" fillId="3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4" fillId="6" fontId="1" numFmtId="166" pivotButton="0" quotePrefix="0" xfId="0">
      <alignment horizontal="center" vertical="center"/>
    </xf>
    <xf applyAlignment="1" borderId="4" fillId="5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4" fillId="5" fontId="1" numFmtId="166" pivotButton="0" quotePrefix="0" xfId="0">
      <alignment horizontal="center" vertical="center"/>
    </xf>
    <xf applyAlignment="1" borderId="4" fillId="10" fontId="1" numFmtId="165" pivotButton="0" quotePrefix="0" xfId="0">
      <alignment horizontal="center" vertical="center"/>
    </xf>
    <xf applyAlignment="1" borderId="4" fillId="11" fontId="0" numFmtId="167" pivotButton="0" quotePrefix="0" xfId="0">
      <alignment horizontal="center" vertical="center"/>
    </xf>
    <xf applyAlignment="1" borderId="4" fillId="5" fontId="0" numFmtId="167" pivotButton="0" quotePrefix="0" xfId="0">
      <alignment horizontal="center" vertical="center"/>
    </xf>
    <xf applyAlignment="1" borderId="16" fillId="3" fontId="1" numFmtId="0" pivotButton="0" quotePrefix="0" xfId="0">
      <alignment horizontal="center" vertical="center"/>
    </xf>
    <xf applyAlignment="1" borderId="17" fillId="3" fontId="1" numFmtId="0" pivotButton="0" quotePrefix="0" xfId="0">
      <alignment horizontal="center" vertical="center"/>
    </xf>
    <xf applyAlignment="1" borderId="4" fillId="12" fontId="0" numFmtId="0" pivotButton="0" quotePrefix="0" xfId="0">
      <alignment horizontal="center" vertical="center"/>
    </xf>
    <xf applyAlignment="1" borderId="4" fillId="10" fontId="1" numFmtId="0" pivotButton="0" quotePrefix="0" xfId="0">
      <alignment horizontal="center" vertical="center"/>
    </xf>
    <xf applyAlignment="1" borderId="4" fillId="13" fontId="0" numFmtId="167" pivotButton="0" quotePrefix="0" xfId="0">
      <alignment horizontal="center" vertical="center"/>
    </xf>
    <xf applyAlignment="1" borderId="29" fillId="10" fontId="1" numFmtId="0" pivotButton="0" quotePrefix="0" xfId="0">
      <alignment horizontal="center" vertical="center"/>
    </xf>
    <xf applyAlignment="1" borderId="30" fillId="5" fontId="0" numFmtId="167" pivotButton="0" quotePrefix="0" xfId="0">
      <alignment horizontal="center" vertical="center"/>
    </xf>
    <xf applyAlignment="1" borderId="31" fillId="2" fontId="5" numFmtId="0" pivotButton="0" quotePrefix="0" xfId="0">
      <alignment horizontal="center" vertical="center"/>
    </xf>
    <xf applyAlignment="1" borderId="25" fillId="0" fontId="0" numFmtId="164" pivotButton="0" quotePrefix="0" xfId="0">
      <alignment horizontal="right" vertical="center"/>
    </xf>
    <xf applyAlignment="1" borderId="32" fillId="2" fontId="5" numFmtId="0" pivotButton="0" quotePrefix="0" xfId="0">
      <alignment horizontal="center" vertical="center"/>
    </xf>
    <xf applyAlignment="1" borderId="30" fillId="6" fontId="1" numFmtId="0" pivotButton="0" quotePrefix="0" xfId="0">
      <alignment horizontal="center" vertical="center"/>
    </xf>
    <xf applyAlignment="1" borderId="33" fillId="14" fontId="1" numFmtId="164" pivotButton="0" quotePrefix="0" xfId="0">
      <alignment horizontal="right" vertical="center"/>
    </xf>
    <xf applyAlignment="1" borderId="4" fillId="15" fontId="1" numFmtId="168" pivotButton="0" quotePrefix="0" xfId="0">
      <alignment horizontal="center" vertical="center"/>
    </xf>
    <xf applyAlignment="1" borderId="13" fillId="15" fontId="1" numFmtId="168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30" fillId="15" fontId="1" numFmtId="168" pivotButton="0" quotePrefix="0" xfId="0">
      <alignment horizontal="center" vertical="center"/>
    </xf>
    <xf applyAlignment="1" borderId="34" fillId="2" fontId="5" numFmtId="0" pivotButton="0" quotePrefix="0" xfId="0">
      <alignment horizontal="center" vertical="center"/>
    </xf>
    <xf applyAlignment="1" borderId="22" fillId="0" fontId="0" numFmtId="164" pivotButton="0" quotePrefix="0" xfId="0">
      <alignment horizontal="right" vertical="center"/>
    </xf>
    <xf applyAlignment="1" borderId="4" fillId="0" fontId="0" numFmtId="164" pivotButton="0" quotePrefix="0" xfId="0">
      <alignment horizontal="center" vertical="center"/>
    </xf>
    <xf applyAlignment="1" borderId="30" fillId="3" fontId="1" numFmtId="0" pivotButton="0" quotePrefix="0" xfId="0">
      <alignment horizontal="center" vertical="center"/>
    </xf>
    <xf applyAlignment="1" borderId="33" fillId="14" fontId="1" numFmtId="164" pivotButton="0" quotePrefix="0" xfId="0">
      <alignment horizontal="center" vertical="center"/>
    </xf>
    <xf applyAlignment="1" borderId="4" fillId="14" fontId="1" numFmtId="167" pivotButton="0" quotePrefix="0" xfId="0">
      <alignment horizontal="center" vertical="center"/>
    </xf>
    <xf applyAlignment="1" borderId="33" fillId="14" fontId="1" numFmtId="167" pivotButton="0" quotePrefix="0" xfId="0">
      <alignment horizontal="right" vertical="center"/>
    </xf>
    <xf applyAlignment="1" borderId="23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horizontal="center" vertical="center"/>
    </xf>
    <xf applyAlignment="1" borderId="4" fillId="6" fontId="0" numFmtId="0" pivotButton="0" quotePrefix="0" xfId="0">
      <alignment horizontal="center" vertical="center"/>
    </xf>
    <xf applyAlignment="1" borderId="4" fillId="13" fontId="0" numFmtId="0" pivotButton="0" quotePrefix="0" xfId="0">
      <alignment horizontal="center" vertical="center"/>
    </xf>
    <xf applyAlignment="1" borderId="22" fillId="0" fontId="1" numFmtId="167" pivotButton="0" quotePrefix="0" xfId="0">
      <alignment horizontal="right" vertical="center"/>
    </xf>
    <xf applyAlignment="1" borderId="4" fillId="4" fontId="1" numFmtId="0" pivotButton="0" quotePrefix="0" xfId="0">
      <alignment horizontal="center" vertical="center"/>
    </xf>
    <xf applyAlignment="1" borderId="4" fillId="4" fontId="1" numFmtId="164" pivotButton="0" quotePrefix="0" xfId="0">
      <alignment horizontal="right" vertical="center"/>
    </xf>
    <xf applyAlignment="1" borderId="22" fillId="4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right" vertical="center"/>
    </xf>
    <xf applyAlignment="1" borderId="4" fillId="13" fontId="1" numFmtId="164" pivotButton="0" quotePrefix="0" xfId="0">
      <alignment horizontal="right" vertical="center"/>
    </xf>
    <xf applyAlignment="1" borderId="4" fillId="16" fontId="1" numFmtId="164" pivotButton="0" quotePrefix="0" xfId="0">
      <alignment horizontal="center" vertical="center"/>
    </xf>
    <xf applyAlignment="1" borderId="4" fillId="0" fontId="0" numFmtId="167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0" numFmtId="164" pivotButton="0" quotePrefix="0" xfId="0">
      <alignment horizontal="right" vertical="center"/>
    </xf>
    <xf applyAlignment="1" borderId="4" fillId="0" fontId="0" numFmtId="167" pivotButton="0" quotePrefix="0" xfId="0">
      <alignment horizontal="center" vertical="center"/>
    </xf>
    <xf applyAlignment="1" borderId="4" fillId="0" fontId="0" numFmtId="164" pivotButton="0" quotePrefix="0" xfId="0">
      <alignment horizontal="right" vertical="center"/>
    </xf>
    <xf applyAlignment="1" borderId="4" fillId="13" fontId="1" numFmtId="0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1" numFmtId="10" pivotButton="0" quotePrefix="0" xfId="0">
      <alignment horizontal="center" vertical="center"/>
    </xf>
    <xf applyAlignment="1" borderId="0" fillId="0" fontId="6" numFmtId="0" pivotButton="0" quotePrefix="0" xfId="0">
      <alignment horizontal="center"/>
    </xf>
    <xf applyAlignment="1" borderId="35" fillId="3" fontId="1" numFmtId="0" pivotButton="0" quotePrefix="0" xfId="0">
      <alignment horizontal="center" vertical="center"/>
    </xf>
    <xf applyAlignment="1" borderId="4" fillId="17" fontId="1" numFmtId="0" pivotButton="0" quotePrefix="0" xfId="0">
      <alignment horizontal="center" vertical="center"/>
    </xf>
    <xf applyAlignment="1" borderId="4" fillId="18" fontId="1" numFmtId="165" pivotButton="0" quotePrefix="0" xfId="0">
      <alignment horizontal="center" vertical="center"/>
    </xf>
    <xf applyAlignment="1" borderId="30" fillId="10" fontId="1" numFmtId="165" pivotButton="0" quotePrefix="0" xfId="0">
      <alignment horizontal="center" vertical="center"/>
    </xf>
    <xf applyAlignment="1" borderId="36" fillId="19" fontId="1" numFmtId="0" pivotButton="0" quotePrefix="0" xfId="0">
      <alignment horizontal="center" vertical="center"/>
    </xf>
    <xf applyAlignment="1" borderId="4" fillId="19" fontId="1" numFmtId="0" pivotButton="0" quotePrefix="0" xfId="0">
      <alignment horizontal="center" vertical="center"/>
    </xf>
    <xf applyAlignment="1" borderId="37" fillId="19" fontId="1" numFmtId="0" pivotButton="0" quotePrefix="0" xfId="0">
      <alignment horizontal="center" vertical="center"/>
    </xf>
    <xf applyAlignment="1" borderId="36" fillId="18" fontId="1" numFmtId="0" pivotButton="0" quotePrefix="0" xfId="0">
      <alignment horizontal="center" vertical="center"/>
    </xf>
    <xf applyAlignment="1" borderId="4" fillId="18" fontId="1" numFmtId="0" pivotButton="0" quotePrefix="0" xfId="0">
      <alignment horizontal="center" vertical="center"/>
    </xf>
    <xf applyAlignment="1" borderId="36" fillId="19" fontId="1" numFmtId="3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4" fillId="14" fontId="1" numFmtId="0" pivotButton="0" quotePrefix="0" xfId="0">
      <alignment horizontal="center" vertical="center"/>
    </xf>
    <xf applyAlignment="1" borderId="4" fillId="20" fontId="0" numFmtId="169" pivotButton="0" quotePrefix="0" xfId="0">
      <alignment horizontal="center" vertical="center"/>
    </xf>
    <xf applyAlignment="1" borderId="4" fillId="20" fontId="0" numFmtId="167" pivotButton="0" quotePrefix="0" xfId="0">
      <alignment horizontal="center" vertical="center"/>
    </xf>
    <xf applyAlignment="1" borderId="4" fillId="13" fontId="0" numFmtId="0" pivotButton="0" quotePrefix="0" xfId="0">
      <alignment horizontal="center" vertical="center"/>
    </xf>
    <xf applyAlignment="1" borderId="23" fillId="3" fontId="1" numFmtId="0" pivotButton="0" quotePrefix="0" xfId="0">
      <alignment horizontal="center" vertical="center"/>
    </xf>
    <xf applyAlignment="1" borderId="33" fillId="2" fontId="7" numFmtId="165" pivotButton="0" quotePrefix="0" xfId="0">
      <alignment horizontal="center" vertical="center"/>
    </xf>
    <xf applyAlignment="1" borderId="22" fillId="13" fontId="0" numFmtId="164" pivotButton="0" quotePrefix="0" xfId="0">
      <alignment horizontal="right" vertical="center"/>
    </xf>
    <xf applyAlignment="1" borderId="22" fillId="4" fontId="1" numFmtId="164" pivotButton="0" quotePrefix="0" xfId="0">
      <alignment horizontal="right" vertical="center"/>
    </xf>
    <xf applyAlignment="1" borderId="4" fillId="13" fontId="0" numFmtId="164" pivotButton="0" quotePrefix="0" xfId="0">
      <alignment horizontal="right" vertical="center"/>
    </xf>
    <xf applyAlignment="1" borderId="33" fillId="14" fontId="1" numFmtId="166" pivotButton="0" quotePrefix="0" xfId="0">
      <alignment horizontal="right" vertical="center"/>
    </xf>
    <xf applyAlignment="1" borderId="4" fillId="14" fontId="1" numFmtId="164" pivotButton="0" quotePrefix="0" xfId="0">
      <alignment horizontal="right" vertical="center"/>
    </xf>
    <xf applyAlignment="1" borderId="4" fillId="0" fontId="1" numFmtId="1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4" fillId="4" fontId="1" numFmtId="10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4" fillId="0" fontId="0" numFmtId="170" pivotButton="0" quotePrefix="0" xfId="0">
      <alignment horizontal="right" vertical="center"/>
    </xf>
    <xf applyAlignment="1" borderId="4" fillId="6" fontId="1" numFmtId="0" pivotButton="0" quotePrefix="0" xfId="0">
      <alignment horizontal="center" vertical="center"/>
    </xf>
    <xf applyAlignment="1" borderId="4" fillId="6" fontId="1" numFmtId="170" pivotButton="0" quotePrefix="0" xfId="0">
      <alignment horizontal="center" vertical="center"/>
    </xf>
    <xf applyAlignment="1" borderId="4" fillId="0" fontId="1" numFmtId="9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30" fillId="0" fontId="1" numFmtId="0" pivotButton="0" quotePrefix="0" xfId="0">
      <alignment horizontal="center" vertical="center"/>
    </xf>
    <xf applyAlignment="1" borderId="30" fillId="4" fontId="1" numFmtId="0" pivotButton="0" quotePrefix="0" xfId="0">
      <alignment horizontal="center" vertical="center"/>
    </xf>
    <xf applyAlignment="1" borderId="4" fillId="5" fontId="0" numFmtId="169" pivotButton="0" quotePrefix="0" xfId="0">
      <alignment horizontal="center" vertical="center"/>
    </xf>
    <xf applyAlignment="1" borderId="4" fillId="0" fontId="0" numFmtId="169" pivotButton="0" quotePrefix="0" xfId="0">
      <alignment horizontal="center" vertical="center"/>
    </xf>
    <xf applyAlignment="1" borderId="37" fillId="18" fontId="1" numFmtId="0" pivotButton="0" quotePrefix="0" xfId="0">
      <alignment horizontal="center" vertical="center"/>
    </xf>
    <xf applyAlignment="1" borderId="30" fillId="0" fontId="1" numFmtId="164" pivotButton="0" quotePrefix="0" xfId="0">
      <alignment horizontal="center" vertical="center"/>
    </xf>
    <xf applyAlignment="1" borderId="23" fillId="0" fontId="0" numFmtId="0" pivotButton="0" quotePrefix="0" xfId="0">
      <alignment horizontal="center" vertical="center"/>
    </xf>
    <xf applyAlignment="1" borderId="38" fillId="3" fontId="1" numFmtId="0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4" fillId="4" fontId="1" numFmtId="164" pivotButton="0" quotePrefix="0" xfId="0">
      <alignment horizontal="center" vertical="center"/>
    </xf>
    <xf applyAlignment="1" borderId="4" fillId="13" fontId="1" numFmtId="164" pivotButton="0" quotePrefix="0" xfId="0">
      <alignment horizontal="center" vertical="center"/>
    </xf>
    <xf applyAlignment="1" borderId="22" fillId="0" fontId="1" numFmtId="0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  <xf applyAlignment="1" borderId="13" fillId="0" fontId="1" numFmtId="167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1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18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4" fillId="21" fontId="1" numFmtId="0" pivotButton="0" quotePrefix="0" xfId="0">
      <alignment horizontal="center" vertical="center"/>
    </xf>
    <xf applyAlignment="1" borderId="4" fillId="6" fontId="1" numFmtId="167" pivotButton="0" quotePrefix="0" xfId="0">
      <alignment horizontal="center" vertical="center"/>
    </xf>
    <xf applyAlignment="1" borderId="0" fillId="0" fontId="1" numFmtId="167" pivotButton="0" quotePrefix="0" xfId="0">
      <alignment horizontal="center" vertical="center"/>
    </xf>
    <xf applyAlignment="1" borderId="4" fillId="21" fontId="1" numFmtId="3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40" fillId="3" fontId="1" numFmtId="0" pivotButton="0" quotePrefix="0" xfId="0">
      <alignment horizontal="center" vertical="center"/>
    </xf>
    <xf applyAlignment="1" borderId="41" fillId="0" fontId="0" numFmtId="0" pivotButton="0" quotePrefix="0" xfId="0">
      <alignment horizontal="center" vertical="center"/>
    </xf>
    <xf applyAlignment="1" borderId="42" fillId="0" fontId="0" numFmtId="0" pivotButton="0" quotePrefix="0" xfId="0">
      <alignment horizontal="center" vertical="center"/>
    </xf>
    <xf applyAlignment="1" borderId="36" fillId="3" fontId="1" numFmtId="0" pivotButton="0" quotePrefix="0" xfId="0">
      <alignment horizontal="center" vertical="center"/>
    </xf>
    <xf applyAlignment="1" borderId="37" fillId="3" fontId="1" numFmtId="0" pivotButton="0" quotePrefix="0" xfId="0">
      <alignment horizontal="center" vertical="center"/>
    </xf>
    <xf applyAlignment="1" borderId="30" fillId="3" fontId="9" numFmtId="0" pivotButton="0" quotePrefix="0" xfId="0">
      <alignment horizontal="justify" vertical="top" wrapText="1"/>
    </xf>
    <xf applyAlignment="1" borderId="36" fillId="0" fontId="10" numFmtId="10" pivotButton="0" quotePrefix="0" xfId="0">
      <alignment horizontal="justify" vertical="top" wrapText="1"/>
    </xf>
    <xf applyAlignment="1" borderId="4" fillId="0" fontId="10" numFmtId="10" pivotButton="0" quotePrefix="0" xfId="0">
      <alignment horizontal="justify" vertical="top" wrapText="1"/>
    </xf>
    <xf applyAlignment="1" borderId="37" fillId="0" fontId="10" numFmtId="10" pivotButton="0" quotePrefix="0" xfId="0">
      <alignment horizontal="justify" vertical="top" wrapText="1"/>
    </xf>
    <xf applyAlignment="1" borderId="0" fillId="0" fontId="11" numFmtId="0" pivotButton="0" quotePrefix="0" xfId="0">
      <alignment horizontal="center" vertical="center"/>
    </xf>
    <xf applyAlignment="1" borderId="4" fillId="3" fontId="9" numFmtId="0" pivotButton="0" quotePrefix="0" xfId="0">
      <alignment horizontal="justify" vertical="top" wrapText="1"/>
    </xf>
    <xf applyAlignment="1" borderId="0" fillId="0" fontId="1" numFmtId="171" pivotButton="0" quotePrefix="0" xfId="0">
      <alignment horizontal="center" vertical="center"/>
    </xf>
    <xf applyAlignment="1" borderId="4" fillId="6" fontId="1" numFmtId="10" pivotButton="0" quotePrefix="0" xfId="0">
      <alignment horizontal="center" vertical="center"/>
    </xf>
    <xf applyAlignment="1" borderId="4" fillId="8" fontId="1" numFmtId="0" pivotButton="0" quotePrefix="0" xfId="0">
      <alignment horizontal="center" vertical="center"/>
    </xf>
    <xf applyAlignment="1" borderId="21" fillId="0" fontId="1" numFmtId="0" pivotButton="0" quotePrefix="0" xfId="0">
      <alignment horizontal="center"/>
    </xf>
    <xf applyAlignment="1" borderId="16" fillId="3" fontId="0" numFmtId="0" pivotButton="0" quotePrefix="0" xfId="0">
      <alignment horizontal="center" vertical="center"/>
    </xf>
    <xf applyAlignment="1" borderId="4" fillId="3" fontId="0" numFmtId="0" pivotButton="0" quotePrefix="0" xfId="0">
      <alignment horizontal="center" vertical="center"/>
    </xf>
    <xf applyAlignment="1" borderId="22" fillId="3" fontId="0" numFmtId="0" pivotButton="0" quotePrefix="0" xfId="0">
      <alignment horizontal="center" vertical="center"/>
    </xf>
    <xf borderId="4" fillId="22" fontId="1" numFmtId="0" pivotButton="0" quotePrefix="0" xfId="0"/>
    <xf applyAlignment="1" borderId="4" fillId="6" fontId="0" numFmtId="0" pivotButton="0" quotePrefix="0" xfId="0">
      <alignment horizontal="center"/>
    </xf>
    <xf borderId="4" fillId="19" fontId="1" numFmtId="164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21" fillId="0" fontId="1" numFmtId="0" pivotButton="0" quotePrefix="0" xfId="0">
      <alignment horizontal="center"/>
    </xf>
    <xf borderId="4" fillId="22" fontId="1" numFmtId="164" pivotButton="0" quotePrefix="0" xfId="0"/>
    <xf applyAlignment="1" borderId="43" fillId="2" fontId="2" numFmtId="0" pivotButton="0" quotePrefix="0" xfId="0">
      <alignment horizontal="center" vertical="center"/>
    </xf>
    <xf applyAlignment="1" borderId="43" fillId="2" fontId="12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4" fillId="3" fontId="0" numFmtId="164" pivotButton="0" quotePrefix="0" xfId="0">
      <alignment horizontal="center" vertical="center"/>
    </xf>
    <xf applyAlignment="1" borderId="22" fillId="3" fontId="0" numFmtId="164" pivotButton="0" quotePrefix="0" xfId="0">
      <alignment horizontal="center" vertical="center"/>
    </xf>
    <xf borderId="13" fillId="0" fontId="1" numFmtId="0" pivotButton="0" quotePrefix="0" xfId="0"/>
    <xf applyAlignment="1" borderId="44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28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4" fillId="22" fontId="1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172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16" fillId="3" fontId="0" numFmtId="167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/>
    </xf>
    <xf applyAlignment="1" borderId="28" fillId="3" fontId="0" numFmtId="167" pivotButton="0" quotePrefix="0" xfId="0">
      <alignment horizontal="center" vertical="center"/>
    </xf>
    <xf applyAlignment="1" borderId="4" fillId="3" fontId="0" numFmtId="167" pivotButton="0" quotePrefix="0" xfId="0">
      <alignment horizontal="center" vertical="center"/>
    </xf>
    <xf applyAlignment="1" borderId="23" fillId="0" fontId="0" numFmtId="167" pivotButton="0" quotePrefix="0" xfId="0">
      <alignment horizontal="center" vertical="center"/>
    </xf>
    <xf applyAlignment="1" borderId="21" fillId="0" fontId="0" numFmtId="167" pivotButton="0" quotePrefix="0" xfId="0">
      <alignment horizontal="center" vertical="center"/>
    </xf>
    <xf applyAlignment="1" borderId="4" fillId="0" fontId="0" numFmtId="172" pivotButton="0" quotePrefix="0" xfId="0">
      <alignment horizontal="center" vertical="center"/>
    </xf>
    <xf applyAlignment="1" borderId="16" fillId="0" fontId="0" numFmtId="167" pivotButton="0" quotePrefix="0" xfId="0">
      <alignment horizontal="center" vertical="center"/>
    </xf>
    <xf applyAlignment="1" borderId="15" fillId="0" fontId="0" numFmtId="167" pivotButton="0" quotePrefix="0" xfId="0">
      <alignment horizontal="center" vertical="center"/>
    </xf>
    <xf applyAlignment="1" borderId="19" fillId="3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21" fillId="0" fontId="14" numFmtId="0" pivotButton="0" quotePrefix="0" xfId="0">
      <alignment horizontal="center" vertical="center"/>
    </xf>
    <xf applyAlignment="1" borderId="4" fillId="0" fontId="0" numFmtId="16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4" fillId="0" fontId="1" numFmtId="169" pivotButton="0" quotePrefix="0" xfId="0">
      <alignment horizontal="center" vertical="center"/>
    </xf>
    <xf applyAlignment="1" borderId="0" fillId="0" fontId="1" numFmtId="169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4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51" fillId="0" fontId="1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4" fillId="5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25" fillId="0" fontId="0" numFmtId="0" pivotButton="0" quotePrefix="0" xfId="0">
      <alignment horizontal="center"/>
    </xf>
    <xf applyAlignment="1" borderId="25" fillId="0" fontId="0" numFmtId="0" pivotButton="0" quotePrefix="0" xfId="0">
      <alignment horizontal="center"/>
    </xf>
    <xf applyAlignment="1" borderId="25" fillId="5" fontId="0" numFmtId="0" pivotButton="0" quotePrefix="0" xfId="0">
      <alignment horizontal="center"/>
    </xf>
    <xf applyAlignment="1" borderId="52" fillId="0" fontId="0" numFmtId="0" pivotButton="0" quotePrefix="0" xfId="0">
      <alignment horizontal="center"/>
    </xf>
    <xf applyAlignment="1" borderId="53" fillId="0" fontId="0" numFmtId="0" pivotButton="0" quotePrefix="0" xfId="0">
      <alignment horizontal="center"/>
    </xf>
    <xf applyAlignment="1" borderId="53" fillId="5" fontId="0" numFmtId="0" pivotButton="0" quotePrefix="0" xfId="0">
      <alignment horizontal="center"/>
    </xf>
    <xf applyAlignment="1" borderId="54" fillId="5" fontId="0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22" fillId="5" fontId="0" numFmtId="0" pivotButton="0" quotePrefix="0" xfId="0">
      <alignment horizontal="center"/>
    </xf>
    <xf applyAlignment="1" borderId="55" fillId="0" fontId="0" numFmtId="0" pivotButton="0" quotePrefix="0" xfId="0">
      <alignment horizontal="center"/>
    </xf>
    <xf applyAlignment="1" borderId="56" fillId="0" fontId="0" numFmtId="0" pivotButton="0" quotePrefix="0" xfId="0">
      <alignment horizontal="center"/>
    </xf>
    <xf applyAlignment="1" borderId="56" fillId="5" fontId="0" numFmtId="0" pivotButton="0" quotePrefix="0" xfId="0">
      <alignment horizontal="center"/>
    </xf>
    <xf applyAlignment="1" borderId="57" fillId="5" fontId="0" numFmtId="0" pivotButton="0" quotePrefix="0" xfId="0">
      <alignment horizontal="center"/>
    </xf>
    <xf applyAlignment="1" borderId="58" fillId="0" fontId="0" numFmtId="0" pivotButton="0" quotePrefix="0" xfId="0">
      <alignment horizontal="center"/>
    </xf>
    <xf applyAlignment="1" borderId="58" fillId="0" fontId="0" numFmtId="0" pivotButton="0" quotePrefix="0" xfId="0">
      <alignment horizontal="center"/>
    </xf>
    <xf applyAlignment="1" borderId="58" fillId="5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4" fillId="5" fontId="0" numFmtId="0" pivotButton="0" quotePrefix="0" xfId="0">
      <alignment horizontal="center"/>
    </xf>
    <xf applyAlignment="1" borderId="1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30" fillId="0" fontId="1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7" fillId="3" fontId="15" numFmtId="0" pivotButton="0" quotePrefix="0" xfId="0">
      <alignment horizontal="justify" vertical="top" wrapText="1"/>
    </xf>
    <xf applyAlignment="1" borderId="8" fillId="3" fontId="15" numFmtId="0" pivotButton="0" quotePrefix="0" xfId="0">
      <alignment horizontal="justify" vertical="top" wrapText="1"/>
    </xf>
    <xf applyAlignment="1" borderId="0" fillId="0" fontId="0" numFmtId="3" pivotButton="0" quotePrefix="0" xfId="0">
      <alignment horizontal="right" wrapText="1"/>
    </xf>
    <xf applyAlignment="1" borderId="0" fillId="0" fontId="9" numFmtId="0" pivotButton="0" quotePrefix="0" xfId="0">
      <alignment horizontal="justify" vertical="top" wrapText="1"/>
    </xf>
    <xf applyAlignment="1" borderId="21" fillId="0" fontId="1" numFmtId="167" pivotButton="0" quotePrefix="0" xfId="0">
      <alignment horizontal="center" vertical="center"/>
    </xf>
    <xf applyAlignment="1" borderId="28" fillId="3" fontId="1" numFmtId="167" pivotButton="0" quotePrefix="0" xfId="0">
      <alignment horizontal="center" vertical="center"/>
    </xf>
    <xf applyAlignment="1" borderId="4" fillId="3" fontId="1" numFmtId="167" pivotButton="0" quotePrefix="0" xfId="0">
      <alignment horizontal="center" vertical="center"/>
    </xf>
    <xf borderId="4" fillId="23" fontId="1" numFmtId="0" pivotButton="0" quotePrefix="0" xfId="0"/>
    <xf applyAlignment="1" borderId="4" fillId="14" fontId="0" numFmtId="173" pivotButton="0" quotePrefix="0" xfId="0">
      <alignment horizontal="center" vertical="center"/>
    </xf>
    <xf applyAlignment="1" borderId="10" fillId="4" fontId="1" numFmtId="0" pivotButton="0" quotePrefix="0" xfId="0">
      <alignment horizontal="center" vertical="center"/>
    </xf>
    <xf applyAlignment="1" borderId="16" fillId="0" fontId="1" numFmtId="167" pivotButton="0" quotePrefix="0" xfId="0">
      <alignment horizontal="center" vertical="center"/>
    </xf>
    <xf applyAlignment="1" borderId="4" fillId="14" fontId="0" numFmtId="0" pivotButton="0" quotePrefix="0" xfId="0">
      <alignment horizontal="center" vertical="center"/>
    </xf>
    <xf applyAlignment="1" borderId="35" fillId="0" fontId="1" numFmtId="0" pivotButton="0" quotePrefix="0" xfId="0">
      <alignment horizontal="center" vertical="center"/>
    </xf>
    <xf applyAlignment="1" borderId="39" fillId="0" fontId="16" numFmtId="0" pivotButton="0" quotePrefix="0" xfId="0">
      <alignment horizontal="center" vertical="center"/>
    </xf>
    <xf applyAlignment="1" borderId="30" fillId="10" fontId="1" numFmtId="0" pivotButton="0" quotePrefix="0" xfId="0">
      <alignment horizontal="center" vertical="center"/>
    </xf>
    <xf applyAlignment="1" borderId="33" fillId="2" fontId="5" numFmtId="0" pivotButton="0" quotePrefix="0" xfId="0">
      <alignment horizontal="center" vertical="center"/>
    </xf>
    <xf applyAlignment="1" borderId="4" fillId="24" fontId="1" numFmtId="0" pivotButton="0" quotePrefix="0" xfId="0">
      <alignment horizontal="center" vertical="center"/>
    </xf>
    <xf applyAlignment="1" borderId="4" fillId="10" fontId="1" numFmtId="166" pivotButton="0" quotePrefix="0" xfId="0">
      <alignment horizontal="center" vertical="center"/>
    </xf>
    <xf applyAlignment="1" borderId="16" fillId="3" fontId="1" numFmtId="167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16" fillId="0" fontId="1" numFmtId="174" pivotButton="0" quotePrefix="0" xfId="0">
      <alignment horizontal="center" vertical="center"/>
    </xf>
    <xf applyAlignment="1" borderId="16" fillId="0" fontId="1" numFmtId="167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4" fillId="23" fontId="1" numFmtId="0" pivotButton="0" quotePrefix="0" xfId="0">
      <alignment horizontal="center"/>
    </xf>
    <xf applyAlignment="1" borderId="4" fillId="21" fontId="1" numFmtId="10" pivotButton="0" quotePrefix="0" xfId="0">
      <alignment horizontal="center"/>
    </xf>
    <xf applyAlignment="1" borderId="36" fillId="4" fontId="1" numFmtId="0" pivotButton="0" quotePrefix="0" xfId="0">
      <alignment horizontal="center" vertical="center"/>
    </xf>
    <xf applyAlignment="1" borderId="4" fillId="0" fontId="1" numFmtId="167" pivotButton="0" quotePrefix="0" xfId="0">
      <alignment horizontal="center" vertical="center"/>
    </xf>
    <xf applyAlignment="1" borderId="4" fillId="5" fontId="1" numFmtId="10" pivotButton="0" quotePrefix="0" xfId="0">
      <alignment horizontal="center" vertical="center"/>
    </xf>
    <xf applyAlignment="1" borderId="23" fillId="0" fontId="1" numFmtId="167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29" fillId="6" fontId="1" numFmtId="0" pivotButton="0" quotePrefix="0" xfId="0">
      <alignment horizontal="center" vertical="center"/>
    </xf>
    <xf applyAlignment="1" borderId="4" fillId="5" fontId="1" numFmtId="9" pivotButton="0" quotePrefix="0" xfId="0">
      <alignment horizontal="center" vertical="center"/>
    </xf>
    <xf applyAlignment="1" borderId="4" fillId="0" fontId="1" numFmtId="171" pivotButton="0" quotePrefix="0" xfId="0">
      <alignment horizontal="center" vertical="center"/>
    </xf>
    <xf applyAlignment="1" borderId="36" fillId="0" fontId="10" numFmtId="175" pivotButton="0" quotePrefix="0" xfId="0">
      <alignment horizontal="justify" vertical="top" wrapText="1"/>
    </xf>
    <xf applyAlignment="1" borderId="4" fillId="0" fontId="10" numFmtId="175" pivotButton="0" quotePrefix="0" xfId="0">
      <alignment horizontal="justify" vertical="top" wrapText="1"/>
    </xf>
    <xf applyAlignment="1" borderId="37" fillId="0" fontId="10" numFmtId="175" pivotButton="0" quotePrefix="0" xfId="0">
      <alignment horizontal="justify" vertical="top" wrapText="1"/>
    </xf>
    <xf applyAlignment="1" borderId="59" fillId="25" fontId="1" numFmtId="0" pivotButton="0" quotePrefix="0" xfId="0">
      <alignment horizontal="center" vertical="center"/>
    </xf>
    <xf applyAlignment="1" borderId="5" fillId="25" fontId="1" numFmtId="0" pivotButton="0" quotePrefix="0" xfId="0">
      <alignment horizontal="center" vertical="center"/>
    </xf>
    <xf applyAlignment="1" borderId="3" fillId="25" fontId="1" numFmtId="0" pivotButton="0" quotePrefix="0" xfId="0">
      <alignment horizontal="center" vertical="center"/>
    </xf>
    <xf applyAlignment="1" borderId="4" fillId="0" fontId="10" numFmtId="176" pivotButton="0" quotePrefix="0" xfId="0">
      <alignment horizontal="justify" vertical="top" wrapText="1"/>
    </xf>
    <xf applyAlignment="1" borderId="60" fillId="25" fontId="1" numFmtId="0" pivotButton="0" quotePrefix="0" xfId="0">
      <alignment horizontal="center" vertical="center"/>
    </xf>
    <xf applyAlignment="1" borderId="1" fillId="25" fontId="1" numFmtId="0" pivotButton="0" quotePrefix="0" xfId="0">
      <alignment horizontal="center" vertical="center"/>
    </xf>
    <xf applyAlignment="1" borderId="0" fillId="25" fontId="1" numFmtId="0" pivotButton="0" quotePrefix="0" xfId="0">
      <alignment horizontal="center" vertical="center"/>
    </xf>
    <xf applyAlignment="1" borderId="4" fillId="0" fontId="10" numFmtId="0" pivotButton="0" quotePrefix="0" xfId="0">
      <alignment horizontal="justify" vertical="top" wrapText="1"/>
    </xf>
    <xf applyAlignment="1" borderId="0" fillId="0" fontId="1" numFmtId="175" pivotButton="0" quotePrefix="0" xfId="0">
      <alignment horizontal="center" vertical="center"/>
    </xf>
    <xf applyAlignment="1" borderId="61" fillId="25" fontId="1" numFmtId="0" pivotButton="0" quotePrefix="0" xfId="0">
      <alignment horizontal="center" vertical="center"/>
    </xf>
    <xf applyAlignment="1" borderId="2" fillId="25" fontId="1" numFmtId="0" pivotButton="0" quotePrefix="0" xfId="0">
      <alignment horizontal="center" vertical="center"/>
    </xf>
    <xf applyAlignment="1" borderId="4" fillId="3" fontId="15" numFmtId="0" pivotButton="0" quotePrefix="0" xfId="0">
      <alignment horizontal="center" vertical="center" wrapText="1"/>
    </xf>
    <xf applyAlignment="1" borderId="4" fillId="11" fontId="10" numFmtId="0" pivotButton="0" quotePrefix="0" xfId="0">
      <alignment horizontal="justify" vertical="top" wrapText="1"/>
    </xf>
    <xf applyAlignment="1" borderId="2" fillId="25" fontId="1" numFmtId="0" pivotButton="0" quotePrefix="0" xfId="0">
      <alignment horizontal="left" vertical="center"/>
    </xf>
    <xf applyAlignment="1" borderId="62" fillId="25" fontId="1" numFmtId="0" pivotButton="0" quotePrefix="0" xfId="0">
      <alignment horizontal="center" vertical="center"/>
    </xf>
    <xf applyAlignment="1" borderId="58" fillId="3" fontId="0" numFmtId="164" pivotButton="0" quotePrefix="0" xfId="0">
      <alignment horizontal="center" vertical="center"/>
    </xf>
    <xf applyAlignment="1" borderId="58" fillId="0" fontId="0" numFmtId="164" pivotButton="0" quotePrefix="0" xfId="0">
      <alignment horizontal="center" vertical="center"/>
    </xf>
    <xf applyAlignment="1" borderId="22" fillId="0" fontId="0" numFmtId="164" pivotButton="0" quotePrefix="0" xfId="0">
      <alignment horizontal="center" vertical="center"/>
    </xf>
    <xf applyAlignment="1" borderId="4" fillId="17" fontId="0" numFmtId="164" pivotButton="0" quotePrefix="0" xfId="0">
      <alignment horizontal="center" vertical="center"/>
    </xf>
    <xf applyAlignment="1" borderId="4" fillId="3" fontId="1" numFmtId="164" pivotButton="0" quotePrefix="0" xfId="0">
      <alignment horizontal="center" vertical="center"/>
    </xf>
    <xf applyAlignment="1" borderId="15" fillId="2" fontId="5" numFmtId="164" pivotButton="0" quotePrefix="0" xfId="0">
      <alignment horizontal="center" vertical="center"/>
    </xf>
    <xf applyAlignment="1" borderId="30" fillId="3" fontId="1" numFmtId="164" pivotButton="0" quotePrefix="0" xfId="0">
      <alignment horizontal="center" vertical="center"/>
    </xf>
    <xf applyAlignment="1" borderId="33" fillId="17" fontId="0" numFmtId="164" pivotButton="0" quotePrefix="0" xfId="0">
      <alignment horizontal="center" vertical="center"/>
    </xf>
    <xf applyAlignment="1" borderId="25" fillId="25" fontId="17" numFmtId="0" pivotButton="0" quotePrefix="0" xfId="0">
      <alignment horizontal="center" vertical="center" wrapText="1"/>
    </xf>
    <xf applyAlignment="1" borderId="4" fillId="21" fontId="1" numFmtId="3" pivotButton="0" quotePrefix="0" xfId="0">
      <alignment horizontal="right" wrapText="1"/>
    </xf>
    <xf applyAlignment="1" borderId="39" fillId="25" fontId="7" numFmtId="0" pivotButton="0" quotePrefix="0" xfId="0">
      <alignment horizontal="center" vertical="center" wrapText="1"/>
    </xf>
    <xf applyAlignment="1" borderId="22" fillId="25" fontId="7" numFmtId="0" pivotButton="0" quotePrefix="0" xfId="0">
      <alignment horizontal="center" vertical="center" wrapText="1"/>
    </xf>
    <xf applyAlignment="1" borderId="4" fillId="8" fontId="1" numFmtId="0" pivotButton="0" quotePrefix="0" xfId="0">
      <alignment horizontal="center" vertical="center"/>
    </xf>
    <xf applyAlignment="1" borderId="4" fillId="21" fontId="18" numFmtId="3" pivotButton="0" quotePrefix="0" xfId="0">
      <alignment horizontal="right" wrapText="1"/>
    </xf>
    <xf applyAlignment="1" borderId="4" fillId="19" fontId="1" numFmtId="3" pivotButton="0" quotePrefix="0" xfId="0">
      <alignment horizontal="right" wrapText="1"/>
    </xf>
    <xf applyAlignment="1" borderId="4" fillId="19" fontId="18" numFmtId="3" pivotButton="0" quotePrefix="0" xfId="0">
      <alignment horizontal="right" wrapText="1"/>
    </xf>
    <xf applyAlignment="1" borderId="4" fillId="0" fontId="1" numFmtId="0" pivotButton="0" quotePrefix="0" xfId="0">
      <alignment horizontal="center" wrapText="1"/>
    </xf>
    <xf applyAlignment="1" borderId="25" fillId="8" fontId="1" numFmtId="0" pivotButton="0" quotePrefix="0" xfId="0">
      <alignment horizontal="center"/>
    </xf>
    <xf applyAlignment="1" borderId="4" fillId="3" fontId="15" numFmtId="0" pivotButton="0" quotePrefix="0" xfId="0">
      <alignment horizontal="justify" vertical="top" wrapText="1"/>
    </xf>
    <xf applyAlignment="1" borderId="4" fillId="0" fontId="19" numFmtId="3" pivotButton="0" quotePrefix="0" xfId="0">
      <alignment horizontal="justify" vertical="top" wrapText="1"/>
    </xf>
    <xf applyAlignment="1" borderId="4" fillId="0" fontId="19" numFmtId="0" pivotButton="0" quotePrefix="0" xfId="0">
      <alignment horizontal="justify" vertical="top" wrapText="1"/>
    </xf>
    <xf applyAlignment="1" borderId="4" fillId="3" fontId="9" numFmtId="0" pivotButton="0" quotePrefix="0" xfId="0">
      <alignment horizontal="justify" vertical="top" wrapText="1"/>
    </xf>
    <xf applyAlignment="1" borderId="16" fillId="3" fontId="1" numFmtId="0" pivotButton="0" quotePrefix="0" xfId="0">
      <alignment horizontal="center"/>
    </xf>
    <xf applyAlignment="1" borderId="4" fillId="3" fontId="1" numFmtId="0" pivotButton="0" quotePrefix="0" xfId="0">
      <alignment horizontal="center"/>
    </xf>
    <xf applyAlignment="1" borderId="0" fillId="0" fontId="1" numFmtId="176" pivotButton="0" quotePrefix="0" xfId="0">
      <alignment horizontal="center" vertical="center"/>
    </xf>
    <xf applyAlignment="1" borderId="16" fillId="0" fontId="10" numFmtId="0" pivotButton="0" quotePrefix="0" xfId="0">
      <alignment horizontal="justify" vertical="top" wrapText="1"/>
    </xf>
    <xf applyAlignment="1" borderId="0" fillId="0" fontId="1" numFmtId="177" pivotButton="0" quotePrefix="0" xfId="0">
      <alignment horizontal="center" vertical="center"/>
    </xf>
    <xf borderId="0" fillId="0" fontId="0" numFmtId="0" pivotButton="0" quotePrefix="0" xfId="0"/>
    <xf borderId="0" fillId="12" fontId="0" numFmtId="10" pivotButton="0" quotePrefix="0" xfId="0"/>
    <xf borderId="0" fillId="12" fontId="0" numFmtId="0" pivotButton="0" quotePrefix="0" xfId="0"/>
    <xf applyAlignment="1" borderId="4" fillId="26" fontId="1" numFmtId="0" pivotButton="0" quotePrefix="0" xfId="0">
      <alignment horizontal="center" vertical="center"/>
    </xf>
    <xf applyAlignment="1" borderId="4" fillId="21" fontId="1" numFmtId="0" pivotButton="0" quotePrefix="0" xfId="0">
      <alignment horizontal="center"/>
    </xf>
    <xf borderId="4" fillId="23" fontId="0" numFmtId="0" pivotButton="0" quotePrefix="0" xfId="0"/>
    <xf applyAlignment="1" borderId="4" fillId="12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44" fillId="2" fontId="20" numFmtId="0" pivotButton="0" quotePrefix="0" xfId="0">
      <alignment horizontal="center" vertical="center"/>
    </xf>
    <xf applyAlignment="1" borderId="43" fillId="0" fontId="21" numFmtId="0" pivotButton="0" quotePrefix="0" xfId="0">
      <alignment horizontal="center" vertical="center"/>
    </xf>
    <xf applyAlignment="1" borderId="4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63" fillId="4" fontId="0" numFmtId="0" pivotButton="0" quotePrefix="0" xfId="0">
      <alignment horizontal="center"/>
    </xf>
    <xf applyAlignment="1" borderId="63" fillId="4" fontId="0" numFmtId="1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64" fillId="4" fontId="0" numFmtId="3" pivotButton="0" quotePrefix="0" xfId="0">
      <alignment horizontal="center"/>
    </xf>
    <xf applyAlignment="1" borderId="63" fillId="4" fontId="0" numFmtId="3" pivotButton="0" quotePrefix="0" xfId="0">
      <alignment horizontal="center"/>
    </xf>
    <xf applyAlignment="1" borderId="64" fillId="4" fontId="0" numFmtId="0" pivotButton="0" quotePrefix="0" xfId="0">
      <alignment horizontal="center"/>
    </xf>
    <xf applyAlignment="1" borderId="63" fillId="4" fontId="0" numFmtId="0" pivotButton="0" quotePrefix="0" xfId="0">
      <alignment horizontal="center"/>
    </xf>
    <xf applyAlignment="1" borderId="51" fillId="4" fontId="0" numFmtId="0" pivotButton="0" quotePrefix="0" xfId="0">
      <alignment horizontal="center"/>
    </xf>
    <xf applyAlignment="1" borderId="65" fillId="4" fontId="0" numFmtId="0" pivotButton="0" quotePrefix="0" xfId="0">
      <alignment horizontal="center"/>
    </xf>
    <xf applyAlignment="1" borderId="4" fillId="4" fontId="0" numFmtId="173" pivotButton="0" quotePrefix="0" xfId="0">
      <alignment horizontal="center"/>
    </xf>
    <xf applyAlignment="1" borderId="51" fillId="4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51" fillId="4" fontId="0" numFmtId="4" pivotButton="0" quotePrefix="0" xfId="0">
      <alignment horizontal="center"/>
    </xf>
    <xf applyAlignment="1" borderId="4" fillId="4" fontId="0" numFmtId="4" pivotButton="0" quotePrefix="0" xfId="0">
      <alignment horizontal="center"/>
    </xf>
    <xf applyAlignment="1" borderId="51" fillId="4" fontId="0" numFmtId="173" pivotButton="0" quotePrefix="0" xfId="0">
      <alignment horizontal="center"/>
    </xf>
    <xf applyAlignment="1" borderId="51" fillId="4" fontId="0" numFmtId="10" pivotButton="0" quotePrefix="0" xfId="0">
      <alignment horizontal="center"/>
    </xf>
    <xf applyAlignment="1" borderId="48" fillId="0" fontId="21" numFmtId="0" pivotButton="0" quotePrefix="0" xfId="0">
      <alignment horizontal="center" vertical="center"/>
    </xf>
    <xf applyAlignment="1" borderId="49" fillId="0" fontId="0" numFmtId="0" pivotButton="0" quotePrefix="0" xfId="0">
      <alignment horizontal="center"/>
    </xf>
    <xf applyAlignment="1" borderId="25" fillId="4" fontId="0" numFmtId="173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6" fillId="0" fontId="0" numFmtId="0" pivotButton="0" quotePrefix="0" xfId="0">
      <alignment horizontal="center"/>
    </xf>
    <xf applyAlignment="1" borderId="47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50" fillId="0" fontId="0" numFmtId="0" pivotButton="0" quotePrefix="0" xfId="0">
      <alignment horizontal="center"/>
    </xf>
    <xf applyAlignment="1" borderId="44" fillId="2" fontId="22" numFmtId="0" pivotButton="0" quotePrefix="0" xfId="0">
      <alignment horizontal="center" vertical="center"/>
    </xf>
    <xf applyAlignment="1" borderId="43" fillId="0" fontId="23" numFmtId="0" pivotButton="0" quotePrefix="0" xfId="0">
      <alignment horizontal="center" vertical="center"/>
    </xf>
    <xf applyAlignment="1" borderId="45" fillId="0" fontId="0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67" fillId="4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27" fontId="1" numFmtId="0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3" fontId="1" numFmtId="0" pivotButton="0" quotePrefix="0" xfId="0">
      <alignment horizontal="center" vertical="center"/>
    </xf>
    <xf applyAlignment="1" borderId="9" fillId="4" fontId="1" numFmtId="0" pivotButton="0" quotePrefix="0" xfId="0">
      <alignment horizontal="center" vertical="center"/>
    </xf>
    <xf applyAlignment="1" borderId="70" fillId="3" fontId="1" numFmtId="0" pivotButton="0" quotePrefix="0" xfId="0">
      <alignment horizontal="center" vertical="center"/>
    </xf>
    <xf applyAlignment="1" borderId="37" fillId="0" fontId="1" numFmtId="0" pivotButton="0" quotePrefix="0" xfId="0">
      <alignment horizontal="center" vertical="center"/>
    </xf>
    <xf applyAlignment="1" borderId="16" fillId="13" fontId="0" numFmtId="0" pivotButton="0" quotePrefix="0" xfId="0">
      <alignment horizontal="center" vertical="center"/>
    </xf>
    <xf applyAlignment="1" borderId="37" fillId="27" fontId="1" numFmtId="0" pivotButton="0" quotePrefix="0" xfId="0">
      <alignment horizontal="center" vertical="center"/>
    </xf>
    <xf applyAlignment="1" borderId="16" fillId="0" fontId="1" numFmtId="0" pivotButton="0" quotePrefix="0" xfId="0">
      <alignment horizontal="center" vertical="center"/>
    </xf>
    <xf applyAlignment="1" borderId="16" fillId="8" fontId="1" numFmtId="167" pivotButton="0" quotePrefix="0" xfId="0">
      <alignment horizontal="center" vertical="center"/>
    </xf>
    <xf applyAlignment="1" borderId="71" fillId="3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72" fillId="3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73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74" fillId="3" fontId="1" numFmtId="0" pivotButton="0" quotePrefix="0" xfId="0">
      <alignment horizontal="center" vertical="center"/>
    </xf>
    <xf applyAlignment="1" borderId="36" fillId="8" fontId="1" numFmtId="0" pivotButton="0" quotePrefix="0" xfId="0">
      <alignment horizontal="center" vertical="center"/>
    </xf>
    <xf applyAlignment="1" borderId="36" fillId="13" fontId="0" numFmtId="0" pivotButton="0" quotePrefix="0" xfId="0">
      <alignment horizontal="center" vertical="center"/>
    </xf>
    <xf applyAlignment="1" borderId="75" fillId="4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74" fillId="0" fontId="0" numFmtId="0" pivotButton="0" quotePrefix="0" xfId="0">
      <alignment horizontal="center" vertical="center"/>
    </xf>
    <xf applyAlignment="1" borderId="76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borderId="12" fillId="28" fontId="1" numFmtId="0" pivotButton="0" quotePrefix="0" xfId="0">
      <alignment horizontal="center" vertical="center"/>
    </xf>
    <xf applyAlignment="1" borderId="21" fillId="3" fontId="1" numFmtId="0" pivotButton="0" quotePrefix="0" xfId="0">
      <alignment horizontal="center" vertical="center"/>
    </xf>
    <xf applyAlignment="1" borderId="46" fillId="0" fontId="0" numFmtId="0" pivotButton="0" quotePrefix="0" xfId="0">
      <alignment horizontal="center" vertical="center"/>
    </xf>
    <xf applyAlignment="1" borderId="47" fillId="0" fontId="0" numFmtId="0" pivotButton="0" quotePrefix="0" xfId="0">
      <alignment horizontal="center" vertical="center"/>
    </xf>
    <xf applyAlignment="1" borderId="48" fillId="0" fontId="23" numFmtId="0" pivotButton="0" quotePrefix="0" xfId="0">
      <alignment horizontal="center" vertical="center"/>
    </xf>
    <xf applyAlignment="1" borderId="49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26" fillId="4" fontId="1" numFmtId="0" pivotButton="0" quotePrefix="0" xfId="0">
      <alignment horizontal="center" vertical="center"/>
    </xf>
    <xf applyAlignment="1" borderId="37" fillId="4" fontId="1" numFmtId="0" pivotButton="0" quotePrefix="0" xfId="0">
      <alignment horizontal="center" vertical="center"/>
    </xf>
    <xf applyAlignment="1" borderId="77" fillId="13" fontId="0" numFmtId="0" pivotButton="0" quotePrefix="0" xfId="0">
      <alignment horizontal="center" vertical="center"/>
    </xf>
    <xf applyAlignment="1" borderId="77" fillId="0" fontId="1" numFmtId="0" pivotButton="0" quotePrefix="0" xfId="0">
      <alignment horizontal="center" vertical="center"/>
    </xf>
    <xf applyAlignment="1" borderId="77" fillId="8" fontId="1" numFmtId="167" pivotButton="0" quotePrefix="0" xfId="0">
      <alignment horizontal="center" vertical="center"/>
    </xf>
    <xf applyAlignment="1" borderId="78" fillId="0" fontId="1" numFmtId="0" pivotButton="0" quotePrefix="0" xfId="0">
      <alignment horizontal="center" vertical="center"/>
    </xf>
    <xf applyAlignment="1" borderId="37" fillId="8" fontId="1" numFmtId="0" pivotButton="0" quotePrefix="0" xfId="0">
      <alignment horizontal="center" vertical="center"/>
    </xf>
    <xf applyAlignment="1" borderId="37" fillId="13" fontId="0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27" fillId="28" fontId="1" numFmtId="0" pivotButton="0" quotePrefix="0" xfId="0">
      <alignment horizontal="center" vertical="center"/>
    </xf>
    <xf applyAlignment="1" borderId="50" fillId="0" fontId="0" numFmtId="0" pivotButton="0" quotePrefix="0" xfId="0">
      <alignment horizontal="center" vertical="center"/>
    </xf>
    <xf applyAlignment="1" borderId="0" fillId="8" fontId="0" numFmtId="0" pivotButton="0" quotePrefix="0" xfId="0">
      <alignment horizontal="center" vertical="center"/>
    </xf>
    <xf applyAlignment="1" borderId="88" fillId="2" fontId="22" numFmtId="0" pivotButton="0" quotePrefix="0" xfId="0">
      <alignment horizontal="center" vertical="center"/>
    </xf>
    <xf borderId="43" fillId="0" fontId="0" numFmtId="0" pivotButton="0" quotePrefix="0" xfId="0"/>
    <xf borderId="48" fillId="0" fontId="0" numFmtId="0" pivotButton="0" quotePrefix="0" xfId="0"/>
    <xf borderId="89" fillId="0" fontId="0" numFmtId="0" pivotButton="0" quotePrefix="0" xfId="0"/>
    <xf borderId="70" fillId="0" fontId="0" numFmtId="0" pivotButton="0" quotePrefix="0" xfId="0"/>
    <xf applyAlignment="1" borderId="16" fillId="8" fontId="1" numFmtId="167" pivotButton="0" quotePrefix="0" xfId="0">
      <alignment horizontal="center" vertical="center"/>
    </xf>
    <xf applyAlignment="1" borderId="77" fillId="8" fontId="1" numFmtId="167" pivotButton="0" quotePrefix="0" xfId="0">
      <alignment horizontal="center" vertical="center"/>
    </xf>
    <xf borderId="71" fillId="0" fontId="0" numFmtId="0" pivotButton="0" quotePrefix="0" xfId="0"/>
    <xf borderId="74" fillId="0" fontId="0" numFmtId="0" pivotButton="0" quotePrefix="0" xfId="0"/>
    <xf borderId="76" fillId="0" fontId="0" numFmtId="0" pivotButton="0" quotePrefix="0" xfId="0"/>
    <xf applyAlignment="1" borderId="88" fillId="2" fontId="20" numFmtId="0" pivotButton="0" quotePrefix="0" xfId="0">
      <alignment horizontal="center" vertical="center"/>
    </xf>
    <xf applyAlignment="1" borderId="4" fillId="4" fontId="0" numFmtId="173" pivotButton="0" quotePrefix="0" xfId="0">
      <alignment horizontal="center"/>
    </xf>
    <xf applyAlignment="1" borderId="51" fillId="4" fontId="0" numFmtId="173" pivotButton="0" quotePrefix="0" xfId="0">
      <alignment horizontal="center"/>
    </xf>
    <xf applyAlignment="1" borderId="25" fillId="4" fontId="0" numFmtId="173" pivotButton="0" quotePrefix="0" xfId="0">
      <alignment horizontal="center"/>
    </xf>
    <xf applyAlignment="1" borderId="4" fillId="6" fontId="1" numFmtId="166" pivotButton="0" quotePrefix="0" xfId="0">
      <alignment horizontal="center" vertical="center"/>
    </xf>
    <xf applyAlignment="1" borderId="0" fillId="0" fontId="1" numFmtId="165" pivotButton="0" quotePrefix="0" xfId="0">
      <alignment horizontal="center" vertical="center"/>
    </xf>
    <xf applyAlignment="1" borderId="4" fillId="5" fontId="1" numFmtId="166" pivotButton="0" quotePrefix="0" xfId="0">
      <alignment horizontal="center" vertical="center"/>
    </xf>
    <xf applyAlignment="1" borderId="4" fillId="10" fontId="1" numFmtId="165" pivotButton="0" quotePrefix="0" xfId="0">
      <alignment horizontal="center" vertical="center"/>
    </xf>
    <xf applyAlignment="1" borderId="4" fillId="11" fontId="0" numFmtId="167" pivotButton="0" quotePrefix="0" xfId="0">
      <alignment horizontal="center" vertical="center"/>
    </xf>
    <xf applyAlignment="1" borderId="4" fillId="5" fontId="0" numFmtId="167" pivotButton="0" quotePrefix="0" xfId="0">
      <alignment horizontal="center" vertical="center"/>
    </xf>
    <xf applyAlignment="1" borderId="4" fillId="13" fontId="0" numFmtId="167" pivotButton="0" quotePrefix="0" xfId="0">
      <alignment horizontal="center" vertical="center"/>
    </xf>
    <xf applyAlignment="1" borderId="4" fillId="20" fontId="0" numFmtId="169" pivotButton="0" quotePrefix="0" xfId="0">
      <alignment horizontal="center" vertical="center"/>
    </xf>
    <xf borderId="4" fillId="19" fontId="1" numFmtId="164" pivotButton="0" quotePrefix="0" xfId="0"/>
    <xf applyAlignment="1" borderId="4" fillId="20" fontId="0" numFmtId="167" pivotButton="0" quotePrefix="0" xfId="0">
      <alignment horizontal="center" vertical="center"/>
    </xf>
    <xf applyAlignment="1" borderId="4" fillId="8" fontId="1" numFmtId="165" pivotButton="0" quotePrefix="0" xfId="0">
      <alignment horizontal="center" vertical="center"/>
    </xf>
    <xf applyAlignment="1" borderId="4" fillId="6" fontId="1" numFmtId="167" pivotButton="0" quotePrefix="0" xfId="0">
      <alignment horizontal="center" vertical="center"/>
    </xf>
    <xf applyAlignment="1" borderId="30" fillId="5" fontId="0" numFmtId="167" pivotButton="0" quotePrefix="0" xfId="0">
      <alignment horizontal="center" vertical="center"/>
    </xf>
    <xf applyAlignment="1" borderId="25" fillId="0" fontId="0" numFmtId="164" pivotButton="0" quotePrefix="0" xfId="0">
      <alignment horizontal="right" vertical="center"/>
    </xf>
    <xf applyAlignment="1" borderId="33" fillId="2" fontId="7" numFmtId="165" pivotButton="0" quotePrefix="0" xfId="0">
      <alignment horizontal="center" vertical="center"/>
    </xf>
    <xf applyAlignment="1" borderId="22" fillId="13" fontId="0" numFmtId="164" pivotButton="0" quotePrefix="0" xfId="0">
      <alignment horizontal="right" vertical="center"/>
    </xf>
    <xf applyAlignment="1" borderId="33" fillId="14" fontId="1" numFmtId="164" pivotButton="0" quotePrefix="0" xfId="0">
      <alignment horizontal="right" vertical="center"/>
    </xf>
    <xf applyAlignment="1" borderId="22" fillId="4" fontId="1" numFmtId="164" pivotButton="0" quotePrefix="0" xfId="0">
      <alignment horizontal="right" vertical="center"/>
    </xf>
    <xf applyAlignment="1" borderId="4" fillId="13" fontId="0" numFmtId="164" pivotButton="0" quotePrefix="0" xfId="0">
      <alignment horizontal="right" vertical="center"/>
    </xf>
    <xf applyAlignment="1" borderId="4" fillId="0" fontId="0" numFmtId="164" pivotButton="0" quotePrefix="0" xfId="0">
      <alignment horizontal="center" vertical="center"/>
    </xf>
    <xf applyAlignment="1" borderId="4" fillId="15" fontId="1" numFmtId="168" pivotButton="0" quotePrefix="0" xfId="0">
      <alignment horizontal="center" vertical="center"/>
    </xf>
    <xf applyAlignment="1" borderId="25" fillId="15" fontId="1" numFmtId="168" pivotButton="0" quotePrefix="0" xfId="0">
      <alignment horizontal="center" vertical="center"/>
    </xf>
    <xf borderId="19" fillId="0" fontId="0" numFmtId="0" pivotButton="0" quotePrefix="0" xfId="0"/>
    <xf applyAlignment="1" borderId="30" fillId="15" fontId="1" numFmtId="168" pivotButton="0" quotePrefix="0" xfId="0">
      <alignment horizontal="center" vertical="center"/>
    </xf>
    <xf applyAlignment="1" borderId="22" fillId="0" fontId="0" numFmtId="164" pivotButton="0" quotePrefix="0" xfId="0">
      <alignment horizontal="right" vertical="center"/>
    </xf>
    <xf applyAlignment="1" borderId="4" fillId="0" fontId="0" numFmtId="164" pivotButton="0" quotePrefix="0" xfId="0">
      <alignment horizontal="right" vertical="center"/>
    </xf>
    <xf applyAlignment="1" borderId="33" fillId="14" fontId="1" numFmtId="164" pivotButton="0" quotePrefix="0" xfId="0">
      <alignment horizontal="center" vertical="center"/>
    </xf>
    <xf applyAlignment="1" borderId="4" fillId="14" fontId="1" numFmtId="167" pivotButton="0" quotePrefix="0" xfId="0">
      <alignment horizontal="center" vertical="center"/>
    </xf>
    <xf applyAlignment="1" borderId="33" fillId="14" fontId="1" numFmtId="167" pivotButton="0" quotePrefix="0" xfId="0">
      <alignment horizontal="right" vertical="center"/>
    </xf>
    <xf applyAlignment="1" borderId="33" fillId="14" fontId="1" numFmtId="166" pivotButton="0" quotePrefix="0" xfId="0">
      <alignment horizontal="right" vertical="center"/>
    </xf>
    <xf applyAlignment="1" borderId="4" fillId="14" fontId="1" numFmtId="164" pivotButton="0" quotePrefix="0" xfId="0">
      <alignment horizontal="right" vertical="center"/>
    </xf>
    <xf applyAlignment="1" borderId="0" fillId="0" fontId="1" numFmtId="164" pivotButton="0" quotePrefix="0" xfId="0">
      <alignment horizontal="center" vertical="center"/>
    </xf>
    <xf applyAlignment="1" borderId="22" fillId="0" fontId="1" numFmtId="167" pivotButton="0" quotePrefix="0" xfId="0">
      <alignment horizontal="right" vertical="center"/>
    </xf>
    <xf applyAlignment="1" borderId="4" fillId="4" fontId="1" numFmtId="164" pivotButton="0" quotePrefix="0" xfId="0">
      <alignment horizontal="right" vertical="center"/>
    </xf>
    <xf applyAlignment="1" borderId="4" fillId="0" fontId="1" numFmtId="166" pivotButton="0" quotePrefix="0" xfId="0">
      <alignment horizontal="center" vertical="center"/>
    </xf>
    <xf applyAlignment="1" borderId="16" fillId="3" fontId="0" numFmtId="167" pivotButton="0" quotePrefix="0" xfId="0">
      <alignment horizontal="center" vertical="center"/>
    </xf>
    <xf applyAlignment="1" borderId="4" fillId="13" fontId="1" numFmtId="164" pivotButton="0" quotePrefix="0" xfId="0">
      <alignment horizontal="right" vertical="center"/>
    </xf>
    <xf applyAlignment="1" borderId="4" fillId="16" fontId="1" numFmtId="164" pivotButton="0" quotePrefix="0" xfId="0">
      <alignment horizontal="center" vertical="center"/>
    </xf>
    <xf applyAlignment="1" borderId="4" fillId="0" fontId="0" numFmtId="167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/>
    </xf>
    <xf applyAlignment="1" borderId="28" fillId="3" fontId="0" numFmtId="167" pivotButton="0" quotePrefix="0" xfId="0">
      <alignment horizontal="center" vertical="center"/>
    </xf>
    <xf applyAlignment="1" borderId="4" fillId="5" fontId="0" numFmtId="164" pivotButton="0" quotePrefix="0" xfId="0">
      <alignment horizontal="center" vertical="center"/>
    </xf>
    <xf applyAlignment="1" borderId="4" fillId="0" fontId="0" numFmtId="170" pivotButton="0" quotePrefix="0" xfId="0">
      <alignment horizontal="right" vertical="center"/>
    </xf>
    <xf applyAlignment="1" borderId="4" fillId="3" fontId="0" numFmtId="167" pivotButton="0" quotePrefix="0" xfId="0">
      <alignment horizontal="center" vertical="center"/>
    </xf>
    <xf applyAlignment="1" borderId="4" fillId="6" fontId="1" numFmtId="170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1" numFmtId="167" pivotButton="0" quotePrefix="0" xfId="0">
      <alignment horizontal="center" vertical="center"/>
    </xf>
    <xf applyAlignment="1" borderId="23" fillId="0" fontId="0" numFmtId="167" pivotButton="0" quotePrefix="0" xfId="0">
      <alignment horizontal="center" vertical="center"/>
    </xf>
    <xf applyAlignment="1" borderId="4" fillId="5" fontId="0" numFmtId="169" pivotButton="0" quotePrefix="0" xfId="0">
      <alignment horizontal="center" vertical="center"/>
    </xf>
    <xf applyAlignment="1" borderId="4" fillId="0" fontId="0" numFmtId="169" pivotButton="0" quotePrefix="0" xfId="0">
      <alignment horizontal="center" vertical="center"/>
    </xf>
    <xf borderId="4" fillId="22" fontId="1" numFmtId="164" pivotButton="0" quotePrefix="0" xfId="0"/>
    <xf applyAlignment="1" borderId="21" fillId="0" fontId="0" numFmtId="167" pivotButton="0" quotePrefix="0" xfId="0">
      <alignment horizontal="center" vertical="center"/>
    </xf>
    <xf applyAlignment="1" borderId="4" fillId="18" fontId="1" numFmtId="165" pivotButton="0" quotePrefix="0" xfId="0">
      <alignment horizontal="center" vertical="center"/>
    </xf>
    <xf applyAlignment="1" borderId="30" fillId="10" fontId="1" numFmtId="165" pivotButton="0" quotePrefix="0" xfId="0">
      <alignment horizontal="center" vertical="center"/>
    </xf>
    <xf applyAlignment="1" borderId="30" fillId="0" fontId="1" numFmtId="164" pivotButton="0" quotePrefix="0" xfId="0">
      <alignment horizontal="center" vertical="center"/>
    </xf>
    <xf borderId="23" fillId="0" fontId="0" numFmtId="0" pivotButton="0" quotePrefix="0" xfId="0"/>
    <xf borderId="16" fillId="0" fontId="0" numFmtId="0" pivotButton="0" quotePrefix="0" xfId="0"/>
    <xf applyAlignment="1" borderId="4" fillId="0" fontId="0" numFmtId="172" pivotButton="0" quotePrefix="0" xfId="0">
      <alignment horizontal="center" vertical="center"/>
    </xf>
    <xf applyAlignment="1" borderId="16" fillId="0" fontId="0" numFmtId="167" pivotButton="0" quotePrefix="0" xfId="0">
      <alignment horizontal="center" vertical="center"/>
    </xf>
    <xf applyAlignment="1" borderId="4" fillId="4" fontId="1" numFmtId="164" pivotButton="0" quotePrefix="0" xfId="0">
      <alignment horizontal="center" vertical="center"/>
    </xf>
    <xf applyAlignment="1" borderId="4" fillId="13" fontId="1" numFmtId="164" pivotButton="0" quotePrefix="0" xfId="0">
      <alignment horizontal="center" vertical="center"/>
    </xf>
    <xf applyAlignment="1" borderId="15" fillId="0" fontId="0" numFmtId="167" pivotButton="0" quotePrefix="0" xfId="0">
      <alignment horizontal="center" vertical="center"/>
    </xf>
    <xf applyAlignment="1" borderId="0" fillId="0" fontId="0" numFmtId="172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  <xf applyAlignment="1" borderId="4" fillId="0" fontId="1" numFmtId="169" pivotButton="0" quotePrefix="0" xfId="0">
      <alignment horizontal="center" vertical="center"/>
    </xf>
    <xf applyAlignment="1" borderId="13" fillId="0" fontId="1" numFmtId="167" pivotButton="0" quotePrefix="0" xfId="0">
      <alignment horizontal="center" vertical="center"/>
    </xf>
    <xf applyAlignment="1" borderId="4" fillId="3" fontId="0" numFmtId="164" pivotButton="0" quotePrefix="0" xfId="0">
      <alignment horizontal="center" vertical="center"/>
    </xf>
    <xf applyAlignment="1" borderId="0" fillId="0" fontId="1" numFmtId="169" pivotButton="0" quotePrefix="0" xfId="0">
      <alignment horizontal="center" vertical="center"/>
    </xf>
    <xf applyAlignment="1" borderId="22" fillId="3" fontId="0" numFmtId="164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0" fillId="0" fontId="1" numFmtId="171" pivotButton="0" quotePrefix="0" xfId="0">
      <alignment horizontal="center" vertical="center"/>
    </xf>
    <xf applyAlignment="1" borderId="4" fillId="14" fontId="0" numFmtId="173" pivotButton="0" quotePrefix="0" xfId="0">
      <alignment horizontal="center" vertical="center"/>
    </xf>
    <xf applyAlignment="1" borderId="4" fillId="0" fontId="1" numFmtId="167" pivotButton="0" quotePrefix="0" xfId="0">
      <alignment horizontal="center" vertical="center"/>
    </xf>
    <xf applyAlignment="1" borderId="58" fillId="3" fontId="0" numFmtId="164" pivotButton="0" quotePrefix="0" xfId="0">
      <alignment horizontal="center" vertical="center"/>
    </xf>
    <xf applyAlignment="1" borderId="58" fillId="0" fontId="0" numFmtId="164" pivotButton="0" quotePrefix="0" xfId="0">
      <alignment horizontal="center" vertical="center"/>
    </xf>
    <xf applyAlignment="1" borderId="15" fillId="2" fontId="5" numFmtId="164" pivotButton="0" quotePrefix="0" xfId="0">
      <alignment horizontal="center" vertical="center"/>
    </xf>
    <xf applyAlignment="1" borderId="22" fillId="0" fontId="0" numFmtId="164" pivotButton="0" quotePrefix="0" xfId="0">
      <alignment horizontal="center" vertical="center"/>
    </xf>
    <xf applyAlignment="1" borderId="4" fillId="0" fontId="1" numFmtId="171" pivotButton="0" quotePrefix="0" xfId="0">
      <alignment horizontal="center" vertical="center"/>
    </xf>
    <xf applyAlignment="1" borderId="16" fillId="0" fontId="1" numFmtId="167" pivotButton="0" quotePrefix="0" xfId="0">
      <alignment horizontal="center" vertical="center"/>
    </xf>
    <xf applyAlignment="1" borderId="23" fillId="0" fontId="1" numFmtId="167" pivotButton="0" quotePrefix="0" xfId="0">
      <alignment horizontal="center" vertical="center"/>
    </xf>
    <xf applyAlignment="1" borderId="36" fillId="0" fontId="10" numFmtId="175" pivotButton="0" quotePrefix="0" xfId="0">
      <alignment horizontal="justify" vertical="top" wrapText="1"/>
    </xf>
    <xf applyAlignment="1" borderId="4" fillId="0" fontId="10" numFmtId="175" pivotButton="0" quotePrefix="0" xfId="0">
      <alignment horizontal="justify" vertical="top" wrapText="1"/>
    </xf>
    <xf applyAlignment="1" borderId="37" fillId="0" fontId="10" numFmtId="175" pivotButton="0" quotePrefix="0" xfId="0">
      <alignment horizontal="justify" vertical="top" wrapText="1"/>
    </xf>
    <xf applyAlignment="1" borderId="0" fillId="0" fontId="1" numFmtId="175" pivotButton="0" quotePrefix="0" xfId="0">
      <alignment horizontal="center" vertical="center"/>
    </xf>
    <xf applyAlignment="1" borderId="4" fillId="17" fontId="0" numFmtId="164" pivotButton="0" quotePrefix="0" xfId="0">
      <alignment horizontal="center" vertical="center"/>
    </xf>
    <xf applyAlignment="1" borderId="4" fillId="3" fontId="1" numFmtId="164" pivotButton="0" quotePrefix="0" xfId="0">
      <alignment horizontal="center" vertical="center"/>
    </xf>
    <xf applyAlignment="1" borderId="30" fillId="3" fontId="1" numFmtId="164" pivotButton="0" quotePrefix="0" xfId="0">
      <alignment horizontal="center" vertical="center"/>
    </xf>
    <xf applyAlignment="1" borderId="33" fillId="17" fontId="0" numFmtId="164" pivotButton="0" quotePrefix="0" xfId="0">
      <alignment horizontal="center" vertical="center"/>
    </xf>
    <xf applyAlignment="1" borderId="4" fillId="10" fontId="1" numFmtId="166" pivotButton="0" quotePrefix="0" xfId="0">
      <alignment horizontal="center" vertical="center"/>
    </xf>
    <xf applyAlignment="1" borderId="21" fillId="0" fontId="1" numFmtId="167" pivotButton="0" quotePrefix="0" xfId="0">
      <alignment horizontal="center" vertical="center"/>
    </xf>
    <xf applyAlignment="1" borderId="16" fillId="3" fontId="1" numFmtId="167" pivotButton="0" quotePrefix="0" xfId="0">
      <alignment horizontal="center" vertical="center"/>
    </xf>
    <xf applyAlignment="1" borderId="28" fillId="3" fontId="1" numFmtId="167" pivotButton="0" quotePrefix="0" xfId="0">
      <alignment horizontal="center" vertical="center"/>
    </xf>
    <xf applyAlignment="1" borderId="4" fillId="3" fontId="1" numFmtId="167" pivotButton="0" quotePrefix="0" xfId="0">
      <alignment horizontal="center" vertical="center"/>
    </xf>
    <xf applyAlignment="1" borderId="4" fillId="0" fontId="10" numFmtId="176" pivotButton="0" quotePrefix="0" xfId="0">
      <alignment horizontal="justify" vertical="top" wrapText="1"/>
    </xf>
    <xf applyAlignment="1" borderId="16" fillId="0" fontId="1" numFmtId="174" pivotButton="0" quotePrefix="0" xfId="0">
      <alignment horizontal="center" vertical="center"/>
    </xf>
    <xf applyAlignment="1" borderId="4" fillId="25" fontId="17" numFmtId="0" pivotButton="0" quotePrefix="0" xfId="0">
      <alignment horizontal="center" vertical="center" wrapText="1"/>
    </xf>
    <xf borderId="39" fillId="0" fontId="0" numFmtId="0" pivotButton="0" quotePrefix="0" xfId="0"/>
    <xf applyAlignment="1" borderId="0" fillId="0" fontId="1" numFmtId="176" pivotButton="0" quotePrefix="0" xfId="0">
      <alignment horizontal="center" vertical="center"/>
    </xf>
    <xf applyAlignment="1" borderId="0" fillId="0" fontId="1" numFmtId="177" pivotButton="0" quotePrefix="0" xfId="0">
      <alignment horizontal="center" vertical="center"/>
    </xf>
    <xf borderId="22" fillId="0" fontId="0" numFmtId="0" pivotButton="0" quotePrefix="0" xfId="0"/>
  </cellXfs>
  <cellStyles count="57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name="常规 6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builtinId="53" name="解释性文本" xfId="19"/>
    <cellStyle name="常规 8" xfId="20"/>
    <cellStyle builtinId="16" name="标题 1" xfId="21"/>
    <cellStyle name="常规 9" xfId="22"/>
    <cellStyle builtinId="17" name="标题 2" xfId="23"/>
    <cellStyle builtinId="32" name="60% - 强调文字颜色 1" xfId="24"/>
    <cellStyle builtinId="18" name="标题 3" xfId="25"/>
    <cellStyle builtinId="44" name="60% - 强调文字颜色 4" xfId="26"/>
    <cellStyle builtinId="21" name="输出" xfId="27"/>
    <cellStyle builtinId="22" name="计算" xfId="28"/>
    <cellStyle builtinId="23" name="检查单元格" xfId="29"/>
    <cellStyle builtinId="50" name="20% - 强调文字颜色 6" xfId="30"/>
    <cellStyle builtinId="33" name="强调文字颜色 2" xfId="31"/>
    <cellStyle builtinId="24" name="链接单元格" xfId="32"/>
    <cellStyle builtinId="25" name="汇总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 2" xfId="52"/>
    <cellStyle name="常规 3" xfId="53"/>
    <cellStyle name="常规 4" xfId="54"/>
    <cellStyle name="常规 5" xfId="55"/>
    <cellStyle name="常规 7" xfId="56"/>
  </cellStyles>
  <dxfs count="8">
    <dxf>
      <font>
        <b val="1"/>
        <color indexed="9"/>
      </font>
      <fill>
        <patternFill patternType="solid">
          <bgColor indexed="8"/>
        </patternFill>
      </fill>
    </dxf>
    <dxf>
      <font>
        <b val="1"/>
        <color indexed="10"/>
      </font>
      <fill>
        <patternFill patternType="solid">
          <bgColor indexed="8"/>
        </patternFill>
      </fill>
    </dxf>
    <dxf>
      <font>
        <b val="1"/>
      </font>
      <fill>
        <patternFill patternType="solid">
          <bgColor indexed="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b val="1"/>
      </font>
      <fill>
        <patternFill patternType="solid">
          <bgColor indexed="10"/>
        </patternFill>
      </fill>
    </dxf>
    <dxf>
      <font>
        <b val="1"/>
        <color indexed="9"/>
      </font>
    </dxf>
    <dxf>
      <font>
        <strike val="0"/>
      </font>
      <fill>
        <patternFill patternType="solid">
          <bgColor indexed="10"/>
        </patternFill>
      </fill>
    </dxf>
    <dxf>
      <font>
        <color indexed="10"/>
      </font>
      <fill>
        <patternFill/>
      </fill>
    </dxf>
    <dxf>
      <font>
        <b val="1"/>
      </font>
      <fill>
        <patternFill patternType="solid">
          <bgColor indexed="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534910199093479"/>
          <y val="0.0440125984251969"/>
          <w val="0.924547737866524"/>
          <h val="0.83591331269349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algn="ctr" cap="rnd" cmpd="sng" w="38100">
              <a:solidFill>
                <a:srgbClr val="000000"/>
              </a:solidFill>
              <a:prstDash val="solid"/>
              <a:round/>
            </a:ln>
          </spPr>
          <marker>
            <symbol val="diamond"/>
            <size val="9"/>
            <spPr>
              <a:solidFill xmlns:a="http://schemas.openxmlformats.org/drawingml/2006/main">
                <a:srgbClr val="FF6600"/>
              </a:solidFill>
              <a:ln xmlns:a="http://schemas.openxmlformats.org/drawingml/2006/main" algn="ctr" cap="flat" cmpd="sng" w="9525">
                <a:solidFill>
                  <a:srgbClr val="000000"/>
                </a:solidFill>
                <a:prstDash val="solid"/>
                <a:round/>
              </a:ln>
            </spPr>
          </marker>
          <dLbls>
            <delete val="1"/>
          </dLbls>
          <cat>
            <strRef>
              <f>投资预算!$F$4:$N$4</f>
              <strCache>
                <ptCount val="9"/>
                <pt idx="0">
                  <v>第9期</v>
                </pt>
                <pt idx="1">
                  <v>第10期</v>
                </pt>
                <pt idx="2">
                  <v>第11期</v>
                </pt>
                <pt idx="3">
                  <v>第12期</v>
                </pt>
                <pt idx="4">
                  <v>第13期</v>
                </pt>
                <pt idx="5">
                  <v>第14期</v>
                </pt>
                <pt idx="6">
                  <v>第15期</v>
                </pt>
                <pt idx="7">
                  <v>第16期</v>
                </pt>
                <pt idx="8">
                  <v>第17期</v>
                </pt>
              </strCache>
            </strRef>
          </cat>
          <val>
            <numRef>
              <f>投资预算!$F$14:$N$14</f>
              <numCache>
                <formatCode xml:space="preserve">0.000_ 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4360554"/>
        <axId val="755224808"/>
      </lineChart>
      <catAx>
        <axId val="12436055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majorTickMark val="in"/>
        <minorTickMark val="none"/>
        <tickLblPos val="nextTo"/>
        <spPr>
          <a:ln xmlns:a="http://schemas.openxmlformats.org/drawingml/2006/main" algn="ctr" cap="flat" cmpd="sng" w="3175">
            <a:solidFill>
              <a:srgbClr val="000000"/>
            </a:solidFill>
            <a:prstDash val="solid"/>
            <a:round/>
          </a:ln>
        </spPr>
        <txPr>
          <a:bodyPr xmlns:a="http://schemas.openxmlformats.org/drawingml/2006/main" anchor="ctr" anchorCtr="1" rot="0" spcFirstLastPara="0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755224808"/>
        <crosses val="autoZero"/>
        <auto val="1"/>
        <lblAlgn val="ctr"/>
        <lblOffset val="100"/>
        <tickLblSkip val="1"/>
        <noMultiLvlLbl val="0"/>
      </catAx>
      <valAx>
        <axId val="755224808"/>
        <scaling>
          <orientation val="minMax"/>
          <min val="1"/>
        </scaling>
        <delete val="0"/>
        <axPos val="l"/>
        <majorGridlines>
          <spPr>
            <a:ln xmlns:a="http://schemas.openxmlformats.org/drawingml/2006/main"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numFmt formatCode="0.000_ " sourceLinked="1"/>
        <majorTickMark val="in"/>
        <minorTickMark val="in"/>
        <tickLblPos val="nextTo"/>
        <spPr>
          <a:ln xmlns:a="http://schemas.openxmlformats.org/drawingml/2006/main" algn="ctr" cap="flat" cmpd="sng" w="3175">
            <a:solidFill>
              <a:srgbClr val="000000"/>
            </a:solidFill>
            <a:prstDash val="solid"/>
            <a:round/>
          </a:ln>
        </spPr>
        <txPr>
          <a:bodyPr xmlns:a="http://schemas.openxmlformats.org/drawingml/2006/main" anchor="ctr" anchorCtr="1" rot="0" spcFirstLastPara="0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>None</a:t>
            </a:r>
          </a:p>
        </txPr>
        <crossAx val="12436055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2</col>
      <colOff>861695</colOff>
      <row>17</row>
      <rowOff>76200</rowOff>
    </from>
    <to>
      <col>11</col>
      <colOff>800100</colOff>
      <row>26</row>
      <rowOff>46355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indexed="56"/>
    <outlinePr summaryBelow="1" summaryRight="1"/>
    <pageSetUpPr/>
  </sheetPr>
  <dimension ref="B2:W50"/>
  <sheetViews>
    <sheetView tabSelected="1" workbookViewId="0" zoomScale="75" zoomScaleNormal="75">
      <selection activeCell="F11" sqref="F6:H6 F9:N9 F11:K11"/>
    </sheetView>
  </sheetViews>
  <sheetFormatPr baseColWidth="8" defaultColWidth="9" defaultRowHeight="15.6"/>
  <cols>
    <col customWidth="1" max="1" min="1" style="396" width="1.4"/>
    <col customWidth="1" max="2" min="2" style="396" width="1.1"/>
    <col customWidth="1" max="3" min="3" style="396" width="14.9"/>
    <col customWidth="1" max="4" min="4" style="396" width="16.6"/>
    <col customWidth="1" max="5" min="5" style="396" width="9.6"/>
    <col customWidth="1" max="14" min="6" style="396" width="12.6"/>
    <col customWidth="1" max="16" min="15" style="396" width="1.4"/>
    <col customWidth="1" max="17" min="17" style="396" width="14.1"/>
    <col customWidth="1" max="24" min="18" style="396" width="9"/>
    <col customWidth="1" max="25" min="25" style="396" width="12.4"/>
    <col customWidth="1" max="26" min="26" style="396" width="13"/>
    <col customWidth="1" max="27" min="27" style="396" width="12.6"/>
    <col customWidth="1" max="28" min="28" style="396" width="12"/>
    <col customWidth="1" max="29" min="29" style="396" width="12.2"/>
    <col customWidth="1" max="30" min="30" style="396" width="13.7"/>
    <col customWidth="1" max="31" min="31" style="396" width="9"/>
    <col customWidth="1" max="32" min="32" style="396" width="11"/>
    <col customWidth="1" max="16384" min="33" style="396" width="9"/>
  </cols>
  <sheetData>
    <row customHeight="1" ht="6.75" r="1" s="353"/>
    <row customHeight="1" ht="23.25" r="2" s="353">
      <c r="B2" s="445" t="inlineStr">
        <is>
          <t>投       资       预       算</t>
        </is>
      </c>
      <c r="C2" s="446" t="n"/>
      <c r="D2" s="446" t="n"/>
      <c r="E2" s="446" t="n"/>
      <c r="F2" s="446" t="n"/>
      <c r="G2" s="446" t="n"/>
      <c r="H2" s="446" t="n"/>
      <c r="I2" s="446" t="n"/>
      <c r="J2" s="446" t="n"/>
      <c r="K2" s="446" t="n"/>
      <c r="L2" s="446" t="n"/>
      <c r="M2" s="446" t="n"/>
      <c r="N2" s="446" t="n"/>
      <c r="O2" s="447" t="n"/>
    </row>
    <row customHeight="1" ht="9" r="3" s="353">
      <c r="B3" s="392" t="n"/>
      <c r="C3" s="396" t="n"/>
      <c r="D3" s="396" t="n"/>
      <c r="E3" s="396" t="n"/>
      <c r="F3" s="396" t="n"/>
      <c r="G3" s="396" t="n"/>
      <c r="H3" s="396" t="n"/>
      <c r="I3" s="396" t="n"/>
      <c r="J3" s="396" t="n"/>
      <c r="K3" s="396" t="n"/>
      <c r="L3" s="396" t="n"/>
      <c r="M3" s="396" t="n"/>
      <c r="N3" s="396" t="n"/>
      <c r="O3" s="430" t="n"/>
    </row>
    <row customHeight="1" ht="20.1" r="4" s="353">
      <c r="B4" s="392" t="n"/>
      <c r="C4" s="16" t="inlineStr">
        <is>
          <t>项目</t>
        </is>
      </c>
      <c r="D4" s="393" t="inlineStr">
        <is>
          <t>期数</t>
        </is>
      </c>
      <c r="E4" s="394" t="inlineStr">
        <is>
          <t>第8期</t>
        </is>
      </c>
      <c r="F4" s="395" t="inlineStr">
        <is>
          <t>第9期</t>
        </is>
      </c>
      <c r="G4" s="393" t="inlineStr">
        <is>
          <t>第10期</t>
        </is>
      </c>
      <c r="H4" s="393" t="inlineStr">
        <is>
          <t>第11期</t>
        </is>
      </c>
      <c r="I4" s="393" t="inlineStr">
        <is>
          <t>第12期</t>
        </is>
      </c>
      <c r="J4" s="393" t="inlineStr">
        <is>
          <t>第13期</t>
        </is>
      </c>
      <c r="K4" s="393" t="inlineStr">
        <is>
          <t>第14期</t>
        </is>
      </c>
      <c r="L4" s="393" t="inlineStr">
        <is>
          <t>第15期</t>
        </is>
      </c>
      <c r="M4" s="393" t="inlineStr">
        <is>
          <t>第16期</t>
        </is>
      </c>
      <c r="N4" s="393" t="inlineStr">
        <is>
          <t>第17期</t>
        </is>
      </c>
      <c r="O4" s="430" t="n"/>
    </row>
    <row customHeight="1" ht="9" r="5" s="353">
      <c r="B5" s="392" t="n"/>
      <c r="C5" s="215" t="n"/>
      <c r="D5" s="215" t="n"/>
      <c r="E5" s="396" t="n"/>
      <c r="F5" s="396" t="n"/>
      <c r="G5" s="396" t="n"/>
      <c r="H5" s="396" t="n"/>
      <c r="I5" s="396" t="n"/>
      <c r="J5" s="396" t="n"/>
      <c r="K5" s="396" t="n"/>
      <c r="L5" s="396" t="n"/>
      <c r="M5" s="396" t="n"/>
      <c r="N5" s="396" t="n"/>
      <c r="O5" s="430" t="n"/>
    </row>
    <row customHeight="1" ht="24" r="6" s="353">
      <c r="B6" s="392" t="n"/>
      <c r="C6" s="21" t="inlineStr">
        <is>
          <t>机器</t>
        </is>
      </c>
      <c r="D6" s="431" t="inlineStr">
        <is>
          <t>新增</t>
        </is>
      </c>
      <c r="E6" s="432" t="n"/>
      <c r="F6" s="399" t="n"/>
      <c r="G6" s="399" t="n"/>
      <c r="H6" s="399" t="n"/>
      <c r="I6" s="399" t="n"/>
      <c r="J6" s="399" t="n"/>
      <c r="K6" s="431" t="n"/>
      <c r="L6" s="431" t="n"/>
      <c r="M6" s="431" t="n"/>
      <c r="N6" s="432" t="n"/>
      <c r="O6" s="430" t="n"/>
    </row>
    <row customHeight="1" ht="20.1" r="7" s="353">
      <c r="B7" s="392" t="n"/>
      <c r="C7" s="448" t="n"/>
      <c r="D7" s="400" t="inlineStr">
        <is>
          <t>现有</t>
        </is>
      </c>
      <c r="E7" s="401">
        <f>第九期!D5</f>
        <v/>
      </c>
      <c r="F7" s="402">
        <f>E7</f>
        <v/>
      </c>
      <c r="G7" s="400">
        <f>F7+E6</f>
        <v/>
      </c>
      <c r="H7" s="400">
        <f>G7+F6</f>
        <v/>
      </c>
      <c r="I7" s="400">
        <f>H7+G6</f>
        <v/>
      </c>
      <c r="J7" s="400">
        <f>I7+H6</f>
        <v/>
      </c>
      <c r="K7" s="400">
        <f>J7+I6</f>
        <v/>
      </c>
      <c r="L7" s="400">
        <f>K7+J6</f>
        <v/>
      </c>
      <c r="M7" s="400">
        <f>L7+K6</f>
        <v/>
      </c>
      <c r="N7" s="412">
        <f>M7+L6</f>
        <v/>
      </c>
      <c r="O7" s="430" t="n"/>
    </row>
    <row customHeight="1" ht="9" r="8" s="353">
      <c r="B8" s="392" t="n"/>
      <c r="C8" s="215" t="n"/>
      <c r="D8" s="215" t="n"/>
      <c r="E8" s="215" t="n"/>
      <c r="F8" s="215" t="n"/>
      <c r="G8" s="215" t="n"/>
      <c r="H8" s="215" t="n"/>
      <c r="I8" s="215" t="n"/>
      <c r="J8" s="215" t="n"/>
      <c r="K8" s="215" t="n"/>
      <c r="L8" s="215" t="n"/>
      <c r="M8" s="215" t="n"/>
      <c r="N8" s="215" t="n"/>
      <c r="O8" s="430" t="n"/>
    </row>
    <row customHeight="1" ht="24" r="9" s="353">
      <c r="B9" s="392" t="n"/>
      <c r="C9" s="16" t="inlineStr">
        <is>
          <t>工人</t>
        </is>
      </c>
      <c r="D9" s="431" t="inlineStr">
        <is>
          <t>退休</t>
        </is>
      </c>
      <c r="E9" s="432" t="n"/>
      <c r="F9" s="404" t="n"/>
      <c r="G9" s="284" t="n"/>
      <c r="H9" s="284" t="n"/>
      <c r="I9" s="284" t="n"/>
      <c r="J9" s="284" t="n"/>
      <c r="K9" s="284" t="n"/>
      <c r="L9" s="284" t="n"/>
      <c r="M9" s="284" t="n"/>
      <c r="N9" s="433" t="n"/>
      <c r="O9" s="430" t="n"/>
      <c r="Q9" s="396" t="n"/>
      <c r="R9" s="396" t="n"/>
      <c r="S9" s="396" t="n"/>
      <c r="T9" s="396" t="n"/>
      <c r="U9" s="396" t="n"/>
    </row>
    <row customHeight="1" ht="12" r="10" s="353">
      <c r="B10" s="392" t="n"/>
      <c r="C10" s="449" t="n"/>
      <c r="D10" s="294" t="inlineStr">
        <is>
          <t>MIN</t>
        </is>
      </c>
      <c r="E10" s="406" t="n"/>
      <c r="F10" s="407">
        <f>E13*比赛参数!$D$60</f>
        <v/>
      </c>
      <c r="G10" s="407">
        <f>F13*比赛参数!$D$60</f>
        <v/>
      </c>
      <c r="H10" s="407">
        <f>G13*比赛参数!$D$60</f>
        <v/>
      </c>
      <c r="I10" s="407">
        <f>H13*比赛参数!$D$60</f>
        <v/>
      </c>
      <c r="J10" s="407">
        <f>I13*比赛参数!$D$60</f>
        <v/>
      </c>
      <c r="K10" s="407">
        <f>J13*比赛参数!$D$60</f>
        <v/>
      </c>
      <c r="L10" s="407">
        <f>K13*比赛参数!$D$60</f>
        <v/>
      </c>
      <c r="M10" s="407">
        <f>L13*比赛参数!$D$60</f>
        <v/>
      </c>
      <c r="N10" s="407">
        <f>M13*比赛参数!$D$60</f>
        <v/>
      </c>
      <c r="O10" s="430" t="n"/>
      <c r="Q10" s="396" t="n"/>
      <c r="R10" s="396" t="n"/>
      <c r="S10" s="396" t="n"/>
      <c r="T10" s="396" t="n"/>
      <c r="U10" s="396" t="n"/>
    </row>
    <row customHeight="1" ht="24" r="11" s="353">
      <c r="B11" s="392" t="n"/>
      <c r="C11" s="449" t="n"/>
      <c r="D11" s="294" t="inlineStr">
        <is>
          <t>新增</t>
        </is>
      </c>
      <c r="E11" s="406" t="n"/>
      <c r="F11" s="300" t="n"/>
      <c r="G11" s="101" t="n"/>
      <c r="H11" s="101" t="n"/>
      <c r="I11" s="101" t="n"/>
      <c r="J11" s="101" t="n"/>
      <c r="K11" s="101" t="n"/>
      <c r="L11" s="101" t="n"/>
      <c r="M11" s="101" t="n"/>
      <c r="N11" s="434" t="n"/>
      <c r="O11" s="430" t="n"/>
      <c r="Q11" s="396" t="n"/>
      <c r="R11" s="396" t="n"/>
      <c r="S11" s="396" t="n"/>
      <c r="T11" s="396" t="n"/>
      <c r="U11" s="396" t="n"/>
    </row>
    <row customHeight="1" ht="12" r="12" s="353">
      <c r="B12" s="392" t="n"/>
      <c r="C12" s="449" t="n"/>
      <c r="D12" s="294" t="inlineStr">
        <is>
          <t>MAX</t>
        </is>
      </c>
      <c r="E12" s="406" t="n"/>
      <c r="F12" s="407">
        <f>0.5*E13</f>
        <v/>
      </c>
      <c r="G12" s="407">
        <f>0.5*F13</f>
        <v/>
      </c>
      <c r="H12" s="407">
        <f>0.5*G13</f>
        <v/>
      </c>
      <c r="I12" s="407">
        <f>0.5*H13</f>
        <v/>
      </c>
      <c r="J12" s="407">
        <f>0.5*I13</f>
        <v/>
      </c>
      <c r="K12" s="407">
        <f>0.5*J13</f>
        <v/>
      </c>
      <c r="L12" s="407">
        <f>0.5*K13</f>
        <v/>
      </c>
      <c r="M12" s="407">
        <f>0.5*L13</f>
        <v/>
      </c>
      <c r="N12" s="435">
        <f>0.5*M13</f>
        <v/>
      </c>
      <c r="O12" s="430" t="n"/>
      <c r="Q12" s="396" t="n"/>
    </row>
    <row customHeight="1" ht="20.1" r="13" s="353">
      <c r="B13" s="392" t="n"/>
      <c r="C13" s="449" t="n"/>
      <c r="D13" s="294" t="inlineStr">
        <is>
          <t>总量</t>
        </is>
      </c>
      <c r="E13" s="408">
        <f>第九期!D4</f>
        <v/>
      </c>
      <c r="F13" s="409">
        <f>E13+F11-F9</f>
        <v/>
      </c>
      <c r="G13" s="409">
        <f>F13+G11-G9</f>
        <v/>
      </c>
      <c r="H13" s="409">
        <f>G13+H11-H9</f>
        <v/>
      </c>
      <c r="I13" s="409">
        <f>H13+I11-I9</f>
        <v/>
      </c>
      <c r="J13" s="409">
        <f>I13+J11-J9</f>
        <v/>
      </c>
      <c r="K13" s="409">
        <f>J13+K11-K9</f>
        <v/>
      </c>
      <c r="L13" s="409">
        <f>K13+L11-L9</f>
        <v/>
      </c>
      <c r="M13" s="409">
        <f>L13+M11-M9</f>
        <v/>
      </c>
      <c r="N13" s="436">
        <f>M13+N11-N9</f>
        <v/>
      </c>
      <c r="O13" s="430" t="n"/>
      <c r="R13" s="272" t="n"/>
      <c r="S13" s="196" t="inlineStr">
        <is>
          <t>产品A</t>
        </is>
      </c>
      <c r="T13" s="196" t="inlineStr">
        <is>
          <t>产品B</t>
        </is>
      </c>
      <c r="U13" s="196" t="inlineStr">
        <is>
          <t>产品C</t>
        </is>
      </c>
      <c r="V13" s="196" t="inlineStr">
        <is>
          <t>产品D</t>
        </is>
      </c>
      <c r="W13" s="98" t="inlineStr">
        <is>
          <t>均值</t>
        </is>
      </c>
    </row>
    <row customHeight="1" ht="20.1" r="14" s="353">
      <c r="B14" s="392" t="n"/>
      <c r="C14" s="449" t="n"/>
      <c r="D14" s="294" t="inlineStr">
        <is>
          <t>人数/机器</t>
        </is>
      </c>
      <c r="E14" s="406" t="n"/>
      <c r="F14" s="450">
        <f>F15/F7</f>
        <v/>
      </c>
      <c r="G14" s="450">
        <f>G15/G7</f>
        <v/>
      </c>
      <c r="H14" s="450">
        <f>H15/H7</f>
        <v/>
      </c>
      <c r="I14" s="450">
        <f>I15/I7</f>
        <v/>
      </c>
      <c r="J14" s="450">
        <f>J15/J7</f>
        <v/>
      </c>
      <c r="K14" s="450">
        <f>K15/K7</f>
        <v/>
      </c>
      <c r="L14" s="450">
        <f>L15/L7</f>
        <v/>
      </c>
      <c r="M14" s="450">
        <f>M15/M7</f>
        <v/>
      </c>
      <c r="N14" s="451">
        <f>N15/N7</f>
        <v/>
      </c>
      <c r="O14" s="430" t="n"/>
      <c r="Q14" s="444">
        <f>W14*2</f>
        <v/>
      </c>
      <c r="R14" s="196" t="inlineStr">
        <is>
          <t>人机比</t>
        </is>
      </c>
      <c r="S14" s="272">
        <f>比赛参数!D27/比赛参数!D26</f>
        <v/>
      </c>
      <c r="T14" s="272">
        <f>比赛参数!E27/比赛参数!E26</f>
        <v/>
      </c>
      <c r="U14" s="272">
        <f>比赛参数!F27/比赛参数!F26</f>
        <v/>
      </c>
      <c r="V14" s="272">
        <f>比赛参数!G27/比赛参数!G26</f>
        <v/>
      </c>
      <c r="W14" s="272">
        <f>AVERAGE(S14:V14)</f>
        <v/>
      </c>
    </row>
    <row customHeight="1" ht="20.1" r="15" s="353">
      <c r="B15" s="392" t="n"/>
      <c r="C15" s="452" t="n"/>
      <c r="D15" s="400" t="inlineStr">
        <is>
          <t>当量</t>
        </is>
      </c>
      <c r="E15" s="412" t="n"/>
      <c r="F15" s="402">
        <f>E13-F9+F11*比赛参数!$D$59</f>
        <v/>
      </c>
      <c r="G15" s="402">
        <f>F13-G9+G11*比赛参数!$D$59</f>
        <v/>
      </c>
      <c r="H15" s="402">
        <f>G13-H9+H11*比赛参数!$D$59</f>
        <v/>
      </c>
      <c r="I15" s="402">
        <f>H13-I9+I11*比赛参数!$D$59</f>
        <v/>
      </c>
      <c r="J15" s="402">
        <f>I13-J9+J11*比赛参数!$D$59</f>
        <v/>
      </c>
      <c r="K15" s="402">
        <f>J13-K9+K11*比赛参数!$D$59</f>
        <v/>
      </c>
      <c r="L15" s="402">
        <f>K13-L9+L11*比赛参数!$D$59</f>
        <v/>
      </c>
      <c r="M15" s="402">
        <f>L13-M9+M11*比赛参数!$D$59</f>
        <v/>
      </c>
      <c r="N15" s="438">
        <f>M13-N9+N11*比赛参数!$D$59</f>
        <v/>
      </c>
      <c r="O15" s="430" t="n"/>
      <c r="R15" s="396" t="n"/>
      <c r="S15" s="396" t="n"/>
      <c r="T15" s="396" t="n"/>
    </row>
    <row customHeight="1" ht="9" r="16" s="353">
      <c r="B16" s="392" t="n"/>
      <c r="C16" s="215" t="n"/>
      <c r="D16" s="215" t="n"/>
      <c r="E16" s="215" t="n"/>
      <c r="F16" s="215" t="n"/>
      <c r="G16" s="215" t="n"/>
      <c r="H16" s="215" t="n"/>
      <c r="I16" s="215" t="n"/>
      <c r="J16" s="215" t="n"/>
      <c r="K16" s="215" t="n"/>
      <c r="L16" s="215" t="n"/>
      <c r="M16" s="215" t="n"/>
      <c r="N16" s="215" t="n"/>
      <c r="O16" s="430" t="n"/>
    </row>
    <row customHeight="1" ht="20.25" r="17" s="353">
      <c r="B17" s="392" t="n"/>
      <c r="C17" s="215" t="n"/>
      <c r="D17" s="215" t="n"/>
      <c r="E17" s="215" t="n"/>
      <c r="F17" s="215" t="n"/>
      <c r="G17" s="215" t="n"/>
      <c r="H17" s="215" t="n"/>
      <c r="I17" s="215" t="n"/>
      <c r="J17" s="215" t="n"/>
      <c r="K17" s="215" t="n"/>
      <c r="L17" s="215" t="n"/>
      <c r="M17" s="215" t="n"/>
      <c r="N17" s="215" t="n"/>
      <c r="O17" s="430" t="n"/>
    </row>
    <row customHeight="1" ht="20.25" r="18" s="353">
      <c r="B18" s="392" t="n"/>
      <c r="C18" s="215" t="n"/>
      <c r="D18" s="215" t="n"/>
      <c r="E18" s="215" t="n"/>
      <c r="F18" s="215" t="n"/>
      <c r="G18" s="215" t="n"/>
      <c r="H18" s="215" t="n"/>
      <c r="I18" s="215" t="n"/>
      <c r="J18" s="215" t="n"/>
      <c r="K18" s="215" t="n"/>
      <c r="L18" s="215" t="n"/>
      <c r="M18" s="215" t="n"/>
      <c r="N18" s="215" t="n"/>
      <c r="O18" s="430" t="n"/>
    </row>
    <row customHeight="1" ht="20.25" r="19" s="353">
      <c r="B19" s="392" t="n"/>
      <c r="C19" s="215" t="n"/>
      <c r="D19" s="215" t="n"/>
      <c r="E19" s="215" t="n"/>
      <c r="F19" s="215" t="n"/>
      <c r="G19" s="215" t="n"/>
      <c r="H19" s="215" t="n"/>
      <c r="I19" s="215" t="n"/>
      <c r="J19" s="215" t="n"/>
      <c r="K19" s="215" t="n"/>
      <c r="L19" s="215" t="n"/>
      <c r="M19" s="215" t="n"/>
      <c r="N19" s="215" t="n"/>
      <c r="O19" s="430" t="n"/>
    </row>
    <row customHeight="1" ht="20.25" r="20" s="353">
      <c r="B20" s="392" t="n"/>
      <c r="C20" s="215" t="n"/>
      <c r="D20" s="215" t="n"/>
      <c r="E20" s="215" t="n"/>
      <c r="F20" s="215" t="n"/>
      <c r="G20" s="215" t="n"/>
      <c r="H20" s="215" t="n"/>
      <c r="I20" s="215" t="n"/>
      <c r="J20" s="215" t="n"/>
      <c r="K20" s="215" t="n"/>
      <c r="L20" s="215" t="n"/>
      <c r="M20" s="215" t="n"/>
      <c r="N20" s="215" t="n"/>
      <c r="O20" s="430" t="n"/>
    </row>
    <row customHeight="1" ht="20.25" r="21" s="353">
      <c r="B21" s="392" t="n"/>
      <c r="C21" s="215" t="n"/>
      <c r="D21" s="215" t="n"/>
      <c r="E21" s="215" t="n"/>
      <c r="F21" s="215" t="n"/>
      <c r="G21" s="215" t="n"/>
      <c r="H21" s="215" t="n"/>
      <c r="I21" s="215" t="n"/>
      <c r="J21" s="215" t="n"/>
      <c r="K21" s="215" t="n"/>
      <c r="L21" s="215" t="n"/>
      <c r="M21" s="215" t="n"/>
      <c r="N21" s="215" t="n"/>
      <c r="O21" s="430" t="n"/>
    </row>
    <row customHeight="1" ht="20.25" r="22" s="353">
      <c r="B22" s="392" t="n"/>
      <c r="C22" s="215" t="n"/>
      <c r="D22" s="215" t="n"/>
      <c r="E22" s="215" t="n"/>
      <c r="F22" s="215" t="n"/>
      <c r="G22" s="215" t="n"/>
      <c r="H22" s="215" t="n"/>
      <c r="I22" s="215" t="n"/>
      <c r="J22" s="215" t="n"/>
      <c r="K22" s="215" t="n"/>
      <c r="L22" s="215" t="n"/>
      <c r="M22" s="215" t="n"/>
      <c r="N22" s="215" t="n"/>
      <c r="O22" s="430" t="n"/>
    </row>
    <row customHeight="1" ht="20.25" r="23" s="353">
      <c r="B23" s="392" t="n"/>
      <c r="C23" s="215" t="n"/>
      <c r="D23" s="215" t="n"/>
      <c r="E23" s="215" t="n"/>
      <c r="F23" s="215" t="n"/>
      <c r="G23" s="215" t="n"/>
      <c r="H23" s="215" t="n"/>
      <c r="I23" s="215" t="n"/>
      <c r="J23" s="215" t="n"/>
      <c r="K23" s="215" t="n"/>
      <c r="L23" s="215" t="n"/>
      <c r="M23" s="215" t="n"/>
      <c r="N23" s="215" t="n"/>
      <c r="O23" s="430" t="n"/>
    </row>
    <row customHeight="1" ht="20.25" r="24" s="353">
      <c r="B24" s="392" t="n"/>
      <c r="C24" s="215" t="n"/>
      <c r="D24" s="215" t="n"/>
      <c r="E24" s="215" t="n"/>
      <c r="F24" s="215" t="n"/>
      <c r="G24" s="215" t="n"/>
      <c r="H24" s="215" t="n"/>
      <c r="I24" s="215" t="n"/>
      <c r="J24" s="215" t="n"/>
      <c r="K24" s="215" t="n"/>
      <c r="L24" s="215" t="n"/>
      <c r="M24" s="215" t="n"/>
      <c r="N24" s="215" t="n"/>
      <c r="O24" s="430" t="n"/>
    </row>
    <row customHeight="1" ht="20.25" r="25" s="353">
      <c r="B25" s="392" t="n"/>
      <c r="C25" s="215" t="n"/>
      <c r="D25" s="215" t="n"/>
      <c r="E25" s="215" t="n"/>
      <c r="F25" s="215" t="n"/>
      <c r="G25" s="215" t="n"/>
      <c r="H25" s="215" t="n"/>
      <c r="I25" s="215" t="n"/>
      <c r="J25" s="215" t="n"/>
      <c r="K25" s="215" t="n"/>
      <c r="L25" s="215" t="n"/>
      <c r="M25" s="215" t="n"/>
      <c r="N25" s="215" t="n"/>
      <c r="O25" s="430" t="n"/>
    </row>
    <row customHeight="1" ht="20.25" r="26" s="353">
      <c r="B26" s="392" t="n"/>
      <c r="C26" s="215" t="n"/>
      <c r="D26" s="215" t="n"/>
      <c r="E26" s="215" t="n"/>
      <c r="F26" s="215" t="n"/>
      <c r="G26" s="215" t="n"/>
      <c r="H26" s="215" t="n"/>
      <c r="I26" s="215" t="n"/>
      <c r="J26" s="215" t="n"/>
      <c r="K26" s="215" t="n"/>
      <c r="L26" s="215" t="n"/>
      <c r="M26" s="215" t="n"/>
      <c r="N26" s="215" t="n"/>
      <c r="O26" s="430" t="n"/>
    </row>
    <row customHeight="1" ht="20.25" r="27" s="353">
      <c r="B27" s="392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430" t="n"/>
    </row>
    <row customHeight="1" ht="20.25" r="28" s="353">
      <c r="B28" s="392" t="n"/>
      <c r="C28" s="215" t="n"/>
      <c r="D28" s="215" t="n"/>
      <c r="E28" s="215" t="n"/>
      <c r="F28" s="215" t="n"/>
      <c r="G28" s="215" t="n"/>
      <c r="H28" s="215" t="n"/>
      <c r="I28" s="215" t="n"/>
      <c r="J28" s="215" t="n"/>
      <c r="K28" s="215" t="n"/>
      <c r="L28" s="215" t="n"/>
      <c r="M28" s="215" t="n"/>
      <c r="N28" s="215" t="n"/>
      <c r="O28" s="430" t="n"/>
    </row>
    <row customHeight="1" ht="9" r="29" s="353">
      <c r="B29" s="392" t="n"/>
      <c r="C29" s="215" t="n"/>
      <c r="D29" s="215" t="n"/>
      <c r="E29" s="215" t="n"/>
      <c r="F29" s="215" t="n"/>
      <c r="G29" s="215" t="n"/>
      <c r="H29" s="215" t="n"/>
      <c r="I29" s="215" t="n"/>
      <c r="J29" s="215" t="n"/>
      <c r="K29" s="215" t="n"/>
      <c r="L29" s="215" t="n"/>
      <c r="M29" s="215" t="n"/>
      <c r="N29" s="215" t="n"/>
      <c r="O29" s="430" t="n"/>
    </row>
    <row customHeight="1" ht="20.1" r="30" s="353">
      <c r="B30" s="392" t="n"/>
      <c r="C30" s="116" t="inlineStr">
        <is>
          <t>材料</t>
        </is>
      </c>
      <c r="D30" s="414" t="inlineStr">
        <is>
          <t>可用材料</t>
        </is>
      </c>
      <c r="E30" s="415" t="n"/>
      <c r="F30" s="416">
        <f>E35+F33*比赛参数!$D$41</f>
        <v/>
      </c>
      <c r="G30" s="431">
        <f>F35+G33*比赛参数!$D$41</f>
        <v/>
      </c>
      <c r="H30" s="431">
        <f>G35+H33*比赛参数!$D$41</f>
        <v/>
      </c>
      <c r="I30" s="431">
        <f>H35+I33*比赛参数!$D$41</f>
        <v/>
      </c>
      <c r="J30" s="431">
        <f>I35+J33*比赛参数!$D$41</f>
        <v/>
      </c>
      <c r="K30" s="431">
        <f>J35+K33*比赛参数!$D$41</f>
        <v/>
      </c>
      <c r="L30" s="431">
        <f>K35+L33*比赛参数!$D$41</f>
        <v/>
      </c>
      <c r="M30" s="431">
        <f>L35+M33*比赛参数!$D$41</f>
        <v/>
      </c>
      <c r="N30" s="432">
        <f>M35+N33*比赛参数!$D$41</f>
        <v/>
      </c>
      <c r="O30" s="430" t="n"/>
    </row>
    <row customHeight="1" ht="24" r="31" s="353">
      <c r="B31" s="392" t="n"/>
      <c r="C31" s="453" t="n"/>
      <c r="D31" s="409" t="inlineStr">
        <is>
          <t>本期需要</t>
        </is>
      </c>
      <c r="E31" s="273" t="n"/>
      <c r="F31" s="300" t="n"/>
      <c r="G31" s="101" t="n"/>
      <c r="H31" s="101" t="n"/>
      <c r="I31" s="101" t="n"/>
      <c r="J31" s="101" t="n"/>
      <c r="K31" s="101" t="n"/>
      <c r="L31" s="101" t="n"/>
      <c r="M31" s="101" t="n"/>
      <c r="N31" s="434" t="n"/>
      <c r="O31" s="430" t="n"/>
      <c r="R31" s="272" t="n"/>
      <c r="S31" s="196" t="inlineStr">
        <is>
          <t>产品A</t>
        </is>
      </c>
      <c r="T31" s="196" t="inlineStr">
        <is>
          <t>产品B</t>
        </is>
      </c>
      <c r="U31" s="196" t="inlineStr">
        <is>
          <t>产品C</t>
        </is>
      </c>
      <c r="V31" s="196" t="inlineStr">
        <is>
          <t>产品D</t>
        </is>
      </c>
      <c r="W31" s="98" t="inlineStr">
        <is>
          <t>均值</t>
        </is>
      </c>
    </row>
    <row customHeight="1" ht="20.1" r="32" s="353">
      <c r="B32" s="392" t="n"/>
      <c r="C32" s="453" t="n"/>
      <c r="D32" s="409" t="inlineStr">
        <is>
          <t>本期需要/机器</t>
        </is>
      </c>
      <c r="E32" s="273" t="n"/>
      <c r="F32" s="418">
        <f>F31/F7</f>
        <v/>
      </c>
      <c r="G32" s="338">
        <f>G31/G7</f>
        <v/>
      </c>
      <c r="H32" s="338">
        <f>H31/H7</f>
        <v/>
      </c>
      <c r="I32" s="338">
        <f>I31/I7</f>
        <v/>
      </c>
      <c r="J32" s="338">
        <f>J31/J7</f>
        <v/>
      </c>
      <c r="K32" s="338">
        <f>K31/K7</f>
        <v/>
      </c>
      <c r="L32" s="338">
        <f>L31/L7</f>
        <v/>
      </c>
      <c r="M32" s="338">
        <f>M31/M7</f>
        <v/>
      </c>
      <c r="N32" s="439">
        <f>N31/N7</f>
        <v/>
      </c>
      <c r="O32" s="430" t="n"/>
      <c r="Q32" s="444">
        <f>W32*1300</f>
        <v/>
      </c>
      <c r="R32" s="196" t="inlineStr">
        <is>
          <t>材料机比</t>
        </is>
      </c>
      <c r="S32" s="272">
        <f>比赛参数!D28/比赛参数!D26</f>
        <v/>
      </c>
      <c r="T32" s="272">
        <f>比赛参数!E28/比赛参数!E26</f>
        <v/>
      </c>
      <c r="U32" s="272">
        <f>比赛参数!F28/比赛参数!F26</f>
        <v/>
      </c>
      <c r="V32" s="272">
        <f>比赛参数!G28/比赛参数!G26</f>
        <v/>
      </c>
      <c r="W32" s="272">
        <f>AVERAGE(S32:V32)</f>
        <v/>
      </c>
    </row>
    <row customHeight="1" ht="24" r="33" s="353">
      <c r="B33" s="392" t="n"/>
      <c r="C33" s="453" t="n"/>
      <c r="D33" s="409" t="inlineStr">
        <is>
          <t>本期采购</t>
        </is>
      </c>
      <c r="E33" s="273" t="n"/>
      <c r="F33" s="300" t="n"/>
      <c r="G33" s="101" t="n"/>
      <c r="H33" s="101" t="n"/>
      <c r="I33" s="101" t="n"/>
      <c r="J33" s="101" t="n"/>
      <c r="K33" s="101" t="n"/>
      <c r="L33" s="101" t="n"/>
      <c r="M33" s="101" t="n"/>
      <c r="N33" s="434" t="n"/>
      <c r="O33" s="430" t="n"/>
    </row>
    <row customHeight="1" ht="12" r="34" s="353">
      <c r="B34" s="392" t="n"/>
      <c r="C34" s="453" t="n"/>
      <c r="D34" s="409" t="inlineStr">
        <is>
          <t>MIN</t>
        </is>
      </c>
      <c r="E34" s="273" t="n"/>
      <c r="F34" s="419">
        <f>IF((F31-E35)&gt;0,(F31-E35)/比赛参数!$D$41,0)</f>
        <v/>
      </c>
      <c r="G34" s="134">
        <f>IF((G31-F35)&gt;0,(G31-F35)/比赛参数!$D$41,0)</f>
        <v/>
      </c>
      <c r="H34" s="134">
        <f>IF((H31-G35)&gt;0,(H31-G35)/比赛参数!$D$41,0)</f>
        <v/>
      </c>
      <c r="I34" s="134">
        <f>IF((I31-H35)&gt;0,(I31-H35)/比赛参数!$D$41,0)</f>
        <v/>
      </c>
      <c r="J34" s="134">
        <f>IF((J31-I35)&gt;0,(J31-I35)/比赛参数!$D$41,0)</f>
        <v/>
      </c>
      <c r="K34" s="134">
        <f>IF((K31-J35)&gt;0,(K31-J35)/比赛参数!$D$41,0)</f>
        <v/>
      </c>
      <c r="L34" s="134">
        <f>IF((L31-K35)&gt;0,(L31-K35)/比赛参数!$D$41,0)</f>
        <v/>
      </c>
      <c r="M34" s="134">
        <f>IF((M31-L35)&gt;0,(M31-L35)/比赛参数!$D$41,0)</f>
        <v/>
      </c>
      <c r="N34" s="440">
        <f>IF((N31-M35)&gt;0,(N31-M35)/比赛参数!$D$41,0)</f>
        <v/>
      </c>
      <c r="O34" s="430" t="n"/>
    </row>
    <row customHeight="1" ht="20.1" r="35" s="353">
      <c r="B35" s="392" t="n"/>
      <c r="C35" s="453" t="n"/>
      <c r="D35" s="402" t="inlineStr">
        <is>
          <t>期末库存</t>
        </is>
      </c>
      <c r="E35" s="420" t="n"/>
      <c r="F35" s="421">
        <f>F33+E35-F31</f>
        <v/>
      </c>
      <c r="G35" s="400">
        <f>G33+F35-G31</f>
        <v/>
      </c>
      <c r="H35" s="400">
        <f>H33+G35-H31</f>
        <v/>
      </c>
      <c r="I35" s="400">
        <f>I33+H35-I31</f>
        <v/>
      </c>
      <c r="J35" s="400">
        <f>J33+I35-J31</f>
        <v/>
      </c>
      <c r="K35" s="400">
        <f>K33+J35-K31</f>
        <v/>
      </c>
      <c r="L35" s="400">
        <f>L33+K35-L31</f>
        <v/>
      </c>
      <c r="M35" s="400">
        <f>M33+L35-M31</f>
        <v/>
      </c>
      <c r="N35" s="412">
        <f>N33+M35-N31</f>
        <v/>
      </c>
      <c r="O35" s="430" t="n"/>
    </row>
    <row customHeight="1" ht="9" r="36" s="353">
      <c r="B36" s="392" t="n"/>
      <c r="C36" s="453" t="n"/>
      <c r="D36" s="215" t="n"/>
      <c r="E36" s="215" t="n"/>
      <c r="F36" s="215" t="n"/>
      <c r="G36" s="215" t="n"/>
      <c r="H36" s="215" t="n"/>
      <c r="I36" s="215" t="n"/>
      <c r="J36" s="215" t="n"/>
      <c r="K36" s="215" t="n"/>
      <c r="L36" s="215" t="n"/>
      <c r="M36" s="215" t="n"/>
      <c r="N36" s="441" t="n"/>
      <c r="O36" s="430" t="n"/>
    </row>
    <row customHeight="1" ht="24" r="37" s="353">
      <c r="B37" s="392" t="n"/>
      <c r="C37" s="454" t="n"/>
      <c r="D37" s="402" t="inlineStr">
        <is>
          <t>原材料优惠</t>
        </is>
      </c>
      <c r="E37" s="424" t="n"/>
      <c r="F37" s="425">
        <f>IF(F33&gt;=比赛参数!$D$36,IF(F33&gt;=比赛参数!$D$35,IF(F33&gt;=比赛参数!$D$34,F33*(1-比赛参数!$E$34),F33*(1-比赛参数!$E$35)),F33*(1-比赛参数!$E$36)),0)</f>
        <v/>
      </c>
      <c r="G37" s="425">
        <f>IF(G33&gt;=比赛参数!$D$36,IF(G33&gt;=比赛参数!$D$35,IF(G33&gt;=比赛参数!$D$34,G33*(1-比赛参数!$E$34),G33*(1-比赛参数!$E$35)),G33*(1-比赛参数!$E$36)),0)</f>
        <v/>
      </c>
      <c r="H37" s="425">
        <f>IF(H33&gt;=比赛参数!$D$36,IF(H33&gt;=比赛参数!$D$35,IF(H33&gt;=比赛参数!$D$34,H33*(1-比赛参数!$E$34),H33*(1-比赛参数!$E$35)),H33*(1-比赛参数!$E$36)),0)</f>
        <v/>
      </c>
      <c r="I37" s="425">
        <f>IF(I33&gt;=比赛参数!$D$36,IF(I33&gt;=比赛参数!$D$35,IF(I33&gt;=比赛参数!$D$34,I33*(1-比赛参数!$E$34),I33*(1-比赛参数!$E$35)),I33*(1-比赛参数!$E$36)),0)</f>
        <v/>
      </c>
      <c r="J37" s="425">
        <f>IF(J33&gt;=比赛参数!$D$36,IF(J33&gt;=比赛参数!$D$35,IF(J33&gt;=比赛参数!$D$34,J33*(1-比赛参数!$E$34),J33*(1-比赛参数!$E$35)),J33*(1-比赛参数!$E$36)),0)</f>
        <v/>
      </c>
      <c r="K37" s="425">
        <f>IF(K33&gt;=比赛参数!$D$36,IF(K33&gt;=比赛参数!$D$35,IF(K33&gt;=比赛参数!$D$34,K33*(1-比赛参数!$E$34),K33*(1-比赛参数!$E$35)),K33*(1-比赛参数!$E$36)),0)</f>
        <v/>
      </c>
      <c r="L37" s="425">
        <f>IF(L33&gt;=比赛参数!$D$36,IF(L33&gt;=比赛参数!$D$35,IF(L33&gt;=比赛参数!$D$34,L33*(1-比赛参数!$E$34),L33*(1-比赛参数!$E$35)),L33*(1-比赛参数!$E$36)),0)</f>
        <v/>
      </c>
      <c r="M37" s="425" t="n"/>
      <c r="N37" s="442" t="n"/>
      <c r="O37" s="430" t="n"/>
      <c r="Q37" s="396">
        <f>F37+G37+H37+I37+J37+K37+L37+M37</f>
        <v/>
      </c>
    </row>
    <row customHeight="1" ht="24" r="38" s="353">
      <c r="B38" s="392" t="n"/>
      <c r="O38" s="430" t="n"/>
      <c r="Q38" s="396" t="n">
        <v>435600</v>
      </c>
    </row>
    <row customHeight="1" ht="24" r="39" s="353">
      <c r="B39" s="392" t="n"/>
      <c r="C39" s="21" t="inlineStr">
        <is>
          <t>研发</t>
        </is>
      </c>
      <c r="D39" s="431" t="inlineStr">
        <is>
          <t>A产品</t>
        </is>
      </c>
      <c r="E39" s="432">
        <f>比赛参数!D52</f>
        <v/>
      </c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433" t="n"/>
      <c r="O39" s="430" t="n"/>
    </row>
    <row customHeight="1" ht="24" r="40" s="353">
      <c r="B40" s="392" t="n"/>
      <c r="C40" s="449" t="n"/>
      <c r="D40" s="294" t="inlineStr">
        <is>
          <t>B产品</t>
        </is>
      </c>
      <c r="E40" s="406">
        <f>比赛参数!D53</f>
        <v/>
      </c>
      <c r="F40" s="101" t="n"/>
      <c r="G40" s="101" t="n"/>
      <c r="H40" s="101" t="n"/>
      <c r="I40" s="101" t="n"/>
      <c r="J40" s="101" t="n"/>
      <c r="K40" s="101" t="n"/>
      <c r="L40" s="101" t="n"/>
      <c r="M40" s="101" t="n"/>
      <c r="N40" s="434" t="n"/>
      <c r="O40" s="430" t="n"/>
    </row>
    <row customHeight="1" ht="24" r="41" s="353">
      <c r="B41" s="392" t="n"/>
      <c r="C41" s="449" t="n"/>
      <c r="D41" s="294" t="inlineStr">
        <is>
          <t>C产品</t>
        </is>
      </c>
      <c r="E41" s="406" t="n"/>
      <c r="F41" s="101" t="n"/>
      <c r="G41" s="101" t="n"/>
      <c r="H41" s="101" t="n"/>
      <c r="I41" s="101" t="n"/>
      <c r="J41" s="101" t="n"/>
      <c r="K41" s="101" t="n"/>
      <c r="L41" s="101" t="n"/>
      <c r="M41" s="101" t="n"/>
      <c r="N41" s="434" t="n"/>
      <c r="O41" s="430" t="n"/>
    </row>
    <row customHeight="1" ht="19.5" r="42" s="353">
      <c r="B42" s="392" t="n"/>
      <c r="C42" s="449" t="n"/>
      <c r="D42" s="294" t="inlineStr">
        <is>
          <t>D产品</t>
        </is>
      </c>
      <c r="E42" s="406" t="n"/>
      <c r="F42" s="101" t="n"/>
      <c r="G42" s="101" t="n"/>
      <c r="H42" s="101" t="n"/>
      <c r="I42" s="101" t="n"/>
      <c r="J42" s="101" t="n"/>
      <c r="K42" s="101" t="n"/>
      <c r="L42" s="101" t="n"/>
      <c r="M42" s="101" t="n"/>
      <c r="N42" s="434" t="n"/>
      <c r="O42" s="430" t="n"/>
    </row>
    <row customHeight="1" ht="19.5" r="43" s="353">
      <c r="B43" s="392" t="n"/>
      <c r="C43" s="448" t="n"/>
      <c r="D43" s="400" t="inlineStr">
        <is>
          <t>研发合计</t>
        </is>
      </c>
      <c r="E43" s="412" t="n"/>
      <c r="F43" s="402">
        <f>SUM(F39:F42)</f>
        <v/>
      </c>
      <c r="G43" s="402">
        <f>SUM(G39:G42)</f>
        <v/>
      </c>
      <c r="H43" s="402">
        <f>SUM(H39:H42)</f>
        <v/>
      </c>
      <c r="I43" s="402">
        <f>SUM(I39:I42)</f>
        <v/>
      </c>
      <c r="J43" s="402">
        <f>SUM(J39:J42)</f>
        <v/>
      </c>
      <c r="K43" s="402">
        <f>SUM(K39:K42)</f>
        <v/>
      </c>
      <c r="L43" s="402">
        <f>SUM(L39:L42)</f>
        <v/>
      </c>
      <c r="M43" s="402">
        <f>SUM(M39:M42)</f>
        <v/>
      </c>
      <c r="N43" s="438">
        <f>SUM(N39:N42)</f>
        <v/>
      </c>
      <c r="O43" s="430" t="n"/>
    </row>
    <row customHeight="1" ht="19.5" r="44" s="353">
      <c r="B44" s="392" t="n"/>
      <c r="C44" s="396" t="n"/>
      <c r="D44" s="396" t="n"/>
      <c r="E44" s="396" t="n"/>
      <c r="F44" s="396" t="n"/>
      <c r="G44" s="396" t="n"/>
      <c r="H44" s="396" t="n"/>
      <c r="I44" s="396" t="n"/>
      <c r="J44" s="396" t="n"/>
      <c r="K44" s="396" t="n"/>
      <c r="L44" s="396" t="n"/>
      <c r="M44" s="396" t="n"/>
      <c r="N44" s="396" t="n"/>
      <c r="O44" s="430" t="n"/>
    </row>
    <row customHeight="1" ht="19.5" r="45" s="353">
      <c r="B45" s="392" t="n"/>
      <c r="C45" s="396" t="n"/>
      <c r="D45" s="426" t="inlineStr">
        <is>
          <t>累计研发</t>
        </is>
      </c>
      <c r="E45" s="396" t="n"/>
      <c r="F45" s="426" t="inlineStr">
        <is>
          <t>研发费用</t>
        </is>
      </c>
      <c r="G45" s="195" t="inlineStr">
        <is>
          <t>等级1</t>
        </is>
      </c>
      <c r="H45" s="196" t="inlineStr">
        <is>
          <t>等级2</t>
        </is>
      </c>
      <c r="I45" s="196" t="inlineStr">
        <is>
          <t>等级3</t>
        </is>
      </c>
      <c r="J45" s="196" t="inlineStr">
        <is>
          <t>等级4</t>
        </is>
      </c>
      <c r="K45" s="196" t="inlineStr">
        <is>
          <t>等级5</t>
        </is>
      </c>
      <c r="L45" s="396" t="n"/>
      <c r="M45" s="396" t="n"/>
      <c r="N45" s="396" t="n"/>
      <c r="O45" s="430" t="n"/>
    </row>
    <row customHeight="1" ht="19.5" r="46" s="353">
      <c r="B46" s="392" t="n"/>
      <c r="C46" s="396" t="n"/>
      <c r="D46" s="294">
        <f>SUM(E39:N39)</f>
        <v/>
      </c>
      <c r="E46" s="396" t="n"/>
      <c r="F46" s="11" t="inlineStr">
        <is>
          <t>产品A</t>
        </is>
      </c>
      <c r="G46" s="294">
        <f>比赛参数!D52</f>
        <v/>
      </c>
      <c r="H46" s="294">
        <f>比赛参数!E52</f>
        <v/>
      </c>
      <c r="I46" s="294">
        <f>比赛参数!F52</f>
        <v/>
      </c>
      <c r="J46" s="294">
        <f>比赛参数!G52</f>
        <v/>
      </c>
      <c r="K46" s="294">
        <f>比赛参数!H52</f>
        <v/>
      </c>
      <c r="L46" s="396" t="n"/>
      <c r="M46" s="396" t="n"/>
      <c r="N46" s="396" t="n"/>
      <c r="O46" s="430" t="n"/>
    </row>
    <row customHeight="1" ht="19.5" r="47" s="353">
      <c r="B47" s="392" t="n"/>
      <c r="C47" s="396" t="n"/>
      <c r="D47" s="294">
        <f>SUM(E40:N40)</f>
        <v/>
      </c>
      <c r="E47" s="396" t="n"/>
      <c r="F47" s="11" t="inlineStr">
        <is>
          <t>产品B</t>
        </is>
      </c>
      <c r="G47" s="294">
        <f>比赛参数!D53</f>
        <v/>
      </c>
      <c r="H47" s="294">
        <f>比赛参数!E53</f>
        <v/>
      </c>
      <c r="I47" s="294">
        <f>比赛参数!F53</f>
        <v/>
      </c>
      <c r="J47" s="294">
        <f>比赛参数!G53</f>
        <v/>
      </c>
      <c r="K47" s="294">
        <f>比赛参数!H53</f>
        <v/>
      </c>
      <c r="L47" s="396" t="n"/>
      <c r="M47" s="396" t="n"/>
      <c r="N47" s="396" t="n"/>
      <c r="O47" s="430" t="n"/>
    </row>
    <row customHeight="1" ht="19.5" r="48" s="353">
      <c r="B48" s="392" t="n"/>
      <c r="C48" s="396" t="n"/>
      <c r="D48" s="294">
        <f>SUM(E41:N41)</f>
        <v/>
      </c>
      <c r="E48" s="396" t="n"/>
      <c r="F48" s="11" t="inlineStr">
        <is>
          <t>产品C</t>
        </is>
      </c>
      <c r="G48" s="294">
        <f>比赛参数!D54</f>
        <v/>
      </c>
      <c r="H48" s="294">
        <f>比赛参数!E54</f>
        <v/>
      </c>
      <c r="I48" s="294">
        <f>比赛参数!F54</f>
        <v/>
      </c>
      <c r="J48" s="294">
        <f>比赛参数!G54</f>
        <v/>
      </c>
      <c r="K48" s="294">
        <f>比赛参数!H54</f>
        <v/>
      </c>
      <c r="L48" s="396" t="n"/>
      <c r="M48" s="396" t="n"/>
      <c r="N48" s="396" t="n"/>
      <c r="O48" s="430" t="n"/>
    </row>
    <row customHeight="1" ht="19.5" r="49" s="353">
      <c r="B49" s="392" t="n"/>
      <c r="C49" s="396" t="n"/>
      <c r="D49" s="294">
        <f>SUM(E42:N42)</f>
        <v/>
      </c>
      <c r="E49" s="396" t="n"/>
      <c r="F49" s="11" t="inlineStr">
        <is>
          <t>产品D</t>
        </is>
      </c>
      <c r="G49" s="294">
        <f>比赛参数!D55</f>
        <v/>
      </c>
      <c r="H49" s="294">
        <f>比赛参数!E55</f>
        <v/>
      </c>
      <c r="I49" s="294">
        <f>比赛参数!F55</f>
        <v/>
      </c>
      <c r="J49" s="294">
        <f>比赛参数!G55</f>
        <v/>
      </c>
      <c r="K49" s="294">
        <f>比赛参数!H55</f>
        <v/>
      </c>
      <c r="L49" s="396" t="n"/>
      <c r="M49" s="396" t="n"/>
      <c r="N49" s="396" t="n"/>
      <c r="O49" s="430" t="n"/>
    </row>
    <row customHeight="1" ht="19.5" r="50" s="353">
      <c r="B50" s="427" t="n"/>
      <c r="C50" s="428" t="n"/>
      <c r="D50" s="428" t="n"/>
      <c r="E50" s="428" t="n"/>
      <c r="F50" s="428" t="n"/>
      <c r="G50" s="428" t="n"/>
      <c r="H50" s="428" t="n"/>
      <c r="I50" s="428" t="n"/>
      <c r="J50" s="428" t="n"/>
      <c r="K50" s="428" t="n"/>
      <c r="L50" s="428" t="n"/>
      <c r="M50" s="428" t="n"/>
      <c r="N50" s="428" t="n"/>
      <c r="O50" s="443" t="n"/>
    </row>
    <row customHeight="1" ht="19.5" r="51" s="353"/>
    <row customHeight="1" ht="19.5" r="52" s="353"/>
  </sheetData>
  <mergeCells count="5">
    <mergeCell ref="B2:O2"/>
    <mergeCell ref="C6:C7"/>
    <mergeCell ref="C9:C15"/>
    <mergeCell ref="C30:C37"/>
    <mergeCell ref="C39:C43"/>
  </mergeCells>
  <pageMargins bottom="1" footer="0.5" header="0.5" left="0.75" right="0.75" top="1"/>
  <pageSetup horizontalDpi="300" orientation="portrait" paperSize="9" verticalDpi="300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Q1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inlineStr">
        <is>
          <t>434</t>
        </is>
      </c>
      <c r="E4" s="9" t="inlineStr">
        <is>
          <t>6</t>
        </is>
      </c>
      <c r="F4" s="10" t="n"/>
      <c r="G4" s="11" t="inlineStr">
        <is>
          <t>上期发债券数</t>
        </is>
      </c>
      <c r="H4" s="384" t="inlineStr">
        <is>
          <t>0.00</t>
        </is>
      </c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inlineStr">
        <is>
          <t>338</t>
        </is>
      </c>
      <c r="E5" s="9" t="inlineStr">
        <is>
          <t>4</t>
        </is>
      </c>
      <c r="F5" s="10" t="n"/>
      <c r="G5" s="11" t="inlineStr">
        <is>
          <t>上期偿债本金</t>
        </is>
      </c>
      <c r="H5" s="13" t="inlineStr">
        <is>
          <t>540862.40</t>
        </is>
      </c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inlineStr">
        <is>
          <t>444528.00</t>
        </is>
      </c>
      <c r="E6" s="9" t="inlineStr">
        <is>
          <t>11</t>
        </is>
      </c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inlineStr">
        <is>
          <t>9527193.20</t>
        </is>
      </c>
      <c r="E7" s="9" t="inlineStr">
        <is>
          <t>8</t>
        </is>
      </c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第十五期!AF76</f>
        <v/>
      </c>
      <c r="BT7" s="218">
        <f>第十五期!AF77</f>
        <v/>
      </c>
      <c r="BU7" s="218">
        <f>第十五期!AF78</f>
        <v/>
      </c>
      <c r="BV7" s="218">
        <f>第十五期!AF79</f>
        <v/>
      </c>
      <c r="BW7" s="467">
        <f>第十五期!$AF$80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inlineStr">
        <is>
          <t>11876000.00</t>
        </is>
      </c>
      <c r="E8" s="9" t="inlineStr">
        <is>
          <t>5</t>
        </is>
      </c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第十五期!$AG$76</f>
        <v/>
      </c>
      <c r="BT8" s="218">
        <f>第十五期!$AG$77</f>
        <v/>
      </c>
      <c r="BU8" s="218">
        <f>第十五期!$AG$78</f>
        <v/>
      </c>
      <c r="BV8" s="218">
        <f>第十五期!$AG$79</f>
        <v/>
      </c>
      <c r="BW8" s="467">
        <f>第十五期!$AG$80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inlineStr">
        <is>
          <t>3652992.00</t>
        </is>
      </c>
      <c r="E9" s="9" t="inlineStr">
        <is>
          <t>7</t>
        </is>
      </c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第十五期!DB56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第十五期!$AH$76</f>
        <v/>
      </c>
      <c r="BT9" s="218">
        <f>第十五期!$AH$77</f>
        <v/>
      </c>
      <c r="BU9" s="218">
        <f>第十五期!$AH$78</f>
        <v/>
      </c>
      <c r="BV9" s="218">
        <f>第十五期!$AH$79</f>
        <v/>
      </c>
      <c r="BW9" s="467">
        <f>第十五期!$AH$80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inlineStr">
        <is>
          <t>0.00</t>
        </is>
      </c>
      <c r="E10" s="9" t="inlineStr">
        <is>
          <t>1</t>
        </is>
      </c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第十五期!DB57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第十五期!$AI$76</f>
        <v/>
      </c>
      <c r="BT10" s="218">
        <f>第十五期!$AI$77</f>
        <v/>
      </c>
      <c r="BU10" s="218">
        <f>第十五期!$AI$78</f>
        <v/>
      </c>
      <c r="BV10" s="218">
        <f>第十五期!$AI$79</f>
        <v/>
      </c>
      <c r="BW10" s="467">
        <f>第十五期!$AI$80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inlineStr">
        <is>
          <t>8089924.45</t>
        </is>
      </c>
      <c r="E11" s="9" t="inlineStr">
        <is>
          <t>3</t>
        </is>
      </c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第十五期!DB58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第十五期!$AJ$76</f>
        <v/>
      </c>
      <c r="BT11" s="467">
        <f>第十五期!$AJ$77</f>
        <v/>
      </c>
      <c r="BU11" s="467">
        <f>第十五期!$AJ$78</f>
        <v/>
      </c>
      <c r="BV11" s="467">
        <f>第十五期!$AJ$79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inlineStr">
        <is>
          <t>1900000.00</t>
        </is>
      </c>
      <c r="E12" s="9" t="inlineStr">
        <is>
          <t>16</t>
        </is>
      </c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第十五期!DB59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inlineStr">
        <is>
          <t>2402263.59</t>
        </is>
      </c>
      <c r="E13" s="9" t="inlineStr">
        <is>
          <t>4</t>
        </is>
      </c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第十五期!BU86</f>
        <v/>
      </c>
      <c r="AG13" s="135" t="inlineStr">
        <is>
          <t>售前现金</t>
        </is>
      </c>
      <c r="AH13" s="473">
        <f>第十五期!BV76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inlineStr">
        <is>
          <t>600565.90</t>
        </is>
      </c>
      <c r="E14" s="9" t="inlineStr">
        <is>
          <t>4</t>
        </is>
      </c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第十五期!BW92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第十五期!K12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第十五期!Y88</f>
        <v/>
      </c>
      <c r="BT14" s="218">
        <f>第十五期!Y89</f>
        <v/>
      </c>
      <c r="BU14" s="218">
        <f>第十五期!Y90</f>
        <v/>
      </c>
      <c r="BV14" s="218">
        <f>第十五期!Y91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inlineStr">
        <is>
          <t>2590340.00</t>
        </is>
      </c>
      <c r="E15" s="9" t="inlineStr">
        <is>
          <t>3</t>
        </is>
      </c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AF14/(Y18+第十五期!K8-AA18)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第十五期!K16*0.5-第十五期!K14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第十五期!Z88</f>
        <v/>
      </c>
      <c r="BT15" s="218">
        <f>第十五期!Z89</f>
        <v/>
      </c>
      <c r="BU15" s="218">
        <f>第十五期!Z90</f>
        <v/>
      </c>
      <c r="BV15" s="218">
        <f>第十五期!Z91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inlineStr">
        <is>
          <t>0.00</t>
        </is>
      </c>
      <c r="E16" s="9" t="inlineStr">
        <is>
          <t>1</t>
        </is>
      </c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第十五期!DM60</f>
        <v/>
      </c>
      <c r="Z16" s="92" t="inlineStr">
        <is>
          <t>生产成本</t>
        </is>
      </c>
      <c r="AA16" s="485">
        <f>AH20+Y16+第十五期!K9*比赛参数!D30*比赛参数!F30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第十五期!AA88</f>
        <v/>
      </c>
      <c r="BT16" s="218">
        <f>第十五期!AA89</f>
        <v/>
      </c>
      <c r="BU16" s="218">
        <f>第十五期!AA90</f>
        <v/>
      </c>
      <c r="BV16" s="218">
        <f>第十五期!AA91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inlineStr">
        <is>
          <t>3068612.19</t>
        </is>
      </c>
      <c r="E17" s="9" t="inlineStr">
        <is>
          <t>3</t>
        </is>
      </c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第十五期!AB88</f>
        <v/>
      </c>
      <c r="BT17" s="218">
        <f>第十五期!AB89</f>
        <v/>
      </c>
      <c r="BU17" s="218">
        <f>第十五期!AB90</f>
        <v/>
      </c>
      <c r="BV17" s="218">
        <f>第十五期!AB91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inlineStr">
        <is>
          <t>19164312.13</t>
        </is>
      </c>
      <c r="E18" s="9" t="inlineStr">
        <is>
          <t>4</t>
        </is>
      </c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inlineStr">
        <is>
          <t>5535.17</t>
        </is>
      </c>
      <c r="E19" s="9" t="inlineStr">
        <is>
          <t>5</t>
        </is>
      </c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第十五期!K8*比赛参数!D57</f>
        <v/>
      </c>
      <c r="Z19" s="104" t="inlineStr">
        <is>
          <t>Min</t>
        </is>
      </c>
      <c r="AA19" s="134">
        <f>第十五期!K8*比赛参数!D60</f>
        <v/>
      </c>
      <c r="AB19" s="104" t="inlineStr">
        <is>
          <t>Min</t>
        </is>
      </c>
      <c r="AC19" s="495">
        <f>IF((AC21-第十五期!K10)/比赛参数!D41&gt;0,(AC21-第十五期!K10)/比赛参数!D41,0)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IF((第十五期!BW92-第十五期!BS87)&gt;0,第十五期!BW92-第十五期!BS87,0)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第十五期!$CX$68</f>
        <v/>
      </c>
      <c r="CD19" s="497">
        <f>第十五期!$CX$69</f>
        <v/>
      </c>
      <c r="CE19" s="497">
        <f>第十五期!$CX$70</f>
        <v/>
      </c>
      <c r="CF19" s="497">
        <f>第十五期!$CX$71</f>
        <v/>
      </c>
      <c r="CG19" s="396" t="n"/>
      <c r="CH19" s="498" t="n"/>
      <c r="CI19" s="499" t="inlineStr">
        <is>
          <t>市场1</t>
        </is>
      </c>
      <c r="CJ19" s="497">
        <f>第十五期!$CX$50</f>
        <v/>
      </c>
      <c r="CK19" s="497">
        <f>第十五期!$CX$51</f>
        <v/>
      </c>
      <c r="CL19" s="497">
        <f>第十五期!$CX$52</f>
        <v/>
      </c>
      <c r="CM19" s="497">
        <f>第十五期!$CX$53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inlineStr">
        <is>
          <t>0.0881</t>
        </is>
      </c>
      <c r="E20" s="9" t="inlineStr">
        <is>
          <t>4</t>
        </is>
      </c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第十五期!K8+第十五期!Y18*比赛参数!D59-第十五期!AA18</f>
        <v/>
      </c>
      <c r="Z20" s="148" t="inlineStr">
        <is>
          <t>现有机器数</t>
        </is>
      </c>
      <c r="AA20" s="272">
        <f>第十五期!K9</f>
        <v/>
      </c>
      <c r="AB20" s="148" t="inlineStr">
        <is>
          <t>可用原材料</t>
        </is>
      </c>
      <c r="AC20" s="484">
        <f>AC18*比赛参数!D41+第十五期!K10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第十五期!BS62+第十五期!BS71</f>
        <v/>
      </c>
      <c r="AI20" s="73" t="inlineStr">
        <is>
          <t>期末现金</t>
        </is>
      </c>
      <c r="AJ20" s="484">
        <f>第十五期!BV90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第十五期!Y9</f>
        <v/>
      </c>
      <c r="BT20" s="218">
        <f>第十五期!Z9</f>
        <v/>
      </c>
      <c r="BU20" s="218">
        <f>第十五期!AA9</f>
        <v/>
      </c>
      <c r="BV20" s="218">
        <f>第十五期!AB9</f>
        <v/>
      </c>
      <c r="BW20" s="467">
        <f>第十五期!AJ34</f>
        <v/>
      </c>
      <c r="BX20" s="215" t="n"/>
      <c r="CA20" s="213" t="n"/>
      <c r="CB20" s="196" t="inlineStr">
        <is>
          <t>市场2</t>
        </is>
      </c>
      <c r="CC20" s="497">
        <f>第十五期!$CY$68</f>
        <v/>
      </c>
      <c r="CD20" s="497">
        <f>第十五期!$CY$69</f>
        <v/>
      </c>
      <c r="CE20" s="497">
        <f>第十五期!$CY$70</f>
        <v/>
      </c>
      <c r="CF20" s="497">
        <f>第十五期!$CY$71</f>
        <v/>
      </c>
      <c r="CG20" s="396" t="n"/>
      <c r="CH20" s="498" t="n"/>
      <c r="CI20" s="502" t="inlineStr">
        <is>
          <t>市场2</t>
        </is>
      </c>
      <c r="CJ20" s="497">
        <f>第十五期!$CY$50</f>
        <v/>
      </c>
      <c r="CK20" s="497">
        <f>第十五期!$CY$51</f>
        <v/>
      </c>
      <c r="CL20" s="497">
        <f>第十五期!$CY$52</f>
        <v/>
      </c>
      <c r="CM20" s="497">
        <f>第十五期!$CY$53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inlineStr">
        <is>
          <t>0.755</t>
        </is>
      </c>
      <c r="E21" s="9" t="inlineStr">
        <is>
          <t>3</t>
        </is>
      </c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第十五期!Y10</f>
        <v/>
      </c>
      <c r="BT21" s="218">
        <f>第十五期!Z10</f>
        <v/>
      </c>
      <c r="BU21" s="218">
        <f>第十五期!AA10</f>
        <v/>
      </c>
      <c r="BV21" s="218">
        <f>第十五期!AB10</f>
        <v/>
      </c>
      <c r="BW21" s="467">
        <f>第十五期!AJ35</f>
        <v/>
      </c>
      <c r="BX21" s="215" t="n"/>
      <c r="CA21" s="213" t="n"/>
      <c r="CB21" s="196" t="inlineStr">
        <is>
          <t>市场3</t>
        </is>
      </c>
      <c r="CC21" s="497">
        <f>第十五期!$CZ$68</f>
        <v/>
      </c>
      <c r="CD21" s="497">
        <f>第十五期!$CZ$69</f>
        <v/>
      </c>
      <c r="CE21" s="497">
        <f>第十五期!$CZ$70</f>
        <v/>
      </c>
      <c r="CF21" s="497">
        <f>第十五期!$CZ$71</f>
        <v/>
      </c>
      <c r="CG21" s="396" t="n"/>
      <c r="CH21" s="498" t="n"/>
      <c r="CI21" s="502" t="inlineStr">
        <is>
          <t>市场3</t>
        </is>
      </c>
      <c r="CJ21" s="497">
        <f>第十五期!$CZ$50</f>
        <v/>
      </c>
      <c r="CK21" s="497">
        <f>第十五期!$CZ$51</f>
        <v/>
      </c>
      <c r="CL21" s="497">
        <f>第十五期!$CZ$52</f>
        <v/>
      </c>
      <c r="CM21" s="497">
        <f>第十五期!$CZ$53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第十五期!Y11</f>
        <v/>
      </c>
      <c r="BT22" s="218">
        <f>第十五期!Z11</f>
        <v/>
      </c>
      <c r="BU22" s="218">
        <f>第十五期!AA11</f>
        <v/>
      </c>
      <c r="BV22" s="218">
        <f>第十五期!AB11</f>
        <v/>
      </c>
      <c r="BW22" s="467">
        <f>第十五期!AJ36</f>
        <v/>
      </c>
      <c r="BX22" s="215" t="n"/>
      <c r="CA22" s="213" t="n"/>
      <c r="CB22" s="196" t="inlineStr">
        <is>
          <t>市场4</t>
        </is>
      </c>
      <c r="CC22" s="497">
        <f>第十五期!$DA$68</f>
        <v/>
      </c>
      <c r="CD22" s="497">
        <f>第十五期!$DA$69</f>
        <v/>
      </c>
      <c r="CE22" s="497">
        <f>第十五期!$DA$70</f>
        <v/>
      </c>
      <c r="CF22" s="497">
        <f>第十五期!$DA$71</f>
        <v/>
      </c>
      <c r="CG22" s="396" t="n"/>
      <c r="CH22" s="498" t="n"/>
      <c r="CI22" s="502" t="inlineStr">
        <is>
          <t>市场4</t>
        </is>
      </c>
      <c r="CJ22" s="497">
        <f>第十五期!$DA$50</f>
        <v/>
      </c>
      <c r="CK22" s="497">
        <f>第十五期!$DA$51</f>
        <v/>
      </c>
      <c r="CL22" s="497">
        <f>第十五期!$DA$52</f>
        <v/>
      </c>
      <c r="CM22" s="497">
        <f>第十五期!$DA$53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第十五期!Y12</f>
        <v/>
      </c>
      <c r="BT23" s="218">
        <f>第十五期!Z12</f>
        <v/>
      </c>
      <c r="BU23" s="218">
        <f>第十五期!AA12</f>
        <v/>
      </c>
      <c r="BV23" s="218">
        <f>第十五期!AB12</f>
        <v/>
      </c>
      <c r="BW23" s="467">
        <f>第十五期!AJ37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inlineStr">
        <is>
          <t>1</t>
        </is>
      </c>
      <c r="F24" s="9" t="inlineStr">
        <is>
          <t>132</t>
        </is>
      </c>
      <c r="G24" s="9" t="inlineStr">
        <is>
          <t>133</t>
        </is>
      </c>
      <c r="H24" s="19" t="inlineStr">
        <is>
          <t>8.78%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7</t>
        </is>
      </c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inlineStr">
        <is>
          <t>4</t>
        </is>
      </c>
      <c r="F25" s="9" t="inlineStr">
        <is>
          <t>129</t>
        </is>
      </c>
      <c r="G25" s="9" t="inlineStr">
        <is>
          <t>133</t>
        </is>
      </c>
      <c r="H25" s="19" t="inlineStr">
        <is>
          <t>9.43%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7</t>
        </is>
      </c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inlineStr">
        <is>
          <t>0</t>
        </is>
      </c>
      <c r="F26" s="9" t="inlineStr">
        <is>
          <t>197</t>
        </is>
      </c>
      <c r="G26" s="9" t="inlineStr">
        <is>
          <t>197</t>
        </is>
      </c>
      <c r="H26" s="19" t="inlineStr">
        <is>
          <t>9.37%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10</t>
        </is>
      </c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第十五期!BV57-第十五期!BV76</f>
        <v/>
      </c>
      <c r="AJ26" s="294">
        <f>第十五期!K9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第十五期!DB50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第十五期!Y18</f>
        <v/>
      </c>
      <c r="BT26" s="218">
        <f>第十五期!AA18</f>
        <v/>
      </c>
      <c r="BU26" s="218">
        <f>第十五期!AF18</f>
        <v/>
      </c>
      <c r="BV26" s="511">
        <f>第十五期!AC18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inlineStr">
        <is>
          <t>0</t>
        </is>
      </c>
      <c r="F27" s="9" t="inlineStr">
        <is>
          <t>198</t>
        </is>
      </c>
      <c r="G27" s="9" t="inlineStr">
        <is>
          <t>198</t>
        </is>
      </c>
      <c r="H27" s="19" t="inlineStr">
        <is>
          <t>9.30%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10</t>
        </is>
      </c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第十五期!DB51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inlineStr">
        <is>
          <t>1</t>
        </is>
      </c>
      <c r="F28" s="9" t="inlineStr">
        <is>
          <t>121</t>
        </is>
      </c>
      <c r="G28" s="9" t="inlineStr">
        <is>
          <t>122</t>
        </is>
      </c>
      <c r="H28" s="19" t="inlineStr">
        <is>
          <t>9.58%</t>
        </is>
      </c>
      <c r="I28" s="9" t="inlineStr">
        <is>
          <t>0</t>
        </is>
      </c>
      <c r="J28" s="9" t="inlineStr">
        <is>
          <t>0</t>
        </is>
      </c>
      <c r="K28" s="9" t="inlineStr">
        <is>
          <t>6</t>
        </is>
      </c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第十五期!DB52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inlineStr">
        <is>
          <t>0</t>
        </is>
      </c>
      <c r="F29" s="9" t="inlineStr">
        <is>
          <t>122</t>
        </is>
      </c>
      <c r="G29" s="9" t="inlineStr">
        <is>
          <t>122</t>
        </is>
      </c>
      <c r="H29" s="19" t="inlineStr">
        <is>
          <t>9.71%</t>
        </is>
      </c>
      <c r="I29" s="9" t="inlineStr">
        <is>
          <t>0</t>
        </is>
      </c>
      <c r="J29" s="9" t="inlineStr">
        <is>
          <t>0</t>
        </is>
      </c>
      <c r="K29" s="9" t="inlineStr">
        <is>
          <t>6</t>
        </is>
      </c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第十五期!DB53</f>
        <v/>
      </c>
      <c r="BQ29" s="507" t="n"/>
      <c r="BS29" s="511">
        <f>第十五期!AH14</f>
        <v/>
      </c>
      <c r="BT29" s="511">
        <f>第十五期!AH15</f>
        <v/>
      </c>
      <c r="BU29" s="218">
        <f>第十五期!AF20</f>
        <v/>
      </c>
      <c r="BV29" s="511">
        <f>第十五期!AJ18</f>
        <v/>
      </c>
      <c r="BW29" s="218">
        <f>第十五期!AH18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inlineStr">
        <is>
          <t>0</t>
        </is>
      </c>
      <c r="F30" s="9" t="inlineStr">
        <is>
          <t>182</t>
        </is>
      </c>
      <c r="G30" s="9" t="inlineStr">
        <is>
          <t>182</t>
        </is>
      </c>
      <c r="H30" s="19" t="inlineStr">
        <is>
          <t>10.72%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10</t>
        </is>
      </c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inlineStr">
        <is>
          <t>0</t>
        </is>
      </c>
      <c r="F31" s="9" t="inlineStr">
        <is>
          <t>182</t>
        </is>
      </c>
      <c r="G31" s="9" t="inlineStr">
        <is>
          <t>182</t>
        </is>
      </c>
      <c r="H31" s="19" t="inlineStr">
        <is>
          <t>10.61%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10</t>
        </is>
      </c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inlineStr">
        <is>
          <t>0</t>
        </is>
      </c>
      <c r="F32" s="9" t="inlineStr">
        <is>
          <t>51</t>
        </is>
      </c>
      <c r="G32" s="9" t="inlineStr">
        <is>
          <t>51</t>
        </is>
      </c>
      <c r="H32" s="19" t="inlineStr">
        <is>
          <t>6.18%</t>
        </is>
      </c>
      <c r="I32" s="9" t="inlineStr">
        <is>
          <t>0</t>
        </is>
      </c>
      <c r="J32" s="9" t="inlineStr">
        <is>
          <t>4</t>
        </is>
      </c>
      <c r="K32" s="9" t="inlineStr">
        <is>
          <t>2</t>
        </is>
      </c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inlineStr">
        <is>
          <t>0</t>
        </is>
      </c>
      <c r="F33" s="9" t="inlineStr">
        <is>
          <t>52</t>
        </is>
      </c>
      <c r="G33" s="9" t="inlineStr">
        <is>
          <t>52</t>
        </is>
      </c>
      <c r="H33" s="19" t="inlineStr">
        <is>
          <t>6.33%</t>
        </is>
      </c>
      <c r="I33" s="9" t="inlineStr">
        <is>
          <t>0</t>
        </is>
      </c>
      <c r="J33" s="9" t="inlineStr">
        <is>
          <t>2</t>
        </is>
      </c>
      <c r="K33" s="9" t="inlineStr">
        <is>
          <t>2</t>
        </is>
      </c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inlineStr">
        <is>
          <t>0</t>
        </is>
      </c>
      <c r="F34" s="9" t="inlineStr">
        <is>
          <t>66</t>
        </is>
      </c>
      <c r="G34" s="9" t="inlineStr">
        <is>
          <t>66</t>
        </is>
      </c>
      <c r="H34" s="19" t="inlineStr">
        <is>
          <t>6.61%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3</t>
        </is>
      </c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INT(第十五期!DV26)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inlineStr">
        <is>
          <t>0</t>
        </is>
      </c>
      <c r="F35" s="9" t="inlineStr">
        <is>
          <t>66</t>
        </is>
      </c>
      <c r="G35" s="9" t="inlineStr">
        <is>
          <t>66</t>
        </is>
      </c>
      <c r="H35" s="19" t="inlineStr">
        <is>
          <t>6.15%</t>
        </is>
      </c>
      <c r="I35" s="9" t="inlineStr">
        <is>
          <t>0</t>
        </is>
      </c>
      <c r="J35" s="9" t="inlineStr">
        <is>
          <t>0</t>
        </is>
      </c>
      <c r="K35" s="9" t="inlineStr">
        <is>
          <t>3</t>
        </is>
      </c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INT(第十五期!DV27)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inlineStr">
        <is>
          <t>0</t>
        </is>
      </c>
      <c r="F36" s="9" t="inlineStr">
        <is>
          <t>50</t>
        </is>
      </c>
      <c r="G36" s="9" t="inlineStr">
        <is>
          <t>50</t>
        </is>
      </c>
      <c r="H36" s="19" t="inlineStr">
        <is>
          <t>6.35%</t>
        </is>
      </c>
      <c r="I36" s="9" t="inlineStr">
        <is>
          <t>0</t>
        </is>
      </c>
      <c r="J36" s="9" t="inlineStr">
        <is>
          <t>3</t>
        </is>
      </c>
      <c r="K36" s="9" t="inlineStr">
        <is>
          <t>2</t>
        </is>
      </c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INT(第十五期!DV28)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inlineStr">
        <is>
          <t>0</t>
        </is>
      </c>
      <c r="F37" s="9" t="inlineStr">
        <is>
          <t>47</t>
        </is>
      </c>
      <c r="G37" s="9" t="inlineStr">
        <is>
          <t>47</t>
        </is>
      </c>
      <c r="H37" s="19" t="inlineStr">
        <is>
          <t>6.22%</t>
        </is>
      </c>
      <c r="I37" s="9" t="inlineStr">
        <is>
          <t>0</t>
        </is>
      </c>
      <c r="J37" s="9" t="inlineStr">
        <is>
          <t>0</t>
        </is>
      </c>
      <c r="K37" s="9" t="inlineStr">
        <is>
          <t>2</t>
        </is>
      </c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INT(第十五期!DV29)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inlineStr">
        <is>
          <t>0</t>
        </is>
      </c>
      <c r="F38" s="9" t="inlineStr">
        <is>
          <t>66</t>
        </is>
      </c>
      <c r="G38" s="9" t="inlineStr">
        <is>
          <t>66</t>
        </is>
      </c>
      <c r="H38" s="19" t="inlineStr">
        <is>
          <t>7.43%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3</t>
        </is>
      </c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第十五期!DG56*第十五期!DG50+第十五期!DG64*第十五期!Y88</f>
        <v/>
      </c>
      <c r="CD38" s="272">
        <f>第十五期!DH56*第十五期!DH50+第十五期!DH64*第十五期!Z88</f>
        <v/>
      </c>
      <c r="CE38" s="272">
        <f>第十五期!DI56*第十五期!DI50+第十五期!DI64*第十五期!AA88</f>
        <v/>
      </c>
      <c r="CF38" s="272">
        <f>第十五期!DJ56*第十五期!DJ50+第十五期!DJ64*第十五期!AB88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inlineStr">
        <is>
          <t>0</t>
        </is>
      </c>
      <c r="F39" s="9" t="inlineStr">
        <is>
          <t>66</t>
        </is>
      </c>
      <c r="G39" s="9" t="inlineStr">
        <is>
          <t>66</t>
        </is>
      </c>
      <c r="H39" s="19" t="inlineStr">
        <is>
          <t>7.42%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3</t>
        </is>
      </c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第十五期!DG57*第十五期!DG51+第十五期!DG65*第十五期!Y89</f>
        <v/>
      </c>
      <c r="CD39" s="272">
        <f>第十五期!DH57*第十五期!DH51+第十五期!DH65*第十五期!Z89</f>
        <v/>
      </c>
      <c r="CE39" s="272">
        <f>第十五期!DI57*第十五期!DI51+第十五期!DI65*第十五期!AA89</f>
        <v/>
      </c>
      <c r="CF39" s="272">
        <f>第十五期!DJ57*第十五期!DJ51+第十五期!DJ65*第十五期!AB89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第十五期!DG58*第十五期!DG52+第十五期!DG66*第十五期!Y90</f>
        <v/>
      </c>
      <c r="CD40" s="272">
        <f>第十五期!DH58*第十五期!DH52+第十五期!DH66*第十五期!Z90</f>
        <v/>
      </c>
      <c r="CE40" s="272">
        <f>第十五期!DI58*第十五期!DI52+第十五期!DI66*第十五期!AA90</f>
        <v/>
      </c>
      <c r="CF40" s="272">
        <f>第十五期!DJ58*第十五期!DJ52+第十五期!DJ66*第十五期!AB90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第十五期!DG59*第十五期!DG53+第十五期!DG67*第十五期!Y91</f>
        <v/>
      </c>
      <c r="CD41" s="272">
        <f>第十五期!DH59*第十五期!DH53+第十五期!DH67*第十五期!Z91</f>
        <v/>
      </c>
      <c r="CE41" s="272">
        <f>第十五期!DI59*第十五期!DI53+第十五期!DI67*第十五期!AA91</f>
        <v/>
      </c>
      <c r="CF41" s="272">
        <f>第十五期!DJ59*第十五期!DJ53+第十五期!DJ67*第十五期!AB91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173</t>
        </is>
      </c>
      <c r="D42" s="9" t="inlineStr">
        <is>
          <t>173</t>
        </is>
      </c>
      <c r="E42" s="9" t="inlineStr">
        <is>
          <t>0.00</t>
        </is>
      </c>
      <c r="F42" s="14" t="inlineStr">
        <is>
          <t>350000.00</t>
        </is>
      </c>
      <c r="G42" s="9" t="inlineStr">
        <is>
          <t>3.000</t>
        </is>
      </c>
      <c r="H42" s="9" t="inlineStr">
        <is>
          <t>0.950</t>
        </is>
      </c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162</t>
        </is>
      </c>
      <c r="D43" s="9" t="inlineStr">
        <is>
          <t>162</t>
        </is>
      </c>
      <c r="E43" s="9" t="inlineStr">
        <is>
          <t>0.00</t>
        </is>
      </c>
      <c r="F43" s="14" t="inlineStr">
        <is>
          <t>500000.00</t>
        </is>
      </c>
      <c r="G43" s="9" t="inlineStr">
        <is>
          <t>3.000</t>
        </is>
      </c>
      <c r="H43" s="9" t="inlineStr">
        <is>
          <t>0.950</t>
        </is>
      </c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59</t>
        </is>
      </c>
      <c r="D44" s="9" t="inlineStr">
        <is>
          <t>59</t>
        </is>
      </c>
      <c r="E44" s="9" t="inlineStr">
        <is>
          <t>0.00</t>
        </is>
      </c>
      <c r="F44" s="9" t="inlineStr">
        <is>
          <t>450000.00</t>
        </is>
      </c>
      <c r="G44" s="9" t="inlineStr">
        <is>
          <t>2.000</t>
        </is>
      </c>
      <c r="H44" s="9" t="inlineStr">
        <is>
          <t>0.950</t>
        </is>
      </c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57</t>
        </is>
      </c>
      <c r="D45" s="9" t="inlineStr">
        <is>
          <t>57</t>
        </is>
      </c>
      <c r="E45" s="9" t="inlineStr">
        <is>
          <t>0.00</t>
        </is>
      </c>
      <c r="F45" s="9" t="inlineStr">
        <is>
          <t>600000.00</t>
        </is>
      </c>
      <c r="G45" s="9" t="inlineStr">
        <is>
          <t>2.000</t>
        </is>
      </c>
      <c r="H45" s="9" t="inlineStr">
        <is>
          <t>0.950</t>
        </is>
      </c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inlineStr">
        <is>
          <t>3288</t>
        </is>
      </c>
      <c r="E50" s="26" t="inlineStr">
        <is>
          <t>3288</t>
        </is>
      </c>
      <c r="F50" s="26" t="inlineStr">
        <is>
          <t>3428</t>
        </is>
      </c>
      <c r="G50" s="26" t="inlineStr">
        <is>
          <t>3528</t>
        </is>
      </c>
      <c r="H50" s="26" t="inlineStr">
        <is>
          <t>6428</t>
        </is>
      </c>
      <c r="I50" s="26" t="inlineStr">
        <is>
          <t>6428</t>
        </is>
      </c>
      <c r="J50" s="26" t="inlineStr">
        <is>
          <t>6788</t>
        </is>
      </c>
      <c r="K50" s="26" t="inlineStr">
        <is>
          <t>6688</t>
        </is>
      </c>
      <c r="L50" s="26" t="inlineStr">
        <is>
          <t>9128</t>
        </is>
      </c>
      <c r="M50" s="26" t="inlineStr">
        <is>
          <t>9128</t>
        </is>
      </c>
      <c r="N50" s="26" t="inlineStr">
        <is>
          <t>9628</t>
        </is>
      </c>
      <c r="O50" s="26" t="inlineStr">
        <is>
          <t>9628</t>
        </is>
      </c>
      <c r="P50" s="26" t="inlineStr">
        <is>
          <t>12488</t>
        </is>
      </c>
      <c r="Q50" s="26" t="inlineStr">
        <is>
          <t>12488</t>
        </is>
      </c>
      <c r="R50" s="26" t="inlineStr">
        <is>
          <t>13488</t>
        </is>
      </c>
      <c r="S50" s="26" t="inlineStr">
        <is>
          <t>13488</t>
        </is>
      </c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第十五期!Y9*第十五期!CQ62*比赛参数!D65</f>
        <v/>
      </c>
      <c r="CR50" s="294">
        <f>第十五期!Z9*第十五期!CR62*比赛参数!E65</f>
        <v/>
      </c>
      <c r="CS50" s="294">
        <f>第十五期!AA9*第十五期!CS62*比赛参数!F65</f>
        <v/>
      </c>
      <c r="CT50" s="294">
        <f>第十五期!AB9*第十五期!CT62*比赛参数!G65</f>
        <v/>
      </c>
      <c r="CU50" s="294">
        <f>IF(第十五期!AC9&gt;0,SUM(CQ50:CT50)/第十五期!AC9,0)</f>
        <v/>
      </c>
      <c r="CW50" s="11" t="inlineStr">
        <is>
          <t>A产品</t>
        </is>
      </c>
      <c r="CX50" s="525">
        <f>IF(第十五期!$CU$50*第十五期!CQ93&gt;0,第十五期!$CU$50+第十五期!CQ68+第十五期!CQ93+第十五期!CQ74,0)</f>
        <v/>
      </c>
      <c r="CY50" s="525">
        <f>IF(第十五期!$CU$50*第十五期!CR93&gt;0,第十五期!$CU$50+第十五期!CR68+第十五期!CR93+第十五期!CR74,0)</f>
        <v/>
      </c>
      <c r="CZ50" s="525">
        <f>IF(第十五期!$CU$50*第十五期!CS93&gt;0,第十五期!$CU$50+第十五期!CS68+第十五期!CS93+第十五期!CS74,0)</f>
        <v/>
      </c>
      <c r="DA50" s="525">
        <f>IF(第十五期!$CU$50*第十五期!CT93&gt;0,第十五期!$CU$50+第十五期!CT68+第十五期!CT93+第十五期!CT74,0)</f>
        <v/>
      </c>
      <c r="DB50" s="525">
        <f>AVERAGE(CX50:DA50)</f>
        <v/>
      </c>
      <c r="DF50" s="294" t="inlineStr">
        <is>
          <t>市场1</t>
        </is>
      </c>
      <c r="DG50" s="247">
        <f>IF(第十五期!Y88&gt;0,1,0)</f>
        <v/>
      </c>
      <c r="DH50" s="247">
        <f>IF(第十五期!Z88&gt;0,1,0)</f>
        <v/>
      </c>
      <c r="DI50" s="247">
        <f>IF(第十五期!AA88&gt;0,1,0)</f>
        <v/>
      </c>
      <c r="DJ50" s="247">
        <f>IF(第十五期!AB88&gt;0,1,0)</f>
        <v/>
      </c>
      <c r="DL50" s="247" t="inlineStr">
        <is>
          <t>产品A</t>
        </is>
      </c>
      <c r="DM50" s="248">
        <f>IF(第十五期!Y9+第十五期!Z9&gt;0,1,0)</f>
        <v/>
      </c>
      <c r="DN50" s="248">
        <f>IF(第十五期!AA9+第十五期!AB9&gt;0,1,0)</f>
        <v/>
      </c>
      <c r="DO50" s="246" t="n"/>
    </row>
    <row r="51" s="353">
      <c r="B51" s="441" t="n"/>
      <c r="C51" s="25" t="n">
        <v>2</v>
      </c>
      <c r="D51" s="26" t="inlineStr">
        <is>
          <t>1</t>
        </is>
      </c>
      <c r="E51" s="26" t="inlineStr">
        <is>
          <t>1</t>
        </is>
      </c>
      <c r="F51" s="26" t="inlineStr">
        <is>
          <t>1</t>
        </is>
      </c>
      <c r="G51" s="26" t="inlineStr">
        <is>
          <t>1</t>
        </is>
      </c>
      <c r="H51" s="26" t="inlineStr">
        <is>
          <t>1</t>
        </is>
      </c>
      <c r="I51" s="26" t="inlineStr">
        <is>
          <t>6699</t>
        </is>
      </c>
      <c r="J51" s="26" t="inlineStr">
        <is>
          <t>1</t>
        </is>
      </c>
      <c r="K51" s="26" t="inlineStr">
        <is>
          <t>1</t>
        </is>
      </c>
      <c r="L51" s="26" t="inlineStr">
        <is>
          <t>7599</t>
        </is>
      </c>
      <c r="M51" s="26" t="inlineStr">
        <is>
          <t>7599</t>
        </is>
      </c>
      <c r="N51" s="26" t="inlineStr">
        <is>
          <t>8099</t>
        </is>
      </c>
      <c r="O51" s="26" t="inlineStr">
        <is>
          <t>8099</t>
        </is>
      </c>
      <c r="P51" s="26" t="inlineStr">
        <is>
          <t>9899</t>
        </is>
      </c>
      <c r="Q51" s="26" t="inlineStr">
        <is>
          <t>10499</t>
        </is>
      </c>
      <c r="R51" s="26" t="inlineStr">
        <is>
          <t>10699</t>
        </is>
      </c>
      <c r="S51" s="26" t="inlineStr">
        <is>
          <t>10699</t>
        </is>
      </c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第十五期!Y10*第十五期!CQ63*比赛参数!D65</f>
        <v/>
      </c>
      <c r="CR51" s="294">
        <f>第十五期!Z10*第十五期!CR63*比赛参数!E65</f>
        <v/>
      </c>
      <c r="CS51" s="294">
        <f>第十五期!AA10*第十五期!CS63*比赛参数!F65</f>
        <v/>
      </c>
      <c r="CT51" s="294">
        <f>第十五期!AB10*第十五期!CT63*比赛参数!G65</f>
        <v/>
      </c>
      <c r="CU51" s="294">
        <f>IF(第十五期!AC10&gt;0,SUM(CQ51:CT51)/第十五期!AC10,0)</f>
        <v/>
      </c>
      <c r="CW51" s="11" t="inlineStr">
        <is>
          <t>B产品</t>
        </is>
      </c>
      <c r="CX51" s="525">
        <f>IF(第十五期!$CU$51*第十五期!CQ94&gt;0,第十五期!$CU$51+第十五期!CQ69+第十五期!CQ94+第十五期!CQ75,0)</f>
        <v/>
      </c>
      <c r="CY51" s="525">
        <f>IF(第十五期!$CU$51*第十五期!CR94&gt;0,第十五期!$CU$51+第十五期!CR69+第十五期!CR94+第十五期!CR75,0)</f>
        <v/>
      </c>
      <c r="CZ51" s="525">
        <f>IF(第十五期!$CU$51*第十五期!CS94&gt;0,第十五期!$CU$51+第十五期!CS69+第十五期!CS94+第十五期!CS75,0)</f>
        <v/>
      </c>
      <c r="DA51" s="525">
        <f>IF(第十五期!$CU$51*第十五期!CT94&gt;0,第十五期!$CU$51+第十五期!CT69+第十五期!CT94+第十五期!CT75,0)</f>
        <v/>
      </c>
      <c r="DB51" s="525">
        <f>AVERAGE(CX51:DA51)</f>
        <v/>
      </c>
      <c r="DF51" s="294" t="inlineStr">
        <is>
          <t>市场2</t>
        </is>
      </c>
      <c r="DG51" s="247">
        <f>IF(第十五期!Y89&gt;0,1,0)</f>
        <v/>
      </c>
      <c r="DH51" s="247">
        <f>IF(第十五期!Z89&gt;0,1,0)</f>
        <v/>
      </c>
      <c r="DI51" s="247">
        <f>IF(第十五期!AA89&gt;0,1,0)</f>
        <v/>
      </c>
      <c r="DJ51" s="247">
        <f>IF(第十五期!AB89&gt;0,1,0)</f>
        <v/>
      </c>
      <c r="DL51" s="247" t="inlineStr">
        <is>
          <t>产品B</t>
        </is>
      </c>
      <c r="DM51" s="248">
        <f>IF(第十五期!Y10+第十五期!Z10&gt;0,1,0)</f>
        <v/>
      </c>
      <c r="DN51" s="248">
        <f>IF(第十五期!AA10+第十五期!AB10&gt;0,1,0)</f>
        <v/>
      </c>
      <c r="DO51" s="246" t="n"/>
    </row>
    <row r="52" s="353">
      <c r="B52" s="441" t="n"/>
      <c r="C52" s="25" t="n">
        <v>3</v>
      </c>
      <c r="D52" s="26" t="inlineStr">
        <is>
          <t>3148</t>
        </is>
      </c>
      <c r="E52" s="26" t="inlineStr">
        <is>
          <t>3158</t>
        </is>
      </c>
      <c r="F52" s="26" t="inlineStr">
        <is>
          <t>3348</t>
        </is>
      </c>
      <c r="G52" s="26" t="inlineStr">
        <is>
          <t>3348</t>
        </is>
      </c>
      <c r="H52" s="26" t="inlineStr">
        <is>
          <t>6179</t>
        </is>
      </c>
      <c r="I52" s="26" t="inlineStr">
        <is>
          <t>6189</t>
        </is>
      </c>
      <c r="J52" s="26" t="inlineStr">
        <is>
          <t>6389</t>
        </is>
      </c>
      <c r="K52" s="26" t="inlineStr">
        <is>
          <t>6389</t>
        </is>
      </c>
      <c r="L52" s="26" t="inlineStr">
        <is>
          <t>9148</t>
        </is>
      </c>
      <c r="M52" s="26" t="inlineStr">
        <is>
          <t>9148</t>
        </is>
      </c>
      <c r="N52" s="26" t="inlineStr">
        <is>
          <t>9548</t>
        </is>
      </c>
      <c r="O52" s="26" t="inlineStr">
        <is>
          <t>9549</t>
        </is>
      </c>
      <c r="P52" s="26" t="inlineStr">
        <is>
          <t>12222</t>
        </is>
      </c>
      <c r="Q52" s="26" t="inlineStr">
        <is>
          <t>12222</t>
        </is>
      </c>
      <c r="R52" s="26" t="inlineStr">
        <is>
          <t>12998</t>
        </is>
      </c>
      <c r="S52" s="26" t="inlineStr">
        <is>
          <t>12998</t>
        </is>
      </c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第十五期!Y11*第十五期!CQ64*比赛参数!D65</f>
        <v/>
      </c>
      <c r="CR52" s="294">
        <f>第十五期!Z11*第十五期!CR64*比赛参数!E65</f>
        <v/>
      </c>
      <c r="CS52" s="294">
        <f>第十五期!AA11*第十五期!CS64*比赛参数!F65</f>
        <v/>
      </c>
      <c r="CT52" s="294">
        <f>第十五期!AB11*第十五期!CT64*比赛参数!G65</f>
        <v/>
      </c>
      <c r="CU52" s="294">
        <f>IF(第十五期!AC11&gt;0,SUM(CQ52:CT52)/第十五期!AC11,0)</f>
        <v/>
      </c>
      <c r="CW52" s="11" t="inlineStr">
        <is>
          <t>C产品</t>
        </is>
      </c>
      <c r="CX52" s="525">
        <f>IF(第十五期!$CU$52*第十五期!CQ95&gt;0,第十五期!$CU$52+第十五期!CQ70+第十五期!CQ95+第十五期!CQ76,0)</f>
        <v/>
      </c>
      <c r="CY52" s="525">
        <f>IF(第十五期!$CU$52*第十五期!CR95&gt;0,第十五期!$CU$52+第十五期!CR70+第十五期!CR95+第十五期!CR76,0)</f>
        <v/>
      </c>
      <c r="CZ52" s="525">
        <f>IF(第十五期!$CU$52*第十五期!CS95&gt;0,第十五期!$CU$52+第十五期!CS70+第十五期!CS95+第十五期!CS76,0)</f>
        <v/>
      </c>
      <c r="DA52" s="525">
        <f>IF(第十五期!$CU$52*第十五期!CT95&gt;0,第十五期!$CU$52+第十五期!CT70+第十五期!CT95+第十五期!CT76,0)</f>
        <v/>
      </c>
      <c r="DB52" s="525">
        <f>AVERAGE(CX52:DA52)</f>
        <v/>
      </c>
      <c r="DF52" s="294" t="inlineStr">
        <is>
          <t>市场3</t>
        </is>
      </c>
      <c r="DG52" s="247">
        <f>IF(第十五期!Y90&gt;0,1,0)</f>
        <v/>
      </c>
      <c r="DH52" s="247">
        <f>IF(第十五期!Z90&gt;0,1,0)</f>
        <v/>
      </c>
      <c r="DI52" s="247">
        <f>IF(第十五期!AA90&gt;0,1,0)</f>
        <v/>
      </c>
      <c r="DJ52" s="247">
        <f>IF(第十五期!AB90&gt;0,1,0)</f>
        <v/>
      </c>
      <c r="DL52" s="247" t="inlineStr">
        <is>
          <t>产品C</t>
        </is>
      </c>
      <c r="DM52" s="248">
        <f>IF(第十五期!Y11+第十五期!Z11&gt;0,1,0)</f>
        <v/>
      </c>
      <c r="DN52" s="248">
        <f>IF(第十五期!AA11+第十五期!AB11&gt;0,1,0)</f>
        <v/>
      </c>
      <c r="DO52" s="246" t="n"/>
    </row>
    <row r="53" s="353">
      <c r="B53" s="441" t="n"/>
      <c r="C53" s="25" t="n">
        <v>4</v>
      </c>
      <c r="D53" s="26" t="inlineStr">
        <is>
          <t>3330</t>
        </is>
      </c>
      <c r="E53" s="26" t="inlineStr">
        <is>
          <t>3305</t>
        </is>
      </c>
      <c r="F53" s="26" t="inlineStr">
        <is>
          <t>3650</t>
        </is>
      </c>
      <c r="G53" s="26" t="inlineStr">
        <is>
          <t>3680</t>
        </is>
      </c>
      <c r="H53" s="26" t="inlineStr">
        <is>
          <t>6680</t>
        </is>
      </c>
      <c r="I53" s="26" t="inlineStr">
        <is>
          <t>6630</t>
        </is>
      </c>
      <c r="J53" s="26" t="inlineStr">
        <is>
          <t>6930</t>
        </is>
      </c>
      <c r="K53" s="26" t="inlineStr">
        <is>
          <t>6980</t>
        </is>
      </c>
      <c r="L53" s="26" t="inlineStr">
        <is>
          <t>9615</t>
        </is>
      </c>
      <c r="M53" s="26" t="inlineStr">
        <is>
          <t>9620</t>
        </is>
      </c>
      <c r="N53" s="26" t="inlineStr">
        <is>
          <t>9900</t>
        </is>
      </c>
      <c r="O53" s="26" t="inlineStr">
        <is>
          <t>9950</t>
        </is>
      </c>
      <c r="P53" s="26" t="inlineStr">
        <is>
          <t>12630</t>
        </is>
      </c>
      <c r="Q53" s="26" t="inlineStr">
        <is>
          <t>12640</t>
        </is>
      </c>
      <c r="R53" s="26" t="inlineStr">
        <is>
          <t>13800</t>
        </is>
      </c>
      <c r="S53" s="26" t="inlineStr">
        <is>
          <t>13900</t>
        </is>
      </c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第十五期!Y12*第十五期!CQ65*比赛参数!D65</f>
        <v/>
      </c>
      <c r="CR53" s="294">
        <f>第十五期!Z12*第十五期!CR65*比赛参数!E65</f>
        <v/>
      </c>
      <c r="CS53" s="294">
        <f>第十五期!AA12*第十五期!CS65*比赛参数!F65</f>
        <v/>
      </c>
      <c r="CT53" s="294">
        <f>第十五期!AB12*第十五期!CT65*比赛参数!G65</f>
        <v/>
      </c>
      <c r="CU53" s="294">
        <f>IF(第十五期!AC12&gt;0,SUM(CQ53:CT53)/第十五期!AC12,0)</f>
        <v/>
      </c>
      <c r="CW53" s="11" t="inlineStr">
        <is>
          <t>D产品</t>
        </is>
      </c>
      <c r="CX53" s="525">
        <f>IF(第十五期!$CU$53*第十五期!CQ96&gt;0,第十五期!$CU$53+第十五期!CQ71+第十五期!CQ96+第十五期!CQ77,0)</f>
        <v/>
      </c>
      <c r="CY53" s="525">
        <f>IF(第十五期!$CU$53*第十五期!CR96&gt;0,第十五期!$CU$53+第十五期!CR71+第十五期!CR96+第十五期!CR77,0)</f>
        <v/>
      </c>
      <c r="CZ53" s="525">
        <f>IF(第十五期!$CU$53*第十五期!CS96&gt;0,第十五期!$CU$53+第十五期!CS71+第十五期!CS96+第十五期!CS77,0)</f>
        <v/>
      </c>
      <c r="DA53" s="525">
        <f>IF(第十五期!$CU$53*第十五期!CT96&gt;0,第十五期!$CU$53+第十五期!CT71+第十五期!CT96+第十五期!CT77,0)</f>
        <v/>
      </c>
      <c r="DB53" s="525">
        <f>AVERAGE(CX53:DA53)</f>
        <v/>
      </c>
      <c r="DF53" s="294" t="inlineStr">
        <is>
          <t>市场4</t>
        </is>
      </c>
      <c r="DG53" s="247">
        <f>IF(第十五期!Y91&gt;0,1,0)</f>
        <v/>
      </c>
      <c r="DH53" s="247">
        <f>IF(第十五期!Z91&gt;0,1,0)</f>
        <v/>
      </c>
      <c r="DI53" s="247">
        <f>IF(第十五期!AA91&gt;0,1,0)</f>
        <v/>
      </c>
      <c r="DJ53" s="247">
        <f>IF(第十五期!AB91&gt;0,1,0)</f>
        <v/>
      </c>
      <c r="DL53" s="247" t="inlineStr">
        <is>
          <t>产品D</t>
        </is>
      </c>
      <c r="DM53" s="248">
        <f>IF(第十五期!Y12+第十五期!Z12&gt;0,1,0)</f>
        <v/>
      </c>
      <c r="DN53" s="248">
        <f>IF(第十五期!AA12+第十五期!AB12&gt;0,1,0)</f>
        <v/>
      </c>
      <c r="DO53" s="246" t="n"/>
    </row>
    <row r="54" s="353">
      <c r="B54" s="441" t="n"/>
      <c r="C54" s="25" t="n">
        <v>5</v>
      </c>
      <c r="D54" s="26" t="inlineStr">
        <is>
          <t>3160</t>
        </is>
      </c>
      <c r="E54" s="26" t="inlineStr">
        <is>
          <t>3180</t>
        </is>
      </c>
      <c r="F54" s="26" t="inlineStr">
        <is>
          <t>3600</t>
        </is>
      </c>
      <c r="G54" s="26" t="inlineStr">
        <is>
          <t>3600</t>
        </is>
      </c>
      <c r="H54" s="26" t="inlineStr">
        <is>
          <t>6380</t>
        </is>
      </c>
      <c r="I54" s="26" t="inlineStr">
        <is>
          <t>6410</t>
        </is>
      </c>
      <c r="J54" s="26" t="inlineStr">
        <is>
          <t>6800</t>
        </is>
      </c>
      <c r="K54" s="26" t="inlineStr">
        <is>
          <t>7030</t>
        </is>
      </c>
      <c r="L54" s="26" t="inlineStr">
        <is>
          <t>9320</t>
        </is>
      </c>
      <c r="M54" s="26" t="inlineStr">
        <is>
          <t>9360</t>
        </is>
      </c>
      <c r="N54" s="26" t="inlineStr">
        <is>
          <t>9730</t>
        </is>
      </c>
      <c r="O54" s="26" t="inlineStr">
        <is>
          <t>9550</t>
        </is>
      </c>
      <c r="P54" s="26" t="inlineStr">
        <is>
          <t>13150</t>
        </is>
      </c>
      <c r="Q54" s="26" t="inlineStr">
        <is>
          <t>13250</t>
        </is>
      </c>
      <c r="R54" s="26" t="inlineStr">
        <is>
          <t>13200</t>
        </is>
      </c>
      <c r="S54" s="26" t="inlineStr">
        <is>
          <t>13100</t>
        </is>
      </c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inlineStr">
        <is>
          <t>3700</t>
        </is>
      </c>
      <c r="E55" s="26" t="inlineStr">
        <is>
          <t>3700</t>
        </is>
      </c>
      <c r="F55" s="26" t="inlineStr">
        <is>
          <t>4000</t>
        </is>
      </c>
      <c r="G55" s="26" t="inlineStr">
        <is>
          <t>4000</t>
        </is>
      </c>
      <c r="H55" s="26" t="inlineStr">
        <is>
          <t>6521</t>
        </is>
      </c>
      <c r="I55" s="26" t="inlineStr">
        <is>
          <t>6999</t>
        </is>
      </c>
      <c r="J55" s="26" t="inlineStr">
        <is>
          <t>6999</t>
        </is>
      </c>
      <c r="K55" s="26" t="inlineStr">
        <is>
          <t>6521</t>
        </is>
      </c>
      <c r="L55" s="26" t="inlineStr">
        <is>
          <t>11000</t>
        </is>
      </c>
      <c r="M55" s="26" t="inlineStr">
        <is>
          <t>12000</t>
        </is>
      </c>
      <c r="N55" s="26" t="inlineStr">
        <is>
          <t>12000</t>
        </is>
      </c>
      <c r="O55" s="26" t="inlineStr">
        <is>
          <t>11000</t>
        </is>
      </c>
      <c r="P55" s="26" t="inlineStr">
        <is>
          <t>9999</t>
        </is>
      </c>
      <c r="Q55" s="26" t="inlineStr">
        <is>
          <t>9999</t>
        </is>
      </c>
      <c r="R55" s="26" t="inlineStr">
        <is>
          <t>11999</t>
        </is>
      </c>
      <c r="S55" s="26" t="inlineStr">
        <is>
          <t>11999</t>
        </is>
      </c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第十五期!K11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inlineStr">
        <is>
          <t>3389</t>
        </is>
      </c>
      <c r="E56" s="26" t="inlineStr">
        <is>
          <t>3389</t>
        </is>
      </c>
      <c r="F56" s="26" t="inlineStr">
        <is>
          <t>3579</t>
        </is>
      </c>
      <c r="G56" s="26" t="inlineStr">
        <is>
          <t>3589</t>
        </is>
      </c>
      <c r="H56" s="26" t="inlineStr">
        <is>
          <t>6439</t>
        </is>
      </c>
      <c r="I56" s="26" t="inlineStr">
        <is>
          <t>6439</t>
        </is>
      </c>
      <c r="J56" s="26" t="inlineStr">
        <is>
          <t>6889</t>
        </is>
      </c>
      <c r="K56" s="26" t="inlineStr">
        <is>
          <t>6899</t>
        </is>
      </c>
      <c r="L56" s="26" t="inlineStr">
        <is>
          <t>9599</t>
        </is>
      </c>
      <c r="M56" s="26" t="inlineStr">
        <is>
          <t>9699</t>
        </is>
      </c>
      <c r="N56" s="26" t="inlineStr">
        <is>
          <t>9699</t>
        </is>
      </c>
      <c r="O56" s="26" t="inlineStr">
        <is>
          <t>9699</t>
        </is>
      </c>
      <c r="P56" s="26" t="inlineStr">
        <is>
          <t>12189</t>
        </is>
      </c>
      <c r="Q56" s="26" t="inlineStr">
        <is>
          <t>12139</t>
        </is>
      </c>
      <c r="R56" s="26" t="inlineStr">
        <is>
          <t>13589</t>
        </is>
      </c>
      <c r="S56" s="26" t="inlineStr">
        <is>
          <t>13589</t>
        </is>
      </c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第十五期!AH14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第十五期!DU26</f>
        <v/>
      </c>
      <c r="CD56" s="272">
        <f>第十五期!DU27</f>
        <v/>
      </c>
      <c r="CE56" s="272">
        <f>第十五期!DU28</f>
        <v/>
      </c>
      <c r="CF56" s="272">
        <f>第十五期!DU29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第十五期!BS7-第十五期!CX50</f>
        <v/>
      </c>
      <c r="CY56" s="525">
        <f>第十五期!BT7-第十五期!CY50</f>
        <v/>
      </c>
      <c r="CZ56" s="525">
        <f>第十五期!BU7-第十五期!CZ50</f>
        <v/>
      </c>
      <c r="DA56" s="525">
        <f>第十五期!BV7-第十五期!DA50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inlineStr">
        <is>
          <t>3950</t>
        </is>
      </c>
      <c r="E57" s="26" t="inlineStr">
        <is>
          <t>3950</t>
        </is>
      </c>
      <c r="F57" s="26" t="inlineStr">
        <is>
          <t>4200</t>
        </is>
      </c>
      <c r="G57" s="26" t="inlineStr">
        <is>
          <t>4300</t>
        </is>
      </c>
      <c r="H57" s="26" t="inlineStr">
        <is>
          <t>6550</t>
        </is>
      </c>
      <c r="I57" s="26" t="inlineStr">
        <is>
          <t>6550</t>
        </is>
      </c>
      <c r="J57" s="26" t="inlineStr">
        <is>
          <t>7100</t>
        </is>
      </c>
      <c r="K57" s="26" t="inlineStr">
        <is>
          <t>7100</t>
        </is>
      </c>
      <c r="L57" s="26" t="inlineStr">
        <is>
          <t>9500</t>
        </is>
      </c>
      <c r="M57" s="26" t="inlineStr">
        <is>
          <t>9500</t>
        </is>
      </c>
      <c r="N57" s="26" t="inlineStr">
        <is>
          <t>10000</t>
        </is>
      </c>
      <c r="O57" s="26" t="inlineStr">
        <is>
          <t>10000</t>
        </is>
      </c>
      <c r="P57" s="26" t="inlineStr">
        <is>
          <t>12600</t>
        </is>
      </c>
      <c r="Q57" s="26" t="inlineStr">
        <is>
          <t>12600</t>
        </is>
      </c>
      <c r="R57" s="26" t="inlineStr">
        <is>
          <t>13300</t>
        </is>
      </c>
      <c r="S57" s="26" t="inlineStr">
        <is>
          <t>13300</t>
        </is>
      </c>
      <c r="T57" s="10" t="n"/>
      <c r="X57" s="64" t="inlineStr">
        <is>
          <t>市场1</t>
        </is>
      </c>
      <c r="Y57" s="272">
        <f>第十五期!DX6</f>
        <v/>
      </c>
      <c r="Z57" s="272">
        <f>第十五期!DX10</f>
        <v/>
      </c>
      <c r="AA57" s="272">
        <f>第十五期!DX14</f>
        <v/>
      </c>
      <c r="AB57" s="272">
        <f>第十五期!DX18</f>
        <v/>
      </c>
      <c r="AC57" s="234" t="n"/>
      <c r="AE57" s="64" t="inlineStr">
        <is>
          <t>市场1</t>
        </is>
      </c>
      <c r="AF57" s="272">
        <f>第十五期!DW6</f>
        <v/>
      </c>
      <c r="AG57" s="272">
        <f>第十五期!DW10</f>
        <v/>
      </c>
      <c r="AH57" s="272">
        <f>第十五期!DW14</f>
        <v/>
      </c>
      <c r="AI57" s="272">
        <f>第十五期!DW18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第十五期!AH15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第十五期!BS8-第十五期!CX51</f>
        <v/>
      </c>
      <c r="CY57" s="525">
        <f>第十五期!BT8-第十五期!CY51</f>
        <v/>
      </c>
      <c r="CZ57" s="525">
        <f>第十五期!BU8-第十五期!CZ51</f>
        <v/>
      </c>
      <c r="DA57" s="525">
        <f>第十五期!BV8-第十五期!DA51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inlineStr">
        <is>
          <t>2588</t>
        </is>
      </c>
      <c r="E58" s="26" t="inlineStr">
        <is>
          <t>4000</t>
        </is>
      </c>
      <c r="F58" s="26" t="inlineStr">
        <is>
          <t>6000</t>
        </is>
      </c>
      <c r="G58" s="26" t="inlineStr">
        <is>
          <t>6000</t>
        </is>
      </c>
      <c r="H58" s="26" t="inlineStr">
        <is>
          <t>5888</t>
        </is>
      </c>
      <c r="I58" s="26" t="inlineStr">
        <is>
          <t>8888</t>
        </is>
      </c>
      <c r="J58" s="26" t="inlineStr">
        <is>
          <t>9999</t>
        </is>
      </c>
      <c r="K58" s="26" t="inlineStr">
        <is>
          <t>9999</t>
        </is>
      </c>
      <c r="L58" s="26" t="inlineStr">
        <is>
          <t>8988</t>
        </is>
      </c>
      <c r="M58" s="26" t="inlineStr">
        <is>
          <t>8988</t>
        </is>
      </c>
      <c r="N58" s="26" t="inlineStr">
        <is>
          <t>9288</t>
        </is>
      </c>
      <c r="O58" s="26" t="inlineStr">
        <is>
          <t>9288</t>
        </is>
      </c>
      <c r="P58" s="26" t="inlineStr">
        <is>
          <t>11498</t>
        </is>
      </c>
      <c r="Q58" s="26" t="inlineStr">
        <is>
          <t>16988</t>
        </is>
      </c>
      <c r="R58" s="26" t="inlineStr">
        <is>
          <t>12288</t>
        </is>
      </c>
      <c r="S58" s="26" t="inlineStr">
        <is>
          <t>12288</t>
        </is>
      </c>
      <c r="T58" s="10" t="n"/>
      <c r="X58" s="11" t="inlineStr">
        <is>
          <t>市场2</t>
        </is>
      </c>
      <c r="Y58" s="272">
        <f>第十五期!DX7</f>
        <v/>
      </c>
      <c r="Z58" s="272">
        <f>第十五期!DX11</f>
        <v/>
      </c>
      <c r="AA58" s="272">
        <f>第十五期!DX15</f>
        <v/>
      </c>
      <c r="AB58" s="272">
        <f>第十五期!DX19</f>
        <v/>
      </c>
      <c r="AC58" s="234" t="n"/>
      <c r="AE58" s="11" t="inlineStr">
        <is>
          <t>市场2</t>
        </is>
      </c>
      <c r="AF58" s="272">
        <f>第十五期!DW7</f>
        <v/>
      </c>
      <c r="AG58" s="272">
        <f>第十五期!DW11</f>
        <v/>
      </c>
      <c r="AH58" s="272">
        <f>第十五期!DW15</f>
        <v/>
      </c>
      <c r="AI58" s="272">
        <f>第十五期!DW19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第十五期!H5+第十五期!H4*比赛参数!F71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第十五期!BS9-第十五期!CX52</f>
        <v/>
      </c>
      <c r="CY58" s="525">
        <f>第十五期!BT9-第十五期!CY52</f>
        <v/>
      </c>
      <c r="CZ58" s="525">
        <f>第十五期!BU9-第十五期!CZ52</f>
        <v/>
      </c>
      <c r="DA58" s="525">
        <f>第十五期!BV9-第十五期!DA52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inlineStr">
        <is>
          <t>3250</t>
        </is>
      </c>
      <c r="E59" s="26" t="inlineStr">
        <is>
          <t>3250</t>
        </is>
      </c>
      <c r="F59" s="26" t="inlineStr">
        <is>
          <t>3420</t>
        </is>
      </c>
      <c r="G59" s="26" t="inlineStr">
        <is>
          <t>3470</t>
        </is>
      </c>
      <c r="H59" s="26" t="inlineStr">
        <is>
          <t>6250</t>
        </is>
      </c>
      <c r="I59" s="26" t="inlineStr">
        <is>
          <t>6250</t>
        </is>
      </c>
      <c r="J59" s="26" t="inlineStr">
        <is>
          <t>6510</t>
        </is>
      </c>
      <c r="K59" s="26" t="inlineStr">
        <is>
          <t>6500</t>
        </is>
      </c>
      <c r="L59" s="26" t="inlineStr">
        <is>
          <t>9870</t>
        </is>
      </c>
      <c r="M59" s="26" t="inlineStr">
        <is>
          <t>9870</t>
        </is>
      </c>
      <c r="N59" s="26" t="inlineStr">
        <is>
          <t>10160</t>
        </is>
      </c>
      <c r="O59" s="26" t="inlineStr">
        <is>
          <t>10160</t>
        </is>
      </c>
      <c r="P59" s="26" t="inlineStr">
        <is>
          <t>13040</t>
        </is>
      </c>
      <c r="Q59" s="26" t="inlineStr">
        <is>
          <t>13040</t>
        </is>
      </c>
      <c r="R59" s="26" t="inlineStr">
        <is>
          <t>13650</t>
        </is>
      </c>
      <c r="S59" s="26" t="inlineStr">
        <is>
          <t>13650</t>
        </is>
      </c>
      <c r="T59" s="10" t="n"/>
      <c r="X59" s="11" t="inlineStr">
        <is>
          <t>市场3</t>
        </is>
      </c>
      <c r="Y59" s="272">
        <f>第十五期!DX8</f>
        <v/>
      </c>
      <c r="Z59" s="272">
        <f>第十五期!DX12</f>
        <v/>
      </c>
      <c r="AA59" s="272">
        <f>第十五期!DX16</f>
        <v/>
      </c>
      <c r="AB59" s="272">
        <f>第十五期!DX20</f>
        <v/>
      </c>
      <c r="AC59" s="235" t="n"/>
      <c r="AE59" s="11" t="inlineStr">
        <is>
          <t>市场3</t>
        </is>
      </c>
      <c r="AF59" s="272">
        <f>第十五期!DW8</f>
        <v/>
      </c>
      <c r="AG59" s="272">
        <f>第十五期!DW12</f>
        <v/>
      </c>
      <c r="AH59" s="272">
        <f>第十五期!DW16</f>
        <v/>
      </c>
      <c r="AI59" s="272">
        <f>第十五期!DW20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第十五期!K14*比赛参数!D71/4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第十五期!BS10-第十五期!CX53</f>
        <v/>
      </c>
      <c r="CY59" s="525">
        <f>第十五期!BT10-第十五期!CY53</f>
        <v/>
      </c>
      <c r="CZ59" s="525">
        <f>第十五期!BU10-第十五期!CZ53</f>
        <v/>
      </c>
      <c r="DA59" s="525">
        <f>第十五期!BV10-第十五期!DA53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inlineStr">
        <is>
          <t>3280</t>
        </is>
      </c>
      <c r="E60" s="26" t="inlineStr">
        <is>
          <t>3330</t>
        </is>
      </c>
      <c r="F60" s="26" t="inlineStr">
        <is>
          <t>3500</t>
        </is>
      </c>
      <c r="G60" s="26" t="inlineStr">
        <is>
          <t>3520</t>
        </is>
      </c>
      <c r="H60" s="26" t="inlineStr">
        <is>
          <t>6320</t>
        </is>
      </c>
      <c r="I60" s="26" t="inlineStr">
        <is>
          <t>6360</t>
        </is>
      </c>
      <c r="J60" s="26" t="inlineStr">
        <is>
          <t>6630</t>
        </is>
      </c>
      <c r="K60" s="26" t="inlineStr">
        <is>
          <t>6650</t>
        </is>
      </c>
      <c r="L60" s="26" t="inlineStr">
        <is>
          <t>9520</t>
        </is>
      </c>
      <c r="M60" s="26" t="inlineStr">
        <is>
          <t>9520</t>
        </is>
      </c>
      <c r="N60" s="26" t="inlineStr">
        <is>
          <t>9930</t>
        </is>
      </c>
      <c r="O60" s="26" t="inlineStr">
        <is>
          <t>9930</t>
        </is>
      </c>
      <c r="P60" s="26" t="inlineStr">
        <is>
          <t>12800</t>
        </is>
      </c>
      <c r="Q60" s="26" t="inlineStr">
        <is>
          <t>12880</t>
        </is>
      </c>
      <c r="R60" s="26" t="inlineStr">
        <is>
          <t>13300</t>
        </is>
      </c>
      <c r="S60" s="26" t="inlineStr">
        <is>
          <t>13430</t>
        </is>
      </c>
      <c r="T60" s="10" t="n"/>
      <c r="X60" s="11" t="inlineStr">
        <is>
          <t>市场4</t>
        </is>
      </c>
      <c r="Y60" s="272">
        <f>第十五期!DX9</f>
        <v/>
      </c>
      <c r="Z60" s="272">
        <f>第十五期!DX13</f>
        <v/>
      </c>
      <c r="AA60" s="272">
        <f>第十五期!DX17</f>
        <v/>
      </c>
      <c r="AB60" s="272">
        <f>第十五期!DX21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第十五期!DW9</f>
        <v/>
      </c>
      <c r="AG60" s="272">
        <f>第十五期!DW13</f>
        <v/>
      </c>
      <c r="AH60" s="272">
        <f>第十五期!DW17</f>
        <v/>
      </c>
      <c r="AI60" s="272">
        <f>第十五期!DW21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第十五期!Y18*比赛参数!D58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inlineStr">
        <is>
          <t>3150</t>
        </is>
      </c>
      <c r="E61" s="26" t="inlineStr">
        <is>
          <t>3250</t>
        </is>
      </c>
      <c r="F61" s="26" t="inlineStr">
        <is>
          <t>3450</t>
        </is>
      </c>
      <c r="G61" s="26" t="inlineStr">
        <is>
          <t>3500</t>
        </is>
      </c>
      <c r="H61" s="26" t="inlineStr">
        <is>
          <t>6550</t>
        </is>
      </c>
      <c r="I61" s="26" t="inlineStr">
        <is>
          <t>6550</t>
        </is>
      </c>
      <c r="J61" s="26" t="inlineStr">
        <is>
          <t>6600</t>
        </is>
      </c>
      <c r="K61" s="26" t="inlineStr">
        <is>
          <t>6700</t>
        </is>
      </c>
      <c r="L61" s="26" t="inlineStr">
        <is>
          <t>9250</t>
        </is>
      </c>
      <c r="M61" s="26" t="inlineStr">
        <is>
          <t>9150</t>
        </is>
      </c>
      <c r="N61" s="26" t="inlineStr">
        <is>
          <t>9750</t>
        </is>
      </c>
      <c r="O61" s="26" t="inlineStr">
        <is>
          <t>9850</t>
        </is>
      </c>
      <c r="P61" s="26" t="inlineStr">
        <is>
          <t>12050</t>
        </is>
      </c>
      <c r="Q61" s="26" t="inlineStr">
        <is>
          <t>12050</t>
        </is>
      </c>
      <c r="R61" s="26" t="inlineStr">
        <is>
          <t>13150</t>
        </is>
      </c>
      <c r="S61" s="26" t="inlineStr">
        <is>
          <t>13150</t>
        </is>
      </c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第十五期!AA18*比赛参数!D62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inlineStr">
        <is>
          <t>3475</t>
        </is>
      </c>
      <c r="E62" s="26" t="inlineStr">
        <is>
          <t>3425</t>
        </is>
      </c>
      <c r="F62" s="26" t="inlineStr">
        <is>
          <t>3066</t>
        </is>
      </c>
      <c r="G62" s="26" t="inlineStr">
        <is>
          <t>2900</t>
        </is>
      </c>
      <c r="H62" s="26" t="inlineStr">
        <is>
          <t>6155</t>
        </is>
      </c>
      <c r="I62" s="26" t="inlineStr">
        <is>
          <t>6205</t>
        </is>
      </c>
      <c r="J62" s="26" t="inlineStr">
        <is>
          <t>6580</t>
        </is>
      </c>
      <c r="K62" s="26" t="inlineStr">
        <is>
          <t>6674</t>
        </is>
      </c>
      <c r="L62" s="26" t="inlineStr">
        <is>
          <t>9600</t>
        </is>
      </c>
      <c r="M62" s="26" t="inlineStr">
        <is>
          <t>9570</t>
        </is>
      </c>
      <c r="N62" s="26" t="inlineStr">
        <is>
          <t>10100</t>
        </is>
      </c>
      <c r="O62" s="26" t="inlineStr">
        <is>
          <t>10150</t>
        </is>
      </c>
      <c r="P62" s="26" t="inlineStr">
        <is>
          <t>12830</t>
        </is>
      </c>
      <c r="Q62" s="26" t="inlineStr">
        <is>
          <t>12830</t>
        </is>
      </c>
      <c r="R62" s="26" t="inlineStr">
        <is>
          <t>13400</t>
        </is>
      </c>
      <c r="S62" s="26" t="inlineStr">
        <is>
          <t>13600</t>
        </is>
      </c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((第十五期!K8-第十五期!AA18)*比赛参数!D65+第十五期!Y18*比赛参数!D59*比赛参数!D65)*第十五期!AH18*520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CX56/第十五期!CQ56</f>
        <v/>
      </c>
      <c r="CY62" s="525">
        <f>CY56/第十五期!CR56</f>
        <v/>
      </c>
      <c r="CZ62" s="525">
        <f>CZ56/第十五期!CS56</f>
        <v/>
      </c>
      <c r="DA62" s="525">
        <f>DA56/第十五期!CT56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inlineStr">
        <is>
          <t>3150</t>
        </is>
      </c>
      <c r="E63" s="26" t="inlineStr">
        <is>
          <t>3150</t>
        </is>
      </c>
      <c r="F63" s="26" t="inlineStr">
        <is>
          <t>3400</t>
        </is>
      </c>
      <c r="G63" s="26" t="inlineStr">
        <is>
          <t>3400</t>
        </is>
      </c>
      <c r="H63" s="26" t="inlineStr">
        <is>
          <t>6350</t>
        </is>
      </c>
      <c r="I63" s="26" t="inlineStr">
        <is>
          <t>6350</t>
        </is>
      </c>
      <c r="J63" s="26" t="inlineStr">
        <is>
          <t>6750</t>
        </is>
      </c>
      <c r="K63" s="26" t="inlineStr">
        <is>
          <t>6750</t>
        </is>
      </c>
      <c r="L63" s="26" t="inlineStr">
        <is>
          <t>9350</t>
        </is>
      </c>
      <c r="M63" s="26" t="inlineStr">
        <is>
          <t>9350</t>
        </is>
      </c>
      <c r="N63" s="26" t="inlineStr">
        <is>
          <t>9600</t>
        </is>
      </c>
      <c r="O63" s="26" t="inlineStr">
        <is>
          <t>9600</t>
        </is>
      </c>
      <c r="P63" s="26" t="inlineStr">
        <is>
          <t>12000</t>
        </is>
      </c>
      <c r="Q63" s="26" t="inlineStr">
        <is>
          <t>12000</t>
        </is>
      </c>
      <c r="R63" s="26" t="inlineStr">
        <is>
          <t>13000</t>
        </is>
      </c>
      <c r="S63" s="26" t="inlineStr">
        <is>
          <t>13000</t>
        </is>
      </c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第十五期!K9*比赛参数!D49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CX57/第十五期!CQ57</f>
        <v/>
      </c>
      <c r="CY63" s="525">
        <f>CY57/第十五期!CR57</f>
        <v/>
      </c>
      <c r="CZ63" s="525">
        <f>CZ57/第十五期!CS57</f>
        <v/>
      </c>
      <c r="DA63" s="525">
        <f>DA57/第十五期!CT57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inlineStr">
        <is>
          <t>3300</t>
        </is>
      </c>
      <c r="E64" s="26" t="inlineStr">
        <is>
          <t>3300</t>
        </is>
      </c>
      <c r="F64" s="26" t="inlineStr">
        <is>
          <t>3520</t>
        </is>
      </c>
      <c r="G64" s="26" t="inlineStr">
        <is>
          <t>3559</t>
        </is>
      </c>
      <c r="H64" s="26" t="inlineStr">
        <is>
          <t>6399</t>
        </is>
      </c>
      <c r="I64" s="26" t="inlineStr">
        <is>
          <t>6449</t>
        </is>
      </c>
      <c r="J64" s="26" t="inlineStr">
        <is>
          <t>6779</t>
        </is>
      </c>
      <c r="K64" s="26" t="inlineStr">
        <is>
          <t>6839</t>
        </is>
      </c>
      <c r="L64" s="26" t="inlineStr">
        <is>
          <t>9299</t>
        </is>
      </c>
      <c r="M64" s="26" t="inlineStr">
        <is>
          <t>9325</t>
        </is>
      </c>
      <c r="N64" s="26" t="inlineStr">
        <is>
          <t>9715</t>
        </is>
      </c>
      <c r="O64" s="26" t="inlineStr">
        <is>
          <t>9699</t>
        </is>
      </c>
      <c r="P64" s="26" t="inlineStr">
        <is>
          <t>12408</t>
        </is>
      </c>
      <c r="Q64" s="26" t="inlineStr">
        <is>
          <t>12439</t>
        </is>
      </c>
      <c r="R64" s="26" t="inlineStr">
        <is>
          <t>13144</t>
        </is>
      </c>
      <c r="S64" s="26" t="inlineStr">
        <is>
          <t>13159</t>
        </is>
      </c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第十五期!AL37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CX58/第十五期!CQ58</f>
        <v/>
      </c>
      <c r="CY64" s="525">
        <f>CY58/第十五期!CR58</f>
        <v/>
      </c>
      <c r="CZ64" s="525">
        <f>CZ58/第十五期!CS58</f>
        <v/>
      </c>
      <c r="DA64" s="525">
        <f>DA58/第十五期!CT58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inlineStr">
        <is>
          <t>3228</t>
        </is>
      </c>
      <c r="E65" s="26" t="inlineStr">
        <is>
          <t>3228</t>
        </is>
      </c>
      <c r="F65" s="26" t="inlineStr">
        <is>
          <t>3588</t>
        </is>
      </c>
      <c r="G65" s="26" t="inlineStr">
        <is>
          <t>3628</t>
        </is>
      </c>
      <c r="H65" s="26" t="inlineStr">
        <is>
          <t>6298</t>
        </is>
      </c>
      <c r="I65" s="26" t="inlineStr">
        <is>
          <t>6298</t>
        </is>
      </c>
      <c r="J65" s="26" t="inlineStr">
        <is>
          <t>6628</t>
        </is>
      </c>
      <c r="K65" s="26" t="inlineStr">
        <is>
          <t>6688</t>
        </is>
      </c>
      <c r="L65" s="26" t="inlineStr">
        <is>
          <t>9358</t>
        </is>
      </c>
      <c r="M65" s="26" t="inlineStr">
        <is>
          <t>9358</t>
        </is>
      </c>
      <c r="N65" s="26" t="inlineStr">
        <is>
          <t>9758</t>
        </is>
      </c>
      <c r="O65" s="26" t="inlineStr">
        <is>
          <t>9788</t>
        </is>
      </c>
      <c r="P65" s="26" t="inlineStr">
        <is>
          <t>12728</t>
        </is>
      </c>
      <c r="Q65" s="26" t="inlineStr">
        <is>
          <t>12728</t>
        </is>
      </c>
      <c r="R65" s="26" t="inlineStr">
        <is>
          <t>13328</t>
        </is>
      </c>
      <c r="S65" s="26" t="inlineStr">
        <is>
          <t>13438</t>
        </is>
      </c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0.5*第十五期!AL37+0.5*第十五期!DV23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CX59/第十五期!CQ59</f>
        <v/>
      </c>
      <c r="CY65" s="525">
        <f>CY59/第十五期!CR59</f>
        <v/>
      </c>
      <c r="CZ65" s="525">
        <f>CZ59/第十五期!CS59</f>
        <v/>
      </c>
      <c r="DA65" s="525">
        <f>DA59/第十五期!CT59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inlineStr">
        <is>
          <t>3599</t>
        </is>
      </c>
      <c r="E66" s="26" t="inlineStr">
        <is>
          <t>3599</t>
        </is>
      </c>
      <c r="F66" s="26" t="inlineStr">
        <is>
          <t>3799</t>
        </is>
      </c>
      <c r="G66" s="26" t="inlineStr">
        <is>
          <t>3799</t>
        </is>
      </c>
      <c r="H66" s="26" t="inlineStr">
        <is>
          <t>6699</t>
        </is>
      </c>
      <c r="I66" s="26" t="inlineStr">
        <is>
          <t>6699</t>
        </is>
      </c>
      <c r="J66" s="26" t="inlineStr">
        <is>
          <t>7099</t>
        </is>
      </c>
      <c r="K66" s="26" t="inlineStr">
        <is>
          <t>7099</t>
        </is>
      </c>
      <c r="L66" s="26" t="inlineStr">
        <is>
          <t>9999</t>
        </is>
      </c>
      <c r="M66" s="26" t="inlineStr">
        <is>
          <t>9999</t>
        </is>
      </c>
      <c r="N66" s="26" t="inlineStr">
        <is>
          <t>9999</t>
        </is>
      </c>
      <c r="O66" s="26" t="inlineStr">
        <is>
          <t>9999</t>
        </is>
      </c>
      <c r="P66" s="26" t="inlineStr">
        <is>
          <t>13199</t>
        </is>
      </c>
      <c r="Q66" s="26" t="inlineStr">
        <is>
          <t>13199</t>
        </is>
      </c>
      <c r="R66" s="26" t="inlineStr">
        <is>
          <t>14699</t>
        </is>
      </c>
      <c r="S66" s="26" t="inlineStr">
        <is>
          <t>14699</t>
        </is>
      </c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第十五期!AC18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inlineStr">
        <is>
          <t>3519</t>
        </is>
      </c>
      <c r="E67" s="26" t="inlineStr">
        <is>
          <t>3529</t>
        </is>
      </c>
      <c r="F67" s="26" t="inlineStr">
        <is>
          <t>3659</t>
        </is>
      </c>
      <c r="G67" s="26" t="inlineStr">
        <is>
          <t>3609</t>
        </is>
      </c>
      <c r="H67" s="26" t="inlineStr">
        <is>
          <t>6719</t>
        </is>
      </c>
      <c r="I67" s="26" t="inlineStr">
        <is>
          <t>6749</t>
        </is>
      </c>
      <c r="J67" s="26" t="inlineStr">
        <is>
          <t>6889</t>
        </is>
      </c>
      <c r="K67" s="26" t="inlineStr">
        <is>
          <t>7159</t>
        </is>
      </c>
      <c r="L67" s="26" t="inlineStr">
        <is>
          <t>9209</t>
        </is>
      </c>
      <c r="M67" s="26" t="inlineStr">
        <is>
          <t>9449</t>
        </is>
      </c>
      <c r="N67" s="26" t="inlineStr">
        <is>
          <t>9689</t>
        </is>
      </c>
      <c r="O67" s="26" t="inlineStr">
        <is>
          <t>9769</t>
        </is>
      </c>
      <c r="P67" s="26" t="inlineStr">
        <is>
          <t>12659</t>
        </is>
      </c>
      <c r="Q67" s="26" t="inlineStr">
        <is>
          <t>12619</t>
        </is>
      </c>
      <c r="R67" s="26" t="inlineStr">
        <is>
          <t>13259</t>
        </is>
      </c>
      <c r="S67" s="26" t="inlineStr">
        <is>
          <t>13359</t>
        </is>
      </c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五期!AC18&gt;=比赛参数!D33,(1-比赛参数!E33)*第十五期!AC18,0)+IF(AND(第十五期!AC18&gt;=比赛参数!D34,第十五期!AC18&lt;比赛参数!D33),(1-比赛参数!E34)*第十五期!AC18,0)+IF(AND(第十五期!AC18&gt;=比赛参数!D35,第十五期!AC18&lt;比赛参数!D34),(1-比赛参数!E35)*第十五期!AC18,0)+IF(AND(第十五期!AC18&gt;=比赛参数!D36,第十五期!AC18&lt;比赛参数!D35),(1-比赛参数!E36)*第十五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inlineStr">
        <is>
          <t>3050</t>
        </is>
      </c>
      <c r="E68" s="26" t="inlineStr">
        <is>
          <t>3050</t>
        </is>
      </c>
      <c r="F68" s="26" t="inlineStr">
        <is>
          <t>3150</t>
        </is>
      </c>
      <c r="G68" s="26" t="inlineStr">
        <is>
          <t>3350</t>
        </is>
      </c>
      <c r="H68" s="26" t="inlineStr">
        <is>
          <t>6000</t>
        </is>
      </c>
      <c r="I68" s="26" t="inlineStr">
        <is>
          <t>6000</t>
        </is>
      </c>
      <c r="J68" s="26" t="inlineStr">
        <is>
          <t>7000</t>
        </is>
      </c>
      <c r="K68" s="26" t="inlineStr">
        <is>
          <t>7000</t>
        </is>
      </c>
      <c r="L68" s="26" t="inlineStr">
        <is>
          <t>8700</t>
        </is>
      </c>
      <c r="M68" s="26" t="inlineStr">
        <is>
          <t>9000</t>
        </is>
      </c>
      <c r="N68" s="26" t="inlineStr">
        <is>
          <t>9100</t>
        </is>
      </c>
      <c r="O68" s="26" t="inlineStr">
        <is>
          <t>9500</t>
        </is>
      </c>
      <c r="P68" s="26" t="inlineStr">
        <is>
          <t>12000</t>
        </is>
      </c>
      <c r="Q68" s="26" t="inlineStr">
        <is>
          <t>10500</t>
        </is>
      </c>
      <c r="R68" s="26" t="inlineStr">
        <is>
          <t>11500</t>
        </is>
      </c>
      <c r="S68" s="26" t="inlineStr">
        <is>
          <t>12000</t>
        </is>
      </c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6" t="n">
        <v>0</v>
      </c>
      <c r="N69" s="26" t="n">
        <v>0</v>
      </c>
      <c r="O69" s="26" t="n">
        <v>0</v>
      </c>
      <c r="P69" s="26" t="n">
        <v>0</v>
      </c>
      <c r="Q69" s="26" t="n">
        <v>0</v>
      </c>
      <c r="R69" s="26" t="n">
        <v>0</v>
      </c>
      <c r="S69" s="26" t="n">
        <v>0</v>
      </c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第十五期!DV6</f>
        <v/>
      </c>
      <c r="AG70" s="131">
        <f>第十五期!DV10</f>
        <v/>
      </c>
      <c r="AH70" s="131">
        <f>第十五期!DV14</f>
        <v/>
      </c>
      <c r="AI70" s="131">
        <f>第十五期!DV18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IF(第十五期!AC18&gt;0,第十五期!AC18*比赛参数!E40+比赛参数!E39,0)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第十五期!DV7</f>
        <v/>
      </c>
      <c r="AG71" s="131">
        <f>第十五期!DV11</f>
        <v/>
      </c>
      <c r="AH71" s="131">
        <f>第十五期!DV15</f>
        <v/>
      </c>
      <c r="AI71" s="131">
        <f>第十五期!DV19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(第十五期!Z13*比赛参数!E65*260+第十五期!AA13*(比赛参数!F65-比赛参数!D65)*520+第十五期!AB13*比赛参数!G65*260)*第十五期!AH18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第十五期!DV8</f>
        <v/>
      </c>
      <c r="AG72" s="131">
        <f>第十五期!DV12</f>
        <v/>
      </c>
      <c r="AH72" s="131">
        <f>第十五期!DV16</f>
        <v/>
      </c>
      <c r="AI72" s="131">
        <f>第十五期!DV20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第十五期!DM60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inlineStr">
        <is>
          <t>8.12%</t>
        </is>
      </c>
      <c r="E73" s="19" t="inlineStr">
        <is>
          <t>8.72%</t>
        </is>
      </c>
      <c r="F73" s="19" t="inlineStr">
        <is>
          <t>10.13%</t>
        </is>
      </c>
      <c r="G73" s="19" t="inlineStr">
        <is>
          <t>9.34%</t>
        </is>
      </c>
      <c r="H73" s="19" t="inlineStr">
        <is>
          <t>8.17%</t>
        </is>
      </c>
      <c r="I73" s="19" t="inlineStr">
        <is>
          <t>8.28%</t>
        </is>
      </c>
      <c r="J73" s="19" t="inlineStr">
        <is>
          <t>7.72%</t>
        </is>
      </c>
      <c r="K73" s="19" t="inlineStr">
        <is>
          <t>9.62%</t>
        </is>
      </c>
      <c r="L73" s="19" t="inlineStr">
        <is>
          <t>10.30%</t>
        </is>
      </c>
      <c r="M73" s="19" t="inlineStr">
        <is>
          <t>10.35%</t>
        </is>
      </c>
      <c r="N73" s="19" t="inlineStr">
        <is>
          <t>9.71%</t>
        </is>
      </c>
      <c r="O73" s="19" t="inlineStr">
        <is>
          <t>9.60%</t>
        </is>
      </c>
      <c r="P73" s="19" t="inlineStr">
        <is>
          <t>6.48%</t>
        </is>
      </c>
      <c r="Q73" s="19" t="inlineStr">
        <is>
          <t>7.01%</t>
        </is>
      </c>
      <c r="R73" s="19" t="inlineStr">
        <is>
          <t>5.74%</t>
        </is>
      </c>
      <c r="S73" s="19" t="inlineStr">
        <is>
          <t>5.28%</t>
        </is>
      </c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第十五期!DV9</f>
        <v/>
      </c>
      <c r="AG73" s="131">
        <f>第十五期!DV13</f>
        <v/>
      </c>
      <c r="AH73" s="131">
        <f>第十五期!DV17</f>
        <v/>
      </c>
      <c r="AI73" s="131">
        <f>第十五期!DV21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第十五期!AC21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inlineStr">
        <is>
          <t>0.00%</t>
        </is>
      </c>
      <c r="E74" s="19" t="inlineStr">
        <is>
          <t>0.00%</t>
        </is>
      </c>
      <c r="F74" s="19" t="inlineStr">
        <is>
          <t>0.00%</t>
        </is>
      </c>
      <c r="G74" s="19" t="inlineStr">
        <is>
          <t>0.00%</t>
        </is>
      </c>
      <c r="H74" s="19" t="inlineStr">
        <is>
          <t>0.00%</t>
        </is>
      </c>
      <c r="I74" s="19" t="inlineStr">
        <is>
          <t>1.59%</t>
        </is>
      </c>
      <c r="J74" s="19" t="inlineStr">
        <is>
          <t>0.00%</t>
        </is>
      </c>
      <c r="K74" s="19" t="inlineStr">
        <is>
          <t>0.00%</t>
        </is>
      </c>
      <c r="L74" s="19" t="inlineStr">
        <is>
          <t>16.48%</t>
        </is>
      </c>
      <c r="M74" s="19" t="inlineStr">
        <is>
          <t>16.56%</t>
        </is>
      </c>
      <c r="N74" s="19" t="inlineStr">
        <is>
          <t>11.11%</t>
        </is>
      </c>
      <c r="O74" s="19" t="inlineStr">
        <is>
          <t>10.25%</t>
        </is>
      </c>
      <c r="P74" s="19" t="inlineStr">
        <is>
          <t>16.90%</t>
        </is>
      </c>
      <c r="Q74" s="19" t="inlineStr">
        <is>
          <t>13.36%</t>
        </is>
      </c>
      <c r="R74" s="19" t="inlineStr">
        <is>
          <t>11.82%</t>
        </is>
      </c>
      <c r="S74" s="19" t="inlineStr">
        <is>
          <t>11.91%</t>
        </is>
      </c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第十五期!CG42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inlineStr">
        <is>
          <t>11.42%</t>
        </is>
      </c>
      <c r="E75" s="19" t="inlineStr">
        <is>
          <t>11.55%</t>
        </is>
      </c>
      <c r="F75" s="19" t="inlineStr">
        <is>
          <t>9.56%</t>
        </is>
      </c>
      <c r="G75" s="19" t="inlineStr">
        <is>
          <t>9.77%</t>
        </is>
      </c>
      <c r="H75" s="19" t="inlineStr">
        <is>
          <t>8.64%</t>
        </is>
      </c>
      <c r="I75" s="19" t="inlineStr">
        <is>
          <t>7.48%</t>
        </is>
      </c>
      <c r="J75" s="19" t="inlineStr">
        <is>
          <t>9.37%</t>
        </is>
      </c>
      <c r="K75" s="19" t="inlineStr">
        <is>
          <t>9.10%</t>
        </is>
      </c>
      <c r="L75" s="19" t="inlineStr">
        <is>
          <t>5.45%</t>
        </is>
      </c>
      <c r="M75" s="19" t="inlineStr">
        <is>
          <t>5.60%</t>
        </is>
      </c>
      <c r="N75" s="19" t="inlineStr">
        <is>
          <t>5.91%</t>
        </is>
      </c>
      <c r="O75" s="19" t="inlineStr">
        <is>
          <t>5.41%</t>
        </is>
      </c>
      <c r="P75" s="19" t="inlineStr">
        <is>
          <t>5.46%</t>
        </is>
      </c>
      <c r="Q75" s="19" t="inlineStr">
        <is>
          <t>6.08%</t>
        </is>
      </c>
      <c r="R75" s="19" t="inlineStr">
        <is>
          <t>5.29%</t>
        </is>
      </c>
      <c r="S75" s="19" t="inlineStr">
        <is>
          <t>5.51%</t>
        </is>
      </c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SUM(第十五期!AF80:AI80)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inlineStr">
        <is>
          <t>9.11%</t>
        </is>
      </c>
      <c r="E76" s="19" t="inlineStr">
        <is>
          <t>10.49%</t>
        </is>
      </c>
      <c r="F76" s="19" t="inlineStr">
        <is>
          <t>8.23%</t>
        </is>
      </c>
      <c r="G76" s="19" t="inlineStr">
        <is>
          <t>8.45%</t>
        </is>
      </c>
      <c r="H76" s="19" t="inlineStr">
        <is>
          <t>6.52%</t>
        </is>
      </c>
      <c r="I76" s="19" t="inlineStr">
        <is>
          <t>6.93%</t>
        </is>
      </c>
      <c r="J76" s="19" t="inlineStr">
        <is>
          <t>6.84%</t>
        </is>
      </c>
      <c r="K76" s="19" t="inlineStr">
        <is>
          <t>7.00%</t>
        </is>
      </c>
      <c r="L76" s="19" t="inlineStr">
        <is>
          <t>7.52%</t>
        </is>
      </c>
      <c r="M76" s="19" t="inlineStr">
        <is>
          <t>7.43%</t>
        </is>
      </c>
      <c r="N76" s="19" t="inlineStr">
        <is>
          <t>8.61%</t>
        </is>
      </c>
      <c r="O76" s="19" t="inlineStr">
        <is>
          <t>7.83%</t>
        </is>
      </c>
      <c r="P76" s="19" t="inlineStr">
        <is>
          <t>9.91%</t>
        </is>
      </c>
      <c r="Q76" s="19" t="inlineStr">
        <is>
          <t>9.79%</t>
        </is>
      </c>
      <c r="R76" s="19" t="inlineStr">
        <is>
          <t>7.32%</t>
        </is>
      </c>
      <c r="S76" s="19" t="inlineStr">
        <is>
          <t>7.30%</t>
        </is>
      </c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SUM(第十五期!AJ76:AJ79)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inlineStr">
        <is>
          <t>10.63%</t>
        </is>
      </c>
      <c r="E77" s="19" t="inlineStr">
        <is>
          <t>11.20%</t>
        </is>
      </c>
      <c r="F77" s="19" t="inlineStr">
        <is>
          <t>8.56%</t>
        </is>
      </c>
      <c r="G77" s="19" t="inlineStr">
        <is>
          <t>9.91%</t>
        </is>
      </c>
      <c r="H77" s="19" t="inlineStr">
        <is>
          <t>8.17%</t>
        </is>
      </c>
      <c r="I77" s="19" t="inlineStr">
        <is>
          <t>8.28%</t>
        </is>
      </c>
      <c r="J77" s="19" t="inlineStr">
        <is>
          <t>9.02%</t>
        </is>
      </c>
      <c r="K77" s="19" t="inlineStr">
        <is>
          <t>7.17%</t>
        </is>
      </c>
      <c r="L77" s="19" t="inlineStr">
        <is>
          <t>8.00%</t>
        </is>
      </c>
      <c r="M77" s="19" t="inlineStr">
        <is>
          <t>7.80%</t>
        </is>
      </c>
      <c r="N77" s="19" t="inlineStr">
        <is>
          <t>8.51%</t>
        </is>
      </c>
      <c r="O77" s="19" t="inlineStr">
        <is>
          <t>9.60%</t>
        </is>
      </c>
      <c r="P77" s="19" t="inlineStr">
        <is>
          <t>4.19%</t>
        </is>
      </c>
      <c r="Q77" s="19" t="inlineStr">
        <is>
          <t>3.97%</t>
        </is>
      </c>
      <c r="R77" s="19" t="inlineStr">
        <is>
          <t>8.45%</t>
        </is>
      </c>
      <c r="S77" s="19" t="inlineStr">
        <is>
          <t>8.99%</t>
        </is>
      </c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第十五期!CG53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inlineStr">
        <is>
          <t>1.72%</t>
        </is>
      </c>
      <c r="E78" s="19" t="inlineStr">
        <is>
          <t>1.77%</t>
        </is>
      </c>
      <c r="F78" s="19" t="inlineStr">
        <is>
          <t>1.43%</t>
        </is>
      </c>
      <c r="G78" s="19" t="inlineStr">
        <is>
          <t>0.00%</t>
        </is>
      </c>
      <c r="H78" s="19" t="inlineStr">
        <is>
          <t>0.00%</t>
        </is>
      </c>
      <c r="I78" s="19" t="inlineStr">
        <is>
          <t>1.35%</t>
        </is>
      </c>
      <c r="J78" s="19" t="inlineStr">
        <is>
          <t>0.00%</t>
        </is>
      </c>
      <c r="K78" s="19" t="inlineStr">
        <is>
          <t>0.00%</t>
        </is>
      </c>
      <c r="L78" s="19" t="inlineStr">
        <is>
          <t>0.00%</t>
        </is>
      </c>
      <c r="M78" s="19" t="inlineStr">
        <is>
          <t>0.12%</t>
        </is>
      </c>
      <c r="N78" s="19" t="inlineStr">
        <is>
          <t>0.20%</t>
        </is>
      </c>
      <c r="O78" s="19" t="inlineStr">
        <is>
          <t>0.00%</t>
        </is>
      </c>
      <c r="P78" s="19" t="inlineStr">
        <is>
          <t>0.00%</t>
        </is>
      </c>
      <c r="Q78" s="19" t="inlineStr">
        <is>
          <t>0.00%</t>
        </is>
      </c>
      <c r="R78" s="19" t="inlineStr">
        <is>
          <t>0.00%</t>
        </is>
      </c>
      <c r="S78" s="19" t="inlineStr">
        <is>
          <t>0.00%</t>
        </is>
      </c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第十五期!CN53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inlineStr">
        <is>
          <t>5.08%</t>
        </is>
      </c>
      <c r="E79" s="19" t="inlineStr">
        <is>
          <t>5.60%</t>
        </is>
      </c>
      <c r="F79" s="19" t="inlineStr">
        <is>
          <t>5.04%</t>
        </is>
      </c>
      <c r="G79" s="19" t="inlineStr">
        <is>
          <t>5.49%</t>
        </is>
      </c>
      <c r="H79" s="19" t="inlineStr">
        <is>
          <t>7.23%</t>
        </is>
      </c>
      <c r="I79" s="19" t="inlineStr">
        <is>
          <t>6.53%</t>
        </is>
      </c>
      <c r="J79" s="19" t="inlineStr">
        <is>
          <t>6.19%</t>
        </is>
      </c>
      <c r="K79" s="19" t="inlineStr">
        <is>
          <t>6.12%</t>
        </is>
      </c>
      <c r="L79" s="19" t="inlineStr">
        <is>
          <t>5.33%</t>
        </is>
      </c>
      <c r="M79" s="19" t="inlineStr">
        <is>
          <t>4.87%</t>
        </is>
      </c>
      <c r="N79" s="19" t="inlineStr">
        <is>
          <t>7.21%</t>
        </is>
      </c>
      <c r="O79" s="19" t="inlineStr">
        <is>
          <t>6.80%</t>
        </is>
      </c>
      <c r="P79" s="19" t="inlineStr">
        <is>
          <t>8.77%</t>
        </is>
      </c>
      <c r="Q79" s="19" t="inlineStr">
        <is>
          <t>8.86%</t>
        </is>
      </c>
      <c r="R79" s="19" t="inlineStr">
        <is>
          <t>5.07%</t>
        </is>
      </c>
      <c r="S79" s="19" t="inlineStr">
        <is>
          <t>5.28%</t>
        </is>
      </c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第十五期!K9*比赛参数!D30*比赛参数!F30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inlineStr">
        <is>
          <t>0.99%</t>
        </is>
      </c>
      <c r="E80" s="19" t="inlineStr">
        <is>
          <t>0.71%</t>
        </is>
      </c>
      <c r="F80" s="19" t="inlineStr">
        <is>
          <t>0.33%</t>
        </is>
      </c>
      <c r="G80" s="19" t="inlineStr">
        <is>
          <t>0.33%</t>
        </is>
      </c>
      <c r="H80" s="19" t="inlineStr">
        <is>
          <t>7.07%</t>
        </is>
      </c>
      <c r="I80" s="19" t="inlineStr">
        <is>
          <t>6.21%</t>
        </is>
      </c>
      <c r="J80" s="19" t="inlineStr">
        <is>
          <t>5.01%</t>
        </is>
      </c>
      <c r="K80" s="19" t="inlineStr">
        <is>
          <t>4.78%</t>
        </is>
      </c>
      <c r="L80" s="19" t="inlineStr">
        <is>
          <t>7.88%</t>
        </is>
      </c>
      <c r="M80" s="19" t="inlineStr">
        <is>
          <t>8.04%</t>
        </is>
      </c>
      <c r="N80" s="19" t="inlineStr">
        <is>
          <t>7.31%</t>
        </is>
      </c>
      <c r="O80" s="19" t="inlineStr">
        <is>
          <t>6.71%</t>
        </is>
      </c>
      <c r="P80" s="19" t="inlineStr">
        <is>
          <t>9.78%</t>
        </is>
      </c>
      <c r="Q80" s="19" t="inlineStr">
        <is>
          <t>9.92%</t>
        </is>
      </c>
      <c r="R80" s="19" t="inlineStr">
        <is>
          <t>9.68%</t>
        </is>
      </c>
      <c r="S80" s="19" t="inlineStr">
        <is>
          <t>9.66%</t>
        </is>
      </c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第十五期!CG65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第十五期!Y9*第十五期!CQ56</f>
        <v/>
      </c>
      <c r="CR80" s="294">
        <f>第十五期!Z9*第十五期!CR56</f>
        <v/>
      </c>
      <c r="CS80" s="294">
        <f>第十五期!AA9*第十五期!CS56</f>
        <v/>
      </c>
      <c r="CT80" s="294">
        <f>第十五期!AB9*第十五期!CT56</f>
        <v/>
      </c>
      <c r="CU80" s="294">
        <f>SUM(CQ80:CT80)</f>
        <v/>
      </c>
    </row>
    <row r="81" s="353">
      <c r="B81" s="441" t="n"/>
      <c r="C81" s="25" t="n">
        <v>9</v>
      </c>
      <c r="D81" s="19" t="inlineStr">
        <is>
          <t>0.00%</t>
        </is>
      </c>
      <c r="E81" s="19" t="inlineStr">
        <is>
          <t>0.00%</t>
        </is>
      </c>
      <c r="F81" s="19" t="inlineStr">
        <is>
          <t>0.00%</t>
        </is>
      </c>
      <c r="G81" s="19" t="inlineStr">
        <is>
          <t>0.00%</t>
        </is>
      </c>
      <c r="H81" s="19" t="inlineStr">
        <is>
          <t>0.00%</t>
        </is>
      </c>
      <c r="I81" s="19" t="inlineStr">
        <is>
          <t>0.00%</t>
        </is>
      </c>
      <c r="J81" s="19" t="inlineStr">
        <is>
          <t>0.00%</t>
        </is>
      </c>
      <c r="K81" s="19" t="inlineStr">
        <is>
          <t>0.00%</t>
        </is>
      </c>
      <c r="L81" s="19" t="inlineStr">
        <is>
          <t>0.00%</t>
        </is>
      </c>
      <c r="M81" s="19" t="inlineStr">
        <is>
          <t>0.00%</t>
        </is>
      </c>
      <c r="N81" s="19" t="inlineStr">
        <is>
          <t>0.00%</t>
        </is>
      </c>
      <c r="O81" s="19" t="inlineStr">
        <is>
          <t>2.80%</t>
        </is>
      </c>
      <c r="P81" s="19" t="inlineStr">
        <is>
          <t>0.00%</t>
        </is>
      </c>
      <c r="Q81" s="19" t="inlineStr">
        <is>
          <t>0.00%</t>
        </is>
      </c>
      <c r="R81" s="19" t="inlineStr">
        <is>
          <t>0.00%</t>
        </is>
      </c>
      <c r="S81" s="19" t="inlineStr">
        <is>
          <t>0.00%</t>
        </is>
      </c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(第十五期!K10+(第十五期!AC18+第十五期!K10-第十五期!AC21))/2*比赛参数!D16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第十五期!Y10*第十五期!CQ57</f>
        <v/>
      </c>
      <c r="CR81" s="294">
        <f>第十五期!Z10*第十五期!CR57</f>
        <v/>
      </c>
      <c r="CS81" s="294">
        <f>第十五期!AA10*第十五期!CS57</f>
        <v/>
      </c>
      <c r="CT81" s="294">
        <f>第十五期!AB10*第十五期!CT57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inlineStr">
        <is>
          <t>6.73%</t>
        </is>
      </c>
      <c r="E82" s="19" t="inlineStr">
        <is>
          <t>7.58%</t>
        </is>
      </c>
      <c r="F82" s="19" t="inlineStr">
        <is>
          <t>10.28%</t>
        </is>
      </c>
      <c r="G82" s="19" t="inlineStr">
        <is>
          <t>10.56%</t>
        </is>
      </c>
      <c r="H82" s="19" t="inlineStr">
        <is>
          <t>9.82%</t>
        </is>
      </c>
      <c r="I82" s="19" t="inlineStr">
        <is>
          <t>9.95%</t>
        </is>
      </c>
      <c r="J82" s="19" t="inlineStr">
        <is>
          <t>11.08%</t>
        </is>
      </c>
      <c r="K82" s="19" t="inlineStr">
        <is>
          <t>12.07%</t>
        </is>
      </c>
      <c r="L82" s="19" t="inlineStr">
        <is>
          <t>4.00%</t>
        </is>
      </c>
      <c r="M82" s="19" t="inlineStr">
        <is>
          <t>4.02%</t>
        </is>
      </c>
      <c r="N82" s="19" t="inlineStr">
        <is>
          <t>5.41%</t>
        </is>
      </c>
      <c r="O82" s="19" t="inlineStr">
        <is>
          <t>5.41%</t>
        </is>
      </c>
      <c r="P82" s="19" t="inlineStr">
        <is>
          <t>4.70%</t>
        </is>
      </c>
      <c r="Q82" s="19" t="inlineStr">
        <is>
          <t>5.03%</t>
        </is>
      </c>
      <c r="R82" s="19" t="inlineStr">
        <is>
          <t>6.19%</t>
        </is>
      </c>
      <c r="S82" s="19" t="inlineStr">
        <is>
          <t>6.52%</t>
        </is>
      </c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第十五期!CG67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第十五期!Y11*第十五期!CQ58</f>
        <v/>
      </c>
      <c r="CR82" s="294">
        <f>第十五期!Z11*第十五期!CR58</f>
        <v/>
      </c>
      <c r="CS82" s="294">
        <f>第十五期!AA11*第十五期!CS58</f>
        <v/>
      </c>
      <c r="CT82" s="294">
        <f>第十五期!AB11*第十五期!CT58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inlineStr">
        <is>
          <t>8.78%</t>
        </is>
      </c>
      <c r="E83" s="19" t="inlineStr">
        <is>
          <t>9.43%</t>
        </is>
      </c>
      <c r="F83" s="19" t="inlineStr">
        <is>
          <t>9.37%</t>
        </is>
      </c>
      <c r="G83" s="19" t="inlineStr">
        <is>
          <t>9.30%</t>
        </is>
      </c>
      <c r="H83" s="19" t="inlineStr">
        <is>
          <t>9.58%</t>
        </is>
      </c>
      <c r="I83" s="19" t="inlineStr">
        <is>
          <t>9.71%</t>
        </is>
      </c>
      <c r="J83" s="19" t="inlineStr">
        <is>
          <t>10.72%</t>
        </is>
      </c>
      <c r="K83" s="19" t="inlineStr">
        <is>
          <t>10.61%</t>
        </is>
      </c>
      <c r="L83" s="19" t="inlineStr">
        <is>
          <t>6.18%</t>
        </is>
      </c>
      <c r="M83" s="19" t="inlineStr">
        <is>
          <t>6.33%</t>
        </is>
      </c>
      <c r="N83" s="19" t="inlineStr">
        <is>
          <t>6.61%</t>
        </is>
      </c>
      <c r="O83" s="19" t="inlineStr">
        <is>
          <t>6.15%</t>
        </is>
      </c>
      <c r="P83" s="19" t="inlineStr">
        <is>
          <t>6.35%</t>
        </is>
      </c>
      <c r="Q83" s="19" t="inlineStr">
        <is>
          <t>6.22%</t>
        </is>
      </c>
      <c r="R83" s="19" t="inlineStr">
        <is>
          <t>7.43%</t>
        </is>
      </c>
      <c r="S83" s="19" t="inlineStr">
        <is>
          <t>7.42%</t>
        </is>
      </c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第十五期!K13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第十五期!Y12*第十五期!CQ59</f>
        <v/>
      </c>
      <c r="CR83" s="294">
        <f>第十五期!Z12*第十五期!CR59</f>
        <v/>
      </c>
      <c r="CS83" s="294">
        <f>第十五期!AA12*第十五期!CS59</f>
        <v/>
      </c>
      <c r="CT83" s="294">
        <f>第十五期!AB12*第十五期!CT59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inlineStr">
        <is>
          <t>7.06%</t>
        </is>
      </c>
      <c r="E84" s="19" t="inlineStr">
        <is>
          <t>5.88%</t>
        </is>
      </c>
      <c r="F84" s="19" t="inlineStr">
        <is>
          <t>5.47%</t>
        </is>
      </c>
      <c r="G84" s="19" t="inlineStr">
        <is>
          <t>5.40%</t>
        </is>
      </c>
      <c r="H84" s="19" t="inlineStr">
        <is>
          <t>4.32%</t>
        </is>
      </c>
      <c r="I84" s="19" t="inlineStr">
        <is>
          <t>4.62%</t>
        </is>
      </c>
      <c r="J84" s="19" t="inlineStr">
        <is>
          <t>6.48%</t>
        </is>
      </c>
      <c r="K84" s="19" t="inlineStr">
        <is>
          <t>6.30%</t>
        </is>
      </c>
      <c r="L84" s="19" t="inlineStr">
        <is>
          <t>5.94%</t>
        </is>
      </c>
      <c r="M84" s="19" t="inlineStr">
        <is>
          <t>6.21%</t>
        </is>
      </c>
      <c r="N84" s="19" t="inlineStr">
        <is>
          <t>5.21%</t>
        </is>
      </c>
      <c r="O84" s="19" t="inlineStr">
        <is>
          <t>4.38%</t>
        </is>
      </c>
      <c r="P84" s="19" t="inlineStr">
        <is>
          <t>7.24%</t>
        </is>
      </c>
      <c r="Q84" s="19" t="inlineStr">
        <is>
          <t>7.54%</t>
        </is>
      </c>
      <c r="R84" s="19" t="inlineStr">
        <is>
          <t>5.86%</t>
        </is>
      </c>
      <c r="S84" s="19" t="inlineStr">
        <is>
          <t>5.39%</t>
        </is>
      </c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第十五期!K13*比赛参数!D70/4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inlineStr">
        <is>
          <t>5.81%</t>
        </is>
      </c>
      <c r="E85" s="19" t="inlineStr">
        <is>
          <t>6.38%</t>
        </is>
      </c>
      <c r="F85" s="19" t="inlineStr">
        <is>
          <t>14.61%</t>
        </is>
      </c>
      <c r="G85" s="19" t="inlineStr">
        <is>
          <t>15.12%</t>
        </is>
      </c>
      <c r="H85" s="19" t="inlineStr">
        <is>
          <t>11.63%</t>
        </is>
      </c>
      <c r="I85" s="19" t="inlineStr">
        <is>
          <t>11.31%</t>
        </is>
      </c>
      <c r="J85" s="19" t="inlineStr">
        <is>
          <t>11.31%</t>
        </is>
      </c>
      <c r="K85" s="19" t="inlineStr">
        <is>
          <t>11.25%</t>
        </is>
      </c>
      <c r="L85" s="19" t="inlineStr">
        <is>
          <t>5.58%</t>
        </is>
      </c>
      <c r="M85" s="19" t="inlineStr">
        <is>
          <t>5.97%</t>
        </is>
      </c>
      <c r="N85" s="19" t="inlineStr">
        <is>
          <t>5.61%</t>
        </is>
      </c>
      <c r="O85" s="19" t="inlineStr">
        <is>
          <t>5.13%</t>
        </is>
      </c>
      <c r="P85" s="19" t="inlineStr">
        <is>
          <t>5.34%</t>
        </is>
      </c>
      <c r="Q85" s="19" t="inlineStr">
        <is>
          <t>5.95%</t>
        </is>
      </c>
      <c r="R85" s="19" t="inlineStr">
        <is>
          <t>6.76%</t>
        </is>
      </c>
      <c r="S85" s="19" t="inlineStr">
        <is>
          <t>6.07%</t>
        </is>
      </c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第十五期!AH14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inlineStr">
        <is>
          <t>8.32%</t>
        </is>
      </c>
      <c r="E86" s="19" t="inlineStr">
        <is>
          <t>8.22%</t>
        </is>
      </c>
      <c r="F86" s="19" t="inlineStr">
        <is>
          <t>7.09%</t>
        </is>
      </c>
      <c r="G86" s="19" t="inlineStr">
        <is>
          <t>7.04%</t>
        </is>
      </c>
      <c r="H86" s="19" t="inlineStr">
        <is>
          <t>4.63%</t>
        </is>
      </c>
      <c r="I86" s="19" t="inlineStr">
        <is>
          <t>4.14%</t>
        </is>
      </c>
      <c r="J86" s="19" t="inlineStr">
        <is>
          <t>4.24%</t>
        </is>
      </c>
      <c r="K86" s="19" t="inlineStr">
        <is>
          <t>4.43%</t>
        </is>
      </c>
      <c r="L86" s="19" t="inlineStr">
        <is>
          <t>2.91%</t>
        </is>
      </c>
      <c r="M86" s="19" t="inlineStr">
        <is>
          <t>2.80%</t>
        </is>
      </c>
      <c r="N86" s="19" t="inlineStr">
        <is>
          <t>3.30%</t>
        </is>
      </c>
      <c r="O86" s="19" t="inlineStr">
        <is>
          <t>3.45%</t>
        </is>
      </c>
      <c r="P86" s="19" t="inlineStr">
        <is>
          <t>4.32%</t>
        </is>
      </c>
      <c r="Q86" s="19" t="inlineStr">
        <is>
          <t>4.76%</t>
        </is>
      </c>
      <c r="R86" s="19" t="inlineStr">
        <is>
          <t>5.74%</t>
        </is>
      </c>
      <c r="S86" s="19" t="inlineStr">
        <is>
          <t>6.40%</t>
        </is>
      </c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第十五期!DS33</f>
        <v/>
      </c>
      <c r="AG86" s="131">
        <f>第十五期!DW33</f>
        <v/>
      </c>
      <c r="AH86" s="131">
        <f>第十五期!EA33</f>
        <v/>
      </c>
      <c r="AI86" s="131">
        <f>第十五期!EE33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第十五期!AH14*比赛参数!D69/4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inlineStr">
        <is>
          <t>5.54%</t>
        </is>
      </c>
      <c r="E87" s="19" t="inlineStr">
        <is>
          <t>2.06%</t>
        </is>
      </c>
      <c r="F87" s="19" t="inlineStr">
        <is>
          <t>0.00%</t>
        </is>
      </c>
      <c r="G87" s="19" t="inlineStr">
        <is>
          <t>0.00%</t>
        </is>
      </c>
      <c r="H87" s="19" t="inlineStr">
        <is>
          <t>3.85%</t>
        </is>
      </c>
      <c r="I87" s="19" t="inlineStr">
        <is>
          <t>2.63%</t>
        </is>
      </c>
      <c r="J87" s="19" t="inlineStr">
        <is>
          <t>0.00%</t>
        </is>
      </c>
      <c r="K87" s="19" t="inlineStr">
        <is>
          <t>0.00%</t>
        </is>
      </c>
      <c r="L87" s="19" t="inlineStr">
        <is>
          <t>0.12%</t>
        </is>
      </c>
      <c r="M87" s="19" t="inlineStr">
        <is>
          <t>0.49%</t>
        </is>
      </c>
      <c r="N87" s="19" t="inlineStr">
        <is>
          <t>0.00%</t>
        </is>
      </c>
      <c r="O87" s="19" t="inlineStr">
        <is>
          <t>0.00%</t>
        </is>
      </c>
      <c r="P87" s="19" t="inlineStr">
        <is>
          <t>0.00%</t>
        </is>
      </c>
      <c r="Q87" s="19" t="inlineStr">
        <is>
          <t>0.00%</t>
        </is>
      </c>
      <c r="R87" s="19" t="inlineStr">
        <is>
          <t>0.00%</t>
        </is>
      </c>
      <c r="S87" s="19" t="inlineStr">
        <is>
          <t>0.00%</t>
        </is>
      </c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第十五期!DT33</f>
        <v/>
      </c>
      <c r="AG87" s="131">
        <f>第十五期!DX33</f>
        <v/>
      </c>
      <c r="AH87" s="131">
        <f>第十五期!EB33</f>
        <v/>
      </c>
      <c r="AI87" s="131">
        <f>第十五期!EF33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IF(第十五期!BW92&gt;0,IF((第十五期!K15+第十五期!BW92*比赛参数!D72)&gt;0,第十五期!K15+第十五期!BW92*比赛参数!D72,0))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inlineStr">
        <is>
          <t>4.42%</t>
        </is>
      </c>
      <c r="E88" s="19" t="inlineStr">
        <is>
          <t>4.75%</t>
        </is>
      </c>
      <c r="F88" s="19" t="inlineStr">
        <is>
          <t>4.23%</t>
        </is>
      </c>
      <c r="G88" s="19" t="inlineStr">
        <is>
          <t>4.23%</t>
        </is>
      </c>
      <c r="H88" s="19" t="inlineStr">
        <is>
          <t>7.15%</t>
        </is>
      </c>
      <c r="I88" s="19" t="inlineStr">
        <is>
          <t>7.25%</t>
        </is>
      </c>
      <c r="J88" s="19" t="inlineStr">
        <is>
          <t>8.19%</t>
        </is>
      </c>
      <c r="K88" s="19" t="inlineStr">
        <is>
          <t>8.16%</t>
        </is>
      </c>
      <c r="L88" s="19" t="inlineStr">
        <is>
          <t>6.67%</t>
        </is>
      </c>
      <c r="M88" s="19" t="inlineStr">
        <is>
          <t>6.70%</t>
        </is>
      </c>
      <c r="N88" s="19" t="inlineStr">
        <is>
          <t>7.61%</t>
        </is>
      </c>
      <c r="O88" s="19" t="inlineStr">
        <is>
          <t>8.01%</t>
        </is>
      </c>
      <c r="P88" s="19" t="inlineStr">
        <is>
          <t>4.70%</t>
        </is>
      </c>
      <c r="Q88" s="19" t="inlineStr">
        <is>
          <t>5.03%</t>
        </is>
      </c>
      <c r="R88" s="19" t="inlineStr">
        <is>
          <t>6.42%</t>
        </is>
      </c>
      <c r="S88" s="19" t="inlineStr">
        <is>
          <t>6.40%</t>
        </is>
      </c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第十五期!DU33</f>
        <v/>
      </c>
      <c r="AG88" s="131">
        <f>第十五期!DY33</f>
        <v/>
      </c>
      <c r="AH88" s="131">
        <f>第十五期!EC33</f>
        <v/>
      </c>
      <c r="AI88" s="131">
        <f>第十五期!EG33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第十五期!AF18*比赛参数!D30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inlineStr">
        <is>
          <t>1.12%</t>
        </is>
      </c>
      <c r="E89" s="19" t="inlineStr">
        <is>
          <t>0.00%</t>
        </is>
      </c>
      <c r="F89" s="19" t="inlineStr">
        <is>
          <t>0.00%</t>
        </is>
      </c>
      <c r="G89" s="19" t="inlineStr">
        <is>
          <t>0.00%</t>
        </is>
      </c>
      <c r="H89" s="19" t="inlineStr">
        <is>
          <t>0.00%</t>
        </is>
      </c>
      <c r="I89" s="19" t="inlineStr">
        <is>
          <t>0.00%</t>
        </is>
      </c>
      <c r="J89" s="19" t="inlineStr">
        <is>
          <t>0.12%</t>
        </is>
      </c>
      <c r="K89" s="19" t="inlineStr">
        <is>
          <t>0.00%</t>
        </is>
      </c>
      <c r="L89" s="19" t="inlineStr">
        <is>
          <t>0.00%</t>
        </is>
      </c>
      <c r="M89" s="19" t="inlineStr">
        <is>
          <t>0.00%</t>
        </is>
      </c>
      <c r="N89" s="19" t="inlineStr">
        <is>
          <t>0.00%</t>
        </is>
      </c>
      <c r="O89" s="19" t="inlineStr">
        <is>
          <t>1.30%</t>
        </is>
      </c>
      <c r="P89" s="19" t="inlineStr">
        <is>
          <t>0.00%</t>
        </is>
      </c>
      <c r="Q89" s="19" t="inlineStr">
        <is>
          <t>0.00%</t>
        </is>
      </c>
      <c r="R89" s="19" t="inlineStr">
        <is>
          <t>0.00%</t>
        </is>
      </c>
      <c r="S89" s="19" t="inlineStr">
        <is>
          <t>0.00%</t>
        </is>
      </c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第十五期!DV33</f>
        <v/>
      </c>
      <c r="AG89" s="131">
        <f>第十五期!DZ33</f>
        <v/>
      </c>
      <c r="AH89" s="131">
        <f>第十五期!ED33</f>
        <v/>
      </c>
      <c r="AI89" s="131">
        <f>第十五期!EH33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第十五期!AJ18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inlineStr">
        <is>
          <t>3.56%</t>
        </is>
      </c>
      <c r="E90" s="19" t="inlineStr">
        <is>
          <t>3.97%</t>
        </is>
      </c>
      <c r="F90" s="19" t="inlineStr">
        <is>
          <t>4.09%</t>
        </is>
      </c>
      <c r="G90" s="19" t="inlineStr">
        <is>
          <t>3.94%</t>
        </is>
      </c>
      <c r="H90" s="19" t="inlineStr">
        <is>
          <t>3.22%</t>
        </is>
      </c>
      <c r="I90" s="19" t="inlineStr">
        <is>
          <t>3.74%</t>
        </is>
      </c>
      <c r="J90" s="19" t="inlineStr">
        <is>
          <t>3.71%</t>
        </is>
      </c>
      <c r="K90" s="19" t="inlineStr">
        <is>
          <t>3.38%</t>
        </is>
      </c>
      <c r="L90" s="19" t="inlineStr">
        <is>
          <t>7.64%</t>
        </is>
      </c>
      <c r="M90" s="19" t="inlineStr">
        <is>
          <t>6.70%</t>
        </is>
      </c>
      <c r="N90" s="19" t="inlineStr">
        <is>
          <t>7.71%</t>
        </is>
      </c>
      <c r="O90" s="19" t="inlineStr">
        <is>
          <t>7.18%</t>
        </is>
      </c>
      <c r="P90" s="19" t="inlineStr">
        <is>
          <t>5.84%</t>
        </is>
      </c>
      <c r="Q90" s="19" t="inlineStr">
        <is>
          <t>6.48%</t>
        </is>
      </c>
      <c r="R90" s="19" t="inlineStr">
        <is>
          <t>8.22%</t>
        </is>
      </c>
      <c r="S90" s="19" t="inlineStr">
        <is>
          <t>7.87%</t>
        </is>
      </c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第十五期!AF20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inlineStr">
        <is>
          <t>1.58%</t>
        </is>
      </c>
      <c r="E91" s="19" t="inlineStr">
        <is>
          <t>1.70%</t>
        </is>
      </c>
      <c r="F91" s="19" t="inlineStr">
        <is>
          <t>1.57%</t>
        </is>
      </c>
      <c r="G91" s="19" t="inlineStr">
        <is>
          <t>1.13%</t>
        </is>
      </c>
      <c r="H91" s="19" t="inlineStr">
        <is>
          <t>0.00%</t>
        </is>
      </c>
      <c r="I91" s="19" t="inlineStr">
        <is>
          <t>0.00%</t>
        </is>
      </c>
      <c r="J91" s="19" t="inlineStr">
        <is>
          <t>0.00%</t>
        </is>
      </c>
      <c r="K91" s="19" t="inlineStr">
        <is>
          <t>0.00%</t>
        </is>
      </c>
      <c r="L91" s="19" t="inlineStr">
        <is>
          <t>0.00%</t>
        </is>
      </c>
      <c r="M91" s="19" t="inlineStr">
        <is>
          <t>0.00%</t>
        </is>
      </c>
      <c r="N91" s="19" t="inlineStr">
        <is>
          <t>0.00%</t>
        </is>
      </c>
      <c r="O91" s="19" t="inlineStr">
        <is>
          <t>0.00%</t>
        </is>
      </c>
      <c r="P91" s="19" t="inlineStr">
        <is>
          <t>0.00%</t>
        </is>
      </c>
      <c r="Q91" s="19" t="inlineStr">
        <is>
          <t>0.00%</t>
        </is>
      </c>
      <c r="R91" s="19" t="inlineStr">
        <is>
          <t>0.00%</t>
        </is>
      </c>
      <c r="S91" s="19" t="inlineStr">
        <is>
          <t>0.00%</t>
        </is>
      </c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>
        <v>0</v>
      </c>
      <c r="E92" s="19" t="n">
        <v>0</v>
      </c>
      <c r="F92" s="19" t="n">
        <v>0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0</v>
      </c>
      <c r="Q92" s="19" t="n">
        <v>0</v>
      </c>
      <c r="R92" s="19" t="n">
        <v>0</v>
      </c>
      <c r="S92" s="19" t="n">
        <v>0</v>
      </c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第十五期!BT84</f>
        <v/>
      </c>
      <c r="BT92" s="546" t="inlineStr">
        <is>
          <t>本期成本</t>
        </is>
      </c>
      <c r="BU92" s="478">
        <f>第十五期!BU86</f>
        <v/>
      </c>
      <c r="BV92" s="547" t="inlineStr">
        <is>
          <t>本期利润</t>
        </is>
      </c>
      <c r="BW92" s="548">
        <f>第十五期!BT84-第十五期!BU86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AC9*比赛参数!D6+第十五期!DU26</f>
        <v/>
      </c>
      <c r="Z93" s="37">
        <f>AC10*比赛参数!D6+第十五期!DU27</f>
        <v/>
      </c>
      <c r="AA93" s="37">
        <f>AC11*比赛参数!D6+第十五期!DU28</f>
        <v/>
      </c>
      <c r="AB93" s="37">
        <f>AC12*比赛参数!D6+第十五期!DU29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IF(第十五期!$AC$9&gt;0,第十五期!$K$9*比赛参数!$D$30*比赛参数!$F$30*$CU$87/第十五期!$AC$9,0)</f>
        <v/>
      </c>
      <c r="CR93" s="294">
        <f>IF(第十五期!$AC$9&gt;0,第十五期!$K$9*比赛参数!$D$30*比赛参数!$F$30*$CU$87/第十五期!$AC$9,0)</f>
        <v/>
      </c>
      <c r="CS93" s="294">
        <f>IF(第十五期!$AC$9&gt;0,第十五期!$K$9*比赛参数!$D$30*比赛参数!$F$30*$CU$87/第十五期!$AC$9,0)</f>
        <v/>
      </c>
      <c r="CT93" s="294">
        <f>IF(第十五期!$AC$9&gt;0,第十五期!$K$9*比赛参数!$D$30*比赛参数!$F$30*$CU$87/第十五期!$AC$9,0)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IF(第十五期!$AC$10&gt;0,第十五期!$K$9*比赛参数!$D$30*比赛参数!$F$30*$CU$88/第十五期!$AC$10,0)</f>
        <v/>
      </c>
      <c r="CR94" s="294">
        <f>IF(第十五期!$AC$10&gt;0,第十五期!$K$9*比赛参数!$D$30*比赛参数!$F$30*$CU$88/第十五期!$AC$10,0)</f>
        <v/>
      </c>
      <c r="CS94" s="294">
        <f>IF(第十五期!$AC$10&gt;0,第十五期!$K$9*比赛参数!$D$30*比赛参数!$F$30*$CU$88/第十五期!$AC$10,0)</f>
        <v/>
      </c>
      <c r="CT94" s="294">
        <f>IF(第十五期!$AC$10&gt;0,第十五期!$K$9*比赛参数!$D$30*比赛参数!$F$30*$CU$88/第十五期!$AC$10,0)</f>
        <v/>
      </c>
      <c r="CU94" s="215" t="n"/>
    </row>
    <row customHeight="1" ht="18.75" r="95" s="353">
      <c r="B95" s="441" t="n"/>
      <c r="C95" s="25" t="n">
        <v>1</v>
      </c>
      <c r="D95" s="14" t="inlineStr">
        <is>
          <t>11851481.76</t>
        </is>
      </c>
      <c r="E95" s="14" t="inlineStr">
        <is>
          <t>9354810.46</t>
        </is>
      </c>
      <c r="F95" s="14" t="inlineStr">
        <is>
          <t>2496671.30</t>
        </is>
      </c>
      <c r="G95" s="9" t="inlineStr">
        <is>
          <t>2611175.19</t>
        </is>
      </c>
      <c r="H95" s="9" t="inlineStr">
        <is>
          <t>3172599.74</t>
        </is>
      </c>
      <c r="I95" s="14" t="inlineStr">
        <is>
          <t>9582322.70</t>
        </is>
      </c>
      <c r="J95" s="14" t="inlineStr">
        <is>
          <t>19150783.22</t>
        </is>
      </c>
      <c r="K95" s="9" t="inlineStr">
        <is>
          <t>0.798</t>
        </is>
      </c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IF(第十五期!$AC$11&gt;0,第十五期!$K$9*比赛参数!$D$30*比赛参数!$F$30*$CU$89/第十五期!$AC$11,0)</f>
        <v/>
      </c>
      <c r="CR95" s="294">
        <f>IF(第十五期!$AC$11&gt;0,第十五期!$K$9*比赛参数!$D$30*比赛参数!$F$30*$CU$89/第十五期!$AC$11,0)</f>
        <v/>
      </c>
      <c r="CS95" s="294">
        <f>IF(第十五期!$AC$11&gt;0,第十五期!$K$9*比赛参数!$D$30*比赛参数!$F$30*$CU$89/第十五期!$AC$11,0)</f>
        <v/>
      </c>
      <c r="CT95" s="294">
        <f>IF(第十五期!$AC$11&gt;0,第十五期!$K$9*比赛参数!$D$30*比赛参数!$F$30*$CU$89/第十五期!$AC$11,0)</f>
        <v/>
      </c>
      <c r="CU95" s="215" t="n"/>
    </row>
    <row customHeight="1" ht="18.75" r="96" s="353">
      <c r="B96" s="441" t="n"/>
      <c r="C96" s="25" t="n">
        <v>2</v>
      </c>
      <c r="D96" s="14" t="inlineStr">
        <is>
          <t>8825242.00</t>
        </is>
      </c>
      <c r="E96" s="14" t="inlineStr">
        <is>
          <t>8084750.43</t>
        </is>
      </c>
      <c r="F96" s="14" t="inlineStr">
        <is>
          <t>740491.57</t>
        </is>
      </c>
      <c r="G96" s="9" t="inlineStr">
        <is>
          <t>962859.99</t>
        </is>
      </c>
      <c r="H96" s="9" t="inlineStr">
        <is>
          <t>908000.00</t>
        </is>
      </c>
      <c r="I96" s="14" t="inlineStr">
        <is>
          <t>5749731.35</t>
        </is>
      </c>
      <c r="J96" s="14" t="inlineStr">
        <is>
          <t>16588988.76</t>
        </is>
      </c>
      <c r="K96" s="9" t="inlineStr">
        <is>
          <t>-0.103</t>
        </is>
      </c>
      <c r="L96" s="10" t="n"/>
      <c r="X96" s="64" t="inlineStr">
        <is>
          <t>市场1</t>
        </is>
      </c>
      <c r="Y96" s="486">
        <f>第十五期!CX62</f>
        <v/>
      </c>
      <c r="Z96" s="486">
        <f>第十五期!CX63</f>
        <v/>
      </c>
      <c r="AA96" s="486">
        <f>第十五期!CX64</f>
        <v/>
      </c>
      <c r="AB96" s="486">
        <f>第十五期!CX65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IF(第十五期!$AC$12&gt;0,第十五期!$K$9*比赛参数!$D$30*比赛参数!$F$30*$CU$90/第十五期!$AC$12,0)</f>
        <v/>
      </c>
      <c r="CR96" s="294">
        <f>IF(第十五期!$AC$12&gt;0,第十五期!$K$9*比赛参数!$D$30*比赛参数!$F$30*$CU$90/第十五期!$AC$12,0)</f>
        <v/>
      </c>
      <c r="CS96" s="294">
        <f>IF(第十五期!$AC$12&gt;0,第十五期!$K$9*比赛参数!$D$30*比赛参数!$F$30*$CU$90/第十五期!$AC$12,0)</f>
        <v/>
      </c>
      <c r="CT96" s="294">
        <f>IF(第十五期!$AC$12&gt;0,第十五期!$K$9*比赛参数!$D$30*比赛参数!$F$30*$CU$90/第十五期!$AC$12,0)</f>
        <v/>
      </c>
      <c r="CU96" s="215" t="n"/>
    </row>
    <row customHeight="1" ht="18.75" r="97" s="353">
      <c r="B97" s="441" t="n"/>
      <c r="C97" s="25" t="n">
        <v>3</v>
      </c>
      <c r="D97" s="14" t="inlineStr">
        <is>
          <t>10080389.00</t>
        </is>
      </c>
      <c r="E97" s="14" t="inlineStr">
        <is>
          <t>8322907.23</t>
        </is>
      </c>
      <c r="F97" s="14" t="inlineStr">
        <is>
          <t>1757481.77</t>
        </is>
      </c>
      <c r="G97" s="9" t="inlineStr">
        <is>
          <t>1382628.54</t>
        </is>
      </c>
      <c r="H97" s="9" t="inlineStr">
        <is>
          <t>689943.19</t>
        </is>
      </c>
      <c r="I97" s="14" t="inlineStr">
        <is>
          <t>7226265.29</t>
        </is>
      </c>
      <c r="J97" s="14" t="inlineStr">
        <is>
          <t>18016871.34</t>
        </is>
      </c>
      <c r="K97" s="9" t="inlineStr">
        <is>
          <t>0.061</t>
        </is>
      </c>
      <c r="L97" s="10" t="n"/>
      <c r="X97" s="11" t="inlineStr">
        <is>
          <t>市场2</t>
        </is>
      </c>
      <c r="Y97" s="486">
        <f>第十五期!CY62</f>
        <v/>
      </c>
      <c r="Z97" s="486">
        <f>第十五期!CY63</f>
        <v/>
      </c>
      <c r="AA97" s="486">
        <f>第十五期!CY64</f>
        <v/>
      </c>
      <c r="AB97" s="486">
        <f>第十五期!CY65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inlineStr">
        <is>
          <t>11791145.60</t>
        </is>
      </c>
      <c r="E98" s="14" t="inlineStr">
        <is>
          <t>9330041.94</t>
        </is>
      </c>
      <c r="F98" s="14" t="inlineStr">
        <is>
          <t>2461103.66</t>
        </is>
      </c>
      <c r="G98" s="9" t="inlineStr">
        <is>
          <t>2305244.42</t>
        </is>
      </c>
      <c r="H98" s="9" t="inlineStr">
        <is>
          <t>2124985.12</t>
        </is>
      </c>
      <c r="I98" s="14" t="inlineStr">
        <is>
          <t>9376547.21</t>
        </is>
      </c>
      <c r="J98" s="14" t="inlineStr">
        <is>
          <t>19278838.13</t>
        </is>
      </c>
      <c r="K98" s="9" t="inlineStr">
        <is>
          <t>0.573</t>
        </is>
      </c>
      <c r="L98" s="10" t="n"/>
      <c r="X98" s="11" t="inlineStr">
        <is>
          <t>市场3</t>
        </is>
      </c>
      <c r="Y98" s="486">
        <f>第十五期!CZ62</f>
        <v/>
      </c>
      <c r="Z98" s="486">
        <f>第十五期!CZ63</f>
        <v/>
      </c>
      <c r="AA98" s="486">
        <f>第十五期!CZ64</f>
        <v/>
      </c>
      <c r="AB98" s="486">
        <f>第十五期!CZ65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inlineStr">
        <is>
          <t>11727131.48</t>
        </is>
      </c>
      <c r="E99" s="14" t="inlineStr">
        <is>
          <t>9245223.30</t>
        </is>
      </c>
      <c r="F99" s="14" t="inlineStr">
        <is>
          <t>2481908.18</t>
        </is>
      </c>
      <c r="G99" s="9" t="inlineStr">
        <is>
          <t>2767634.34</t>
        </is>
      </c>
      <c r="H99" s="9" t="inlineStr">
        <is>
          <t>3826114.20</t>
        </is>
      </c>
      <c r="I99" s="14" t="inlineStr">
        <is>
          <t>10032394.16</t>
        </is>
      </c>
      <c r="J99" s="14" t="inlineStr">
        <is>
          <t>18917527.80</t>
        </is>
      </c>
      <c r="K99" s="9" t="inlineStr">
        <is>
          <t>0.872</t>
        </is>
      </c>
      <c r="L99" s="10" t="n"/>
      <c r="X99" s="11" t="inlineStr">
        <is>
          <t>市场4</t>
        </is>
      </c>
      <c r="Y99" s="486">
        <f>第十五期!DA62</f>
        <v/>
      </c>
      <c r="Z99" s="486">
        <f>第十五期!DA63</f>
        <v/>
      </c>
      <c r="AA99" s="486">
        <f>第十五期!DA64</f>
        <v/>
      </c>
      <c r="AB99" s="486">
        <f>第十五期!DA65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inlineStr">
        <is>
          <t>463683.00</t>
        </is>
      </c>
      <c r="E100" s="14" t="inlineStr">
        <is>
          <t>3603485.41</t>
        </is>
      </c>
      <c r="F100" s="14" t="inlineStr">
        <is>
          <t>-3139802.41</t>
        </is>
      </c>
      <c r="G100" s="9" t="inlineStr">
        <is>
          <t>4791.61</t>
        </is>
      </c>
      <c r="H100" s="9" t="inlineStr">
        <is>
          <t>0.00</t>
        </is>
      </c>
      <c r="I100" s="14" t="inlineStr">
        <is>
          <t>-3499716.40</t>
        </is>
      </c>
      <c r="J100" s="14" t="inlineStr">
        <is>
          <t>-3621237.93</t>
        </is>
      </c>
      <c r="K100" s="9" t="inlineStr">
        <is>
          <t>-2.143</t>
        </is>
      </c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inlineStr">
        <is>
          <t>9177310.00</t>
        </is>
      </c>
      <c r="E101" s="14" t="inlineStr">
        <is>
          <t>7303384.66</t>
        </is>
      </c>
      <c r="F101" s="14" t="inlineStr">
        <is>
          <t>1873925.34</t>
        </is>
      </c>
      <c r="G101" s="9" t="inlineStr">
        <is>
          <t>1733504.11</t>
        </is>
      </c>
      <c r="H101" s="9" t="inlineStr">
        <is>
          <t>93907.32</t>
        </is>
      </c>
      <c r="I101" s="14" t="inlineStr">
        <is>
          <t>11280502.28</t>
        </is>
      </c>
      <c r="J101" s="14" t="inlineStr">
        <is>
          <t>19634994.59</t>
        </is>
      </c>
      <c r="K101" s="9" t="inlineStr">
        <is>
          <t>0.313</t>
        </is>
      </c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inlineStr">
        <is>
          <t>9385450.00</t>
        </is>
      </c>
      <c r="E102" s="14" t="inlineStr">
        <is>
          <t>7646484.87</t>
        </is>
      </c>
      <c r="F102" s="14" t="inlineStr">
        <is>
          <t>1738965.13</t>
        </is>
      </c>
      <c r="G102" s="9" t="inlineStr">
        <is>
          <t>1817746.32</t>
        </is>
      </c>
      <c r="H102" s="9" t="inlineStr">
        <is>
          <t>2885150.82</t>
        </is>
      </c>
      <c r="I102" s="14" t="inlineStr">
        <is>
          <t>6906846.05</t>
        </is>
      </c>
      <c r="J102" s="14" t="inlineStr">
        <is>
          <t>17180338.36</t>
        </is>
      </c>
      <c r="K102" s="9" t="inlineStr">
        <is>
          <t>0.460</t>
        </is>
      </c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inlineStr">
        <is>
          <t>278640.00</t>
        </is>
      </c>
      <c r="E103" s="14" t="inlineStr">
        <is>
          <t>3756547.73</t>
        </is>
      </c>
      <c r="F103" s="14" t="inlineStr">
        <is>
          <t>-3477907.73</t>
        </is>
      </c>
      <c r="G103" s="9" t="inlineStr">
        <is>
          <t>454383.95</t>
        </is>
      </c>
      <c r="H103" s="9" t="inlineStr">
        <is>
          <t>0.00</t>
        </is>
      </c>
      <c r="I103" s="14" t="inlineStr">
        <is>
          <t>-1301751.14</t>
        </is>
      </c>
      <c r="J103" s="14" t="inlineStr">
        <is>
          <t>6222284.78</t>
        </is>
      </c>
      <c r="K103" s="9" t="inlineStr">
        <is>
          <t>-1.362</t>
        </is>
      </c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inlineStr">
        <is>
          <t>10840454.16</t>
        </is>
      </c>
      <c r="E104" s="14" t="inlineStr">
        <is>
          <t>8599234.80</t>
        </is>
      </c>
      <c r="F104" s="14" t="inlineStr">
        <is>
          <t>2241219.36</t>
        </is>
      </c>
      <c r="G104" s="9" t="inlineStr">
        <is>
          <t>2134863.47</t>
        </is>
      </c>
      <c r="H104" s="9" t="inlineStr">
        <is>
          <t>1728280.00</t>
        </is>
      </c>
      <c r="I104" s="14" t="inlineStr">
        <is>
          <t>8816715.92</t>
        </is>
      </c>
      <c r="J104" s="14" t="inlineStr">
        <is>
          <t>19160287.01</t>
        </is>
      </c>
      <c r="K104" s="9" t="inlineStr">
        <is>
          <t>0.527</t>
        </is>
      </c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inlineStr">
        <is>
          <t>11707581.04</t>
        </is>
      </c>
      <c r="E105" s="14" t="inlineStr">
        <is>
          <t>9305317.45</t>
        </is>
      </c>
      <c r="F105" s="14" t="inlineStr">
        <is>
          <t>2402263.59</t>
        </is>
      </c>
      <c r="G105" s="9" t="inlineStr">
        <is>
          <t>2590340.00</t>
        </is>
      </c>
      <c r="H105" s="9" t="inlineStr">
        <is>
          <t>3068612.19</t>
        </is>
      </c>
      <c r="I105" s="14" t="inlineStr">
        <is>
          <t>9527193.20</t>
        </is>
      </c>
      <c r="J105" s="14" t="inlineStr">
        <is>
          <t>19164312.13</t>
        </is>
      </c>
      <c r="K105" s="9" t="inlineStr">
        <is>
          <t>0.755</t>
        </is>
      </c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inlineStr">
        <is>
          <t>8334050.00</t>
        </is>
      </c>
      <c r="E106" s="14" t="inlineStr">
        <is>
          <t>6699556.57</t>
        </is>
      </c>
      <c r="F106" s="14" t="inlineStr">
        <is>
          <t>1634493.43</t>
        </is>
      </c>
      <c r="G106" s="9" t="inlineStr">
        <is>
          <t>764229.00</t>
        </is>
      </c>
      <c r="H106" s="9" t="inlineStr">
        <is>
          <t>210000.00</t>
        </is>
      </c>
      <c r="I106" s="14" t="inlineStr">
        <is>
          <t>10322006.45</t>
        </is>
      </c>
      <c r="J106" s="14" t="inlineStr">
        <is>
          <t>16712498.76</t>
        </is>
      </c>
      <c r="K106" s="9" t="inlineStr">
        <is>
          <t>-0.040</t>
        </is>
      </c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inlineStr">
        <is>
          <t>11698115.84</t>
        </is>
      </c>
      <c r="E107" s="14" t="inlineStr">
        <is>
          <t>9524593.56</t>
        </is>
      </c>
      <c r="F107" s="14" t="inlineStr">
        <is>
          <t>2173522.28</t>
        </is>
      </c>
      <c r="G107" s="9" t="inlineStr">
        <is>
          <t>2160570.76</t>
        </is>
      </c>
      <c r="H107" s="9" t="inlineStr">
        <is>
          <t>1534866.16</t>
        </is>
      </c>
      <c r="I107" s="14" t="inlineStr">
        <is>
          <t>10026148.87</t>
        </is>
      </c>
      <c r="J107" s="14" t="inlineStr">
        <is>
          <t>19438895.35</t>
        </is>
      </c>
      <c r="K107" s="9" t="inlineStr">
        <is>
          <t>0.507</t>
        </is>
      </c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inlineStr">
        <is>
          <t>6838200.00</t>
        </is>
      </c>
      <c r="E108" s="14" t="inlineStr">
        <is>
          <t>5856227.73</t>
        </is>
      </c>
      <c r="F108" s="14" t="inlineStr">
        <is>
          <t>981972.27</t>
        </is>
      </c>
      <c r="G108" s="9" t="inlineStr">
        <is>
          <t>361287.15</t>
        </is>
      </c>
      <c r="H108" s="9" t="inlineStr">
        <is>
          <t>839808.80</t>
        </is>
      </c>
      <c r="I108" s="14" t="inlineStr">
        <is>
          <t>7974603.40</t>
        </is>
      </c>
      <c r="J108" s="14" t="inlineStr">
        <is>
          <t>14925534.17</t>
        </is>
      </c>
      <c r="K108" s="9" t="inlineStr">
        <is>
          <t>-0.203</t>
        </is>
      </c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inlineStr">
        <is>
          <t>945867.00</t>
        </is>
      </c>
      <c r="E109" s="14" t="inlineStr">
        <is>
          <t>3500736.21</t>
        </is>
      </c>
      <c r="F109" s="14" t="inlineStr">
        <is>
          <t>-2554869.21</t>
        </is>
      </c>
      <c r="G109" s="9" t="inlineStr">
        <is>
          <t>4791.61</t>
        </is>
      </c>
      <c r="H109" s="9" t="inlineStr">
        <is>
          <t>0.00</t>
        </is>
      </c>
      <c r="I109" s="14" t="inlineStr">
        <is>
          <t>-1216701.46</t>
        </is>
      </c>
      <c r="J109" s="14" t="inlineStr">
        <is>
          <t>6334609.65</t>
        </is>
      </c>
      <c r="K109" s="9" t="inlineStr">
        <is>
          <t>-1.417</t>
        </is>
      </c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inlineStr">
        <is>
          <t>9273925.00</t>
        </is>
      </c>
      <c r="E110" s="14" t="inlineStr">
        <is>
          <t>7631424.18</t>
        </is>
      </c>
      <c r="F110" s="14" t="inlineStr">
        <is>
          <t>1642500.82</t>
        </is>
      </c>
      <c r="G110" s="9" t="inlineStr">
        <is>
          <t>1556578.04</t>
        </is>
      </c>
      <c r="H110" s="9" t="inlineStr">
        <is>
          <t>2085441.60</t>
        </is>
      </c>
      <c r="I110" s="14" t="inlineStr">
        <is>
          <t>9992155.84</t>
        </is>
      </c>
      <c r="J110" s="14" t="inlineStr">
        <is>
          <t>17121578.92</t>
        </is>
      </c>
      <c r="K110" s="9" t="inlineStr">
        <is>
          <t>0.330</t>
        </is>
      </c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inlineStr">
        <is>
          <t>215367.00</t>
        </is>
      </c>
      <c r="E111" s="14" t="inlineStr">
        <is>
          <t>4168434.77</t>
        </is>
      </c>
      <c r="F111" s="14" t="inlineStr">
        <is>
          <t>-3953067.77</t>
        </is>
      </c>
      <c r="G111" s="9" t="inlineStr">
        <is>
          <t>63954.36</t>
        </is>
      </c>
      <c r="H111" s="9" t="inlineStr">
        <is>
          <t>0.00</t>
        </is>
      </c>
      <c r="I111" s="14" t="inlineStr">
        <is>
          <t>-303127.93</t>
        </is>
      </c>
      <c r="J111" s="14" t="inlineStr">
        <is>
          <t>7458217.52</t>
        </is>
      </c>
      <c r="K111" s="9" t="inlineStr">
        <is>
          <t>-1.297</t>
        </is>
      </c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inlineStr">
        <is>
          <t>8222793.00</t>
        </is>
      </c>
      <c r="E112" s="14" t="inlineStr">
        <is>
          <t>6783634.09</t>
        </is>
      </c>
      <c r="F112" s="14" t="inlineStr">
        <is>
          <t>1439158.91</t>
        </is>
      </c>
      <c r="G112" s="9" t="inlineStr">
        <is>
          <t>1379133.68</t>
        </is>
      </c>
      <c r="H112" s="9" t="inlineStr">
        <is>
          <t>1601852.98</t>
        </is>
      </c>
      <c r="I112" s="14" t="inlineStr">
        <is>
          <t>12588403.18</t>
        </is>
      </c>
      <c r="J112" s="14" t="inlineStr">
        <is>
          <t>17133164.72</t>
        </is>
      </c>
      <c r="K112" s="9" t="inlineStr">
        <is>
          <t>0.276</t>
        </is>
      </c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inlineStr">
        <is>
          <t>330750.00</t>
        </is>
      </c>
      <c r="E113" s="14" t="inlineStr">
        <is>
          <t>1026124.93</t>
        </is>
      </c>
      <c r="F113" s="14" t="inlineStr">
        <is>
          <t>-695374.93</t>
        </is>
      </c>
      <c r="G113" s="9" t="inlineStr">
        <is>
          <t>4791.61</t>
        </is>
      </c>
      <c r="H113" s="9" t="inlineStr">
        <is>
          <t>0.00</t>
        </is>
      </c>
      <c r="I113" s="14" t="inlineStr">
        <is>
          <t>-2266672.06</t>
        </is>
      </c>
      <c r="J113" s="14" t="inlineStr">
        <is>
          <t>12467458.71</t>
        </is>
      </c>
      <c r="K113" s="9" t="inlineStr">
        <is>
          <t>-0.916</t>
        </is>
      </c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>
        <v>0</v>
      </c>
      <c r="E114" s="14" t="n">
        <v>0</v>
      </c>
      <c r="F114" s="14" t="n">
        <v>0</v>
      </c>
      <c r="G114" s="9" t="n">
        <v>0</v>
      </c>
      <c r="H114" s="9" t="n">
        <v>0</v>
      </c>
      <c r="I114" s="14" t="n">
        <v>0</v>
      </c>
      <c r="J114" s="14" t="n">
        <v>0</v>
      </c>
      <c r="K114" s="9" t="n">
        <v>0</v>
      </c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(第十五期!#REF!-$BE$54)&lt;0</formula>
    </cfRule>
  </conditionalFormatting>
  <conditionalFormatting sqref="BF132:BF133">
    <cfRule dxfId="6" priority="26" stopIfTrue="1" type="expression">
      <formula>(第十五期!#REF!-$BF$54)&lt;0</formula>
    </cfRule>
  </conditionalFormatting>
  <conditionalFormatting sqref="BG132:BG133">
    <cfRule dxfId="6" priority="25" stopIfTrue="1" type="expression">
      <formula>(第十五期!#REF!-$BG$54)&lt;0</formula>
    </cfRule>
  </conditionalFormatting>
  <conditionalFormatting sqref="BH132:BH133">
    <cfRule dxfId="6" priority="24" stopIfTrue="1" type="expression">
      <formula>(第十五期!#REF!-$BH$54)&lt;0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11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O1" workbookViewId="0" zoomScale="70" zoomScaleNormal="70">
      <selection activeCell="AA24" sqref="AA24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第十六期!AF76</f>
        <v/>
      </c>
      <c r="BT7" s="218">
        <f>第十六期!AF77</f>
        <v/>
      </c>
      <c r="BU7" s="218">
        <f>第十六期!AF78</f>
        <v/>
      </c>
      <c r="BV7" s="218">
        <f>第十六期!AF79</f>
        <v/>
      </c>
      <c r="BW7" s="467">
        <f>第十六期!$AF$80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第十六期!$AG$76</f>
        <v/>
      </c>
      <c r="BT8" s="218">
        <f>第十六期!$AG$77</f>
        <v/>
      </c>
      <c r="BU8" s="218">
        <f>第十六期!$AG$78</f>
        <v/>
      </c>
      <c r="BV8" s="218">
        <f>第十六期!$AG$79</f>
        <v/>
      </c>
      <c r="BW8" s="467">
        <f>第十六期!$AG$80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第十六期!DB56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第十六期!$AH$76</f>
        <v/>
      </c>
      <c r="BT9" s="218">
        <f>第十六期!$AH$77</f>
        <v/>
      </c>
      <c r="BU9" s="218">
        <f>第十六期!$AH$78</f>
        <v/>
      </c>
      <c r="BV9" s="218">
        <f>第十六期!$AH$79</f>
        <v/>
      </c>
      <c r="BW9" s="467">
        <f>第十六期!$AH$80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第十六期!DB57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第十六期!$AI$76</f>
        <v/>
      </c>
      <c r="BT10" s="218">
        <f>第十六期!$AI$77</f>
        <v/>
      </c>
      <c r="BU10" s="218">
        <f>第十六期!$AI$78</f>
        <v/>
      </c>
      <c r="BV10" s="218">
        <f>第十六期!$AI$79</f>
        <v/>
      </c>
      <c r="BW10" s="467">
        <f>第十六期!$AI$80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第十六期!DB58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第十六期!$AJ$76</f>
        <v/>
      </c>
      <c r="BT11" s="467">
        <f>第十六期!$AJ$77</f>
        <v/>
      </c>
      <c r="BU11" s="467">
        <f>第十六期!$AJ$78</f>
        <v/>
      </c>
      <c r="BV11" s="467">
        <f>第十六期!$AJ$79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第十六期!DB59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第十六期!BU86</f>
        <v/>
      </c>
      <c r="AG13" s="135" t="inlineStr">
        <is>
          <t>售前现金</t>
        </is>
      </c>
      <c r="AH13" s="473">
        <f>第十六期!BV76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第十六期!BW92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第十六期!K12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第十六期!Y88</f>
        <v/>
      </c>
      <c r="BT14" s="218">
        <f>第十六期!Y89</f>
        <v/>
      </c>
      <c r="BU14" s="218">
        <f>第十六期!Y90</f>
        <v/>
      </c>
      <c r="BV14" s="218">
        <f>第十六期!Y91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AF14/(Y18+第十六期!K8-AA18)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第十六期!K16*0.5-第十六期!K14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第十六期!Z88</f>
        <v/>
      </c>
      <c r="BT15" s="218">
        <f>第十六期!Z89</f>
        <v/>
      </c>
      <c r="BU15" s="218">
        <f>第十六期!Z90</f>
        <v/>
      </c>
      <c r="BV15" s="218">
        <f>第十六期!Z91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第十六期!DM60</f>
        <v/>
      </c>
      <c r="Z16" s="92" t="inlineStr">
        <is>
          <t>生产成本</t>
        </is>
      </c>
      <c r="AA16" s="485">
        <f>AH20+Y16+第十六期!K9*比赛参数!D30*比赛参数!F30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第十六期!AA88</f>
        <v/>
      </c>
      <c r="BT16" s="218">
        <f>第十六期!AA89</f>
        <v/>
      </c>
      <c r="BU16" s="218">
        <f>第十六期!AA90</f>
        <v/>
      </c>
      <c r="BV16" s="218">
        <f>第十六期!AA91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第十六期!AB88</f>
        <v/>
      </c>
      <c r="BT17" s="218">
        <f>第十六期!AB89</f>
        <v/>
      </c>
      <c r="BU17" s="218">
        <f>第十六期!AB90</f>
        <v/>
      </c>
      <c r="BV17" s="218">
        <f>第十六期!AB91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第十六期!K8*比赛参数!D57</f>
        <v/>
      </c>
      <c r="Z19" s="104" t="inlineStr">
        <is>
          <t>Min</t>
        </is>
      </c>
      <c r="AA19" s="134">
        <f>第十六期!K8*比赛参数!D60</f>
        <v/>
      </c>
      <c r="AB19" s="104" t="inlineStr">
        <is>
          <t>Min</t>
        </is>
      </c>
      <c r="AC19" s="495">
        <f>IF((AC21-第十六期!K10)/比赛参数!D41&gt;0,(AC21-第十六期!K10)/比赛参数!D41,0)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IF((第十六期!BW92-第十六期!BS87)&gt;0,第十六期!BW92-第十六期!BS87,0)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第十六期!$CX$68</f>
        <v/>
      </c>
      <c r="CD19" s="497">
        <f>第十六期!$CX$69</f>
        <v/>
      </c>
      <c r="CE19" s="497">
        <f>第十六期!$CX$70</f>
        <v/>
      </c>
      <c r="CF19" s="497">
        <f>第十六期!$CX$71</f>
        <v/>
      </c>
      <c r="CG19" s="396" t="n"/>
      <c r="CH19" s="498" t="n"/>
      <c r="CI19" s="499" t="inlineStr">
        <is>
          <t>市场1</t>
        </is>
      </c>
      <c r="CJ19" s="497">
        <f>第十六期!$CX$50</f>
        <v/>
      </c>
      <c r="CK19" s="497">
        <f>第十六期!$CX$51</f>
        <v/>
      </c>
      <c r="CL19" s="497">
        <f>第十六期!$CX$52</f>
        <v/>
      </c>
      <c r="CM19" s="497">
        <f>第十六期!$CX$53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第十六期!K8+第十六期!Y18*比赛参数!D59-第十六期!AA18</f>
        <v/>
      </c>
      <c r="Z20" s="148" t="inlineStr">
        <is>
          <t>现有机器数</t>
        </is>
      </c>
      <c r="AA20" s="272">
        <f>第十六期!K9</f>
        <v/>
      </c>
      <c r="AB20" s="148" t="inlineStr">
        <is>
          <t>可用原材料</t>
        </is>
      </c>
      <c r="AC20" s="484">
        <f>AC18*比赛参数!D41+第十六期!K10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第十六期!BS62+第十六期!BS71</f>
        <v/>
      </c>
      <c r="AI20" s="73" t="inlineStr">
        <is>
          <t>期末现金</t>
        </is>
      </c>
      <c r="AJ20" s="484">
        <f>第十六期!BV90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第十六期!Y9</f>
        <v/>
      </c>
      <c r="BT20" s="218">
        <f>第十六期!Z9</f>
        <v/>
      </c>
      <c r="BU20" s="218">
        <f>第十六期!AA9</f>
        <v/>
      </c>
      <c r="BV20" s="218">
        <f>第十六期!AB9</f>
        <v/>
      </c>
      <c r="BW20" s="467">
        <f>第十六期!AJ34</f>
        <v/>
      </c>
      <c r="BX20" s="215" t="n"/>
      <c r="CA20" s="213" t="n"/>
      <c r="CB20" s="196" t="inlineStr">
        <is>
          <t>市场2</t>
        </is>
      </c>
      <c r="CC20" s="497">
        <f>第十六期!$CY$68</f>
        <v/>
      </c>
      <c r="CD20" s="497">
        <f>第十六期!$CY$69</f>
        <v/>
      </c>
      <c r="CE20" s="497">
        <f>第十六期!$CY$70</f>
        <v/>
      </c>
      <c r="CF20" s="497">
        <f>第十六期!$CY$71</f>
        <v/>
      </c>
      <c r="CG20" s="396" t="n"/>
      <c r="CH20" s="498" t="n"/>
      <c r="CI20" s="502" t="inlineStr">
        <is>
          <t>市场2</t>
        </is>
      </c>
      <c r="CJ20" s="497">
        <f>第十六期!$CY$50</f>
        <v/>
      </c>
      <c r="CK20" s="497">
        <f>第十六期!$CY$51</f>
        <v/>
      </c>
      <c r="CL20" s="497">
        <f>第十六期!$CY$52</f>
        <v/>
      </c>
      <c r="CM20" s="497">
        <f>第十六期!$CY$53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第十六期!Y10</f>
        <v/>
      </c>
      <c r="BT21" s="218">
        <f>第十六期!Z10</f>
        <v/>
      </c>
      <c r="BU21" s="218">
        <f>第十六期!AA10</f>
        <v/>
      </c>
      <c r="BV21" s="218">
        <f>第十六期!AB10</f>
        <v/>
      </c>
      <c r="BW21" s="467">
        <f>第十六期!AJ35</f>
        <v/>
      </c>
      <c r="BX21" s="215" t="n"/>
      <c r="CA21" s="213" t="n"/>
      <c r="CB21" s="196" t="inlineStr">
        <is>
          <t>市场3</t>
        </is>
      </c>
      <c r="CC21" s="497">
        <f>第十六期!$CZ$68</f>
        <v/>
      </c>
      <c r="CD21" s="497">
        <f>第十六期!$CZ$69</f>
        <v/>
      </c>
      <c r="CE21" s="497">
        <f>第十六期!$CZ$70</f>
        <v/>
      </c>
      <c r="CF21" s="497">
        <f>第十六期!$CZ$71</f>
        <v/>
      </c>
      <c r="CG21" s="396" t="n"/>
      <c r="CH21" s="498" t="n"/>
      <c r="CI21" s="502" t="inlineStr">
        <is>
          <t>市场3</t>
        </is>
      </c>
      <c r="CJ21" s="497">
        <f>第十六期!$CZ$50</f>
        <v/>
      </c>
      <c r="CK21" s="497">
        <f>第十六期!$CZ$51</f>
        <v/>
      </c>
      <c r="CL21" s="497">
        <f>第十六期!$CZ$52</f>
        <v/>
      </c>
      <c r="CM21" s="497">
        <f>第十六期!$CZ$53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第十六期!Y11</f>
        <v/>
      </c>
      <c r="BT22" s="218">
        <f>第十六期!Z11</f>
        <v/>
      </c>
      <c r="BU22" s="218">
        <f>第十六期!AA11</f>
        <v/>
      </c>
      <c r="BV22" s="218">
        <f>第十六期!AB11</f>
        <v/>
      </c>
      <c r="BW22" s="467">
        <f>第十六期!AJ36</f>
        <v/>
      </c>
      <c r="BX22" s="215" t="n"/>
      <c r="CA22" s="213" t="n"/>
      <c r="CB22" s="196" t="inlineStr">
        <is>
          <t>市场4</t>
        </is>
      </c>
      <c r="CC22" s="497">
        <f>第十六期!$DA$68</f>
        <v/>
      </c>
      <c r="CD22" s="497">
        <f>第十六期!$DA$69</f>
        <v/>
      </c>
      <c r="CE22" s="497">
        <f>第十六期!$DA$70</f>
        <v/>
      </c>
      <c r="CF22" s="497">
        <f>第十六期!$DA$71</f>
        <v/>
      </c>
      <c r="CG22" s="396" t="n"/>
      <c r="CH22" s="498" t="n"/>
      <c r="CI22" s="502" t="inlineStr">
        <is>
          <t>市场4</t>
        </is>
      </c>
      <c r="CJ22" s="497">
        <f>第十六期!$DA$50</f>
        <v/>
      </c>
      <c r="CK22" s="497">
        <f>第十六期!$DA$51</f>
        <v/>
      </c>
      <c r="CL22" s="497">
        <f>第十六期!$DA$52</f>
        <v/>
      </c>
      <c r="CM22" s="497">
        <f>第十六期!$DA$53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第十六期!Y12</f>
        <v/>
      </c>
      <c r="BT23" s="218">
        <f>第十六期!Z12</f>
        <v/>
      </c>
      <c r="BU23" s="218">
        <f>第十六期!AA12</f>
        <v/>
      </c>
      <c r="BV23" s="218">
        <f>第十六期!AB12</f>
        <v/>
      </c>
      <c r="BW23" s="467">
        <f>第十六期!AJ37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第十六期!BV57-第十六期!BV76</f>
        <v/>
      </c>
      <c r="AJ26" s="294">
        <f>第十六期!K9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第十六期!DB50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第十六期!Y18</f>
        <v/>
      </c>
      <c r="BT26" s="218">
        <f>第十六期!AA18</f>
        <v/>
      </c>
      <c r="BU26" s="218">
        <f>第十六期!AF18</f>
        <v/>
      </c>
      <c r="BV26" s="511">
        <f>第十六期!AC18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第十六期!DB51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第十六期!DB52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第十六期!DB53</f>
        <v/>
      </c>
      <c r="BQ29" s="507" t="n"/>
      <c r="BS29" s="511">
        <f>第十六期!AH14</f>
        <v/>
      </c>
      <c r="BT29" s="511">
        <f>第十六期!AH15</f>
        <v/>
      </c>
      <c r="BU29" s="218">
        <f>第十六期!AF20</f>
        <v/>
      </c>
      <c r="BV29" s="511">
        <f>第十六期!AJ18</f>
        <v/>
      </c>
      <c r="BW29" s="218">
        <f>第十六期!AH18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INT(第十六期!DV26)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INT(第十六期!DV27)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INT(第十六期!DV28)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INT(第十六期!DV29)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第十六期!DG56*第十六期!DG50+第十六期!DG64*第十六期!Y88</f>
        <v/>
      </c>
      <c r="CD38" s="272">
        <f>第十六期!DH56*第十六期!DH50+第十六期!DH64*第十六期!Z88</f>
        <v/>
      </c>
      <c r="CE38" s="272">
        <f>第十六期!DI56*第十六期!DI50+第十六期!DI64*第十六期!AA88</f>
        <v/>
      </c>
      <c r="CF38" s="272">
        <f>第十六期!DJ56*第十六期!DJ50+第十六期!DJ64*第十六期!AB88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第十六期!DG57*第十六期!DG51+第十六期!DG65*第十六期!Y89</f>
        <v/>
      </c>
      <c r="CD39" s="272">
        <f>第十六期!DH57*第十六期!DH51+第十六期!DH65*第十六期!Z89</f>
        <v/>
      </c>
      <c r="CE39" s="272">
        <f>第十六期!DI57*第十六期!DI51+第十六期!DI65*第十六期!AA89</f>
        <v/>
      </c>
      <c r="CF39" s="272">
        <f>第十六期!DJ57*第十六期!DJ51+第十六期!DJ65*第十六期!AB89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第十六期!DG58*第十六期!DG52+第十六期!DG66*第十六期!Y90</f>
        <v/>
      </c>
      <c r="CD40" s="272">
        <f>第十六期!DH58*第十六期!DH52+第十六期!DH66*第十六期!Z90</f>
        <v/>
      </c>
      <c r="CE40" s="272">
        <f>第十六期!DI58*第十六期!DI52+第十六期!DI66*第十六期!AA90</f>
        <v/>
      </c>
      <c r="CF40" s="272">
        <f>第十六期!DJ58*第十六期!DJ52+第十六期!DJ66*第十六期!AB90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第十六期!DG59*第十六期!DG53+第十六期!DG67*第十六期!Y91</f>
        <v/>
      </c>
      <c r="CD41" s="272">
        <f>第十六期!DH59*第十六期!DH53+第十六期!DH67*第十六期!Z91</f>
        <v/>
      </c>
      <c r="CE41" s="272">
        <f>第十六期!DI59*第十六期!DI53+第十六期!DI67*第十六期!AA91</f>
        <v/>
      </c>
      <c r="CF41" s="272">
        <f>第十六期!DJ59*第十六期!DJ53+第十六期!DJ67*第十六期!AB91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第十六期!Y9*第十六期!CQ62*比赛参数!D65</f>
        <v/>
      </c>
      <c r="CR50" s="294">
        <f>第十六期!Z9*第十六期!CR62*比赛参数!E65</f>
        <v/>
      </c>
      <c r="CS50" s="294">
        <f>第十六期!AA9*第十六期!CS62*比赛参数!F65</f>
        <v/>
      </c>
      <c r="CT50" s="294">
        <f>第十六期!AB9*第十六期!CT62*比赛参数!G65</f>
        <v/>
      </c>
      <c r="CU50" s="294">
        <f>IF(第十六期!AC9&gt;0,SUM(CQ50:CT50)/第十六期!AC9,0)</f>
        <v/>
      </c>
      <c r="CW50" s="11" t="inlineStr">
        <is>
          <t>A产品</t>
        </is>
      </c>
      <c r="CX50" s="525">
        <f>IF(第十六期!$CU$50*第十六期!CQ93&gt;0,第十六期!$CU$50+第十六期!CQ68+第十六期!CQ93+第十六期!CQ74,0)</f>
        <v/>
      </c>
      <c r="CY50" s="525">
        <f>IF(第十六期!$CU$50*第十六期!CR93&gt;0,第十六期!$CU$50+第十六期!CR68+第十六期!CR93+第十六期!CR74,0)</f>
        <v/>
      </c>
      <c r="CZ50" s="525">
        <f>IF(第十六期!$CU$50*第十六期!CS93&gt;0,第十六期!$CU$50+第十六期!CS68+第十六期!CS93+第十六期!CS74,0)</f>
        <v/>
      </c>
      <c r="DA50" s="525">
        <f>IF(第十六期!$CU$50*第十六期!CT93&gt;0,第十六期!$CU$50+第十六期!CT68+第十六期!CT93+第十六期!CT74,0)</f>
        <v/>
      </c>
      <c r="DB50" s="525">
        <f>AVERAGE(CX50:DA50)</f>
        <v/>
      </c>
      <c r="DF50" s="294" t="inlineStr">
        <is>
          <t>市场1</t>
        </is>
      </c>
      <c r="DG50" s="247">
        <f>IF(第十六期!Y88&gt;0,1,0)</f>
        <v/>
      </c>
      <c r="DH50" s="247">
        <f>IF(第十六期!Z88&gt;0,1,0)</f>
        <v/>
      </c>
      <c r="DI50" s="247">
        <f>IF(第十六期!AA88&gt;0,1,0)</f>
        <v/>
      </c>
      <c r="DJ50" s="247">
        <f>IF(第十六期!AB88&gt;0,1,0)</f>
        <v/>
      </c>
      <c r="DL50" s="247" t="inlineStr">
        <is>
          <t>产品A</t>
        </is>
      </c>
      <c r="DM50" s="248">
        <f>IF(第十六期!Y9+第十六期!Z9&gt;0,1,0)</f>
        <v/>
      </c>
      <c r="DN50" s="248">
        <f>IF(第十六期!AA9+第十六期!AB9&gt;0,1,0)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第十六期!Y10*第十六期!CQ63*比赛参数!D65</f>
        <v/>
      </c>
      <c r="CR51" s="294">
        <f>第十六期!Z10*第十六期!CR63*比赛参数!E65</f>
        <v/>
      </c>
      <c r="CS51" s="294">
        <f>第十六期!AA10*第十六期!CS63*比赛参数!F65</f>
        <v/>
      </c>
      <c r="CT51" s="294">
        <f>第十六期!AB10*第十六期!CT63*比赛参数!G65</f>
        <v/>
      </c>
      <c r="CU51" s="294">
        <f>IF(第十六期!AC10&gt;0,SUM(CQ51:CT51)/第十六期!AC10,0)</f>
        <v/>
      </c>
      <c r="CW51" s="11" t="inlineStr">
        <is>
          <t>B产品</t>
        </is>
      </c>
      <c r="CX51" s="525">
        <f>IF(第十六期!$CU$51*第十六期!CQ94&gt;0,第十六期!$CU$51+第十六期!CQ69+第十六期!CQ94+第十六期!CQ75,0)</f>
        <v/>
      </c>
      <c r="CY51" s="525">
        <f>IF(第十六期!$CU$51*第十六期!CR94&gt;0,第十六期!$CU$51+第十六期!CR69+第十六期!CR94+第十六期!CR75,0)</f>
        <v/>
      </c>
      <c r="CZ51" s="525">
        <f>IF(第十六期!$CU$51*第十六期!CS94&gt;0,第十六期!$CU$51+第十六期!CS69+第十六期!CS94+第十六期!CS75,0)</f>
        <v/>
      </c>
      <c r="DA51" s="525">
        <f>IF(第十六期!$CU$51*第十六期!CT94&gt;0,第十六期!$CU$51+第十六期!CT69+第十六期!CT94+第十六期!CT75,0)</f>
        <v/>
      </c>
      <c r="DB51" s="525">
        <f>AVERAGE(CX51:DA51)</f>
        <v/>
      </c>
      <c r="DF51" s="294" t="inlineStr">
        <is>
          <t>市场2</t>
        </is>
      </c>
      <c r="DG51" s="247">
        <f>IF(第十六期!Y89&gt;0,1,0)</f>
        <v/>
      </c>
      <c r="DH51" s="247">
        <f>IF(第十六期!Z89&gt;0,1,0)</f>
        <v/>
      </c>
      <c r="DI51" s="247">
        <f>IF(第十六期!AA89&gt;0,1,0)</f>
        <v/>
      </c>
      <c r="DJ51" s="247">
        <f>IF(第十六期!AB89&gt;0,1,0)</f>
        <v/>
      </c>
      <c r="DL51" s="247" t="inlineStr">
        <is>
          <t>产品B</t>
        </is>
      </c>
      <c r="DM51" s="248">
        <f>IF(第十六期!Y10+第十六期!Z10&gt;0,1,0)</f>
        <v/>
      </c>
      <c r="DN51" s="248">
        <f>IF(第十六期!AA10+第十六期!AB10&gt;0,1,0)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第十六期!Y11*第十六期!CQ64*比赛参数!D65</f>
        <v/>
      </c>
      <c r="CR52" s="294">
        <f>第十六期!Z11*第十六期!CR64*比赛参数!E65</f>
        <v/>
      </c>
      <c r="CS52" s="294">
        <f>第十六期!AA11*第十六期!CS64*比赛参数!F65</f>
        <v/>
      </c>
      <c r="CT52" s="294">
        <f>第十六期!AB11*第十六期!CT64*比赛参数!G65</f>
        <v/>
      </c>
      <c r="CU52" s="294">
        <f>IF(第十六期!AC11&gt;0,SUM(CQ52:CT52)/第十六期!AC11,0)</f>
        <v/>
      </c>
      <c r="CW52" s="11" t="inlineStr">
        <is>
          <t>C产品</t>
        </is>
      </c>
      <c r="CX52" s="525">
        <f>IF(第十六期!$CU$52*第十六期!CQ95&gt;0,第十六期!$CU$52+第十六期!CQ70+第十六期!CQ95+第十六期!CQ76,0)</f>
        <v/>
      </c>
      <c r="CY52" s="525">
        <f>IF(第十六期!$CU$52*第十六期!CR95&gt;0,第十六期!$CU$52+第十六期!CR70+第十六期!CR95+第十六期!CR76,0)</f>
        <v/>
      </c>
      <c r="CZ52" s="525">
        <f>IF(第十六期!$CU$52*第十六期!CS95&gt;0,第十六期!$CU$52+第十六期!CS70+第十六期!CS95+第十六期!CS76,0)</f>
        <v/>
      </c>
      <c r="DA52" s="525">
        <f>IF(第十六期!$CU$52*第十六期!CT95&gt;0,第十六期!$CU$52+第十六期!CT70+第十六期!CT95+第十六期!CT76,0)</f>
        <v/>
      </c>
      <c r="DB52" s="525">
        <f>AVERAGE(CX52:DA52)</f>
        <v/>
      </c>
      <c r="DF52" s="294" t="inlineStr">
        <is>
          <t>市场3</t>
        </is>
      </c>
      <c r="DG52" s="247">
        <f>IF(第十六期!Y90&gt;0,1,0)</f>
        <v/>
      </c>
      <c r="DH52" s="247">
        <f>IF(第十六期!Z90&gt;0,1,0)</f>
        <v/>
      </c>
      <c r="DI52" s="247">
        <f>IF(第十六期!AA90&gt;0,1,0)</f>
        <v/>
      </c>
      <c r="DJ52" s="247">
        <f>IF(第十六期!AB90&gt;0,1,0)</f>
        <v/>
      </c>
      <c r="DL52" s="247" t="inlineStr">
        <is>
          <t>产品C</t>
        </is>
      </c>
      <c r="DM52" s="248">
        <f>IF(第十六期!Y11+第十六期!Z11&gt;0,1,0)</f>
        <v/>
      </c>
      <c r="DN52" s="248">
        <f>IF(第十六期!AA11+第十六期!AB11&gt;0,1,0)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第十六期!Y12*第十六期!CQ65*比赛参数!D65</f>
        <v/>
      </c>
      <c r="CR53" s="294">
        <f>第十六期!Z12*第十六期!CR65*比赛参数!E65</f>
        <v/>
      </c>
      <c r="CS53" s="294">
        <f>第十六期!AA12*第十六期!CS65*比赛参数!F65</f>
        <v/>
      </c>
      <c r="CT53" s="294">
        <f>第十六期!AB12*第十六期!CT65*比赛参数!G65</f>
        <v/>
      </c>
      <c r="CU53" s="294">
        <f>IF(第十六期!AC12&gt;0,SUM(CQ53:CT53)/第十六期!AC12,0)</f>
        <v/>
      </c>
      <c r="CW53" s="11" t="inlineStr">
        <is>
          <t>D产品</t>
        </is>
      </c>
      <c r="CX53" s="525">
        <f>IF(第十六期!$CU$53*第十六期!CQ96&gt;0,第十六期!$CU$53+第十六期!CQ71+第十六期!CQ96+第十六期!CQ77,0)</f>
        <v/>
      </c>
      <c r="CY53" s="525">
        <f>IF(第十六期!$CU$53*第十六期!CR96&gt;0,第十六期!$CU$53+第十六期!CR71+第十六期!CR96+第十六期!CR77,0)</f>
        <v/>
      </c>
      <c r="CZ53" s="525">
        <f>IF(第十六期!$CU$53*第十六期!CS96&gt;0,第十六期!$CU$53+第十六期!CS71+第十六期!CS96+第十六期!CS77,0)</f>
        <v/>
      </c>
      <c r="DA53" s="525">
        <f>IF(第十六期!$CU$53*第十六期!CT96&gt;0,第十六期!$CU$53+第十六期!CT71+第十六期!CT96+第十六期!CT77,0)</f>
        <v/>
      </c>
      <c r="DB53" s="525">
        <f>AVERAGE(CX53:DA53)</f>
        <v/>
      </c>
      <c r="DF53" s="294" t="inlineStr">
        <is>
          <t>市场4</t>
        </is>
      </c>
      <c r="DG53" s="247">
        <f>IF(第十六期!Y91&gt;0,1,0)</f>
        <v/>
      </c>
      <c r="DH53" s="247">
        <f>IF(第十六期!Z91&gt;0,1,0)</f>
        <v/>
      </c>
      <c r="DI53" s="247">
        <f>IF(第十六期!AA91&gt;0,1,0)</f>
        <v/>
      </c>
      <c r="DJ53" s="247">
        <f>IF(第十六期!AB91&gt;0,1,0)</f>
        <v/>
      </c>
      <c r="DL53" s="247" t="inlineStr">
        <is>
          <t>产品D</t>
        </is>
      </c>
      <c r="DM53" s="248">
        <f>IF(第十六期!Y12+第十六期!Z12&gt;0,1,0)</f>
        <v/>
      </c>
      <c r="DN53" s="248">
        <f>IF(第十六期!AA12+第十六期!AB12&gt;0,1,0)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第十六期!K11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第十六期!AH14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第十六期!DU26</f>
        <v/>
      </c>
      <c r="CD56" s="272">
        <f>第十六期!DU27</f>
        <v/>
      </c>
      <c r="CE56" s="272">
        <f>第十六期!DU28</f>
        <v/>
      </c>
      <c r="CF56" s="272">
        <f>第十六期!DU29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第十六期!BS7-第十六期!CX50</f>
        <v/>
      </c>
      <c r="CY56" s="525">
        <f>第十六期!BT7-第十六期!CY50</f>
        <v/>
      </c>
      <c r="CZ56" s="525">
        <f>第十六期!BU7-第十六期!CZ50</f>
        <v/>
      </c>
      <c r="DA56" s="525">
        <f>第十六期!BV7-第十六期!DA50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第十六期!DX6</f>
        <v/>
      </c>
      <c r="Z57" s="272">
        <f>第十六期!DX10</f>
        <v/>
      </c>
      <c r="AA57" s="272">
        <f>第十六期!DX14</f>
        <v/>
      </c>
      <c r="AB57" s="272">
        <f>第十六期!DX18</f>
        <v/>
      </c>
      <c r="AC57" s="234" t="n"/>
      <c r="AE57" s="64" t="inlineStr">
        <is>
          <t>市场1</t>
        </is>
      </c>
      <c r="AF57" s="272">
        <f>第十六期!DW6</f>
        <v/>
      </c>
      <c r="AG57" s="272">
        <f>第十六期!DW10</f>
        <v/>
      </c>
      <c r="AH57" s="272">
        <f>第十六期!DW14</f>
        <v/>
      </c>
      <c r="AI57" s="272">
        <f>第十六期!DW18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第十六期!AH15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第十六期!BS8-第十六期!CX51</f>
        <v/>
      </c>
      <c r="CY57" s="525">
        <f>第十六期!BT8-第十六期!CY51</f>
        <v/>
      </c>
      <c r="CZ57" s="525">
        <f>第十六期!BU8-第十六期!CZ51</f>
        <v/>
      </c>
      <c r="DA57" s="525">
        <f>第十六期!BV8-第十六期!DA51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第十六期!DX7</f>
        <v/>
      </c>
      <c r="Z58" s="272">
        <f>第十六期!DX11</f>
        <v/>
      </c>
      <c r="AA58" s="272">
        <f>第十六期!DX15</f>
        <v/>
      </c>
      <c r="AB58" s="272">
        <f>第十六期!DX19</f>
        <v/>
      </c>
      <c r="AC58" s="234" t="n"/>
      <c r="AE58" s="11" t="inlineStr">
        <is>
          <t>市场2</t>
        </is>
      </c>
      <c r="AF58" s="272">
        <f>第十六期!DW7</f>
        <v/>
      </c>
      <c r="AG58" s="272">
        <f>第十六期!DW11</f>
        <v/>
      </c>
      <c r="AH58" s="272">
        <f>第十六期!DW15</f>
        <v/>
      </c>
      <c r="AI58" s="272">
        <f>第十六期!DW19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第十六期!H5+第十六期!H4*比赛参数!F71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第十六期!BS9-第十六期!CX52</f>
        <v/>
      </c>
      <c r="CY58" s="525">
        <f>第十六期!BT9-第十六期!CY52</f>
        <v/>
      </c>
      <c r="CZ58" s="525">
        <f>第十六期!BU9-第十六期!CZ52</f>
        <v/>
      </c>
      <c r="DA58" s="525">
        <f>第十六期!BV9-第十六期!DA52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第十六期!DX8</f>
        <v/>
      </c>
      <c r="Z59" s="272">
        <f>第十六期!DX12</f>
        <v/>
      </c>
      <c r="AA59" s="272">
        <f>第十六期!DX16</f>
        <v/>
      </c>
      <c r="AB59" s="272">
        <f>第十六期!DX20</f>
        <v/>
      </c>
      <c r="AC59" s="235" t="n"/>
      <c r="AE59" s="11" t="inlineStr">
        <is>
          <t>市场3</t>
        </is>
      </c>
      <c r="AF59" s="272">
        <f>第十六期!DW8</f>
        <v/>
      </c>
      <c r="AG59" s="272">
        <f>第十六期!DW12</f>
        <v/>
      </c>
      <c r="AH59" s="272">
        <f>第十六期!DW16</f>
        <v/>
      </c>
      <c r="AI59" s="272">
        <f>第十六期!DW20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第十六期!K14*比赛参数!D71/4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第十六期!BS10-第十六期!CX53</f>
        <v/>
      </c>
      <c r="CY59" s="525">
        <f>第十六期!BT10-第十六期!CY53</f>
        <v/>
      </c>
      <c r="CZ59" s="525">
        <f>第十六期!BU10-第十六期!CZ53</f>
        <v/>
      </c>
      <c r="DA59" s="525">
        <f>第十六期!BV10-第十六期!DA53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第十六期!DX9</f>
        <v/>
      </c>
      <c r="Z60" s="272">
        <f>第十六期!DX13</f>
        <v/>
      </c>
      <c r="AA60" s="272">
        <f>第十六期!DX17</f>
        <v/>
      </c>
      <c r="AB60" s="272">
        <f>第十六期!DX21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第十六期!DW9</f>
        <v/>
      </c>
      <c r="AG60" s="272">
        <f>第十六期!DW13</f>
        <v/>
      </c>
      <c r="AH60" s="272">
        <f>第十六期!DW17</f>
        <v/>
      </c>
      <c r="AI60" s="272">
        <f>第十六期!DW21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第十六期!Y18*比赛参数!D58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第十六期!AA18*比赛参数!D62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((第十六期!K8-第十六期!AA18)*比赛参数!D65+第十六期!Y18*比赛参数!D59*比赛参数!D65)*第十六期!AH18*520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CX56/第十六期!CQ56</f>
        <v/>
      </c>
      <c r="CY62" s="525">
        <f>CY56/第十六期!CR56</f>
        <v/>
      </c>
      <c r="CZ62" s="525">
        <f>CZ56/第十六期!CS56</f>
        <v/>
      </c>
      <c r="DA62" s="525">
        <f>DA56/第十六期!CT56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第十六期!K9*比赛参数!D49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CX57/第十六期!CQ57</f>
        <v/>
      </c>
      <c r="CY63" s="525">
        <f>CY57/第十六期!CR57</f>
        <v/>
      </c>
      <c r="CZ63" s="525">
        <f>CZ57/第十六期!CS57</f>
        <v/>
      </c>
      <c r="DA63" s="525">
        <f>DA57/第十六期!CT57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第十六期!AL37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CX58/第十六期!CQ58</f>
        <v/>
      </c>
      <c r="CY64" s="525">
        <f>CY58/第十六期!CR58</f>
        <v/>
      </c>
      <c r="CZ64" s="525">
        <f>CZ58/第十六期!CS58</f>
        <v/>
      </c>
      <c r="DA64" s="525">
        <f>DA58/第十六期!CT58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0.5*第十六期!AL37+0.5*第十六期!DV23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CX59/第十六期!CQ59</f>
        <v/>
      </c>
      <c r="CY65" s="525">
        <f>CY59/第十六期!CR59</f>
        <v/>
      </c>
      <c r="CZ65" s="525">
        <f>CZ59/第十六期!CS59</f>
        <v/>
      </c>
      <c r="DA65" s="525">
        <f>DA59/第十六期!CT59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第十六期!AC18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六期!AC18&gt;=比赛参数!D33,(1-比赛参数!E33)*第十六期!AC18,0)+IF(AND(第十六期!AC18&gt;=比赛参数!D34,第十六期!AC18&lt;比赛参数!D33),(1-比赛参数!E34)*第十六期!AC18,0)+IF(AND(第十六期!AC18&gt;=比赛参数!D35,第十六期!AC18&lt;比赛参数!D34),(1-比赛参数!E35)*第十六期!AC18,0)+IF(AND(第十六期!AC18&gt;=比赛参数!D36,第十六期!AC18&lt;比赛参数!D35),(1-比赛参数!E36)*第十六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第十六期!DV6</f>
        <v/>
      </c>
      <c r="AG70" s="131">
        <f>第十六期!DV10</f>
        <v/>
      </c>
      <c r="AH70" s="131">
        <f>第十六期!DV14</f>
        <v/>
      </c>
      <c r="AI70" s="131">
        <f>第十六期!DV18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IF(第十六期!AC18&gt;0,第十六期!AC18*比赛参数!E40+比赛参数!E39,0)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第十六期!DV7</f>
        <v/>
      </c>
      <c r="AG71" s="131">
        <f>第十六期!DV11</f>
        <v/>
      </c>
      <c r="AH71" s="131">
        <f>第十六期!DV15</f>
        <v/>
      </c>
      <c r="AI71" s="131">
        <f>第十六期!DV19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(第十六期!Z13*比赛参数!E65*260+第十六期!AA13*(比赛参数!F65-比赛参数!D65)*520+第十六期!AB13*比赛参数!G65*260)*第十六期!AH18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第十六期!DV8</f>
        <v/>
      </c>
      <c r="AG72" s="131">
        <f>第十六期!DV12</f>
        <v/>
      </c>
      <c r="AH72" s="131">
        <f>第十六期!DV16</f>
        <v/>
      </c>
      <c r="AI72" s="131">
        <f>第十六期!DV20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第十六期!DM60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第十六期!DV9</f>
        <v/>
      </c>
      <c r="AG73" s="131">
        <f>第十六期!DV13</f>
        <v/>
      </c>
      <c r="AH73" s="131">
        <f>第十六期!DV17</f>
        <v/>
      </c>
      <c r="AI73" s="131">
        <f>第十六期!DV21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第十六期!AC21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第十六期!CG42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SUM(第十六期!AF80:AI80)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SUM(第十六期!AJ76:AJ79)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第十六期!CG53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第十六期!CN53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第十六期!K9*比赛参数!D30*比赛参数!F30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第十六期!CG65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第十六期!Y9*第十六期!CQ56</f>
        <v/>
      </c>
      <c r="CR80" s="294">
        <f>第十六期!Z9*第十六期!CR56</f>
        <v/>
      </c>
      <c r="CS80" s="294">
        <f>第十六期!AA9*第十六期!CS56</f>
        <v/>
      </c>
      <c r="CT80" s="294">
        <f>第十六期!AB9*第十六期!CT56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(第十六期!K10+(第十六期!AC18+第十六期!K10-第十六期!AC21))/2*比赛参数!D16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第十六期!Y10*第十六期!CQ57</f>
        <v/>
      </c>
      <c r="CR81" s="294">
        <f>第十六期!Z10*第十六期!CR57</f>
        <v/>
      </c>
      <c r="CS81" s="294">
        <f>第十六期!AA10*第十六期!CS57</f>
        <v/>
      </c>
      <c r="CT81" s="294">
        <f>第十六期!AB10*第十六期!CT57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第十六期!CG67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第十六期!Y11*第十六期!CQ58</f>
        <v/>
      </c>
      <c r="CR82" s="294">
        <f>第十六期!Z11*第十六期!CR58</f>
        <v/>
      </c>
      <c r="CS82" s="294">
        <f>第十六期!AA11*第十六期!CS58</f>
        <v/>
      </c>
      <c r="CT82" s="294">
        <f>第十六期!AB11*第十六期!CT58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第十六期!K13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第十六期!Y12*第十六期!CQ59</f>
        <v/>
      </c>
      <c r="CR83" s="294">
        <f>第十六期!Z12*第十六期!CR59</f>
        <v/>
      </c>
      <c r="CS83" s="294">
        <f>第十六期!AA12*第十六期!CS59</f>
        <v/>
      </c>
      <c r="CT83" s="294">
        <f>第十六期!AB12*第十六期!CT59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第十六期!K13*比赛参数!D70/4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第十六期!AH14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第十六期!DS33</f>
        <v/>
      </c>
      <c r="AG86" s="131">
        <f>第十六期!DW33</f>
        <v/>
      </c>
      <c r="AH86" s="131">
        <f>第十六期!EA33</f>
        <v/>
      </c>
      <c r="AI86" s="131">
        <f>第十六期!EE33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第十六期!AH14*比赛参数!D69/4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第十六期!DT33</f>
        <v/>
      </c>
      <c r="AG87" s="131">
        <f>第十六期!DX33</f>
        <v/>
      </c>
      <c r="AH87" s="131">
        <f>第十六期!EB33</f>
        <v/>
      </c>
      <c r="AI87" s="131">
        <f>第十六期!EF33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IF(第十六期!BW92&gt;0,IF((第十六期!K15+第十六期!BW92*比赛参数!D72)&gt;0,第十六期!K15+第十六期!BW92*比赛参数!D72,0))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第十六期!DU33</f>
        <v/>
      </c>
      <c r="AG88" s="131">
        <f>第十六期!DY33</f>
        <v/>
      </c>
      <c r="AH88" s="131">
        <f>第十六期!EC33</f>
        <v/>
      </c>
      <c r="AI88" s="131">
        <f>第十六期!EG33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第十六期!AF18*比赛参数!D30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第十六期!DV33</f>
        <v/>
      </c>
      <c r="AG89" s="131">
        <f>第十六期!DZ33</f>
        <v/>
      </c>
      <c r="AH89" s="131">
        <f>第十六期!ED33</f>
        <v/>
      </c>
      <c r="AI89" s="131">
        <f>第十六期!EH33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第十六期!AJ18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第十六期!AF20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第十六期!BT84</f>
        <v/>
      </c>
      <c r="BT92" s="546" t="inlineStr">
        <is>
          <t>本期成本</t>
        </is>
      </c>
      <c r="BU92" s="478">
        <f>第十六期!BU86</f>
        <v/>
      </c>
      <c r="BV92" s="547" t="inlineStr">
        <is>
          <t>本期利润</t>
        </is>
      </c>
      <c r="BW92" s="548">
        <f>第十六期!BT84-第十六期!BU86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AC9*比赛参数!D6+第十六期!DU26</f>
        <v/>
      </c>
      <c r="Z93" s="37">
        <f>AC10*比赛参数!D6+第十六期!DU27</f>
        <v/>
      </c>
      <c r="AA93" s="37">
        <f>AC11*比赛参数!D6+第十六期!DU28</f>
        <v/>
      </c>
      <c r="AB93" s="37">
        <f>AC12*比赛参数!D6+第十六期!DU29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IF(第十六期!$AC$9&gt;0,第十六期!$K$9*比赛参数!$D$30*比赛参数!$F$30*$CU$87/第十六期!$AC$9,0)</f>
        <v/>
      </c>
      <c r="CR93" s="294">
        <f>IF(第十六期!$AC$9&gt;0,第十六期!$K$9*比赛参数!$D$30*比赛参数!$F$30*$CU$87/第十六期!$AC$9,0)</f>
        <v/>
      </c>
      <c r="CS93" s="294">
        <f>IF(第十六期!$AC$9&gt;0,第十六期!$K$9*比赛参数!$D$30*比赛参数!$F$30*$CU$87/第十六期!$AC$9,0)</f>
        <v/>
      </c>
      <c r="CT93" s="294">
        <f>IF(第十六期!$AC$9&gt;0,第十六期!$K$9*比赛参数!$D$30*比赛参数!$F$30*$CU$87/第十六期!$AC$9,0)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IF(第十六期!$AC$10&gt;0,第十六期!$K$9*比赛参数!$D$30*比赛参数!$F$30*$CU$88/第十六期!$AC$10,0)</f>
        <v/>
      </c>
      <c r="CR94" s="294">
        <f>IF(第十六期!$AC$10&gt;0,第十六期!$K$9*比赛参数!$D$30*比赛参数!$F$30*$CU$88/第十六期!$AC$10,0)</f>
        <v/>
      </c>
      <c r="CS94" s="294">
        <f>IF(第十六期!$AC$10&gt;0,第十六期!$K$9*比赛参数!$D$30*比赛参数!$F$30*$CU$88/第十六期!$AC$10,0)</f>
        <v/>
      </c>
      <c r="CT94" s="294">
        <f>IF(第十六期!$AC$10&gt;0,第十六期!$K$9*比赛参数!$D$30*比赛参数!$F$30*$CU$88/第十六期!$AC$10,0)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IF(第十六期!$AC$11&gt;0,第十六期!$K$9*比赛参数!$D$30*比赛参数!$F$30*$CU$89/第十六期!$AC$11,0)</f>
        <v/>
      </c>
      <c r="CR95" s="294">
        <f>IF(第十六期!$AC$11&gt;0,第十六期!$K$9*比赛参数!$D$30*比赛参数!$F$30*$CU$89/第十六期!$AC$11,0)</f>
        <v/>
      </c>
      <c r="CS95" s="294">
        <f>IF(第十六期!$AC$11&gt;0,第十六期!$K$9*比赛参数!$D$30*比赛参数!$F$30*$CU$89/第十六期!$AC$11,0)</f>
        <v/>
      </c>
      <c r="CT95" s="294">
        <f>IF(第十六期!$AC$11&gt;0,第十六期!$K$9*比赛参数!$D$30*比赛参数!$F$30*$CU$89/第十六期!$AC$11,0)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第十六期!CX62</f>
        <v/>
      </c>
      <c r="Z96" s="486">
        <f>第十六期!CX63</f>
        <v/>
      </c>
      <c r="AA96" s="486">
        <f>第十六期!CX64</f>
        <v/>
      </c>
      <c r="AB96" s="486">
        <f>第十六期!CX65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IF(第十六期!$AC$12&gt;0,第十六期!$K$9*比赛参数!$D$30*比赛参数!$F$30*$CU$90/第十六期!$AC$12,0)</f>
        <v/>
      </c>
      <c r="CR96" s="294">
        <f>IF(第十六期!$AC$12&gt;0,第十六期!$K$9*比赛参数!$D$30*比赛参数!$F$30*$CU$90/第十六期!$AC$12,0)</f>
        <v/>
      </c>
      <c r="CS96" s="294">
        <f>IF(第十六期!$AC$12&gt;0,第十六期!$K$9*比赛参数!$D$30*比赛参数!$F$30*$CU$90/第十六期!$AC$12,0)</f>
        <v/>
      </c>
      <c r="CT96" s="294">
        <f>IF(第十六期!$AC$12&gt;0,第十六期!$K$9*比赛参数!$D$30*比赛参数!$F$30*$CU$90/第十六期!$AC$12,0)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第十六期!CY62</f>
        <v/>
      </c>
      <c r="Z97" s="486">
        <f>第十六期!CY63</f>
        <v/>
      </c>
      <c r="AA97" s="486">
        <f>第十六期!CY64</f>
        <v/>
      </c>
      <c r="AB97" s="486">
        <f>第十六期!CY65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第十六期!CZ62</f>
        <v/>
      </c>
      <c r="Z98" s="486">
        <f>第十六期!CZ63</f>
        <v/>
      </c>
      <c r="AA98" s="486">
        <f>第十六期!CZ64</f>
        <v/>
      </c>
      <c r="AB98" s="486">
        <f>第十六期!CZ65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第十六期!DA62</f>
        <v/>
      </c>
      <c r="Z99" s="486">
        <f>第十六期!DA63</f>
        <v/>
      </c>
      <c r="AA99" s="486">
        <f>第十六期!DA64</f>
        <v/>
      </c>
      <c r="AB99" s="486">
        <f>第十六期!DA65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(第十六期!#REF!-$BE$54)&lt;0</formula>
    </cfRule>
  </conditionalFormatting>
  <conditionalFormatting sqref="BF132:BF133">
    <cfRule dxfId="6" priority="26" stopIfTrue="1" type="expression">
      <formula>(第十六期!#REF!-$BF$54)&lt;0</formula>
    </cfRule>
  </conditionalFormatting>
  <conditionalFormatting sqref="BG132:BG133">
    <cfRule dxfId="6" priority="25" stopIfTrue="1" type="expression">
      <formula>(第十六期!#REF!-$BG$54)&lt;0</formula>
    </cfRule>
  </conditionalFormatting>
  <conditionalFormatting sqref="BH132:BH133">
    <cfRule dxfId="6" priority="24" stopIfTrue="1" type="expression">
      <formula>(第十六期!#REF!-$BH$54)&lt;0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2.xml><?xml version="1.0" encoding="utf-8"?>
<worksheet xmlns="http://schemas.openxmlformats.org/spreadsheetml/2006/main">
  <sheetPr>
    <tabColor indexed="63"/>
    <outlinePr summaryBelow="1" summaryRight="1"/>
    <pageSetUpPr/>
  </sheetPr>
  <dimension ref="B2:L82"/>
  <sheetViews>
    <sheetView topLeftCell="C12" workbookViewId="0" zoomScale="85" zoomScaleNormal="85">
      <selection activeCell="G32" sqref="G32"/>
    </sheetView>
  </sheetViews>
  <sheetFormatPr baseColWidth="8" defaultColWidth="9" defaultRowHeight="15.6"/>
  <cols>
    <col customWidth="1" max="1" min="1" style="364" width="2.5"/>
    <col customWidth="1" max="2" min="2" style="364" width="1"/>
    <col customWidth="1" max="3" min="3" style="364" width="20.1"/>
    <col customWidth="1" max="7" min="4" style="364" width="12.1"/>
    <col customWidth="1" max="8" min="8" style="364" width="14.5"/>
    <col customWidth="1" max="9" min="9" style="364" width="11.7"/>
    <col customWidth="1" max="11" min="10" style="364" width="12"/>
    <col customWidth="1" max="12" min="12" style="364" width="1"/>
    <col customWidth="1" max="13" min="13" style="364" width="9.6"/>
    <col customWidth="1" max="16384" min="14" style="364" width="9"/>
  </cols>
  <sheetData>
    <row customFormat="1" customHeight="1" ht="11.25" r="1" s="364"/>
    <row customHeight="1" ht="18.75" r="2" s="353">
      <c r="B2" s="455" t="inlineStr">
        <is>
          <t xml:space="preserve">比      赛      参      数 </t>
        </is>
      </c>
      <c r="C2" s="446" t="n"/>
      <c r="D2" s="446" t="n"/>
      <c r="E2" s="446" t="n"/>
      <c r="F2" s="446" t="n"/>
      <c r="G2" s="446" t="n"/>
      <c r="H2" s="446" t="n"/>
      <c r="I2" s="446" t="n"/>
      <c r="J2" s="446" t="n"/>
      <c r="K2" s="446" t="n"/>
      <c r="L2" s="447" t="n"/>
    </row>
    <row customHeight="1" ht="6" r="3" s="353">
      <c r="B3" s="363" t="n"/>
      <c r="C3" s="364" t="n"/>
      <c r="D3" s="364" t="n"/>
      <c r="E3" s="364" t="n"/>
      <c r="F3" s="364" t="n"/>
      <c r="G3" s="364" t="n"/>
      <c r="H3" s="364" t="n"/>
      <c r="I3" s="364" t="n"/>
      <c r="J3" s="364" t="n"/>
      <c r="K3" s="364" t="n"/>
      <c r="L3" s="382" t="n"/>
    </row>
    <row r="4">
      <c r="B4" s="363" t="n"/>
      <c r="C4" s="196" t="inlineStr">
        <is>
          <t>本公司序数</t>
        </is>
      </c>
      <c r="D4" s="371" t="n"/>
      <c r="F4" s="196" t="inlineStr">
        <is>
          <t>总共公司数</t>
        </is>
      </c>
      <c r="G4" s="371" t="n"/>
      <c r="H4" s="364" t="n"/>
      <c r="I4" s="364" t="n"/>
      <c r="J4" s="364" t="n"/>
      <c r="K4" s="364" t="n"/>
      <c r="L4" s="382" t="n"/>
    </row>
    <row customHeight="1" ht="6" r="5" s="353">
      <c r="B5" s="363" t="n"/>
      <c r="E5" s="364" t="n"/>
      <c r="F5" s="364" t="n"/>
      <c r="G5" s="364" t="n"/>
      <c r="H5" s="364" t="n"/>
      <c r="I5" s="364" t="n"/>
      <c r="J5" s="364" t="n"/>
      <c r="K5" s="364" t="n"/>
      <c r="L5" s="382" t="n"/>
    </row>
    <row r="6">
      <c r="B6" s="363" t="n"/>
      <c r="C6" s="196" t="inlineStr">
        <is>
          <t>产品运出率</t>
        </is>
      </c>
      <c r="D6" s="366" t="n"/>
      <c r="E6" s="364" t="n"/>
      <c r="F6" s="364" t="n"/>
      <c r="G6" s="364" t="n"/>
      <c r="H6" s="364" t="n"/>
      <c r="I6" s="364" t="n"/>
      <c r="J6" s="364" t="n"/>
      <c r="K6" s="364" t="n"/>
      <c r="L6" s="382" t="n"/>
    </row>
    <row customHeight="1" ht="6" r="7" s="353">
      <c r="B7" s="363" t="n"/>
      <c r="C7" s="364" t="n"/>
      <c r="D7" s="364" t="n"/>
      <c r="E7" s="364" t="n"/>
      <c r="F7" s="364" t="n"/>
      <c r="G7" s="364" t="n"/>
      <c r="H7" s="364" t="n"/>
      <c r="I7" s="364" t="n"/>
      <c r="J7" s="364" t="n"/>
      <c r="K7" s="364" t="n"/>
      <c r="L7" s="382" t="n"/>
    </row>
    <row r="8">
      <c r="B8" s="363" t="n"/>
      <c r="C8" s="196" t="inlineStr">
        <is>
          <t>固定运费</t>
        </is>
      </c>
      <c r="D8" s="367" t="inlineStr">
        <is>
          <t>市场1</t>
        </is>
      </c>
      <c r="E8" s="376" t="inlineStr">
        <is>
          <t>市场2</t>
        </is>
      </c>
      <c r="F8" s="376" t="inlineStr">
        <is>
          <t>市场3</t>
        </is>
      </c>
      <c r="G8" s="376" t="inlineStr">
        <is>
          <t>市场4</t>
        </is>
      </c>
      <c r="H8" s="367" t="inlineStr">
        <is>
          <t>市场1</t>
        </is>
      </c>
      <c r="I8" s="376" t="inlineStr">
        <is>
          <t>市场2</t>
        </is>
      </c>
      <c r="J8" s="376" t="inlineStr">
        <is>
          <t>市场3</t>
        </is>
      </c>
      <c r="K8" s="376" t="inlineStr">
        <is>
          <t>市场4</t>
        </is>
      </c>
      <c r="L8" s="382" t="n"/>
    </row>
    <row r="9">
      <c r="B9" s="363" t="n"/>
      <c r="C9" s="376" t="inlineStr">
        <is>
          <t>产品A、B</t>
        </is>
      </c>
      <c r="D9" s="368" t="n"/>
      <c r="E9" s="369" t="n"/>
      <c r="F9" s="369" t="n"/>
      <c r="G9" s="369" t="n"/>
      <c r="H9" s="368" t="n"/>
      <c r="I9" s="369" t="n"/>
      <c r="J9" s="369" t="n"/>
      <c r="K9" s="369" t="n"/>
      <c r="L9" s="382" t="n"/>
    </row>
    <row r="10">
      <c r="B10" s="363" t="n"/>
      <c r="C10" s="376" t="inlineStr">
        <is>
          <t>产品C、D</t>
        </is>
      </c>
      <c r="D10" s="368" t="n"/>
      <c r="E10" s="369" t="n"/>
      <c r="F10" s="369" t="n"/>
      <c r="G10" s="369" t="n"/>
      <c r="H10" s="368" t="n"/>
      <c r="I10" s="369" t="n"/>
      <c r="J10" s="369" t="n"/>
      <c r="K10" s="369" t="n"/>
      <c r="L10" s="382" t="n"/>
    </row>
    <row customHeight="1" ht="6" r="11" s="353">
      <c r="B11" s="363" t="n"/>
      <c r="C11" s="364" t="n"/>
      <c r="D11" s="364" t="n"/>
      <c r="E11" s="364" t="n"/>
      <c r="F11" s="364" t="n"/>
      <c r="G11" s="364" t="n"/>
      <c r="H11" s="364" t="n"/>
      <c r="I11" s="364" t="n"/>
      <c r="J11" s="364" t="n"/>
      <c r="K11" s="364" t="n"/>
      <c r="L11" s="382" t="n"/>
    </row>
    <row r="12">
      <c r="B12" s="363" t="n"/>
      <c r="C12" s="196" t="inlineStr">
        <is>
          <t>变动运输费</t>
        </is>
      </c>
      <c r="D12" s="367" t="inlineStr">
        <is>
          <t>市场1</t>
        </is>
      </c>
      <c r="E12" s="376" t="inlineStr">
        <is>
          <t>市场2</t>
        </is>
      </c>
      <c r="F12" s="376" t="inlineStr">
        <is>
          <t>市场3</t>
        </is>
      </c>
      <c r="G12" s="376" t="inlineStr">
        <is>
          <t>市场4</t>
        </is>
      </c>
      <c r="H12" s="367" t="inlineStr">
        <is>
          <t>市场1</t>
        </is>
      </c>
      <c r="I12" s="376" t="inlineStr">
        <is>
          <t>市场2</t>
        </is>
      </c>
      <c r="J12" s="376" t="inlineStr">
        <is>
          <t>市场3</t>
        </is>
      </c>
      <c r="K12" s="376" t="inlineStr">
        <is>
          <t>市场4</t>
        </is>
      </c>
      <c r="L12" s="382" t="n"/>
    </row>
    <row r="13">
      <c r="B13" s="363" t="n"/>
      <c r="C13" s="376" t="inlineStr">
        <is>
          <t>产品A、B</t>
        </is>
      </c>
      <c r="D13" s="370" t="n"/>
      <c r="E13" s="371" t="n"/>
      <c r="F13" s="371" t="n"/>
      <c r="G13" s="371" t="n"/>
      <c r="H13" s="370" t="n"/>
      <c r="I13" s="371" t="n"/>
      <c r="J13" s="371" t="n"/>
      <c r="K13" s="371" t="n"/>
      <c r="L13" s="382" t="n"/>
    </row>
    <row r="14">
      <c r="B14" s="363" t="n"/>
      <c r="C14" s="376" t="inlineStr">
        <is>
          <t>产品C、D</t>
        </is>
      </c>
      <c r="D14" s="370" t="n"/>
      <c r="E14" s="371" t="n"/>
      <c r="F14" s="371" t="n"/>
      <c r="G14" s="371" t="n"/>
      <c r="H14" s="370" t="n"/>
      <c r="I14" s="371" t="n"/>
      <c r="J14" s="369" t="n"/>
      <c r="K14" s="369" t="n"/>
      <c r="L14" s="382" t="n"/>
    </row>
    <row customHeight="1" ht="6" r="15" s="353">
      <c r="B15" s="363" t="n"/>
      <c r="C15" s="364" t="n"/>
      <c r="D15" s="364" t="n"/>
      <c r="E15" s="364" t="n"/>
      <c r="F15" s="364" t="n"/>
      <c r="G15" s="364" t="n"/>
      <c r="H15" s="364" t="n"/>
      <c r="I15" s="364" t="n"/>
      <c r="J15" s="364" t="n"/>
      <c r="K15" s="364" t="n"/>
      <c r="L15" s="382" t="n"/>
    </row>
    <row r="16">
      <c r="B16" s="363" t="n"/>
      <c r="C16" s="196" t="inlineStr">
        <is>
          <t>单位原材料库存费</t>
        </is>
      </c>
      <c r="D16" s="370" t="n"/>
      <c r="E16" s="364" t="n"/>
      <c r="F16" s="364" t="n"/>
      <c r="G16" s="364" t="n"/>
      <c r="H16" s="364" t="n"/>
      <c r="I16" s="364" t="n"/>
      <c r="J16" s="364" t="n"/>
      <c r="K16" s="364" t="n"/>
      <c r="L16" s="382" t="n"/>
    </row>
    <row customHeight="1" ht="6" r="17" s="353">
      <c r="B17" s="363" t="n"/>
      <c r="C17" s="364" t="n"/>
      <c r="D17" s="364" t="n"/>
      <c r="E17" s="364" t="n"/>
      <c r="F17" s="364" t="n"/>
      <c r="G17" s="364" t="n"/>
      <c r="H17" s="364" t="n"/>
      <c r="I17" s="364" t="n"/>
      <c r="J17" s="364" t="n"/>
      <c r="K17" s="364" t="n"/>
      <c r="L17" s="382" t="n"/>
    </row>
    <row r="18">
      <c r="B18" s="363" t="n"/>
      <c r="C18" s="196" t="inlineStr">
        <is>
          <t>成品库存费</t>
        </is>
      </c>
      <c r="D18" s="364" t="n"/>
      <c r="E18" s="364" t="n"/>
      <c r="F18" s="364" t="n"/>
      <c r="G18" s="364" t="n"/>
      <c r="H18" s="364" t="n"/>
      <c r="I18" s="364" t="n"/>
      <c r="J18" s="364" t="n"/>
      <c r="K18" s="364" t="n"/>
      <c r="L18" s="382" t="n"/>
    </row>
    <row r="19">
      <c r="B19" s="363" t="n"/>
      <c r="C19" s="376" t="inlineStr">
        <is>
          <t>产品A</t>
        </is>
      </c>
      <c r="D19" s="370" t="n"/>
      <c r="E19" s="364" t="n"/>
      <c r="F19" s="364" t="n"/>
      <c r="G19" s="364" t="n"/>
      <c r="H19" s="364" t="n"/>
      <c r="I19" s="364" t="n"/>
      <c r="J19" s="364" t="n"/>
      <c r="K19" s="364" t="n"/>
      <c r="L19" s="382" t="n"/>
    </row>
    <row r="20">
      <c r="B20" s="363" t="n"/>
      <c r="C20" s="376" t="inlineStr">
        <is>
          <t>产品B</t>
        </is>
      </c>
      <c r="D20" s="370" t="n"/>
      <c r="E20" s="364" t="n"/>
      <c r="F20" s="364" t="n"/>
      <c r="G20" s="364" t="n"/>
      <c r="H20" s="364" t="n"/>
      <c r="I20" s="364" t="n"/>
      <c r="J20" s="364" t="n"/>
      <c r="K20" s="364" t="n"/>
      <c r="L20" s="382" t="n"/>
    </row>
    <row r="21">
      <c r="B21" s="363" t="n"/>
      <c r="C21" s="376" t="inlineStr">
        <is>
          <t>产品C</t>
        </is>
      </c>
      <c r="D21" s="370" t="n"/>
      <c r="E21" s="364" t="n"/>
      <c r="F21" s="364" t="n"/>
      <c r="G21" s="364" t="n"/>
      <c r="H21" s="364" t="n"/>
      <c r="I21" s="364" t="n"/>
      <c r="J21" s="364" t="n"/>
      <c r="K21" s="364" t="n"/>
      <c r="L21" s="382" t="n"/>
    </row>
    <row r="22">
      <c r="B22" s="363" t="n"/>
      <c r="C22" s="376" t="inlineStr">
        <is>
          <t>产品D</t>
        </is>
      </c>
      <c r="D22" s="370" t="n"/>
      <c r="E22" s="364" t="n"/>
      <c r="F22" s="364" t="n"/>
      <c r="G22" s="364" t="n"/>
      <c r="H22" s="364" t="n"/>
      <c r="I22" s="364" t="n"/>
      <c r="J22" s="364" t="n"/>
      <c r="K22" s="364" t="n"/>
      <c r="L22" s="382" t="n"/>
    </row>
    <row customHeight="1" ht="6" r="23" s="353">
      <c r="B23" s="363" t="n"/>
      <c r="C23" s="364" t="n"/>
      <c r="D23" s="364" t="n"/>
      <c r="E23" s="364" t="n"/>
      <c r="F23" s="364" t="n"/>
      <c r="G23" s="364" t="n"/>
      <c r="H23" s="364" t="n"/>
      <c r="I23" s="364" t="n"/>
      <c r="J23" s="364" t="n"/>
      <c r="K23" s="364" t="n"/>
      <c r="L23" s="382" t="n"/>
    </row>
    <row customHeight="1" ht="6" r="24" s="353">
      <c r="B24" s="363" t="n"/>
      <c r="C24" s="364" t="n"/>
      <c r="D24" s="364" t="n"/>
      <c r="E24" s="364" t="n"/>
      <c r="F24" s="364" t="n"/>
      <c r="G24" s="364" t="n"/>
      <c r="H24" s="364" t="n"/>
      <c r="I24" s="364" t="n"/>
      <c r="J24" s="364" t="n"/>
      <c r="K24" s="364" t="n"/>
      <c r="L24" s="382" t="n"/>
    </row>
    <row r="25">
      <c r="B25" s="363" t="n"/>
      <c r="C25" s="196" t="inlineStr">
        <is>
          <t>单位生产资源</t>
        </is>
      </c>
      <c r="D25" s="367" t="inlineStr">
        <is>
          <t>产品A</t>
        </is>
      </c>
      <c r="E25" s="376" t="inlineStr">
        <is>
          <t>产品B</t>
        </is>
      </c>
      <c r="F25" s="376" t="inlineStr">
        <is>
          <t>产品C</t>
        </is>
      </c>
      <c r="G25" s="376" t="inlineStr">
        <is>
          <t>产品D</t>
        </is>
      </c>
      <c r="H25" s="364" t="n"/>
      <c r="I25" s="364" t="n"/>
      <c r="J25" s="364" t="n"/>
      <c r="K25" s="364" t="n"/>
      <c r="L25" s="382" t="n"/>
    </row>
    <row r="26">
      <c r="B26" s="363" t="n"/>
      <c r="C26" s="376" t="inlineStr">
        <is>
          <t>机器（时）</t>
        </is>
      </c>
      <c r="D26" s="370" t="n"/>
      <c r="E26" s="371" t="n"/>
      <c r="F26" s="371" t="n"/>
      <c r="G26" s="371" t="n"/>
      <c r="H26" s="364" t="n"/>
      <c r="I26" s="364" t="n"/>
      <c r="J26" s="364" t="n"/>
      <c r="K26" s="364" t="n"/>
      <c r="L26" s="382" t="n"/>
    </row>
    <row r="27">
      <c r="B27" s="363" t="n"/>
      <c r="C27" s="376" t="inlineStr">
        <is>
          <t>人力（时）</t>
        </is>
      </c>
      <c r="D27" s="370" t="n"/>
      <c r="E27" s="371" t="n"/>
      <c r="F27" s="371" t="n"/>
      <c r="G27" s="371" t="n"/>
      <c r="H27" s="364" t="n"/>
      <c r="I27" s="364" t="n"/>
      <c r="J27" s="364" t="n"/>
      <c r="K27" s="364" t="n"/>
      <c r="L27" s="382" t="n"/>
    </row>
    <row r="28">
      <c r="B28" s="363" t="n"/>
      <c r="C28" s="376" t="inlineStr">
        <is>
          <t>原材料（单位）</t>
        </is>
      </c>
      <c r="D28" s="370" t="n"/>
      <c r="E28" s="371" t="n"/>
      <c r="F28" s="371" t="n"/>
      <c r="G28" s="371" t="n"/>
      <c r="H28" s="364" t="n"/>
      <c r="I28" s="364" t="n"/>
      <c r="J28" s="364" t="n"/>
      <c r="K28" s="364" t="n"/>
      <c r="L28" s="382" t="n"/>
    </row>
    <row customHeight="1" ht="6" r="29" s="353">
      <c r="B29" s="363" t="n"/>
      <c r="C29" s="364" t="n"/>
      <c r="D29" s="364" t="n"/>
      <c r="E29" s="364" t="n"/>
      <c r="F29" s="364" t="n"/>
      <c r="G29" s="364" t="n"/>
      <c r="H29" s="364" t="n"/>
      <c r="I29" s="364" t="n"/>
      <c r="J29" s="364" t="n"/>
      <c r="K29" s="364" t="n"/>
      <c r="L29" s="382" t="n"/>
    </row>
    <row r="30">
      <c r="B30" s="363" t="n"/>
      <c r="C30" s="196" t="inlineStr">
        <is>
          <t>机器价格</t>
        </is>
      </c>
      <c r="D30" s="370" t="n"/>
      <c r="E30" s="196" t="inlineStr">
        <is>
          <t>折旧率</t>
        </is>
      </c>
      <c r="F30" s="366" t="n">
        <v>0.05</v>
      </c>
      <c r="G30" s="364" t="n"/>
      <c r="H30" s="364" t="n"/>
      <c r="I30" s="364" t="n"/>
      <c r="J30" s="364" t="n"/>
      <c r="K30" s="364" t="n"/>
      <c r="L30" s="382" t="n"/>
    </row>
    <row customHeight="1" ht="6" r="31" s="353">
      <c r="B31" s="363" t="n"/>
      <c r="C31" s="364" t="n"/>
      <c r="D31" s="364" t="n"/>
      <c r="E31" s="364" t="n"/>
      <c r="F31" s="364" t="n"/>
      <c r="G31" s="364" t="n"/>
      <c r="H31" s="364" t="n"/>
      <c r="I31" s="364" t="n"/>
      <c r="J31" s="364" t="n"/>
      <c r="K31" s="364" t="n"/>
      <c r="L31" s="382" t="n"/>
    </row>
    <row r="32">
      <c r="B32" s="363" t="n"/>
      <c r="C32" s="196" t="inlineStr">
        <is>
          <t>原材料价格</t>
        </is>
      </c>
      <c r="D32" s="376" t="inlineStr">
        <is>
          <t>订购量</t>
        </is>
      </c>
      <c r="E32" s="376" t="inlineStr">
        <is>
          <t>单价</t>
        </is>
      </c>
      <c r="F32" s="364" t="n"/>
      <c r="G32" s="364" t="n"/>
      <c r="H32" s="364" t="n"/>
      <c r="I32" s="364" t="n"/>
      <c r="J32" s="364" t="n"/>
      <c r="K32" s="364" t="n"/>
      <c r="L32" s="382" t="n"/>
    </row>
    <row r="33">
      <c r="B33" s="363" t="n"/>
      <c r="C33" s="364" t="n"/>
      <c r="D33" s="371" t="n">
        <v>9.999999999999991e+22</v>
      </c>
      <c r="E33" s="371" t="n">
        <v>0.9</v>
      </c>
      <c r="H33" s="364" t="n"/>
      <c r="I33" s="364" t="n"/>
      <c r="K33" s="364">
        <f>D37*(1-E37)</f>
        <v/>
      </c>
      <c r="L33" s="382" t="n"/>
    </row>
    <row r="34">
      <c r="B34" s="363" t="n"/>
      <c r="C34" s="364" t="n"/>
      <c r="D34" s="371" t="n"/>
      <c r="E34" s="371" t="n"/>
      <c r="H34" s="364" t="n"/>
      <c r="I34" s="364" t="n"/>
      <c r="K34" s="364">
        <f>D36*(1-E36)</f>
        <v/>
      </c>
      <c r="L34" s="382" t="n"/>
    </row>
    <row r="35">
      <c r="B35" s="363" t="n"/>
      <c r="C35" s="364" t="n"/>
      <c r="D35" s="371" t="n"/>
      <c r="E35" s="371" t="n"/>
      <c r="H35" s="364" t="n"/>
      <c r="I35" s="364" t="n"/>
      <c r="K35" s="364">
        <f>D35*(1-E35)</f>
        <v/>
      </c>
      <c r="L35" s="382" t="n"/>
    </row>
    <row r="36">
      <c r="B36" s="363" t="n"/>
      <c r="C36" s="364" t="n"/>
      <c r="D36" s="371" t="n"/>
      <c r="E36" s="371" t="n"/>
      <c r="H36" s="364" t="n"/>
      <c r="I36" s="364" t="n"/>
      <c r="K36" s="364">
        <f>D34*(1-E34)</f>
        <v/>
      </c>
      <c r="L36" s="382" t="n"/>
    </row>
    <row r="37">
      <c r="B37" s="363" t="n"/>
      <c r="C37" s="364" t="n"/>
      <c r="D37" s="371" t="n"/>
      <c r="E37" s="371" t="n"/>
      <c r="H37" s="364" t="n"/>
      <c r="I37" s="364" t="n"/>
      <c r="K37" s="364" t="n"/>
      <c r="L37" s="382" t="n"/>
    </row>
    <row customHeight="1" ht="6" r="38" s="353">
      <c r="B38" s="363" t="n"/>
      <c r="C38" s="364" t="n"/>
      <c r="D38" s="364" t="n"/>
      <c r="E38" s="364" t="n"/>
      <c r="F38" s="364" t="n"/>
      <c r="G38" s="364" t="n"/>
      <c r="H38" s="364" t="n"/>
      <c r="I38" s="364" t="n"/>
      <c r="J38" s="364" t="n"/>
      <c r="K38" s="364" t="n"/>
      <c r="L38" s="382" t="n"/>
    </row>
    <row r="39">
      <c r="B39" s="363" t="n"/>
      <c r="C39" s="196" t="inlineStr">
        <is>
          <t>原材料运费</t>
        </is>
      </c>
      <c r="D39" s="376" t="inlineStr">
        <is>
          <t>固定</t>
        </is>
      </c>
      <c r="E39" s="375" t="n"/>
      <c r="F39" s="364" t="n"/>
      <c r="G39" s="364" t="n"/>
      <c r="H39" s="364" t="n"/>
      <c r="I39" s="364" t="n"/>
      <c r="J39" s="364" t="n"/>
      <c r="K39" s="364" t="n"/>
      <c r="L39" s="382" t="n"/>
    </row>
    <row r="40">
      <c r="B40" s="363" t="n"/>
      <c r="C40" s="364" t="n"/>
      <c r="D40" s="254" t="inlineStr">
        <is>
          <t>变动</t>
        </is>
      </c>
      <c r="E40" s="373" t="n"/>
      <c r="F40" s="364" t="n"/>
      <c r="G40" s="364" t="n"/>
      <c r="H40" s="364" t="n"/>
      <c r="I40" s="364" t="n"/>
      <c r="J40" s="364" t="n"/>
      <c r="K40" s="364" t="n"/>
      <c r="L40" s="382" t="n"/>
    </row>
    <row r="41">
      <c r="B41" s="363" t="n"/>
      <c r="C41" s="196" t="inlineStr">
        <is>
          <t>原材料使用率</t>
        </is>
      </c>
      <c r="D41" s="456" t="n"/>
      <c r="E41" s="364" t="n"/>
      <c r="F41" s="364" t="n"/>
      <c r="G41" s="364" t="n"/>
      <c r="H41" s="364" t="n"/>
      <c r="I41" s="364" t="n"/>
      <c r="J41" s="364" t="n"/>
      <c r="K41" s="364" t="n"/>
      <c r="L41" s="382" t="n"/>
    </row>
    <row customHeight="1" ht="6" r="42" s="353">
      <c r="B42" s="363" t="n"/>
      <c r="C42" s="364" t="n"/>
      <c r="D42" s="364" t="n"/>
      <c r="E42" s="364" t="n"/>
      <c r="F42" s="364" t="n"/>
      <c r="G42" s="364" t="n"/>
      <c r="H42" s="364" t="n"/>
      <c r="I42" s="364" t="n"/>
      <c r="J42" s="364" t="n"/>
      <c r="K42" s="364" t="n"/>
      <c r="L42" s="382" t="n"/>
    </row>
    <row r="43">
      <c r="B43" s="363" t="n"/>
      <c r="C43" s="196" t="inlineStr">
        <is>
          <t>管理费</t>
        </is>
      </c>
      <c r="D43" s="376" t="inlineStr">
        <is>
          <t>第一班</t>
        </is>
      </c>
      <c r="E43" s="376" t="inlineStr">
        <is>
          <t>第二班</t>
        </is>
      </c>
      <c r="F43" s="364" t="n"/>
      <c r="G43" s="364" t="n"/>
      <c r="H43" s="364" t="n"/>
      <c r="I43" s="364" t="n"/>
      <c r="J43" s="364" t="n"/>
      <c r="K43" s="364" t="n"/>
      <c r="L43" s="382" t="n"/>
    </row>
    <row r="44">
      <c r="B44" s="363" t="n"/>
      <c r="C44" s="376" t="inlineStr">
        <is>
          <t>产品A</t>
        </is>
      </c>
      <c r="D44" s="375" t="n"/>
      <c r="E44" s="375" t="n"/>
      <c r="F44" s="364" t="n"/>
      <c r="G44" s="364" t="n"/>
      <c r="H44" s="364" t="n"/>
      <c r="I44" s="364" t="n"/>
      <c r="J44" s="364" t="n"/>
      <c r="K44" s="364" t="n"/>
      <c r="L44" s="382" t="n"/>
    </row>
    <row r="45">
      <c r="B45" s="363" t="n"/>
      <c r="C45" s="376" t="inlineStr">
        <is>
          <t>产品B</t>
        </is>
      </c>
      <c r="D45" s="375" t="n"/>
      <c r="E45" s="375" t="n"/>
      <c r="F45" s="364" t="n"/>
      <c r="G45" s="364" t="n"/>
      <c r="H45" s="364" t="n"/>
      <c r="I45" s="364" t="n"/>
      <c r="J45" s="364" t="n"/>
      <c r="K45" s="364" t="n"/>
      <c r="L45" s="382" t="n"/>
    </row>
    <row r="46">
      <c r="B46" s="363" t="n"/>
      <c r="C46" s="376" t="inlineStr">
        <is>
          <t>产品C</t>
        </is>
      </c>
      <c r="D46" s="375" t="n"/>
      <c r="E46" s="375" t="n"/>
      <c r="F46" s="364" t="n"/>
      <c r="G46" s="364" t="n"/>
      <c r="H46" s="364" t="n"/>
      <c r="I46" s="364" t="n"/>
      <c r="J46" s="364" t="n"/>
      <c r="K46" s="364" t="n"/>
      <c r="L46" s="382" t="n"/>
    </row>
    <row r="47">
      <c r="B47" s="363" t="n"/>
      <c r="C47" s="376" t="inlineStr">
        <is>
          <t>产品D</t>
        </is>
      </c>
      <c r="D47" s="375" t="n"/>
      <c r="E47" s="375" t="n"/>
      <c r="F47" s="364" t="n"/>
      <c r="G47" s="364" t="n"/>
      <c r="H47" s="364" t="n"/>
      <c r="I47" s="364" t="n"/>
      <c r="J47" s="364" t="n"/>
      <c r="K47" s="364" t="n"/>
      <c r="L47" s="382" t="n"/>
    </row>
    <row customHeight="1" ht="6" r="48" s="353">
      <c r="B48" s="363" t="n"/>
      <c r="C48" s="364" t="n"/>
      <c r="D48" s="364" t="n"/>
      <c r="E48" s="364" t="n"/>
      <c r="F48" s="364" t="n"/>
      <c r="G48" s="364" t="n"/>
      <c r="H48" s="364" t="n"/>
      <c r="I48" s="364" t="n"/>
      <c r="J48" s="364" t="n"/>
      <c r="K48" s="364" t="n"/>
      <c r="L48" s="382" t="n"/>
    </row>
    <row r="49">
      <c r="B49" s="363" t="n"/>
      <c r="C49" s="196" t="inlineStr">
        <is>
          <t>机器维修费</t>
        </is>
      </c>
      <c r="D49" s="375" t="n"/>
      <c r="E49" s="364" t="n"/>
      <c r="F49" s="364" t="n"/>
      <c r="G49" s="364" t="n"/>
      <c r="H49" s="364" t="n"/>
      <c r="I49" s="364" t="n"/>
      <c r="J49" s="364" t="n"/>
      <c r="K49" s="364" t="n"/>
      <c r="L49" s="382" t="n"/>
    </row>
    <row customHeight="1" ht="6" r="50" s="353">
      <c r="B50" s="363" t="n"/>
      <c r="C50" s="364" t="n"/>
      <c r="D50" s="364" t="n"/>
      <c r="E50" s="364" t="n"/>
      <c r="F50" s="364" t="n"/>
      <c r="G50" s="364" t="n"/>
      <c r="H50" s="364" t="n"/>
      <c r="I50" s="364" t="n"/>
      <c r="J50" s="364" t="n"/>
      <c r="K50" s="364" t="n"/>
      <c r="L50" s="382" t="n"/>
    </row>
    <row r="51">
      <c r="B51" s="363" t="n"/>
      <c r="C51" s="196" t="inlineStr">
        <is>
          <t>研发费用</t>
        </is>
      </c>
      <c r="D51" s="376" t="inlineStr">
        <is>
          <t>等级1</t>
        </is>
      </c>
      <c r="E51" s="376" t="inlineStr">
        <is>
          <t>等级2</t>
        </is>
      </c>
      <c r="F51" s="376" t="inlineStr">
        <is>
          <t>等级3</t>
        </is>
      </c>
      <c r="G51" s="376" t="inlineStr">
        <is>
          <t>等级4</t>
        </is>
      </c>
      <c r="H51" s="376" t="inlineStr">
        <is>
          <t>等级5</t>
        </is>
      </c>
      <c r="I51" s="364" t="n"/>
      <c r="J51" s="364" t="n"/>
      <c r="K51" s="364" t="n"/>
      <c r="L51" s="382" t="n"/>
    </row>
    <row r="52">
      <c r="B52" s="363" t="n"/>
      <c r="C52" s="376" t="inlineStr">
        <is>
          <t>冰箱</t>
        </is>
      </c>
      <c r="D52" s="377" t="n"/>
      <c r="E52" s="377" t="n"/>
      <c r="F52" s="377" t="n"/>
      <c r="G52" s="377" t="n"/>
      <c r="H52" s="378" t="n"/>
      <c r="I52" s="364" t="n"/>
      <c r="J52" s="364" t="n"/>
      <c r="K52" s="364" t="n"/>
      <c r="L52" s="382" t="n"/>
    </row>
    <row r="53">
      <c r="B53" s="363" t="n"/>
      <c r="C53" s="376" t="inlineStr">
        <is>
          <t>电视</t>
        </is>
      </c>
      <c r="D53" s="377" t="n"/>
      <c r="E53" s="377" t="n"/>
      <c r="F53" s="377" t="n"/>
      <c r="G53" s="377" t="n"/>
      <c r="H53" s="378" t="n"/>
      <c r="I53" s="364" t="n"/>
      <c r="J53" s="364" t="n"/>
      <c r="K53" s="364" t="n"/>
      <c r="L53" s="382" t="n"/>
    </row>
    <row r="54">
      <c r="B54" s="363" t="n"/>
      <c r="C54" s="376" t="inlineStr">
        <is>
          <t>手机</t>
        </is>
      </c>
      <c r="D54" s="377" t="n"/>
      <c r="E54" s="377" t="n"/>
      <c r="F54" s="377" t="n"/>
      <c r="G54" s="377" t="n"/>
      <c r="H54" s="378" t="n"/>
      <c r="I54" s="364" t="n"/>
      <c r="J54" s="364" t="n"/>
      <c r="K54" s="364" t="n"/>
      <c r="L54" s="382" t="n"/>
    </row>
    <row r="55">
      <c r="B55" s="363" t="n"/>
      <c r="C55" s="376" t="inlineStr">
        <is>
          <t>计算机</t>
        </is>
      </c>
      <c r="D55" s="377" t="n"/>
      <c r="E55" s="377" t="n"/>
      <c r="F55" s="377" t="n"/>
      <c r="G55" s="377" t="n"/>
      <c r="H55" s="378" t="n"/>
      <c r="I55" s="364" t="n"/>
      <c r="J55" s="364" t="n"/>
      <c r="K55" s="364" t="n"/>
      <c r="L55" s="382" t="n"/>
    </row>
    <row customHeight="1" ht="6" r="56" s="353">
      <c r="B56" s="363" t="n"/>
      <c r="C56" s="364" t="n"/>
      <c r="D56" s="364" t="n"/>
      <c r="E56" s="364" t="n"/>
      <c r="F56" s="364" t="n"/>
      <c r="G56" s="364" t="n"/>
      <c r="H56" s="364" t="n"/>
      <c r="I56" s="364" t="n"/>
      <c r="J56" s="364" t="n"/>
      <c r="K56" s="364" t="n"/>
      <c r="L56" s="382" t="n"/>
    </row>
    <row r="57">
      <c r="B57" s="363" t="n"/>
      <c r="C57" s="196" t="inlineStr">
        <is>
          <t>招收新工人比例</t>
        </is>
      </c>
      <c r="D57" s="457" t="n">
        <v>0.5</v>
      </c>
      <c r="E57" s="364" t="n"/>
      <c r="F57" s="364" t="n"/>
      <c r="G57" s="364" t="n"/>
      <c r="H57" s="364" t="n"/>
      <c r="I57" s="364" t="n"/>
      <c r="J57" s="364" t="n"/>
      <c r="K57" s="364" t="n"/>
      <c r="L57" s="382" t="n"/>
    </row>
    <row r="58">
      <c r="B58" s="363" t="n"/>
      <c r="C58" s="196" t="inlineStr">
        <is>
          <t>培训费</t>
        </is>
      </c>
      <c r="D58" s="375" t="n"/>
      <c r="E58" s="364" t="n"/>
      <c r="F58" s="364" t="n"/>
      <c r="G58" s="364" t="n"/>
      <c r="H58" s="364" t="n"/>
      <c r="I58" s="364" t="n"/>
      <c r="J58" s="364" t="n"/>
      <c r="K58" s="364" t="n"/>
      <c r="L58" s="382" t="n"/>
    </row>
    <row r="59">
      <c r="B59" s="363" t="n"/>
      <c r="C59" s="196" t="inlineStr">
        <is>
          <t>新工人作用工资比例</t>
        </is>
      </c>
      <c r="D59" s="380" t="n">
        <v>0.25</v>
      </c>
      <c r="E59" s="364" t="n"/>
      <c r="F59" s="364" t="n"/>
      <c r="G59" s="364" t="n"/>
      <c r="H59" s="364" t="n"/>
      <c r="I59" s="364" t="n"/>
      <c r="J59" s="364" t="n"/>
      <c r="K59" s="364" t="n"/>
      <c r="L59" s="382" t="n"/>
    </row>
    <row r="60">
      <c r="B60" s="363" t="n"/>
      <c r="C60" s="196" t="inlineStr">
        <is>
          <t>自然退休比例</t>
        </is>
      </c>
      <c r="D60" s="380" t="n">
        <v>0.03</v>
      </c>
      <c r="E60" s="364" t="n"/>
      <c r="F60" s="364" t="n"/>
      <c r="G60" s="364" t="n"/>
      <c r="H60" s="364" t="n"/>
      <c r="I60" s="364" t="n"/>
      <c r="J60" s="364" t="n"/>
      <c r="K60" s="364" t="n"/>
      <c r="L60" s="382" t="n"/>
    </row>
    <row r="61">
      <c r="B61" s="363" t="n"/>
      <c r="C61" s="196" t="inlineStr">
        <is>
          <t>最大解聘比例</t>
        </is>
      </c>
      <c r="D61" s="380" t="n">
        <v>0.1</v>
      </c>
      <c r="E61" s="364" t="n"/>
      <c r="F61" s="364" t="n"/>
      <c r="G61" s="364" t="n"/>
      <c r="H61" s="364" t="n"/>
      <c r="I61" s="364" t="n"/>
      <c r="J61" s="364" t="n"/>
      <c r="K61" s="364" t="n"/>
      <c r="L61" s="382" t="n"/>
    </row>
    <row r="62">
      <c r="B62" s="363" t="n"/>
      <c r="C62" s="196" t="inlineStr">
        <is>
          <t>安置费</t>
        </is>
      </c>
      <c r="D62" s="375" t="n"/>
      <c r="E62" s="364" t="n"/>
      <c r="F62" s="364" t="n"/>
      <c r="G62" s="364" t="n"/>
      <c r="H62" s="364" t="n"/>
      <c r="I62" s="364" t="n"/>
      <c r="J62" s="364" t="n"/>
      <c r="K62" s="364" t="n"/>
      <c r="L62" s="382" t="n"/>
    </row>
    <row customHeight="1" ht="6" r="63" s="353">
      <c r="B63" s="363" t="n"/>
      <c r="C63" s="364" t="n"/>
      <c r="D63" s="364" t="n"/>
      <c r="E63" s="364" t="n"/>
      <c r="F63" s="364" t="n"/>
      <c r="G63" s="364" t="n"/>
      <c r="H63" s="364" t="n"/>
      <c r="I63" s="364" t="n"/>
      <c r="J63" s="364" t="n"/>
      <c r="K63" s="364" t="n"/>
      <c r="L63" s="382" t="n"/>
    </row>
    <row r="64">
      <c r="B64" s="363" t="n"/>
      <c r="C64" s="196" t="inlineStr">
        <is>
          <t>工人工资</t>
        </is>
      </c>
      <c r="D64" s="376" t="inlineStr">
        <is>
          <t>一正</t>
        </is>
      </c>
      <c r="E64" s="376" t="inlineStr">
        <is>
          <t>一加</t>
        </is>
      </c>
      <c r="F64" s="376" t="inlineStr">
        <is>
          <t>二正</t>
        </is>
      </c>
      <c r="G64" s="376" t="inlineStr">
        <is>
          <t>二加</t>
        </is>
      </c>
      <c r="H64" s="364" t="n"/>
      <c r="I64" s="364" t="n"/>
      <c r="J64" s="364" t="n"/>
      <c r="K64" s="364" t="n"/>
      <c r="L64" s="382" t="n"/>
    </row>
    <row r="65">
      <c r="B65" s="363" t="n"/>
      <c r="C65" s="364" t="n"/>
      <c r="D65" s="375" t="n"/>
      <c r="E65" s="375" t="n"/>
      <c r="F65" s="375" t="n"/>
      <c r="G65" s="375" t="n"/>
      <c r="H65" s="364" t="n"/>
      <c r="I65" s="364" t="n"/>
      <c r="J65" s="364" t="n"/>
      <c r="K65" s="364" t="n"/>
      <c r="L65" s="382" t="n"/>
    </row>
    <row customHeight="1" ht="6" r="66" s="353">
      <c r="B66" s="363" t="n"/>
      <c r="C66" s="364" t="n"/>
      <c r="D66" s="364" t="n"/>
      <c r="E66" s="364" t="n"/>
      <c r="F66" s="364" t="n"/>
      <c r="G66" s="364" t="n"/>
      <c r="H66" s="364" t="n"/>
      <c r="I66" s="364" t="n"/>
      <c r="J66" s="364" t="n"/>
      <c r="K66" s="364" t="n"/>
      <c r="L66" s="382" t="n"/>
    </row>
    <row r="67">
      <c r="B67" s="363" t="n"/>
      <c r="C67" s="196" t="inlineStr">
        <is>
          <t>最低保留现金</t>
        </is>
      </c>
      <c r="D67" s="375" t="n"/>
      <c r="E67" s="364" t="n"/>
      <c r="F67" s="364" t="n"/>
      <c r="G67" s="364" t="n"/>
      <c r="H67" s="364" t="n"/>
      <c r="I67" s="364" t="n"/>
      <c r="J67" s="364" t="n"/>
      <c r="K67" s="364" t="n"/>
      <c r="L67" s="382" t="n"/>
    </row>
    <row r="68">
      <c r="B68" s="363" t="n"/>
      <c r="C68" s="196" t="inlineStr">
        <is>
          <t>银行信用额</t>
        </is>
      </c>
      <c r="D68" s="375" t="n"/>
      <c r="E68" s="364" t="n"/>
      <c r="F68" s="364" t="n"/>
      <c r="G68" s="364" t="n"/>
      <c r="H68" s="364" t="n"/>
      <c r="I68" s="364" t="n"/>
      <c r="J68" s="364" t="n"/>
      <c r="K68" s="364" t="n"/>
      <c r="L68" s="382" t="n"/>
    </row>
    <row r="69">
      <c r="B69" s="363" t="n"/>
      <c r="C69" s="196" t="inlineStr">
        <is>
          <t>银行年利率</t>
        </is>
      </c>
      <c r="D69" s="457" t="n"/>
      <c r="E69" s="364" t="n"/>
      <c r="F69" s="364" t="n"/>
      <c r="G69" s="364" t="n"/>
      <c r="H69" s="364" t="n"/>
      <c r="I69" s="364" t="n"/>
      <c r="J69" s="364" t="n"/>
      <c r="K69" s="364" t="n"/>
      <c r="L69" s="382" t="n"/>
    </row>
    <row r="70">
      <c r="B70" s="363" t="n"/>
      <c r="C70" s="196" t="inlineStr">
        <is>
          <t>国债年利率</t>
        </is>
      </c>
      <c r="D70" s="457" t="n">
        <v>0.06</v>
      </c>
      <c r="E70" s="364" t="n"/>
      <c r="F70" s="364" t="n"/>
      <c r="G70" s="364" t="n"/>
      <c r="H70" s="364" t="n"/>
      <c r="I70" s="364" t="n"/>
      <c r="J70" s="364" t="n"/>
      <c r="K70" s="364" t="n"/>
      <c r="L70" s="382" t="n"/>
    </row>
    <row r="71">
      <c r="B71" s="363" t="n"/>
      <c r="C71" s="196" t="inlineStr">
        <is>
          <t>债券年利率</t>
        </is>
      </c>
      <c r="D71" s="458" t="n"/>
      <c r="E71" s="196" t="inlineStr">
        <is>
          <t>偿债券率</t>
        </is>
      </c>
      <c r="F71" s="456" t="n">
        <v>0.05</v>
      </c>
      <c r="G71" s="364" t="n"/>
      <c r="H71" s="364" t="n"/>
      <c r="I71" s="364" t="n"/>
      <c r="J71" s="364" t="n"/>
      <c r="K71" s="364" t="n"/>
      <c r="L71" s="382" t="n"/>
    </row>
    <row r="72">
      <c r="B72" s="363" t="n"/>
      <c r="C72" s="196" t="inlineStr">
        <is>
          <t>纳税比例</t>
        </is>
      </c>
      <c r="D72" s="456" t="n">
        <v>0.3</v>
      </c>
      <c r="E72" s="364" t="n"/>
      <c r="F72" s="364" t="n"/>
      <c r="G72" s="364" t="n"/>
      <c r="H72" s="364" t="n"/>
      <c r="I72" s="364" t="n"/>
      <c r="J72" s="364" t="n"/>
      <c r="K72" s="364" t="n"/>
      <c r="L72" s="382" t="n"/>
    </row>
    <row customHeight="1" ht="6" r="73" s="353">
      <c r="B73" s="363" t="n"/>
      <c r="C73" s="364" t="n"/>
      <c r="D73" s="364" t="n"/>
      <c r="E73" s="364" t="n"/>
      <c r="F73" s="364" t="n"/>
      <c r="G73" s="364" t="n"/>
      <c r="H73" s="364" t="n"/>
      <c r="I73" s="364" t="n"/>
      <c r="J73" s="364" t="n"/>
      <c r="K73" s="364" t="n"/>
      <c r="L73" s="382" t="n"/>
    </row>
    <row r="74">
      <c r="B74" s="363" t="n"/>
      <c r="C74" s="196" t="inlineStr">
        <is>
          <t>评判标准</t>
        </is>
      </c>
      <c r="D74" s="376" t="inlineStr">
        <is>
          <t>本期利润</t>
        </is>
      </c>
      <c r="E74" s="376" t="inlineStr">
        <is>
          <t>市场份额</t>
        </is>
      </c>
      <c r="F74" s="376" t="inlineStr">
        <is>
          <t>累计分红</t>
        </is>
      </c>
      <c r="G74" s="376" t="inlineStr">
        <is>
          <t>累计缴税</t>
        </is>
      </c>
      <c r="H74" s="376" t="inlineStr">
        <is>
          <t>净资产</t>
        </is>
      </c>
      <c r="I74" s="376" t="inlineStr">
        <is>
          <t>人均利润率</t>
        </is>
      </c>
      <c r="J74" s="387" t="inlineStr">
        <is>
          <t>资本利润率</t>
        </is>
      </c>
      <c r="K74" s="388" t="n"/>
      <c r="L74" s="382" t="n"/>
    </row>
    <row r="75">
      <c r="B75" s="363" t="n"/>
      <c r="C75" s="272" t="inlineStr">
        <is>
          <t>权重</t>
        </is>
      </c>
      <c r="D75" s="384" t="n"/>
      <c r="E75" s="384" t="n"/>
      <c r="F75" s="384" t="n"/>
      <c r="G75" s="384" t="n"/>
      <c r="H75" s="384" t="n"/>
      <c r="I75" s="384" t="n"/>
      <c r="J75" s="384" t="n"/>
      <c r="K75" s="388">
        <f>SUM(D75:J75)</f>
        <v/>
      </c>
      <c r="L75" s="382" t="n"/>
    </row>
    <row customHeight="1" ht="6" r="76" s="353">
      <c r="B76" s="385" t="n"/>
      <c r="C76" s="386" t="n"/>
      <c r="D76" s="386" t="n"/>
      <c r="E76" s="386" t="n"/>
      <c r="F76" s="386" t="n"/>
      <c r="G76" s="386" t="n"/>
      <c r="H76" s="386" t="n"/>
      <c r="I76" s="386" t="n"/>
      <c r="J76" s="386" t="n"/>
      <c r="K76" s="386" t="n"/>
      <c r="L76" s="389" t="n"/>
    </row>
    <row customHeight="1" ht="16.35" r="77" s="353"/>
    <row r="82">
      <c r="L82" s="364" t="n">
        <v>0.16</v>
      </c>
    </row>
  </sheetData>
  <mergeCells count="1">
    <mergeCell ref="B2:L2"/>
  </mergeCells>
  <pageMargins bottom="1" footer="0.5" header="0.5" left="0.75" right="0.75" top="1"/>
  <pageSetup horizontalDpi="2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32"/>
  <sheetViews>
    <sheetView workbookViewId="0">
      <selection activeCell="H10" sqref="H10"/>
    </sheetView>
  </sheetViews>
  <sheetFormatPr baseColWidth="8" defaultColWidth="8.800000000000001" defaultRowHeight="15.6"/>
  <cols>
    <col customWidth="1" max="1" min="1" style="353" width="4.6"/>
    <col customWidth="1" max="2" min="2" style="353" width="11.1"/>
    <col customWidth="1" max="3" min="3" style="353" width="9.6"/>
  </cols>
  <sheetData>
    <row r="2">
      <c r="B2" t="inlineStr">
        <is>
          <t>工资系数</t>
        </is>
      </c>
      <c r="C2" s="354" t="n"/>
    </row>
    <row customHeight="1" ht="16.35" r="3" s="353">
      <c r="B3" t="inlineStr">
        <is>
          <t>上期正品率</t>
        </is>
      </c>
      <c r="C3" s="355" t="n"/>
      <c r="D3" s="355" t="n"/>
      <c r="E3" s="355" t="n"/>
      <c r="F3" s="355" t="n"/>
    </row>
    <row customHeight="1" ht="17.1" r="4" s="353">
      <c r="B4" s="63" t="inlineStr">
        <is>
          <t>废品系数</t>
        </is>
      </c>
      <c r="C4" s="298" t="inlineStr">
        <is>
          <t>A产品</t>
        </is>
      </c>
      <c r="D4" s="298" t="inlineStr">
        <is>
          <t>B产品</t>
        </is>
      </c>
      <c r="E4" s="298" t="inlineStr">
        <is>
          <t>C产品</t>
        </is>
      </c>
      <c r="F4" s="298" t="inlineStr">
        <is>
          <t>D产品</t>
        </is>
      </c>
    </row>
    <row customHeight="1" ht="16.35" r="5" s="353">
      <c r="B5" s="282" t="inlineStr">
        <is>
          <t>考虑上期影响（选用）</t>
        </is>
      </c>
      <c r="C5" s="299">
        <f>IF(1-(($C$2-1)*C8/10+0.95+(C3-0.95)*C7)&gt;0,1-(($C$2-1)*C8/10+0.95+(C3-0.95)*C7),0)</f>
        <v/>
      </c>
      <c r="D5" s="299">
        <f>IF(1-(($C$2-1)*D8/10+0.95+(D3-0.95)*D7)&gt;0,1-(($C$2-1)*D8/10+0.95+(D3-0.95)*D7),0)</f>
        <v/>
      </c>
      <c r="E5" s="299">
        <f>IF(1-(($C$2-1)*E8/10+0.95+(E3-0.95)*E7)&gt;0,1-(($C$2-1)*E8/10+0.95+(E3-0.95)*E7),0)</f>
        <v/>
      </c>
      <c r="F5" s="299">
        <f>IF(1-(($C$2-1)*F8/10+0.95+(F3-0.95)*F7)&gt;0,1-(($C$2-1)*F8/10+0.95+(F3-0.95)*F7),0)</f>
        <v/>
      </c>
      <c r="G5" t="inlineStr">
        <is>
          <t>下期正品率</t>
        </is>
      </c>
      <c r="H5" s="355" t="n"/>
      <c r="I5" s="355" t="n"/>
      <c r="J5" s="355" t="n"/>
      <c r="K5" s="355" t="n"/>
    </row>
    <row r="6">
      <c r="B6" s="282" t="inlineStr">
        <is>
          <t>正品率</t>
        </is>
      </c>
      <c r="C6" s="299">
        <f>1-C5</f>
        <v/>
      </c>
      <c r="D6" s="299">
        <f>1-D5</f>
        <v/>
      </c>
      <c r="E6" s="299">
        <f>1-E5</f>
        <v/>
      </c>
      <c r="F6" s="299">
        <f>1-F5</f>
        <v/>
      </c>
      <c r="H6">
        <f>H5-0.0005</f>
        <v/>
      </c>
      <c r="I6">
        <f>I5-0.0005</f>
        <v/>
      </c>
      <c r="J6">
        <f>J5-0.0005</f>
        <v/>
      </c>
      <c r="K6">
        <f>K5-0.0005</f>
        <v/>
      </c>
    </row>
    <row r="7">
      <c r="B7" s="282" t="inlineStr">
        <is>
          <t>影响因子</t>
        </is>
      </c>
      <c r="C7" s="101" t="n">
        <v>0.3</v>
      </c>
      <c r="D7" s="101" t="n">
        <v>0.3</v>
      </c>
      <c r="E7" s="101" t="n">
        <v>0.3</v>
      </c>
      <c r="F7" s="101" t="n">
        <v>0.3</v>
      </c>
      <c r="H7">
        <f>H5+0.0005</f>
        <v/>
      </c>
      <c r="I7">
        <f>I5+0.0005</f>
        <v/>
      </c>
      <c r="J7">
        <f>J5+0.0005</f>
        <v/>
      </c>
      <c r="K7">
        <f>K5+0.0005</f>
        <v/>
      </c>
    </row>
    <row r="8">
      <c r="B8" s="282" t="inlineStr">
        <is>
          <t>影响因子</t>
        </is>
      </c>
      <c r="C8" s="356">
        <f>(H6-(C3-0.95)*C7-0.95)*10/($C$2-1)</f>
        <v/>
      </c>
      <c r="D8" s="356">
        <f>(I6-(D3-0.95)*D7-0.95)*10/($C$2-1)</f>
        <v/>
      </c>
      <c r="E8" s="356">
        <f>(J6-(E3-0.95)*E7-0.95)*10/($C$2-1)</f>
        <v/>
      </c>
      <c r="F8" s="356">
        <f>(K6-(F3-0.95)*F7-0.95)*10/($C$2-1)</f>
        <v/>
      </c>
    </row>
    <row r="14">
      <c r="B14" s="282" t="inlineStr">
        <is>
          <t>最大值</t>
        </is>
      </c>
      <c r="C14" s="357">
        <f>MAX(C15:C32)</f>
        <v/>
      </c>
      <c r="D14" s="357">
        <f>MAX(D15:D32)</f>
        <v/>
      </c>
      <c r="E14" s="357">
        <f>MAX(E15:E32)</f>
        <v/>
      </c>
      <c r="F14" s="357">
        <f>MAX(F15:F32)</f>
        <v/>
      </c>
    </row>
    <row r="15">
      <c r="B15" s="358" t="inlineStr">
        <is>
          <t>第1次数据</t>
        </is>
      </c>
      <c r="C15" s="359" t="n"/>
      <c r="D15" s="359" t="n"/>
      <c r="E15" s="359" t="n"/>
      <c r="F15" s="359" t="n"/>
    </row>
    <row r="16">
      <c r="B16" s="358" t="inlineStr">
        <is>
          <t>第2次数据</t>
        </is>
      </c>
      <c r="C16" s="359" t="n"/>
      <c r="D16" s="359" t="n"/>
      <c r="E16" s="359" t="n"/>
      <c r="F16" s="359" t="n"/>
    </row>
    <row r="17">
      <c r="B17" s="358" t="inlineStr">
        <is>
          <t>第3次数据</t>
        </is>
      </c>
      <c r="C17" s="359" t="n"/>
      <c r="D17" s="359" t="n"/>
      <c r="E17" s="359" t="n"/>
      <c r="F17" s="359" t="n"/>
    </row>
    <row r="18">
      <c r="B18" s="358" t="inlineStr">
        <is>
          <t>第4次数据</t>
        </is>
      </c>
      <c r="C18" s="359" t="n"/>
      <c r="D18" s="359" t="n"/>
      <c r="E18" s="359" t="n"/>
      <c r="F18" s="359" t="n"/>
    </row>
    <row r="19">
      <c r="B19" s="358" t="inlineStr">
        <is>
          <t>第5次数据</t>
        </is>
      </c>
      <c r="C19" s="359" t="n"/>
      <c r="D19" s="359" t="n"/>
      <c r="E19" s="359" t="n"/>
      <c r="F19" s="359" t="n"/>
    </row>
    <row r="20">
      <c r="B20" s="358" t="inlineStr">
        <is>
          <t>第6次数据</t>
        </is>
      </c>
      <c r="C20" s="359" t="n"/>
      <c r="D20" s="359" t="n"/>
      <c r="E20" s="359" t="n"/>
      <c r="F20" s="359" t="n"/>
    </row>
    <row r="21">
      <c r="B21" s="358" t="inlineStr">
        <is>
          <t>第7次数据</t>
        </is>
      </c>
      <c r="C21" s="359" t="n"/>
      <c r="D21" s="359" t="n"/>
      <c r="E21" s="359" t="n"/>
      <c r="F21" s="359" t="n"/>
    </row>
    <row r="22">
      <c r="B22" s="358" t="inlineStr">
        <is>
          <t>第8次数据</t>
        </is>
      </c>
      <c r="C22" s="359" t="n"/>
      <c r="D22" s="359" t="n"/>
      <c r="E22" s="359" t="n"/>
      <c r="F22" s="359" t="n"/>
    </row>
    <row r="23">
      <c r="B23" s="358" t="inlineStr">
        <is>
          <t>第9次数据</t>
        </is>
      </c>
      <c r="C23" s="359" t="n"/>
      <c r="D23" s="359" t="n"/>
      <c r="E23" s="359" t="n"/>
      <c r="F23" s="359" t="n"/>
    </row>
    <row r="24">
      <c r="B24" s="358" t="inlineStr">
        <is>
          <t>第10次数据</t>
        </is>
      </c>
      <c r="C24" s="359" t="n"/>
      <c r="D24" s="359" t="n"/>
      <c r="E24" s="359" t="n"/>
      <c r="F24" s="359" t="n"/>
    </row>
    <row r="25">
      <c r="B25" s="358" t="inlineStr">
        <is>
          <t>第11次数据</t>
        </is>
      </c>
      <c r="C25" s="359" t="n"/>
      <c r="D25" s="359" t="n"/>
      <c r="E25" s="359" t="n"/>
      <c r="F25" s="359" t="n"/>
    </row>
    <row r="26">
      <c r="B26" s="358" t="inlineStr">
        <is>
          <t>第12次数据</t>
        </is>
      </c>
      <c r="C26" s="359" t="n"/>
      <c r="D26" s="359" t="n"/>
      <c r="E26" s="359" t="n"/>
      <c r="F26" s="359" t="n"/>
    </row>
    <row r="27">
      <c r="B27" s="358" t="inlineStr">
        <is>
          <t>第13次数据</t>
        </is>
      </c>
      <c r="C27" s="359" t="n"/>
      <c r="D27" s="359" t="n"/>
      <c r="E27" s="359" t="n"/>
      <c r="F27" s="359" t="n"/>
    </row>
    <row r="28">
      <c r="B28" s="358" t="inlineStr">
        <is>
          <t>第14次数据</t>
        </is>
      </c>
      <c r="C28" s="359" t="n"/>
      <c r="D28" s="359" t="n"/>
      <c r="E28" s="359" t="n"/>
      <c r="F28" s="359" t="n"/>
    </row>
    <row r="29">
      <c r="B29" s="358" t="inlineStr">
        <is>
          <t>第15次数据</t>
        </is>
      </c>
      <c r="C29" s="359" t="n"/>
      <c r="D29" s="359" t="n"/>
      <c r="E29" s="359" t="n"/>
      <c r="F29" s="359" t="n"/>
    </row>
    <row r="30">
      <c r="B30" s="358" t="inlineStr">
        <is>
          <t>第16次数据</t>
        </is>
      </c>
      <c r="C30" s="359" t="n"/>
      <c r="D30" s="359" t="n"/>
      <c r="E30" s="359" t="n"/>
      <c r="F30" s="359" t="n"/>
    </row>
    <row r="31">
      <c r="B31" s="358" t="inlineStr">
        <is>
          <t>第17次数据</t>
        </is>
      </c>
      <c r="C31" s="359" t="n"/>
      <c r="D31" s="359" t="n"/>
      <c r="E31" s="359" t="n"/>
      <c r="F31" s="359" t="n"/>
    </row>
    <row r="32">
      <c r="B32" s="358" t="inlineStr">
        <is>
          <t>第18次数据</t>
        </is>
      </c>
      <c r="C32" s="359" t="n"/>
      <c r="D32" s="359" t="n"/>
      <c r="E32" s="359" t="n"/>
      <c r="F32" s="35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N9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第九期!AF76</f>
        <v/>
      </c>
      <c r="BT7" s="218">
        <f>第九期!AF77</f>
        <v/>
      </c>
      <c r="BU7" s="218">
        <f>第九期!AF78</f>
        <v/>
      </c>
      <c r="BV7" s="218">
        <f>第九期!AF79</f>
        <v/>
      </c>
      <c r="BW7" s="467">
        <f>第九期!$AF$80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第九期!$AG$76</f>
        <v/>
      </c>
      <c r="BT8" s="218">
        <f>第九期!$AG$77</f>
        <v/>
      </c>
      <c r="BU8" s="218">
        <f>第九期!$AG$78</f>
        <v/>
      </c>
      <c r="BV8" s="218">
        <f>第九期!$AG$79</f>
        <v/>
      </c>
      <c r="BW8" s="467">
        <f>第九期!$AG$80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第九期!DB56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第九期!$AH$76</f>
        <v/>
      </c>
      <c r="BT9" s="218">
        <f>第九期!$AH$77</f>
        <v/>
      </c>
      <c r="BU9" s="218">
        <f>第九期!$AH$78</f>
        <v/>
      </c>
      <c r="BV9" s="218">
        <f>第九期!$AH$79</f>
        <v/>
      </c>
      <c r="BW9" s="467">
        <f>第九期!$AH$80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第九期!DB57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第九期!$AI$76</f>
        <v/>
      </c>
      <c r="BT10" s="218">
        <f>第九期!$AI$77</f>
        <v/>
      </c>
      <c r="BU10" s="218">
        <f>第九期!$AI$78</f>
        <v/>
      </c>
      <c r="BV10" s="218">
        <f>第九期!$AI$79</f>
        <v/>
      </c>
      <c r="BW10" s="467">
        <f>第九期!$AI$80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第九期!DB58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第九期!$AJ$76</f>
        <v/>
      </c>
      <c r="BT11" s="467">
        <f>第九期!$AJ$77</f>
        <v/>
      </c>
      <c r="BU11" s="467">
        <f>第九期!$AJ$78</f>
        <v/>
      </c>
      <c r="BV11" s="467">
        <f>第九期!$AJ$79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第九期!DB59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第九期!BU86</f>
        <v/>
      </c>
      <c r="AG13" s="135" t="inlineStr">
        <is>
          <t>售前现金</t>
        </is>
      </c>
      <c r="AH13" s="473">
        <f>第九期!BV76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第九期!BW92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第九期!K12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第九期!Y88</f>
        <v/>
      </c>
      <c r="BT14" s="218">
        <f>第九期!Y89</f>
        <v/>
      </c>
      <c r="BU14" s="218">
        <f>第九期!Y90</f>
        <v/>
      </c>
      <c r="BV14" s="218">
        <f>第九期!Y91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AF14/(Y18+第九期!K8-AA18)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第九期!K16*0.5-第九期!K14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第九期!Z88</f>
        <v/>
      </c>
      <c r="BT15" s="218">
        <f>第九期!Z89</f>
        <v/>
      </c>
      <c r="BU15" s="218">
        <f>第九期!Z90</f>
        <v/>
      </c>
      <c r="BV15" s="218">
        <f>第九期!Z91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第九期!DM60</f>
        <v/>
      </c>
      <c r="Z16" s="92" t="inlineStr">
        <is>
          <t>生产成本</t>
        </is>
      </c>
      <c r="AA16" s="485">
        <f>AH20+Y16+第九期!K9*比赛参数!D30*比赛参数!F30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第九期!AA88</f>
        <v/>
      </c>
      <c r="BT16" s="218">
        <f>第九期!AA89</f>
        <v/>
      </c>
      <c r="BU16" s="218">
        <f>第九期!AA90</f>
        <v/>
      </c>
      <c r="BV16" s="218">
        <f>第九期!AA91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第九期!AB88</f>
        <v/>
      </c>
      <c r="BT17" s="218">
        <f>第九期!AB89</f>
        <v/>
      </c>
      <c r="BU17" s="218">
        <f>第九期!AB90</f>
        <v/>
      </c>
      <c r="BV17" s="218">
        <f>第九期!AB91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第九期!K8*比赛参数!D57</f>
        <v/>
      </c>
      <c r="Z19" s="104" t="inlineStr">
        <is>
          <t>Min</t>
        </is>
      </c>
      <c r="AA19" s="134">
        <f>第九期!K8*比赛参数!D60</f>
        <v/>
      </c>
      <c r="AB19" s="104" t="inlineStr">
        <is>
          <t>Min</t>
        </is>
      </c>
      <c r="AC19" s="495">
        <f>IF((AC21-第九期!K10)/比赛参数!D41&gt;0,(AC21-第九期!K10)/比赛参数!D41,0)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IF((第九期!BW92-第九期!BS87)&gt;0,第九期!BW92-第九期!BS87,0)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第九期!$CX$68</f>
        <v/>
      </c>
      <c r="CD19" s="497">
        <f>第九期!$CX$69</f>
        <v/>
      </c>
      <c r="CE19" s="497">
        <f>第九期!$CX$70</f>
        <v/>
      </c>
      <c r="CF19" s="497">
        <f>第九期!$CX$71</f>
        <v/>
      </c>
      <c r="CG19" s="396" t="n"/>
      <c r="CH19" s="498" t="n"/>
      <c r="CI19" s="499" t="inlineStr">
        <is>
          <t>市场1</t>
        </is>
      </c>
      <c r="CJ19" s="497">
        <f>第九期!$CX$50</f>
        <v/>
      </c>
      <c r="CK19" s="497">
        <f>第九期!$CX$51</f>
        <v/>
      </c>
      <c r="CL19" s="497">
        <f>第九期!$CX$52</f>
        <v/>
      </c>
      <c r="CM19" s="497">
        <f>第九期!$CX$53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第九期!K8+第九期!Y18*比赛参数!D59-第九期!AA18</f>
        <v/>
      </c>
      <c r="Z20" s="148" t="inlineStr">
        <is>
          <t>现有机器数</t>
        </is>
      </c>
      <c r="AA20" s="272">
        <f>第九期!K9</f>
        <v/>
      </c>
      <c r="AB20" s="148" t="inlineStr">
        <is>
          <t>可用原材料</t>
        </is>
      </c>
      <c r="AC20" s="484">
        <f>AC18*比赛参数!D41+第九期!K10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第九期!BS62+第九期!BS71</f>
        <v/>
      </c>
      <c r="AI20" s="73" t="inlineStr">
        <is>
          <t>期末现金</t>
        </is>
      </c>
      <c r="AJ20" s="484">
        <f>第九期!BV90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第九期!Y9</f>
        <v/>
      </c>
      <c r="BT20" s="218">
        <f>第九期!Z9</f>
        <v/>
      </c>
      <c r="BU20" s="218">
        <f>第九期!AA9</f>
        <v/>
      </c>
      <c r="BV20" s="218">
        <f>第九期!AB9</f>
        <v/>
      </c>
      <c r="BW20" s="467">
        <f>第九期!AJ34</f>
        <v/>
      </c>
      <c r="BX20" s="215" t="n"/>
      <c r="CA20" s="213" t="n"/>
      <c r="CB20" s="196" t="inlineStr">
        <is>
          <t>市场2</t>
        </is>
      </c>
      <c r="CC20" s="497">
        <f>第九期!$CY$68</f>
        <v/>
      </c>
      <c r="CD20" s="497">
        <f>第九期!$CY$69</f>
        <v/>
      </c>
      <c r="CE20" s="497">
        <f>第九期!$CY$70</f>
        <v/>
      </c>
      <c r="CF20" s="497">
        <f>第九期!$CY$71</f>
        <v/>
      </c>
      <c r="CG20" s="396" t="n"/>
      <c r="CH20" s="498" t="n"/>
      <c r="CI20" s="502" t="inlineStr">
        <is>
          <t>市场2</t>
        </is>
      </c>
      <c r="CJ20" s="497">
        <f>第九期!$CY$50</f>
        <v/>
      </c>
      <c r="CK20" s="497">
        <f>第九期!$CY$51</f>
        <v/>
      </c>
      <c r="CL20" s="497">
        <f>第九期!$CY$52</f>
        <v/>
      </c>
      <c r="CM20" s="497">
        <f>第九期!$CY$53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第九期!Y10</f>
        <v/>
      </c>
      <c r="BT21" s="218">
        <f>第九期!Z10</f>
        <v/>
      </c>
      <c r="BU21" s="218">
        <f>第九期!AA10</f>
        <v/>
      </c>
      <c r="BV21" s="218">
        <f>第九期!AB10</f>
        <v/>
      </c>
      <c r="BW21" s="467">
        <f>第九期!AJ35</f>
        <v/>
      </c>
      <c r="BX21" s="215" t="n"/>
      <c r="CA21" s="213" t="n"/>
      <c r="CB21" s="196" t="inlineStr">
        <is>
          <t>市场3</t>
        </is>
      </c>
      <c r="CC21" s="497">
        <f>第九期!$CZ$68</f>
        <v/>
      </c>
      <c r="CD21" s="497">
        <f>第九期!$CZ$69</f>
        <v/>
      </c>
      <c r="CE21" s="497">
        <f>第九期!$CZ$70</f>
        <v/>
      </c>
      <c r="CF21" s="497">
        <f>第九期!$CZ$71</f>
        <v/>
      </c>
      <c r="CG21" s="396" t="n"/>
      <c r="CH21" s="498" t="n"/>
      <c r="CI21" s="502" t="inlineStr">
        <is>
          <t>市场3</t>
        </is>
      </c>
      <c r="CJ21" s="497">
        <f>第九期!$CZ$50</f>
        <v/>
      </c>
      <c r="CK21" s="497">
        <f>第九期!$CZ$51</f>
        <v/>
      </c>
      <c r="CL21" s="497">
        <f>第九期!$CZ$52</f>
        <v/>
      </c>
      <c r="CM21" s="497">
        <f>第九期!$CZ$53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第九期!Y11</f>
        <v/>
      </c>
      <c r="BT22" s="218">
        <f>第九期!Z11</f>
        <v/>
      </c>
      <c r="BU22" s="218">
        <f>第九期!AA11</f>
        <v/>
      </c>
      <c r="BV22" s="218">
        <f>第九期!AB11</f>
        <v/>
      </c>
      <c r="BW22" s="467">
        <f>第九期!AJ36</f>
        <v/>
      </c>
      <c r="BX22" s="215" t="n"/>
      <c r="CA22" s="213" t="n"/>
      <c r="CB22" s="196" t="inlineStr">
        <is>
          <t>市场4</t>
        </is>
      </c>
      <c r="CC22" s="497">
        <f>第九期!$DA$68</f>
        <v/>
      </c>
      <c r="CD22" s="497">
        <f>第九期!$DA$69</f>
        <v/>
      </c>
      <c r="CE22" s="497">
        <f>第九期!$DA$70</f>
        <v/>
      </c>
      <c r="CF22" s="497">
        <f>第九期!$DA$71</f>
        <v/>
      </c>
      <c r="CG22" s="396" t="n"/>
      <c r="CH22" s="498" t="n"/>
      <c r="CI22" s="502" t="inlineStr">
        <is>
          <t>市场4</t>
        </is>
      </c>
      <c r="CJ22" s="497">
        <f>第九期!$DA$50</f>
        <v/>
      </c>
      <c r="CK22" s="497">
        <f>第九期!$DA$51</f>
        <v/>
      </c>
      <c r="CL22" s="497">
        <f>第九期!$DA$52</f>
        <v/>
      </c>
      <c r="CM22" s="497">
        <f>第九期!$DA$53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H23" s="215">
        <f>(AJ20+AJ15-AJ21)/比赛参数!D30</f>
        <v/>
      </c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第九期!Y12</f>
        <v/>
      </c>
      <c r="BT23" s="218">
        <f>第九期!Z12</f>
        <v/>
      </c>
      <c r="BU23" s="218">
        <f>第九期!AA12</f>
        <v/>
      </c>
      <c r="BV23" s="218">
        <f>第九期!AB12</f>
        <v/>
      </c>
      <c r="BW23" s="467">
        <f>第九期!AJ37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第九期!BV57-第九期!BV76</f>
        <v/>
      </c>
      <c r="AJ26" s="294">
        <f>第九期!K9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第九期!DB50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第九期!Y18</f>
        <v/>
      </c>
      <c r="BT26" s="218">
        <f>第九期!AA18</f>
        <v/>
      </c>
      <c r="BU26" s="218">
        <f>第九期!AF18</f>
        <v/>
      </c>
      <c r="BV26" s="511">
        <f>第九期!AC18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第九期!DB51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第九期!DB52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第九期!DB53</f>
        <v/>
      </c>
      <c r="BQ29" s="507" t="n"/>
      <c r="BS29" s="511">
        <f>第九期!AH14</f>
        <v/>
      </c>
      <c r="BT29" s="511">
        <f>第九期!AH15</f>
        <v/>
      </c>
      <c r="BU29" s="218">
        <f>第九期!AF20</f>
        <v/>
      </c>
      <c r="BV29" s="511">
        <f>第九期!AJ18</f>
        <v/>
      </c>
      <c r="BW29" s="218">
        <f>第九期!AH18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INT(第九期!DV26)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INT(第九期!DV27)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INT(第九期!DV28)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INT(第九期!DV29)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第九期!DG56*第九期!DG50+第九期!DG64*第九期!Y88</f>
        <v/>
      </c>
      <c r="CD38" s="272">
        <f>第九期!DH56*第九期!DH50+第九期!DH64*第九期!Z88</f>
        <v/>
      </c>
      <c r="CE38" s="272">
        <f>第九期!DI56*第九期!DI50+第九期!DI64*第九期!AA88</f>
        <v/>
      </c>
      <c r="CF38" s="272">
        <f>第九期!DJ56*第九期!DJ50+第九期!DJ64*第九期!AB88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第九期!DG57*第九期!DG51+第九期!DG65*第九期!Y89</f>
        <v/>
      </c>
      <c r="CD39" s="272">
        <f>第九期!DH57*第九期!DH51+第九期!DH65*第九期!Z89</f>
        <v/>
      </c>
      <c r="CE39" s="272">
        <f>第九期!DI57*第九期!DI51+第九期!DI65*第九期!AA89</f>
        <v/>
      </c>
      <c r="CF39" s="272">
        <f>第九期!DJ57*第九期!DJ51+第九期!DJ65*第九期!AB89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第九期!DG58*第九期!DG52+第九期!DG66*第九期!Y90</f>
        <v/>
      </c>
      <c r="CD40" s="272">
        <f>第九期!DH58*第九期!DH52+第九期!DH66*第九期!Z90</f>
        <v/>
      </c>
      <c r="CE40" s="272">
        <f>第九期!DI58*第九期!DI52+第九期!DI66*第九期!AA90</f>
        <v/>
      </c>
      <c r="CF40" s="272">
        <f>第九期!DJ58*第九期!DJ52+第九期!DJ66*第九期!AB90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第九期!DG59*第九期!DG53+第九期!DG67*第九期!Y91</f>
        <v/>
      </c>
      <c r="CD41" s="272">
        <f>第九期!DH59*第九期!DH53+第九期!DH67*第九期!Z91</f>
        <v/>
      </c>
      <c r="CE41" s="272">
        <f>第九期!DI59*第九期!DI53+第九期!DI67*第九期!AA91</f>
        <v/>
      </c>
      <c r="CF41" s="272">
        <f>第九期!DJ59*第九期!DJ53+第九期!DJ67*第九期!AB91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第九期!Y9*第九期!CQ62*比赛参数!D65</f>
        <v/>
      </c>
      <c r="CR50" s="294">
        <f>第九期!Z9*第九期!CR62*比赛参数!E65</f>
        <v/>
      </c>
      <c r="CS50" s="294">
        <f>第九期!AA9*第九期!CS62*比赛参数!F65</f>
        <v/>
      </c>
      <c r="CT50" s="294">
        <f>第九期!AB9*第九期!CT62*比赛参数!G65</f>
        <v/>
      </c>
      <c r="CU50" s="294">
        <f>IF(第九期!AC9&gt;0,SUM(CQ50:CT50)/第九期!AC9,0)</f>
        <v/>
      </c>
      <c r="CW50" s="11" t="inlineStr">
        <is>
          <t>A产品</t>
        </is>
      </c>
      <c r="CX50" s="525">
        <f>IF(第九期!$CU$50*第九期!CQ93&gt;0,第九期!$CU$50+第九期!CQ68+第九期!CQ93+第九期!CQ74,0)</f>
        <v/>
      </c>
      <c r="CY50" s="525">
        <f>IF(第九期!$CU$50*第九期!CR93&gt;0,第九期!$CU$50+第九期!CR68+第九期!CR93+第九期!CR74,0)</f>
        <v/>
      </c>
      <c r="CZ50" s="525">
        <f>IF(第九期!$CU$50*第九期!CS93&gt;0,第九期!$CU$50+第九期!CS68+第九期!CS93+第九期!CS74,0)</f>
        <v/>
      </c>
      <c r="DA50" s="525">
        <f>IF(第九期!$CU$50*第九期!CT93&gt;0,第九期!$CU$50+第九期!CT68+第九期!CT93+第九期!CT74,0)</f>
        <v/>
      </c>
      <c r="DB50" s="525">
        <f>AVERAGE(CX50:DA50)</f>
        <v/>
      </c>
      <c r="DF50" s="294" t="inlineStr">
        <is>
          <t>市场1</t>
        </is>
      </c>
      <c r="DG50" s="247">
        <f>IF(第九期!Y88&gt;0,1,0)</f>
        <v/>
      </c>
      <c r="DH50" s="247">
        <f>IF(第九期!Z88&gt;0,1,0)</f>
        <v/>
      </c>
      <c r="DI50" s="247">
        <f>IF(第九期!AA88&gt;0,1,0)</f>
        <v/>
      </c>
      <c r="DJ50" s="247">
        <f>IF(第九期!AB88&gt;0,1,0)</f>
        <v/>
      </c>
      <c r="DL50" s="247" t="inlineStr">
        <is>
          <t>产品A</t>
        </is>
      </c>
      <c r="DM50" s="248">
        <f>IF(第九期!Y9+第九期!Z9&gt;0,1,0)</f>
        <v/>
      </c>
      <c r="DN50" s="248">
        <f>IF(第九期!AA9+第九期!AB9&gt;0,1,0)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第九期!Y10*第九期!CQ63*比赛参数!D65</f>
        <v/>
      </c>
      <c r="CR51" s="294">
        <f>第九期!Z10*第九期!CR63*比赛参数!E65</f>
        <v/>
      </c>
      <c r="CS51" s="294">
        <f>第九期!AA10*第九期!CS63*比赛参数!F65</f>
        <v/>
      </c>
      <c r="CT51" s="294">
        <f>第九期!AB10*第九期!CT63*比赛参数!G65</f>
        <v/>
      </c>
      <c r="CU51" s="294">
        <f>IF(第九期!AC10&gt;0,SUM(CQ51:CT51)/第九期!AC10,0)</f>
        <v/>
      </c>
      <c r="CW51" s="11" t="inlineStr">
        <is>
          <t>B产品</t>
        </is>
      </c>
      <c r="CX51" s="525">
        <f>IF(第九期!$CU$51*第九期!CQ94&gt;0,第九期!$CU$51+第九期!CQ69+第九期!CQ94+第九期!CQ75,0)</f>
        <v/>
      </c>
      <c r="CY51" s="525">
        <f>IF(第九期!$CU$51*第九期!CR94&gt;0,第九期!$CU$51+第九期!CR69+第九期!CR94+第九期!CR75,0)</f>
        <v/>
      </c>
      <c r="CZ51" s="525">
        <f>IF(第九期!$CU$51*第九期!CS94&gt;0,第九期!$CU$51+第九期!CS69+第九期!CS94+第九期!CS75,0)</f>
        <v/>
      </c>
      <c r="DA51" s="525">
        <f>IF(第九期!$CU$51*第九期!CT94&gt;0,第九期!$CU$51+第九期!CT69+第九期!CT94+第九期!CT75,0)</f>
        <v/>
      </c>
      <c r="DB51" s="525">
        <f>AVERAGE(CX51:DA51)</f>
        <v/>
      </c>
      <c r="DF51" s="294" t="inlineStr">
        <is>
          <t>市场2</t>
        </is>
      </c>
      <c r="DG51" s="247">
        <f>IF(第九期!Y89&gt;0,1,0)</f>
        <v/>
      </c>
      <c r="DH51" s="247">
        <f>IF(第九期!Z89&gt;0,1,0)</f>
        <v/>
      </c>
      <c r="DI51" s="247">
        <f>IF(第九期!AA89&gt;0,1,0)</f>
        <v/>
      </c>
      <c r="DJ51" s="247">
        <f>IF(第九期!AB89&gt;0,1,0)</f>
        <v/>
      </c>
      <c r="DL51" s="247" t="inlineStr">
        <is>
          <t>产品B</t>
        </is>
      </c>
      <c r="DM51" s="248">
        <f>IF(第九期!Y10+第九期!Z10&gt;0,1,0)</f>
        <v/>
      </c>
      <c r="DN51" s="248">
        <f>IF(第九期!AA10+第九期!AB10&gt;0,1,0)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第九期!Y11*第九期!CQ64*比赛参数!D65</f>
        <v/>
      </c>
      <c r="CR52" s="294">
        <f>第九期!Z11*第九期!CR64*比赛参数!E65</f>
        <v/>
      </c>
      <c r="CS52" s="294">
        <f>第九期!AA11*第九期!CS64*比赛参数!F65</f>
        <v/>
      </c>
      <c r="CT52" s="294">
        <f>第九期!AB11*第九期!CT64*比赛参数!G65</f>
        <v/>
      </c>
      <c r="CU52" s="294">
        <f>IF(第九期!AC11&gt;0,SUM(CQ52:CT52)/第九期!AC11,0)</f>
        <v/>
      </c>
      <c r="CW52" s="11" t="inlineStr">
        <is>
          <t>C产品</t>
        </is>
      </c>
      <c r="CX52" s="525">
        <f>IF(第九期!$CU$52*第九期!CQ95&gt;0,第九期!$CU$52+第九期!CQ70+第九期!CQ95+第九期!CQ76,0)</f>
        <v/>
      </c>
      <c r="CY52" s="525">
        <f>IF(第九期!$CU$52*第九期!CR95&gt;0,第九期!$CU$52+第九期!CR70+第九期!CR95+第九期!CR76,0)</f>
        <v/>
      </c>
      <c r="CZ52" s="525">
        <f>IF(第九期!$CU$52*第九期!CS95&gt;0,第九期!$CU$52+第九期!CS70+第九期!CS95+第九期!CS76,0)</f>
        <v/>
      </c>
      <c r="DA52" s="525">
        <f>IF(第九期!$CU$52*第九期!CT95&gt;0,第九期!$CU$52+第九期!CT70+第九期!CT95+第九期!CT76,0)</f>
        <v/>
      </c>
      <c r="DB52" s="525">
        <f>AVERAGE(CX52:DA52)</f>
        <v/>
      </c>
      <c r="DF52" s="294" t="inlineStr">
        <is>
          <t>市场3</t>
        </is>
      </c>
      <c r="DG52" s="247">
        <f>IF(第九期!Y90&gt;0,1,0)</f>
        <v/>
      </c>
      <c r="DH52" s="247">
        <f>IF(第九期!Z90&gt;0,1,0)</f>
        <v/>
      </c>
      <c r="DI52" s="247">
        <f>IF(第九期!AA90&gt;0,1,0)</f>
        <v/>
      </c>
      <c r="DJ52" s="247">
        <f>IF(第九期!AB90&gt;0,1,0)</f>
        <v/>
      </c>
      <c r="DL52" s="247" t="inlineStr">
        <is>
          <t>产品C</t>
        </is>
      </c>
      <c r="DM52" s="248">
        <f>IF(第九期!Y11+第九期!Z11&gt;0,1,0)</f>
        <v/>
      </c>
      <c r="DN52" s="248">
        <f>IF(第九期!AA11+第九期!AB11&gt;0,1,0)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第九期!Y12*第九期!CQ65*比赛参数!D65</f>
        <v/>
      </c>
      <c r="CR53" s="294">
        <f>第九期!Z12*第九期!CR65*比赛参数!E65</f>
        <v/>
      </c>
      <c r="CS53" s="294">
        <f>第九期!AA12*第九期!CS65*比赛参数!F65</f>
        <v/>
      </c>
      <c r="CT53" s="294">
        <f>第九期!AB12*第九期!CT65*比赛参数!G65</f>
        <v/>
      </c>
      <c r="CU53" s="294">
        <f>IF(第九期!AC12&gt;0,SUM(CQ53:CT53)/第九期!AC12,0)</f>
        <v/>
      </c>
      <c r="CW53" s="11" t="inlineStr">
        <is>
          <t>D产品</t>
        </is>
      </c>
      <c r="CX53" s="525">
        <f>IF(第九期!$CU$53*第九期!CQ96&gt;0,第九期!$CU$53+第九期!CQ71+第九期!CQ96+第九期!CQ77,0)</f>
        <v/>
      </c>
      <c r="CY53" s="525">
        <f>IF(第九期!$CU$53*第九期!CR96&gt;0,第九期!$CU$53+第九期!CR71+第九期!CR96+第九期!CR77,0)</f>
        <v/>
      </c>
      <c r="CZ53" s="525">
        <f>IF(第九期!$CU$53*第九期!CS96&gt;0,第九期!$CU$53+第九期!CS71+第九期!CS96+第九期!CS77,0)</f>
        <v/>
      </c>
      <c r="DA53" s="525">
        <f>IF(第九期!$CU$53*第九期!CT96&gt;0,第九期!$CU$53+第九期!CT71+第九期!CT96+第九期!CT77,0)</f>
        <v/>
      </c>
      <c r="DB53" s="525">
        <f>AVERAGE(CX53:DA53)</f>
        <v/>
      </c>
      <c r="DF53" s="294" t="inlineStr">
        <is>
          <t>市场4</t>
        </is>
      </c>
      <c r="DG53" s="247">
        <f>IF(第九期!Y91&gt;0,1,0)</f>
        <v/>
      </c>
      <c r="DH53" s="247">
        <f>IF(第九期!Z91&gt;0,1,0)</f>
        <v/>
      </c>
      <c r="DI53" s="247">
        <f>IF(第九期!AA91&gt;0,1,0)</f>
        <v/>
      </c>
      <c r="DJ53" s="247">
        <f>IF(第九期!AB91&gt;0,1,0)</f>
        <v/>
      </c>
      <c r="DL53" s="247" t="inlineStr">
        <is>
          <t>产品D</t>
        </is>
      </c>
      <c r="DM53" s="248">
        <f>IF(第九期!Y12+第九期!Z12&gt;0,1,0)</f>
        <v/>
      </c>
      <c r="DN53" s="248">
        <f>IF(第九期!AA12+第九期!AB12&gt;0,1,0)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第九期!K11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第九期!AH14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第九期!DU26</f>
        <v/>
      </c>
      <c r="CD56" s="272">
        <f>第九期!DU27</f>
        <v/>
      </c>
      <c r="CE56" s="272">
        <f>第九期!DU28</f>
        <v/>
      </c>
      <c r="CF56" s="272">
        <f>第九期!DU29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第九期!BS7-第九期!CX50</f>
        <v/>
      </c>
      <c r="CY56" s="525">
        <f>第九期!BT7-第九期!CY50</f>
        <v/>
      </c>
      <c r="CZ56" s="525">
        <f>第九期!BU7-第九期!CZ50</f>
        <v/>
      </c>
      <c r="DA56" s="525">
        <f>第九期!BV7-第九期!DA50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第九期!DX6</f>
        <v/>
      </c>
      <c r="Z57" s="272">
        <f>第九期!DX10</f>
        <v/>
      </c>
      <c r="AA57" s="272">
        <f>第九期!DX14</f>
        <v/>
      </c>
      <c r="AB57" s="272">
        <f>第九期!DX18</f>
        <v/>
      </c>
      <c r="AC57" s="234" t="n"/>
      <c r="AE57" s="64" t="inlineStr">
        <is>
          <t>市场1</t>
        </is>
      </c>
      <c r="AF57" s="272">
        <f>第九期!DW6</f>
        <v/>
      </c>
      <c r="AG57" s="272">
        <f>第九期!DW10</f>
        <v/>
      </c>
      <c r="AH57" s="272">
        <f>第九期!DW14</f>
        <v/>
      </c>
      <c r="AI57" s="272">
        <f>第九期!DW18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第九期!AH15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第九期!BS8-第九期!CX51</f>
        <v/>
      </c>
      <c r="CY57" s="525">
        <f>第九期!BT8-第九期!CY51</f>
        <v/>
      </c>
      <c r="CZ57" s="525">
        <f>第九期!BU8-第九期!CZ51</f>
        <v/>
      </c>
      <c r="DA57" s="525">
        <f>第九期!BV8-第九期!DA51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第九期!DX7</f>
        <v/>
      </c>
      <c r="Z58" s="272">
        <f>第九期!DX11</f>
        <v/>
      </c>
      <c r="AA58" s="272">
        <f>第九期!DX15</f>
        <v/>
      </c>
      <c r="AB58" s="272">
        <f>第九期!DX19</f>
        <v/>
      </c>
      <c r="AC58" s="234" t="n"/>
      <c r="AE58" s="11" t="inlineStr">
        <is>
          <t>市场2</t>
        </is>
      </c>
      <c r="AF58" s="272">
        <f>第九期!DW7</f>
        <v/>
      </c>
      <c r="AG58" s="272">
        <f>第九期!DW11</f>
        <v/>
      </c>
      <c r="AH58" s="272">
        <f>第九期!DW15</f>
        <v/>
      </c>
      <c r="AI58" s="272">
        <f>第九期!DW19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第九期!H5+第九期!H4*比赛参数!F71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第九期!BS9-第九期!CX52</f>
        <v/>
      </c>
      <c r="CY58" s="525">
        <f>第九期!BT9-第九期!CY52</f>
        <v/>
      </c>
      <c r="CZ58" s="525">
        <f>第九期!BU9-第九期!CZ52</f>
        <v/>
      </c>
      <c r="DA58" s="525">
        <f>第九期!BV9-第九期!DA52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第九期!DX8</f>
        <v/>
      </c>
      <c r="Z59" s="272">
        <f>第九期!DX12</f>
        <v/>
      </c>
      <c r="AA59" s="272">
        <f>第九期!DX16</f>
        <v/>
      </c>
      <c r="AB59" s="272">
        <f>第九期!DX20</f>
        <v/>
      </c>
      <c r="AC59" s="235" t="n"/>
      <c r="AE59" s="11" t="inlineStr">
        <is>
          <t>市场3</t>
        </is>
      </c>
      <c r="AF59" s="272">
        <f>第九期!DW8</f>
        <v/>
      </c>
      <c r="AG59" s="272">
        <f>第九期!DW12</f>
        <v/>
      </c>
      <c r="AH59" s="272">
        <f>第九期!DW16</f>
        <v/>
      </c>
      <c r="AI59" s="272">
        <f>第九期!DW20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第九期!K14*比赛参数!D71/4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第九期!BS10-第九期!CX53</f>
        <v/>
      </c>
      <c r="CY59" s="525">
        <f>第九期!BT10-第九期!CY53</f>
        <v/>
      </c>
      <c r="CZ59" s="525">
        <f>第九期!BU10-第九期!CZ53</f>
        <v/>
      </c>
      <c r="DA59" s="525">
        <f>第九期!BV10-第九期!DA53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第九期!DX9</f>
        <v/>
      </c>
      <c r="Z60" s="272">
        <f>第九期!DX13</f>
        <v/>
      </c>
      <c r="AA60" s="272">
        <f>第九期!DX17</f>
        <v/>
      </c>
      <c r="AB60" s="272">
        <f>第九期!DX21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第九期!DW9</f>
        <v/>
      </c>
      <c r="AG60" s="272">
        <f>第九期!DW13</f>
        <v/>
      </c>
      <c r="AH60" s="272">
        <f>第九期!DW17</f>
        <v/>
      </c>
      <c r="AI60" s="272">
        <f>第九期!DW21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第九期!Y18*比赛参数!D58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第九期!AA18*比赛参数!D62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((第九期!K8-第九期!AA18)*比赛参数!D65+第九期!Y18*比赛参数!D59*比赛参数!D65)*第九期!AH18*520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CX56/第九期!CQ56</f>
        <v/>
      </c>
      <c r="CY62" s="525">
        <f>CY56/第九期!CR56</f>
        <v/>
      </c>
      <c r="CZ62" s="525">
        <f>CZ56/第九期!CS56</f>
        <v/>
      </c>
      <c r="DA62" s="525">
        <f>DA56/第九期!CT56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第九期!K9*比赛参数!D49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CX57/第九期!CQ57</f>
        <v/>
      </c>
      <c r="CY63" s="525">
        <f>CY57/第九期!CR57</f>
        <v/>
      </c>
      <c r="CZ63" s="525">
        <f>CZ57/第九期!CS57</f>
        <v/>
      </c>
      <c r="DA63" s="525">
        <f>DA57/第九期!CT57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第九期!AL37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CX58/第九期!CQ58</f>
        <v/>
      </c>
      <c r="CY64" s="525">
        <f>CY58/第九期!CR58</f>
        <v/>
      </c>
      <c r="CZ64" s="525">
        <f>CZ58/第九期!CS58</f>
        <v/>
      </c>
      <c r="DA64" s="525">
        <f>DA58/第九期!CT58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0.5*第九期!AL37+0.5*第九期!DV23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CX59/第九期!CQ59</f>
        <v/>
      </c>
      <c r="CY65" s="525">
        <f>CY59/第九期!CR59</f>
        <v/>
      </c>
      <c r="CZ65" s="525">
        <f>CZ59/第九期!CS59</f>
        <v/>
      </c>
      <c r="DA65" s="525">
        <f>DA59/第九期!CT59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第九期!AC18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九期!AC18&gt;=比赛参数!D33,(1-比赛参数!E33)*第九期!AC18,0)+IF(AND(第九期!AC18&gt;=比赛参数!D34,第九期!AC18&lt;比赛参数!D33),(1-比赛参数!E34)*第九期!AC18,0)+IF(AND(第九期!AC18&gt;=比赛参数!D35,第九期!AC18&lt;比赛参数!D34),(1-比赛参数!E35)*第九期!AC18,0)+IF(AND(第九期!AC18&gt;=比赛参数!D36,第九期!AC18&lt;比赛参数!D35),(1-比赛参数!E36)*第九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第九期!DV6</f>
        <v/>
      </c>
      <c r="AG70" s="131">
        <f>第九期!DV10</f>
        <v/>
      </c>
      <c r="AH70" s="131">
        <f>第九期!DV14</f>
        <v/>
      </c>
      <c r="AI70" s="131">
        <f>第九期!DV18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IF(第九期!AC18&gt;0,第九期!AC18*比赛参数!E40+比赛参数!E39,0)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第九期!DV7</f>
        <v/>
      </c>
      <c r="AG71" s="131">
        <f>第九期!DV11</f>
        <v/>
      </c>
      <c r="AH71" s="131">
        <f>第九期!DV15</f>
        <v/>
      </c>
      <c r="AI71" s="131">
        <f>第九期!DV19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(第九期!Z13*比赛参数!E65*260+第九期!AA13*(比赛参数!F65-比赛参数!D65)*520+第九期!AB13*比赛参数!G65*260)*第九期!AH18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第九期!DV8</f>
        <v/>
      </c>
      <c r="AG72" s="131">
        <f>第九期!DV12</f>
        <v/>
      </c>
      <c r="AH72" s="131">
        <f>第九期!DV16</f>
        <v/>
      </c>
      <c r="AI72" s="131">
        <f>第九期!DV20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第九期!DM60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第九期!DV9</f>
        <v/>
      </c>
      <c r="AG73" s="131">
        <f>第九期!DV13</f>
        <v/>
      </c>
      <c r="AH73" s="131">
        <f>第九期!DV17</f>
        <v/>
      </c>
      <c r="AI73" s="131">
        <f>第九期!DV21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第九期!AC21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第九期!CG42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SUM(第九期!AF80:AI80)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SUM(第九期!AJ76:AJ79)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第九期!CG53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第九期!CN53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第九期!K9*比赛参数!D30*比赛参数!F30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第九期!CG65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第九期!Y9*第九期!CQ56</f>
        <v/>
      </c>
      <c r="CR80" s="294">
        <f>第九期!Z9*第九期!CR56</f>
        <v/>
      </c>
      <c r="CS80" s="294">
        <f>第九期!AA9*第九期!CS56</f>
        <v/>
      </c>
      <c r="CT80" s="294">
        <f>第九期!AB9*第九期!CT56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(第九期!K10+(第九期!AC18+第九期!K10-第九期!AC21))/2*比赛参数!D16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第九期!Y10*第九期!CQ57</f>
        <v/>
      </c>
      <c r="CR81" s="294">
        <f>第九期!Z10*第九期!CR57</f>
        <v/>
      </c>
      <c r="CS81" s="294">
        <f>第九期!AA10*第九期!CS57</f>
        <v/>
      </c>
      <c r="CT81" s="294">
        <f>第九期!AB10*第九期!CT57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第九期!CG67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第九期!Y11*第九期!CQ58</f>
        <v/>
      </c>
      <c r="CR82" s="294">
        <f>第九期!Z11*第九期!CR58</f>
        <v/>
      </c>
      <c r="CS82" s="294">
        <f>第九期!AA11*第九期!CS58</f>
        <v/>
      </c>
      <c r="CT82" s="294">
        <f>第九期!AB11*第九期!CT58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第九期!K13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第九期!Y12*第九期!CQ59</f>
        <v/>
      </c>
      <c r="CR83" s="294">
        <f>第九期!Z12*第九期!CR59</f>
        <v/>
      </c>
      <c r="CS83" s="294">
        <f>第九期!AA12*第九期!CS59</f>
        <v/>
      </c>
      <c r="CT83" s="294">
        <f>第九期!AB12*第九期!CT59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第九期!K13*比赛参数!D70/4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第九期!AH14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第九期!DS33</f>
        <v/>
      </c>
      <c r="AG86" s="131">
        <f>第九期!DW33</f>
        <v/>
      </c>
      <c r="AH86" s="131">
        <f>第九期!EA33</f>
        <v/>
      </c>
      <c r="AI86" s="131">
        <f>第九期!EE33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第九期!AH14*比赛参数!D69/4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第九期!DT33</f>
        <v/>
      </c>
      <c r="AG87" s="131">
        <f>第九期!DX33</f>
        <v/>
      </c>
      <c r="AH87" s="131">
        <f>第九期!EB33</f>
        <v/>
      </c>
      <c r="AI87" s="131">
        <f>第九期!EF33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IF(第九期!BW92&gt;0,IF((第九期!K15+第九期!BW92*比赛参数!D72)&gt;0,第九期!K15+第九期!BW92*比赛参数!D72,0))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第九期!DU33</f>
        <v/>
      </c>
      <c r="AG88" s="131">
        <f>第九期!DY33</f>
        <v/>
      </c>
      <c r="AH88" s="131">
        <f>第九期!EC33</f>
        <v/>
      </c>
      <c r="AI88" s="131">
        <f>第九期!EG33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第九期!AF18*比赛参数!D30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第九期!DV33</f>
        <v/>
      </c>
      <c r="AG89" s="131">
        <f>第九期!DZ33</f>
        <v/>
      </c>
      <c r="AH89" s="131">
        <f>第九期!ED33</f>
        <v/>
      </c>
      <c r="AI89" s="131">
        <f>第九期!EH33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第九期!AJ18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第九期!AF20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第九期!BT84</f>
        <v/>
      </c>
      <c r="BT92" s="546" t="inlineStr">
        <is>
          <t>本期成本</t>
        </is>
      </c>
      <c r="BU92" s="478">
        <f>第九期!BU86</f>
        <v/>
      </c>
      <c r="BV92" s="547" t="inlineStr">
        <is>
          <t>本期利润</t>
        </is>
      </c>
      <c r="BW92" s="548">
        <f>第九期!BT84-第九期!BU86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AC9*比赛参数!D6+第九期!DU26</f>
        <v/>
      </c>
      <c r="Z93" s="37">
        <f>AC10*比赛参数!D6+第九期!DU27</f>
        <v/>
      </c>
      <c r="AA93" s="37">
        <f>AC11*比赛参数!D6+第九期!DU28</f>
        <v/>
      </c>
      <c r="AB93" s="37">
        <f>AC12*比赛参数!D6+第九期!DU29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IF(第九期!$AC$9&gt;0,第九期!$K$9*比赛参数!$D$30*比赛参数!$F$30*$CU$87/第九期!$AC$9,0)</f>
        <v/>
      </c>
      <c r="CR93" s="294">
        <f>IF(第九期!$AC$9&gt;0,第九期!$K$9*比赛参数!$D$30*比赛参数!$F$30*$CU$87/第九期!$AC$9,0)</f>
        <v/>
      </c>
      <c r="CS93" s="294">
        <f>IF(第九期!$AC$9&gt;0,第九期!$K$9*比赛参数!$D$30*比赛参数!$F$30*$CU$87/第九期!$AC$9,0)</f>
        <v/>
      </c>
      <c r="CT93" s="294">
        <f>IF(第九期!$AC$9&gt;0,第九期!$K$9*比赛参数!$D$30*比赛参数!$F$30*$CU$87/第九期!$AC$9,0)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IF(第九期!$AC$10&gt;0,第九期!$K$9*比赛参数!$D$30*比赛参数!$F$30*$CU$88/第九期!$AC$10,0)</f>
        <v/>
      </c>
      <c r="CR94" s="294">
        <f>IF(第九期!$AC$10&gt;0,第九期!$K$9*比赛参数!$D$30*比赛参数!$F$30*$CU$88/第九期!$AC$10,0)</f>
        <v/>
      </c>
      <c r="CS94" s="294">
        <f>IF(第九期!$AC$10&gt;0,第九期!$K$9*比赛参数!$D$30*比赛参数!$F$30*$CU$88/第九期!$AC$10,0)</f>
        <v/>
      </c>
      <c r="CT94" s="294">
        <f>IF(第九期!$AC$10&gt;0,第九期!$K$9*比赛参数!$D$30*比赛参数!$F$30*$CU$88/第九期!$AC$10,0)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IF(第九期!$AC$11&gt;0,第九期!$K$9*比赛参数!$D$30*比赛参数!$F$30*$CU$89/第九期!$AC$11,0)</f>
        <v/>
      </c>
      <c r="CR95" s="294">
        <f>IF(第九期!$AC$11&gt;0,第九期!$K$9*比赛参数!$D$30*比赛参数!$F$30*$CU$89/第九期!$AC$11,0)</f>
        <v/>
      </c>
      <c r="CS95" s="294">
        <f>IF(第九期!$AC$11&gt;0,第九期!$K$9*比赛参数!$D$30*比赛参数!$F$30*$CU$89/第九期!$AC$11,0)</f>
        <v/>
      </c>
      <c r="CT95" s="294">
        <f>IF(第九期!$AC$11&gt;0,第九期!$K$9*比赛参数!$D$30*比赛参数!$F$30*$CU$89/第九期!$AC$11,0)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第九期!CX62</f>
        <v/>
      </c>
      <c r="Z96" s="486">
        <f>第九期!CX63</f>
        <v/>
      </c>
      <c r="AA96" s="486">
        <f>第九期!CX64</f>
        <v/>
      </c>
      <c r="AB96" s="486">
        <f>第九期!CX65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IF(第九期!$AC$12&gt;0,第九期!$K$9*比赛参数!$D$30*比赛参数!$F$30*$CU$90/第九期!$AC$12,0)</f>
        <v/>
      </c>
      <c r="CR96" s="294">
        <f>IF(第九期!$AC$12&gt;0,第九期!$K$9*比赛参数!$D$30*比赛参数!$F$30*$CU$90/第九期!$AC$12,0)</f>
        <v/>
      </c>
      <c r="CS96" s="294">
        <f>IF(第九期!$AC$12&gt;0,第九期!$K$9*比赛参数!$D$30*比赛参数!$F$30*$CU$90/第九期!$AC$12,0)</f>
        <v/>
      </c>
      <c r="CT96" s="294">
        <f>IF(第九期!$AC$12&gt;0,第九期!$K$9*比赛参数!$D$30*比赛参数!$F$30*$CU$90/第九期!$AC$12,0)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第九期!CY62</f>
        <v/>
      </c>
      <c r="Z97" s="486">
        <f>第九期!CY63</f>
        <v/>
      </c>
      <c r="AA97" s="486">
        <f>第九期!CY64</f>
        <v/>
      </c>
      <c r="AB97" s="486">
        <f>第九期!CY65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第九期!CZ62</f>
        <v/>
      </c>
      <c r="Z98" s="486">
        <f>第九期!CZ63</f>
        <v/>
      </c>
      <c r="AA98" s="486">
        <f>第九期!CZ64</f>
        <v/>
      </c>
      <c r="AB98" s="486">
        <f>第九期!CZ65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第九期!DA62</f>
        <v/>
      </c>
      <c r="Z99" s="486">
        <f>第九期!DA63</f>
        <v/>
      </c>
      <c r="AA99" s="486">
        <f>第九期!DA64</f>
        <v/>
      </c>
      <c r="AB99" s="486">
        <f>第九期!DA65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45" stopIfTrue="1" type="cellIs">
      <formula>"人数 YES"</formula>
    </cfRule>
    <cfRule dxfId="1" operator="equal" priority="46" stopIfTrue="1" type="cellIs">
      <formula>"人数 NO"</formula>
    </cfRule>
  </conditionalFormatting>
  <conditionalFormatting sqref="AH13">
    <cfRule dxfId="0" operator="greaterThanOrEqual" priority="38" stopIfTrue="1" type="cellIs">
      <formula>0</formula>
    </cfRule>
    <cfRule dxfId="1" operator="lessThan" priority="39" stopIfTrue="1" type="cellIs">
      <formula>0</formula>
    </cfRule>
  </conditionalFormatting>
  <conditionalFormatting sqref="AC14">
    <cfRule dxfId="0" operator="equal" priority="47" stopIfTrue="1" type="cellIs">
      <formula>"机器 YES"</formula>
    </cfRule>
    <cfRule dxfId="1" operator="equal" priority="48" stopIfTrue="1" type="cellIs">
      <formula>"机器 NO"</formula>
    </cfRule>
  </conditionalFormatting>
  <conditionalFormatting sqref="AH14">
    <cfRule dxfId="2" operator="greaterThan" priority="41" stopIfTrue="1" type="cellIs">
      <formula>$AJ$14</formula>
    </cfRule>
  </conditionalFormatting>
  <conditionalFormatting sqref="K15">
    <cfRule dxfId="3" operator="greaterThan" priority="30" stopIfTrue="1" type="cellIs">
      <formula>0</formula>
    </cfRule>
  </conditionalFormatting>
  <conditionalFormatting sqref="AC15">
    <cfRule dxfId="0" operator="equal" priority="49" stopIfTrue="1" type="cellIs">
      <formula>"材料 YES"</formula>
    </cfRule>
    <cfRule dxfId="1" operator="equal" priority="50" stopIfTrue="1" type="cellIs">
      <formula>"材料 NO"</formula>
    </cfRule>
  </conditionalFormatting>
  <conditionalFormatting sqref="AH15">
    <cfRule dxfId="3" operator="greaterThan" priority="40" stopIfTrue="1" type="cellIs">
      <formula>$AJ$15</formula>
    </cfRule>
  </conditionalFormatting>
  <conditionalFormatting sqref="Y18">
    <cfRule dxfId="3" operator="greaterThan" priority="43" stopIfTrue="1" type="cellIs">
      <formula>$Y$19</formula>
    </cfRule>
  </conditionalFormatting>
  <conditionalFormatting sqref="AA18">
    <cfRule dxfId="3" operator="lessThan" priority="53" stopIfTrue="1" type="cellIs">
      <formula>$AA$19</formula>
    </cfRule>
  </conditionalFormatting>
  <conditionalFormatting sqref="AC18">
    <cfRule dxfId="3" operator="lessThan" priority="44" stopIfTrue="1" type="cellIs">
      <formula>$AC$19</formula>
    </cfRule>
  </conditionalFormatting>
  <conditionalFormatting sqref="AJ18">
    <cfRule dxfId="3" operator="greaterThan" priority="37" stopIfTrue="1" type="cellIs">
      <formula>$AJ$19</formula>
    </cfRule>
  </conditionalFormatting>
  <conditionalFormatting sqref="BW76">
    <cfRule dxfId="4" operator="equal" priority="42" stopIfTrue="1" type="cellIs">
      <formula>"YES"</formula>
    </cfRule>
  </conditionalFormatting>
  <conditionalFormatting sqref="Y92">
    <cfRule dxfId="3" operator="greaterThan" priority="33" stopIfTrue="1" type="cellIs">
      <formula>$Y$93</formula>
    </cfRule>
  </conditionalFormatting>
  <conditionalFormatting sqref="Z92">
    <cfRule dxfId="3" operator="greaterThan" priority="34" stopIfTrue="1" type="cellIs">
      <formula>$Z$93</formula>
    </cfRule>
  </conditionalFormatting>
  <conditionalFormatting sqref="AA92">
    <cfRule dxfId="3" operator="greaterThan" priority="35" stopIfTrue="1" type="cellIs">
      <formula>$AA$93</formula>
    </cfRule>
  </conditionalFormatting>
  <conditionalFormatting sqref="AB92">
    <cfRule dxfId="3" operator="greaterThan" priority="36" stopIfTrue="1" type="cellIs">
      <formula>$AB$93</formula>
    </cfRule>
  </conditionalFormatting>
  <conditionalFormatting sqref="AC92">
    <cfRule dxfId="0" operator="equal" priority="31" stopIfTrue="1" type="cellIs">
      <formula>"YES"</formula>
    </cfRule>
    <cfRule dxfId="1" operator="equal" priority="32" stopIfTrue="1" type="cellIs">
      <formula>"NO"</formula>
    </cfRule>
  </conditionalFormatting>
  <conditionalFormatting sqref="AJ21:AJ23">
    <cfRule dxfId="5" operator="greaterThan" priority="51" stopIfTrue="1" type="cellIs">
      <formula>$AJ$20</formula>
    </cfRule>
  </conditionalFormatting>
  <conditionalFormatting sqref="BE132:BE133">
    <cfRule dxfId="6" priority="26" stopIfTrue="1" type="expression">
      <formula>(第九期!#REF!-$BE$54)&lt;0</formula>
    </cfRule>
  </conditionalFormatting>
  <conditionalFormatting sqref="BF132:BF133">
    <cfRule dxfId="6" priority="27" stopIfTrue="1" type="expression">
      <formula>(第九期!#REF!-$BF$54)&lt;0</formula>
    </cfRule>
  </conditionalFormatting>
  <conditionalFormatting sqref="BG132:BG133">
    <cfRule dxfId="6" priority="28" stopIfTrue="1" type="expression">
      <formula>(第九期!#REF!-$BG$54)&lt;0</formula>
    </cfRule>
  </conditionalFormatting>
  <conditionalFormatting sqref="BH132:BH133">
    <cfRule dxfId="6" priority="29" stopIfTrue="1" type="expression">
      <formula>(第九期!#REF!-$BH$54)&lt;0</formula>
    </cfRule>
  </conditionalFormatting>
  <conditionalFormatting sqref="AJ40:AN43">
    <cfRule dxfId="7" operator="equal" priority="6" stopIfTrue="1" type="cellIs">
      <formula>CJ70+0.0001</formula>
    </cfRule>
  </conditionalFormatting>
  <conditionalFormatting sqref="AS57:BH76">
    <cfRule dxfId="6" priority="10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5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Q16" workbookViewId="0" zoomScale="70" zoomScaleNormal="70">
      <selection activeCell="Y23" sqref="Y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第十期!AF76</f>
        <v/>
      </c>
      <c r="BT7" s="218">
        <f>第十期!AF77</f>
        <v/>
      </c>
      <c r="BU7" s="218">
        <f>第十期!AF78</f>
        <v/>
      </c>
      <c r="BV7" s="218">
        <f>第十期!AF79</f>
        <v/>
      </c>
      <c r="BW7" s="467">
        <f>第十期!$AF$80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第十期!$AG$76</f>
        <v/>
      </c>
      <c r="BT8" s="218">
        <f>第十期!$AG$77</f>
        <v/>
      </c>
      <c r="BU8" s="218">
        <f>第十期!$AG$78</f>
        <v/>
      </c>
      <c r="BV8" s="218">
        <f>第十期!$AG$79</f>
        <v/>
      </c>
      <c r="BW8" s="467">
        <f>第十期!$AG$80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第十期!$AH$76</f>
        <v/>
      </c>
      <c r="BT9" s="218">
        <f>第十期!$AH$77</f>
        <v/>
      </c>
      <c r="BU9" s="218">
        <f>第十期!$AH$78</f>
        <v/>
      </c>
      <c r="BV9" s="218">
        <f>第十期!$AH$79</f>
        <v/>
      </c>
      <c r="BW9" s="467">
        <f>第十期!$AH$80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第十期!$AI$76</f>
        <v/>
      </c>
      <c r="BT10" s="218">
        <f>第十期!$AI$77</f>
        <v/>
      </c>
      <c r="BU10" s="218">
        <f>第十期!$AI$78</f>
        <v/>
      </c>
      <c r="BV10" s="218">
        <f>第十期!$AI$79</f>
        <v/>
      </c>
      <c r="BW10" s="467">
        <f>第十期!$AI$80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第十期!$AJ$76</f>
        <v/>
      </c>
      <c r="BT11" s="467">
        <f>第十期!$AJ$77</f>
        <v/>
      </c>
      <c r="BU11" s="467">
        <f>第十期!$AJ$78</f>
        <v/>
      </c>
      <c r="BV11" s="467">
        <f>第十期!$AJ$79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第十期!BU86</f>
        <v/>
      </c>
      <c r="AG13" s="135" t="inlineStr">
        <is>
          <t>售前现金</t>
        </is>
      </c>
      <c r="AH13" s="473">
        <f>第十期!BV76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第十期!Y88</f>
        <v/>
      </c>
      <c r="BT14" s="218">
        <f>第十期!Y89</f>
        <v/>
      </c>
      <c r="BU14" s="218">
        <f>第十期!Y90</f>
        <v/>
      </c>
      <c r="BV14" s="218">
        <f>第十期!Y91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第十期!K16*0.5-第十期!K14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第十期!Z88</f>
        <v/>
      </c>
      <c r="BT15" s="218">
        <f>第十期!Z89</f>
        <v/>
      </c>
      <c r="BU15" s="218">
        <f>第十期!Z90</f>
        <v/>
      </c>
      <c r="BV15" s="218">
        <f>第十期!Z91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第十期!DM60</f>
        <v/>
      </c>
      <c r="Z16" s="92" t="inlineStr">
        <is>
          <t>生产成本</t>
        </is>
      </c>
      <c r="AA16" s="485">
        <f>AH20+Y16+第十期!K9*比赛参数!D30*比赛参数!F30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第十期!AA88</f>
        <v/>
      </c>
      <c r="BT16" s="218">
        <f>第十期!AA89</f>
        <v/>
      </c>
      <c r="BU16" s="218">
        <f>第十期!AA90</f>
        <v/>
      </c>
      <c r="BV16" s="218">
        <f>第十期!AA91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第十期!AB88</f>
        <v/>
      </c>
      <c r="BT17" s="218">
        <f>第十期!AB89</f>
        <v/>
      </c>
      <c r="BU17" s="218">
        <f>第十期!AB90</f>
        <v/>
      </c>
      <c r="BV17" s="218">
        <f>第十期!AB91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第十期!K8*比赛参数!D57</f>
        <v/>
      </c>
      <c r="Z19" s="104" t="inlineStr">
        <is>
          <t>Min</t>
        </is>
      </c>
      <c r="AA19" s="134">
        <f>第十期!K8*比赛参数!D60</f>
        <v/>
      </c>
      <c r="AB19" s="104" t="inlineStr">
        <is>
          <t>Min</t>
        </is>
      </c>
      <c r="AC19" s="495">
        <f>IF((AC21-第十期!K10)/比赛参数!D41&gt;0,(AC21-第十期!K10)/比赛参数!D41,0)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IF((第十期!BW92-第十期!BS87)&gt;0,第十期!BW92-第十期!BS87,0)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第十期!$CX$68</f>
        <v/>
      </c>
      <c r="CD19" s="497">
        <f>第十期!$CX$69</f>
        <v/>
      </c>
      <c r="CE19" s="497">
        <f>第十期!$CX$70</f>
        <v/>
      </c>
      <c r="CF19" s="497">
        <f>第十期!$CX$71</f>
        <v/>
      </c>
      <c r="CG19" s="396" t="n"/>
      <c r="CH19" s="498" t="n"/>
      <c r="CI19" s="499" t="inlineStr">
        <is>
          <t>市场1</t>
        </is>
      </c>
      <c r="CJ19" s="497">
        <f>第十期!$CX$50</f>
        <v/>
      </c>
      <c r="CK19" s="497">
        <f>第十期!$CX$51</f>
        <v/>
      </c>
      <c r="CL19" s="497">
        <f>第十期!$CX$52</f>
        <v/>
      </c>
      <c r="CM19" s="497">
        <f>第十期!$CX$53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第十期!K8+第十期!Y18*比赛参数!D59-第十期!AA18</f>
        <v/>
      </c>
      <c r="Z20" s="148" t="inlineStr">
        <is>
          <t>现有机器数</t>
        </is>
      </c>
      <c r="AA20" s="272">
        <f>第十期!K9</f>
        <v/>
      </c>
      <c r="AB20" s="148" t="inlineStr">
        <is>
          <t>可用原材料</t>
        </is>
      </c>
      <c r="AC20" s="484">
        <f>AC18*比赛参数!D41+第十期!K10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第十期!BS62+第十期!BS71</f>
        <v/>
      </c>
      <c r="AI20" s="73" t="inlineStr">
        <is>
          <t>期末现金</t>
        </is>
      </c>
      <c r="AJ20" s="484">
        <f>第十期!BV90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第十期!Y9</f>
        <v/>
      </c>
      <c r="BT20" s="218">
        <f>第十期!Z9</f>
        <v/>
      </c>
      <c r="BU20" s="218">
        <f>第十期!AA9</f>
        <v/>
      </c>
      <c r="BV20" s="218">
        <f>第十期!AB9</f>
        <v/>
      </c>
      <c r="BW20" s="467">
        <f>第十期!AJ34</f>
        <v/>
      </c>
      <c r="BX20" s="215" t="n"/>
      <c r="CA20" s="213" t="n"/>
      <c r="CB20" s="196" t="inlineStr">
        <is>
          <t>市场2</t>
        </is>
      </c>
      <c r="CC20" s="497">
        <f>第十期!$CY$68</f>
        <v/>
      </c>
      <c r="CD20" s="497">
        <f>第十期!$CY$69</f>
        <v/>
      </c>
      <c r="CE20" s="497">
        <f>第十期!$CY$70</f>
        <v/>
      </c>
      <c r="CF20" s="497">
        <f>第十期!$CY$71</f>
        <v/>
      </c>
      <c r="CG20" s="396" t="n"/>
      <c r="CH20" s="498" t="n"/>
      <c r="CI20" s="502" t="inlineStr">
        <is>
          <t>市场2</t>
        </is>
      </c>
      <c r="CJ20" s="497">
        <f>第十期!$CY$50</f>
        <v/>
      </c>
      <c r="CK20" s="497">
        <f>第十期!$CY$51</f>
        <v/>
      </c>
      <c r="CL20" s="497">
        <f>第十期!$CY$52</f>
        <v/>
      </c>
      <c r="CM20" s="497">
        <f>第十期!$CY$53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第十期!Y10</f>
        <v/>
      </c>
      <c r="BT21" s="218">
        <f>第十期!Z10</f>
        <v/>
      </c>
      <c r="BU21" s="218">
        <f>第十期!AA10</f>
        <v/>
      </c>
      <c r="BV21" s="218">
        <f>第十期!AB10</f>
        <v/>
      </c>
      <c r="BW21" s="467">
        <f>第十期!AJ35</f>
        <v/>
      </c>
      <c r="BX21" s="215" t="n"/>
      <c r="CA21" s="213" t="n"/>
      <c r="CB21" s="196" t="inlineStr">
        <is>
          <t>市场3</t>
        </is>
      </c>
      <c r="CC21" s="497">
        <f>第十期!$CZ$68</f>
        <v/>
      </c>
      <c r="CD21" s="497">
        <f>第十期!$CZ$69</f>
        <v/>
      </c>
      <c r="CE21" s="497">
        <f>第十期!$CZ$70</f>
        <v/>
      </c>
      <c r="CF21" s="497">
        <f>第十期!$CZ$71</f>
        <v/>
      </c>
      <c r="CG21" s="396" t="n"/>
      <c r="CH21" s="498" t="n"/>
      <c r="CI21" s="502" t="inlineStr">
        <is>
          <t>市场3</t>
        </is>
      </c>
      <c r="CJ21" s="497">
        <f>第十期!$CZ$50</f>
        <v/>
      </c>
      <c r="CK21" s="497">
        <f>第十期!$CZ$51</f>
        <v/>
      </c>
      <c r="CL21" s="497">
        <f>第十期!$CZ$52</f>
        <v/>
      </c>
      <c r="CM21" s="497">
        <f>第十期!$CZ$53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第十期!Y11</f>
        <v/>
      </c>
      <c r="BT22" s="218">
        <f>第十期!Z11</f>
        <v/>
      </c>
      <c r="BU22" s="218">
        <f>第十期!AA11</f>
        <v/>
      </c>
      <c r="BV22" s="218">
        <f>第十期!AB11</f>
        <v/>
      </c>
      <c r="BW22" s="467">
        <f>第十期!AJ36</f>
        <v/>
      </c>
      <c r="BX22" s="215" t="n"/>
      <c r="CA22" s="213" t="n"/>
      <c r="CB22" s="196" t="inlineStr">
        <is>
          <t>市场4</t>
        </is>
      </c>
      <c r="CC22" s="497">
        <f>第十期!$DA$68</f>
        <v/>
      </c>
      <c r="CD22" s="497">
        <f>第十期!$DA$69</f>
        <v/>
      </c>
      <c r="CE22" s="497">
        <f>第十期!$DA$70</f>
        <v/>
      </c>
      <c r="CF22" s="497">
        <f>第十期!$DA$71</f>
        <v/>
      </c>
      <c r="CG22" s="396" t="n"/>
      <c r="CH22" s="498" t="n"/>
      <c r="CI22" s="502" t="inlineStr">
        <is>
          <t>市场4</t>
        </is>
      </c>
      <c r="CJ22" s="497">
        <f>第十期!$DA$50</f>
        <v/>
      </c>
      <c r="CK22" s="497">
        <f>第十期!$DA$51</f>
        <v/>
      </c>
      <c r="CL22" s="497">
        <f>第十期!$DA$52</f>
        <v/>
      </c>
      <c r="CM22" s="497">
        <f>第十期!$DA$53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第十期!Y12</f>
        <v/>
      </c>
      <c r="BT23" s="218">
        <f>第十期!Z12</f>
        <v/>
      </c>
      <c r="BU23" s="218">
        <f>第十期!AA12</f>
        <v/>
      </c>
      <c r="BV23" s="218">
        <f>第十期!AB12</f>
        <v/>
      </c>
      <c r="BW23" s="467">
        <f>第十期!AJ37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第十期!BV57-第十期!BV76</f>
        <v/>
      </c>
      <c r="AJ26" s="294">
        <f>第十期!K9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第十期!Y18</f>
        <v/>
      </c>
      <c r="BT26" s="218">
        <f>第十期!AA18</f>
        <v/>
      </c>
      <c r="BU26" s="218">
        <f>第十期!AF18</f>
        <v/>
      </c>
      <c r="BV26" s="511">
        <f>第十期!AC18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第十期!DB53</f>
        <v/>
      </c>
      <c r="BQ29" s="507" t="n"/>
      <c r="BS29" s="511">
        <f>第十期!AH14</f>
        <v/>
      </c>
      <c r="BT29" s="511">
        <f>第十期!AH15</f>
        <v/>
      </c>
      <c r="BU29" s="218">
        <f>第十期!AF20</f>
        <v/>
      </c>
      <c r="BV29" s="511">
        <f>第十期!AJ18</f>
        <v/>
      </c>
      <c r="BW29" s="218">
        <f>第十期!AH18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第十期!DG56*第十期!DG50+第十期!DG64*第十期!Y88</f>
        <v/>
      </c>
      <c r="CD38" s="272">
        <f>第十期!DH56*第十期!DH50+第十期!DH64*第十期!Z88</f>
        <v/>
      </c>
      <c r="CE38" s="272">
        <f>第十期!DI56*第十期!DI50+第十期!DI64*第十期!AA88</f>
        <v/>
      </c>
      <c r="CF38" s="272">
        <f>第十期!DJ56*第十期!DJ50+第十期!DJ64*第十期!AB88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第十期!DG57*第十期!DG51+第十期!DG65*第十期!Y89</f>
        <v/>
      </c>
      <c r="CD39" s="272">
        <f>第十期!DH57*第十期!DH51+第十期!DH65*第十期!Z89</f>
        <v/>
      </c>
      <c r="CE39" s="272">
        <f>第十期!DI57*第十期!DI51+第十期!DI65*第十期!AA89</f>
        <v/>
      </c>
      <c r="CF39" s="272">
        <f>第十期!DJ57*第十期!DJ51+第十期!DJ65*第十期!AB89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第十期!DG58*第十期!DG52+第十期!DG66*第十期!Y90</f>
        <v/>
      </c>
      <c r="CD40" s="272">
        <f>第十期!DH58*第十期!DH52+第十期!DH66*第十期!Z90</f>
        <v/>
      </c>
      <c r="CE40" s="272">
        <f>第十期!DI58*第十期!DI52+第十期!DI66*第十期!AA90</f>
        <v/>
      </c>
      <c r="CF40" s="272">
        <f>第十期!DJ58*第十期!DJ52+第十期!DJ66*第十期!AB90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第十期!DG59*第十期!DG53+第十期!DG67*第十期!Y91</f>
        <v/>
      </c>
      <c r="CD41" s="272">
        <f>第十期!DH59*第十期!DH53+第十期!DH67*第十期!Z91</f>
        <v/>
      </c>
      <c r="CE41" s="272">
        <f>第十期!DI59*第十期!DI53+第十期!DI67*第十期!AA91</f>
        <v/>
      </c>
      <c r="CF41" s="272">
        <f>第十期!DJ59*第十期!DJ53+第十期!DJ67*第十期!AB91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第十期!Y9*第十期!CQ62*比赛参数!D65</f>
        <v/>
      </c>
      <c r="CR50" s="294">
        <f>第十期!Z9*第十期!CR62*比赛参数!E65</f>
        <v/>
      </c>
      <c r="CS50" s="294">
        <f>第十期!AA9*第十期!CS62*比赛参数!F65</f>
        <v/>
      </c>
      <c r="CT50" s="294">
        <f>第十期!AB9*第十期!CT62*比赛参数!G65</f>
        <v/>
      </c>
      <c r="CU50" s="294">
        <f>IF(第十期!AC9&gt;0,SUM(CQ50:CT50)/第十期!AC9,0)</f>
        <v/>
      </c>
      <c r="CW50" s="11" t="inlineStr">
        <is>
          <t>A产品</t>
        </is>
      </c>
      <c r="CX50" s="525">
        <f>IF(第十期!$CU$50*第十期!CQ93&gt;0,第十期!$CU$50+第十期!CQ68+第十期!CQ93+第十期!CQ74,0)</f>
        <v/>
      </c>
      <c r="CY50" s="525">
        <f>IF(第十期!$CU$50*第十期!CR93&gt;0,第十期!$CU$50+第十期!CR68+第十期!CR93+第十期!CR74,0)</f>
        <v/>
      </c>
      <c r="CZ50" s="525">
        <f>IF(第十期!$CU$50*第十期!CS93&gt;0,第十期!$CU$50+第十期!CS68+第十期!CS93+第十期!CS74,0)</f>
        <v/>
      </c>
      <c r="DA50" s="525">
        <f>IF(第十期!$CU$50*第十期!CT93&gt;0,第十期!$CU$50+第十期!CT68+第十期!CT93+第十期!CT74,0)</f>
        <v/>
      </c>
      <c r="DB50" s="525">
        <f>AVERAGE(CX50:DA50)</f>
        <v/>
      </c>
      <c r="DF50" s="294" t="inlineStr">
        <is>
          <t>市场1</t>
        </is>
      </c>
      <c r="DG50" s="247">
        <f>IF(第十期!Y88&gt;0,1,0)</f>
        <v/>
      </c>
      <c r="DH50" s="247">
        <f>IF(第十期!Z88&gt;0,1,0)</f>
        <v/>
      </c>
      <c r="DI50" s="247">
        <f>IF(第十期!AA88&gt;0,1,0)</f>
        <v/>
      </c>
      <c r="DJ50" s="247">
        <f>IF(第十期!AB88&gt;0,1,0)</f>
        <v/>
      </c>
      <c r="DL50" s="247" t="inlineStr">
        <is>
          <t>产品A</t>
        </is>
      </c>
      <c r="DM50" s="248">
        <f>IF(第十期!Y9+第十期!Z9&gt;0,1,0)</f>
        <v/>
      </c>
      <c r="DN50" s="248">
        <f>IF(第十期!AA9+第十期!AB9&gt;0,1,0)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第十期!Y10*第十期!CQ63*比赛参数!D65</f>
        <v/>
      </c>
      <c r="CR51" s="294">
        <f>第十期!Z10*第十期!CR63*比赛参数!E65</f>
        <v/>
      </c>
      <c r="CS51" s="294">
        <f>第十期!AA10*第十期!CS63*比赛参数!F65</f>
        <v/>
      </c>
      <c r="CT51" s="294">
        <f>第十期!AB10*第十期!CT63*比赛参数!G65</f>
        <v/>
      </c>
      <c r="CU51" s="294">
        <f>IF(第十期!AC10&gt;0,SUM(CQ51:CT51)/第十期!AC10,0)</f>
        <v/>
      </c>
      <c r="CW51" s="11" t="inlineStr">
        <is>
          <t>B产品</t>
        </is>
      </c>
      <c r="CX51" s="525">
        <f>IF(第十期!$CU$51*第十期!CQ94&gt;0,第十期!$CU$51+第十期!CQ69+第十期!CQ94+第十期!CQ75,0)</f>
        <v/>
      </c>
      <c r="CY51" s="525">
        <f>IF(第十期!$CU$51*第十期!CR94&gt;0,第十期!$CU$51+第十期!CR69+第十期!CR94+第十期!CR75,0)</f>
        <v/>
      </c>
      <c r="CZ51" s="525">
        <f>IF(第十期!$CU$51*第十期!CS94&gt;0,第十期!$CU$51+第十期!CS69+第十期!CS94+第十期!CS75,0)</f>
        <v/>
      </c>
      <c r="DA51" s="525">
        <f>IF(第十期!$CU$51*第十期!CT94&gt;0,第十期!$CU$51+第十期!CT69+第十期!CT94+第十期!CT75,0)</f>
        <v/>
      </c>
      <c r="DB51" s="525">
        <f>AVERAGE(CX51:DA51)</f>
        <v/>
      </c>
      <c r="DF51" s="294" t="inlineStr">
        <is>
          <t>市场2</t>
        </is>
      </c>
      <c r="DG51" s="247">
        <f>IF(第十期!Y89&gt;0,1,0)</f>
        <v/>
      </c>
      <c r="DH51" s="247">
        <f>IF(第十期!Z89&gt;0,1,0)</f>
        <v/>
      </c>
      <c r="DI51" s="247">
        <f>IF(第十期!AA89&gt;0,1,0)</f>
        <v/>
      </c>
      <c r="DJ51" s="247">
        <f>IF(第十期!AB89&gt;0,1,0)</f>
        <v/>
      </c>
      <c r="DL51" s="247" t="inlineStr">
        <is>
          <t>产品B</t>
        </is>
      </c>
      <c r="DM51" s="248">
        <f>IF(第十期!Y10+第十期!Z10&gt;0,1,0)</f>
        <v/>
      </c>
      <c r="DN51" s="248">
        <f>IF(第十期!AA10+第十期!AB10&gt;0,1,0)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第十期!Y11*第十期!CQ64*比赛参数!D65</f>
        <v/>
      </c>
      <c r="CR52" s="294">
        <f>第十期!Z11*第十期!CR64*比赛参数!E65</f>
        <v/>
      </c>
      <c r="CS52" s="294">
        <f>第十期!AA11*第十期!CS64*比赛参数!F65</f>
        <v/>
      </c>
      <c r="CT52" s="294">
        <f>第十期!AB11*第十期!CT64*比赛参数!G65</f>
        <v/>
      </c>
      <c r="CU52" s="294">
        <f>IF(第十期!AC11&gt;0,SUM(CQ52:CT52)/第十期!AC11,0)</f>
        <v/>
      </c>
      <c r="CW52" s="11" t="inlineStr">
        <is>
          <t>C产品</t>
        </is>
      </c>
      <c r="CX52" s="525">
        <f>IF(第十期!$CU$52*第十期!CQ95&gt;0,第十期!$CU$52+第十期!CQ70+第十期!CQ95+第十期!CQ76,0)</f>
        <v/>
      </c>
      <c r="CY52" s="525">
        <f>IF(第十期!$CU$52*第十期!CR95&gt;0,第十期!$CU$52+第十期!CR70+第十期!CR95+第十期!CR76,0)</f>
        <v/>
      </c>
      <c r="CZ52" s="525">
        <f>IF(第十期!$CU$52*第十期!CS95&gt;0,第十期!$CU$52+第十期!CS70+第十期!CS95+第十期!CS76,0)</f>
        <v/>
      </c>
      <c r="DA52" s="525">
        <f>IF(第十期!$CU$52*第十期!CT95&gt;0,第十期!$CU$52+第十期!CT70+第十期!CT95+第十期!CT76,0)</f>
        <v/>
      </c>
      <c r="DB52" s="525">
        <f>AVERAGE(CX52:DA52)</f>
        <v/>
      </c>
      <c r="DF52" s="294" t="inlineStr">
        <is>
          <t>市场3</t>
        </is>
      </c>
      <c r="DG52" s="247">
        <f>IF(第十期!Y90&gt;0,1,0)</f>
        <v/>
      </c>
      <c r="DH52" s="247">
        <f>IF(第十期!Z90&gt;0,1,0)</f>
        <v/>
      </c>
      <c r="DI52" s="247">
        <f>IF(第十期!AA90&gt;0,1,0)</f>
        <v/>
      </c>
      <c r="DJ52" s="247">
        <f>IF(第十期!AB90&gt;0,1,0)</f>
        <v/>
      </c>
      <c r="DL52" s="247" t="inlineStr">
        <is>
          <t>产品C</t>
        </is>
      </c>
      <c r="DM52" s="248">
        <f>IF(第十期!Y11+第十期!Z11&gt;0,1,0)</f>
        <v/>
      </c>
      <c r="DN52" s="248">
        <f>IF(第十期!AA11+第十期!AB11&gt;0,1,0)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第十期!Y12*第十期!CQ65*比赛参数!D65</f>
        <v/>
      </c>
      <c r="CR53" s="294">
        <f>第十期!Z12*第十期!CR65*比赛参数!E65</f>
        <v/>
      </c>
      <c r="CS53" s="294">
        <f>第十期!AA12*第十期!CS65*比赛参数!F65</f>
        <v/>
      </c>
      <c r="CT53" s="294">
        <f>第十期!AB12*第十期!CT65*比赛参数!G65</f>
        <v/>
      </c>
      <c r="CU53" s="294">
        <f>IF(第十期!AC12&gt;0,SUM(CQ53:CT53)/第十期!AC12,0)</f>
        <v/>
      </c>
      <c r="CW53" s="11" t="inlineStr">
        <is>
          <t>D产品</t>
        </is>
      </c>
      <c r="CX53" s="525">
        <f>IF(第十期!$CU$53*第十期!CQ96&gt;0,第十期!$CU$53+第十期!CQ71+第十期!CQ96+第十期!CQ77,0)</f>
        <v/>
      </c>
      <c r="CY53" s="525">
        <f>IF(第十期!$CU$53*第十期!CR96&gt;0,第十期!$CU$53+第十期!CR71+第十期!CR96+第十期!CR77,0)</f>
        <v/>
      </c>
      <c r="CZ53" s="525">
        <f>IF(第十期!$CU$53*第十期!CS96&gt;0,第十期!$CU$53+第十期!CS71+第十期!CS96+第十期!CS77,0)</f>
        <v/>
      </c>
      <c r="DA53" s="525">
        <f>IF(第十期!$CU$53*第十期!CT96&gt;0,第十期!$CU$53+第十期!CT71+第十期!CT96+第十期!CT77,0)</f>
        <v/>
      </c>
      <c r="DB53" s="525">
        <f>AVERAGE(CX53:DA53)</f>
        <v/>
      </c>
      <c r="DF53" s="294" t="inlineStr">
        <is>
          <t>市场4</t>
        </is>
      </c>
      <c r="DG53" s="247">
        <f>IF(第十期!Y91&gt;0,1,0)</f>
        <v/>
      </c>
      <c r="DH53" s="247">
        <f>IF(第十期!Z91&gt;0,1,0)</f>
        <v/>
      </c>
      <c r="DI53" s="247">
        <f>IF(第十期!AA91&gt;0,1,0)</f>
        <v/>
      </c>
      <c r="DJ53" s="247">
        <f>IF(第十期!AB91&gt;0,1,0)</f>
        <v/>
      </c>
      <c r="DL53" s="247" t="inlineStr">
        <is>
          <t>产品D</t>
        </is>
      </c>
      <c r="DM53" s="248">
        <f>IF(第十期!Y12+第十期!Z12&gt;0,1,0)</f>
        <v/>
      </c>
      <c r="DN53" s="248">
        <f>IF(第十期!AA12+第十期!AB12&gt;0,1,0)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第十期!DU26</f>
        <v/>
      </c>
      <c r="CD56" s="272">
        <f>第十期!DU27</f>
        <v/>
      </c>
      <c r="CE56" s="272">
        <f>第十期!DU28</f>
        <v/>
      </c>
      <c r="CF56" s="272">
        <f>第十期!DU29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第十期!BS7-第十期!CX50</f>
        <v/>
      </c>
      <c r="CY56" s="525">
        <f>第十期!BT7-第十期!CY50</f>
        <v/>
      </c>
      <c r="CZ56" s="525">
        <f>第十期!BU7-第十期!CZ50</f>
        <v/>
      </c>
      <c r="DA56" s="525">
        <f>第十期!BV7-第十期!DA50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第十期!DX6</f>
        <v/>
      </c>
      <c r="Z57" s="272">
        <f>第十期!DX10</f>
        <v/>
      </c>
      <c r="AA57" s="272">
        <f>第十期!DX14</f>
        <v/>
      </c>
      <c r="AB57" s="272">
        <f>第十期!DX18</f>
        <v/>
      </c>
      <c r="AC57" s="234" t="n"/>
      <c r="AE57" s="64" t="inlineStr">
        <is>
          <t>市场1</t>
        </is>
      </c>
      <c r="AF57" s="272">
        <f>第十期!DW6</f>
        <v/>
      </c>
      <c r="AG57" s="272">
        <f>第十期!DW10</f>
        <v/>
      </c>
      <c r="AH57" s="272">
        <f>第十期!DW14</f>
        <v/>
      </c>
      <c r="AI57" s="272">
        <f>第十期!DW18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第十期!BS8-第十期!CX51</f>
        <v/>
      </c>
      <c r="CY57" s="525">
        <f>第十期!BT8-第十期!CY51</f>
        <v/>
      </c>
      <c r="CZ57" s="525">
        <f>第十期!BU8-第十期!CZ51</f>
        <v/>
      </c>
      <c r="DA57" s="525">
        <f>第十期!BV8-第十期!DA51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第十期!DX7</f>
        <v/>
      </c>
      <c r="Z58" s="272">
        <f>第十期!DX11</f>
        <v/>
      </c>
      <c r="AA58" s="272">
        <f>第十期!DX15</f>
        <v/>
      </c>
      <c r="AB58" s="272">
        <f>第十期!DX19</f>
        <v/>
      </c>
      <c r="AC58" s="234" t="n"/>
      <c r="AE58" s="11" t="inlineStr">
        <is>
          <t>市场2</t>
        </is>
      </c>
      <c r="AF58" s="272">
        <f>第十期!DW7</f>
        <v/>
      </c>
      <c r="AG58" s="272">
        <f>第十期!DW11</f>
        <v/>
      </c>
      <c r="AH58" s="272">
        <f>第十期!DW15</f>
        <v/>
      </c>
      <c r="AI58" s="272">
        <f>第十期!DW19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第十期!H5+第十期!H4*比赛参数!F71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第十期!BS9-第十期!CX52</f>
        <v/>
      </c>
      <c r="CY58" s="525">
        <f>第十期!BT9-第十期!CY52</f>
        <v/>
      </c>
      <c r="CZ58" s="525">
        <f>第十期!BU9-第十期!CZ52</f>
        <v/>
      </c>
      <c r="DA58" s="525">
        <f>第十期!BV9-第十期!DA52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第十期!DX8</f>
        <v/>
      </c>
      <c r="Z59" s="272">
        <f>第十期!DX12</f>
        <v/>
      </c>
      <c r="AA59" s="272">
        <f>第十期!DX16</f>
        <v/>
      </c>
      <c r="AB59" s="272">
        <f>第十期!DX20</f>
        <v/>
      </c>
      <c r="AC59" s="235" t="n"/>
      <c r="AE59" s="11" t="inlineStr">
        <is>
          <t>市场3</t>
        </is>
      </c>
      <c r="AF59" s="272">
        <f>第十期!DW8</f>
        <v/>
      </c>
      <c r="AG59" s="272">
        <f>第十期!DW12</f>
        <v/>
      </c>
      <c r="AH59" s="272">
        <f>第十期!DW16</f>
        <v/>
      </c>
      <c r="AI59" s="272">
        <f>第十期!DW20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第十期!BS10-第十期!CX53</f>
        <v/>
      </c>
      <c r="CY59" s="525">
        <f>第十期!BT10-第十期!CY53</f>
        <v/>
      </c>
      <c r="CZ59" s="525">
        <f>第十期!BU10-第十期!CZ53</f>
        <v/>
      </c>
      <c r="DA59" s="525">
        <f>第十期!BV10-第十期!DA53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第十期!DX9</f>
        <v/>
      </c>
      <c r="Z60" s="272">
        <f>第十期!DX13</f>
        <v/>
      </c>
      <c r="AA60" s="272">
        <f>第十期!DX17</f>
        <v/>
      </c>
      <c r="AB60" s="272">
        <f>第十期!DX21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第十期!DW9</f>
        <v/>
      </c>
      <c r="AG60" s="272">
        <f>第十期!DW13</f>
        <v/>
      </c>
      <c r="AH60" s="272">
        <f>第十期!DW17</f>
        <v/>
      </c>
      <c r="AI60" s="272">
        <f>第十期!DW21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((第十期!K8-第十期!AA18)*比赛参数!D65+第十期!Y18*比赛参数!D59*比赛参数!D65)*第十期!AH18*520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CX56/第十期!CQ56</f>
        <v/>
      </c>
      <c r="CY62" s="525">
        <f>CY56/第十期!CR56</f>
        <v/>
      </c>
      <c r="CZ62" s="525">
        <f>CZ56/第十期!CS56</f>
        <v/>
      </c>
      <c r="DA62" s="525">
        <f>DA56/第十期!CT56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CX57/第十期!CQ57</f>
        <v/>
      </c>
      <c r="CY63" s="525">
        <f>CY57/第十期!CR57</f>
        <v/>
      </c>
      <c r="CZ63" s="525">
        <f>CZ57/第十期!CS57</f>
        <v/>
      </c>
      <c r="DA63" s="525">
        <f>DA57/第十期!CT57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CX58/第十期!CQ58</f>
        <v/>
      </c>
      <c r="CY64" s="525">
        <f>CY58/第十期!CR58</f>
        <v/>
      </c>
      <c r="CZ64" s="525">
        <f>CZ58/第十期!CS58</f>
        <v/>
      </c>
      <c r="DA64" s="525">
        <f>DA58/第十期!CT58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0.5*第十期!AL37+0.5*第十期!DV23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CX59/第十期!CQ59</f>
        <v/>
      </c>
      <c r="CY65" s="525">
        <f>CY59/第十期!CR59</f>
        <v/>
      </c>
      <c r="CZ65" s="525">
        <f>CZ59/第十期!CS59</f>
        <v/>
      </c>
      <c r="DA65" s="525">
        <f>DA59/第十期!CT59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期!AC18&gt;=比赛参数!D33,(1-比赛参数!E33)*第十期!AC18,0)+IF(AND(第十期!AC18&gt;=比赛参数!D34,第十期!AC18&lt;比赛参数!D33),(1-比赛参数!E34)*第十期!AC18,0)+IF(AND(第十期!AC18&gt;=比赛参数!D35,第十期!AC18&lt;比赛参数!D34),(1-比赛参数!E35)*第十期!AC18,0)+IF(AND(第十期!AC18&gt;=比赛参数!D36,第十期!AC18&lt;比赛参数!D35),(1-比赛参数!E36)*第十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第十期!DV6</f>
        <v/>
      </c>
      <c r="AG70" s="131">
        <f>第十期!DV10</f>
        <v/>
      </c>
      <c r="AH70" s="131">
        <f>第十期!DV14</f>
        <v/>
      </c>
      <c r="AI70" s="131">
        <f>第十期!DV18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IF(第十期!AC18&gt;0,第十期!AC18*比赛参数!E40+比赛参数!E39,0)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第十期!DV7</f>
        <v/>
      </c>
      <c r="AG71" s="131">
        <f>第十期!DV11</f>
        <v/>
      </c>
      <c r="AH71" s="131">
        <f>第十期!DV15</f>
        <v/>
      </c>
      <c r="AI71" s="131">
        <f>第十期!DV19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(第十期!Z13*比赛参数!E65*260+第十期!AA13*(比赛参数!F65-比赛参数!D65)*520+第十期!AB13*比赛参数!G65*260)*第十期!AH18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第十期!DV8</f>
        <v/>
      </c>
      <c r="AG72" s="131">
        <f>第十期!DV12</f>
        <v/>
      </c>
      <c r="AH72" s="131">
        <f>第十期!DV16</f>
        <v/>
      </c>
      <c r="AI72" s="131">
        <f>第十期!DV20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第十期!DV9</f>
        <v/>
      </c>
      <c r="AG73" s="131">
        <f>第十期!DV13</f>
        <v/>
      </c>
      <c r="AH73" s="131">
        <f>第十期!DV17</f>
        <v/>
      </c>
      <c r="AI73" s="131">
        <f>第十期!DV21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第十期!Y9*第十期!CQ56</f>
        <v/>
      </c>
      <c r="CR80" s="294">
        <f>第十期!Z9*第十期!CR56</f>
        <v/>
      </c>
      <c r="CS80" s="294">
        <f>第十期!AA9*第十期!CS56</f>
        <v/>
      </c>
      <c r="CT80" s="294">
        <f>第十期!AB9*第十期!CT56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(第十期!K10+(第十期!AC18+第十期!K10-第十期!AC21))/2*比赛参数!D16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第十期!Y10*第十期!CQ57</f>
        <v/>
      </c>
      <c r="CR81" s="294">
        <f>第十期!Z10*第十期!CR57</f>
        <v/>
      </c>
      <c r="CS81" s="294">
        <f>第十期!AA10*第十期!CS57</f>
        <v/>
      </c>
      <c r="CT81" s="294">
        <f>第十期!AB10*第十期!CT57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第十期!Y11*第十期!CQ58</f>
        <v/>
      </c>
      <c r="CR82" s="294">
        <f>第十期!Z11*第十期!CR58</f>
        <v/>
      </c>
      <c r="CS82" s="294">
        <f>第十期!AA11*第十期!CS58</f>
        <v/>
      </c>
      <c r="CT82" s="294">
        <f>第十期!AB11*第十期!CT58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第十期!Y12*第十期!CQ59</f>
        <v/>
      </c>
      <c r="CR83" s="294">
        <f>第十期!Z12*第十期!CR59</f>
        <v/>
      </c>
      <c r="CS83" s="294">
        <f>第十期!AA12*第十期!CS59</f>
        <v/>
      </c>
      <c r="CT83" s="294">
        <f>第十期!AB12*第十期!CT59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第十期!DS33</f>
        <v/>
      </c>
      <c r="AG86" s="131">
        <f>第十期!DW33</f>
        <v/>
      </c>
      <c r="AH86" s="131">
        <f>第十期!EA33</f>
        <v/>
      </c>
      <c r="AI86" s="131">
        <f>第十期!EE33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第十期!DT33</f>
        <v/>
      </c>
      <c r="AG87" s="131">
        <f>第十期!DX33</f>
        <v/>
      </c>
      <c r="AH87" s="131">
        <f>第十期!EB33</f>
        <v/>
      </c>
      <c r="AI87" s="131">
        <f>第十期!EF33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IF(第十期!BW92&gt;0,IF((第十期!K15+第十期!BW92*比赛参数!D72)&gt;0,第十期!K15+第十期!BW92*比赛参数!D72,0))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第十期!DU33</f>
        <v/>
      </c>
      <c r="AG88" s="131">
        <f>第十期!DY33</f>
        <v/>
      </c>
      <c r="AH88" s="131">
        <f>第十期!EC33</f>
        <v/>
      </c>
      <c r="AI88" s="131">
        <f>第十期!EG33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第十期!DV33</f>
        <v/>
      </c>
      <c r="AG89" s="131">
        <f>第十期!DZ33</f>
        <v/>
      </c>
      <c r="AH89" s="131">
        <f>第十期!ED33</f>
        <v/>
      </c>
      <c r="AI89" s="131">
        <f>第十期!EH33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第十期!BT84</f>
        <v/>
      </c>
      <c r="BT92" s="546" t="inlineStr">
        <is>
          <t>本期成本</t>
        </is>
      </c>
      <c r="BU92" s="478">
        <f>第十期!BU86</f>
        <v/>
      </c>
      <c r="BV92" s="547" t="inlineStr">
        <is>
          <t>本期利润</t>
        </is>
      </c>
      <c r="BW92" s="548">
        <f>第十期!BT84-第十期!BU86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AC9*比赛参数!D6+第十期!DU26</f>
        <v/>
      </c>
      <c r="Z93" s="37">
        <f>AC10*比赛参数!D6+第十期!DU27</f>
        <v/>
      </c>
      <c r="AA93" s="37">
        <f>AC11*比赛参数!D6+第十期!DU28</f>
        <v/>
      </c>
      <c r="AB93" s="37">
        <f>AC12*比赛参数!D6+第十期!DU29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IF(第十期!$AC$9&gt;0,第十期!$K$9*比赛参数!$D$30*比赛参数!$F$30*$CU$87/第十期!$AC$9,0)</f>
        <v/>
      </c>
      <c r="CR93" s="294">
        <f>IF(第十期!$AC$9&gt;0,第十期!$K$9*比赛参数!$D$30*比赛参数!$F$30*$CU$87/第十期!$AC$9,0)</f>
        <v/>
      </c>
      <c r="CS93" s="294">
        <f>IF(第十期!$AC$9&gt;0,第十期!$K$9*比赛参数!$D$30*比赛参数!$F$30*$CU$87/第十期!$AC$9,0)</f>
        <v/>
      </c>
      <c r="CT93" s="294">
        <f>IF(第十期!$AC$9&gt;0,第十期!$K$9*比赛参数!$D$30*比赛参数!$F$30*$CU$87/第十期!$AC$9,0)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IF(第十期!$AC$10&gt;0,第十期!$K$9*比赛参数!$D$30*比赛参数!$F$30*$CU$88/第十期!$AC$10,0)</f>
        <v/>
      </c>
      <c r="CR94" s="294">
        <f>IF(第十期!$AC$10&gt;0,第十期!$K$9*比赛参数!$D$30*比赛参数!$F$30*$CU$88/第十期!$AC$10,0)</f>
        <v/>
      </c>
      <c r="CS94" s="294">
        <f>IF(第十期!$AC$10&gt;0,第十期!$K$9*比赛参数!$D$30*比赛参数!$F$30*$CU$88/第十期!$AC$10,0)</f>
        <v/>
      </c>
      <c r="CT94" s="294">
        <f>IF(第十期!$AC$10&gt;0,第十期!$K$9*比赛参数!$D$30*比赛参数!$F$30*$CU$88/第十期!$AC$10,0)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IF(第十期!$AC$11&gt;0,第十期!$K$9*比赛参数!$D$30*比赛参数!$F$30*$CU$89/第十期!$AC$11,0)</f>
        <v/>
      </c>
      <c r="CR95" s="294">
        <f>IF(第十期!$AC$11&gt;0,第十期!$K$9*比赛参数!$D$30*比赛参数!$F$30*$CU$89/第十期!$AC$11,0)</f>
        <v/>
      </c>
      <c r="CS95" s="294">
        <f>IF(第十期!$AC$11&gt;0,第十期!$K$9*比赛参数!$D$30*比赛参数!$F$30*$CU$89/第十期!$AC$11,0)</f>
        <v/>
      </c>
      <c r="CT95" s="294">
        <f>IF(第十期!$AC$11&gt;0,第十期!$K$9*比赛参数!$D$30*比赛参数!$F$30*$CU$89/第十期!$AC$11,0)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第十期!CX62</f>
        <v/>
      </c>
      <c r="Z96" s="486">
        <f>第十期!CX63</f>
        <v/>
      </c>
      <c r="AA96" s="486">
        <f>第十期!CX64</f>
        <v/>
      </c>
      <c r="AB96" s="486">
        <f>第十期!CX65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IF(第十期!$AC$12&gt;0,第十期!$K$9*比赛参数!$D$30*比赛参数!$F$30*$CU$90/第十期!$AC$12,0)</f>
        <v/>
      </c>
      <c r="CR96" s="294">
        <f>IF(第十期!$AC$12&gt;0,第十期!$K$9*比赛参数!$D$30*比赛参数!$F$30*$CU$90/第十期!$AC$12,0)</f>
        <v/>
      </c>
      <c r="CS96" s="294">
        <f>IF(第十期!$AC$12&gt;0,第十期!$K$9*比赛参数!$D$30*比赛参数!$F$30*$CU$90/第十期!$AC$12,0)</f>
        <v/>
      </c>
      <c r="CT96" s="294">
        <f>IF(第十期!$AC$12&gt;0,第十期!$K$9*比赛参数!$D$30*比赛参数!$F$30*$CU$90/第十期!$AC$12,0)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第十期!CY62</f>
        <v/>
      </c>
      <c r="Z97" s="486">
        <f>第十期!CY63</f>
        <v/>
      </c>
      <c r="AA97" s="486">
        <f>第十期!CY64</f>
        <v/>
      </c>
      <c r="AB97" s="486">
        <f>第十期!CY65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第十期!CZ62</f>
        <v/>
      </c>
      <c r="Z98" s="486">
        <f>第十期!CZ63</f>
        <v/>
      </c>
      <c r="AA98" s="486">
        <f>第十期!CZ64</f>
        <v/>
      </c>
      <c r="AB98" s="486">
        <f>第十期!CZ65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第十期!DA62</f>
        <v/>
      </c>
      <c r="Z99" s="486">
        <f>第十期!DA63</f>
        <v/>
      </c>
      <c r="AA99" s="486">
        <f>第十期!DA64</f>
        <v/>
      </c>
      <c r="AB99" s="486">
        <f>第十期!DA65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(第十期!#REF!-$BE$54)&lt;0</formula>
    </cfRule>
  </conditionalFormatting>
  <conditionalFormatting sqref="BF132:BF133">
    <cfRule dxfId="6" priority="26" stopIfTrue="1" type="expression">
      <formula>(第十期!#REF!-$BF$54)&lt;0</formula>
    </cfRule>
  </conditionalFormatting>
  <conditionalFormatting sqref="BG132:BG133">
    <cfRule dxfId="6" priority="25" stopIfTrue="1" type="expression">
      <formula>(第十期!#REF!-$BG$54)&lt;0</formula>
    </cfRule>
  </conditionalFormatting>
  <conditionalFormatting sqref="BH132:BH133">
    <cfRule dxfId="6" priority="24" stopIfTrue="1" type="expression">
      <formula>(第十期!#REF!-$BH$54)&lt;0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6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Q7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第十一期!AF76</f>
        <v/>
      </c>
      <c r="BT7" s="218">
        <f>第十一期!AF77</f>
        <v/>
      </c>
      <c r="BU7" s="218">
        <f>第十一期!AF78</f>
        <v/>
      </c>
      <c r="BV7" s="218">
        <f>第十一期!AF79</f>
        <v/>
      </c>
      <c r="BW7" s="467">
        <f>第十一期!$AF$80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第十一期!$AG$76</f>
        <v/>
      </c>
      <c r="BT8" s="218">
        <f>第十一期!$AG$77</f>
        <v/>
      </c>
      <c r="BU8" s="218">
        <f>第十一期!$AG$78</f>
        <v/>
      </c>
      <c r="BV8" s="218">
        <f>第十一期!$AG$79</f>
        <v/>
      </c>
      <c r="BW8" s="467">
        <f>第十一期!$AG$80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第十一期!DB56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第十一期!$AH$76</f>
        <v/>
      </c>
      <c r="BT9" s="218">
        <f>第十一期!$AH$77</f>
        <v/>
      </c>
      <c r="BU9" s="218">
        <f>第十一期!$AH$78</f>
        <v/>
      </c>
      <c r="BV9" s="218">
        <f>第十一期!$AH$79</f>
        <v/>
      </c>
      <c r="BW9" s="467">
        <f>第十一期!$AH$80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第十一期!DB57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第十一期!$AI$76</f>
        <v/>
      </c>
      <c r="BT10" s="218">
        <f>第十一期!$AI$77</f>
        <v/>
      </c>
      <c r="BU10" s="218">
        <f>第十一期!$AI$78</f>
        <v/>
      </c>
      <c r="BV10" s="218">
        <f>第十一期!$AI$79</f>
        <v/>
      </c>
      <c r="BW10" s="467">
        <f>第十一期!$AI$80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第十一期!DB58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第十一期!$AJ$76</f>
        <v/>
      </c>
      <c r="BT11" s="467">
        <f>第十一期!$AJ$77</f>
        <v/>
      </c>
      <c r="BU11" s="467">
        <f>第十一期!$AJ$78</f>
        <v/>
      </c>
      <c r="BV11" s="467">
        <f>第十一期!$AJ$79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第十一期!DB59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第十一期!BU86</f>
        <v/>
      </c>
      <c r="AG13" s="135" t="inlineStr">
        <is>
          <t>售前现金</t>
        </is>
      </c>
      <c r="AH13" s="473">
        <f>第十一期!BV76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第十一期!BW92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第十一期!K12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第十一期!Y88</f>
        <v/>
      </c>
      <c r="BT14" s="218">
        <f>第十一期!Y89</f>
        <v/>
      </c>
      <c r="BU14" s="218">
        <f>第十一期!Y90</f>
        <v/>
      </c>
      <c r="BV14" s="218">
        <f>第十一期!Y91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AF14/(Y18+第十一期!K8-AA18)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第十一期!K16*0.5-第十一期!K14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第十一期!Z88</f>
        <v/>
      </c>
      <c r="BT15" s="218">
        <f>第十一期!Z89</f>
        <v/>
      </c>
      <c r="BU15" s="218">
        <f>第十一期!Z90</f>
        <v/>
      </c>
      <c r="BV15" s="218">
        <f>第十一期!Z91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第十一期!DM60</f>
        <v/>
      </c>
      <c r="Z16" s="92" t="inlineStr">
        <is>
          <t>生产成本</t>
        </is>
      </c>
      <c r="AA16" s="485">
        <f>AH20+Y16+第十一期!K9*比赛参数!D30*比赛参数!F30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第十一期!AA88</f>
        <v/>
      </c>
      <c r="BT16" s="218">
        <f>第十一期!AA89</f>
        <v/>
      </c>
      <c r="BU16" s="218">
        <f>第十一期!AA90</f>
        <v/>
      </c>
      <c r="BV16" s="218">
        <f>第十一期!AA91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第十一期!AB88</f>
        <v/>
      </c>
      <c r="BT17" s="218">
        <f>第十一期!AB89</f>
        <v/>
      </c>
      <c r="BU17" s="218">
        <f>第十一期!AB90</f>
        <v/>
      </c>
      <c r="BV17" s="218">
        <f>第十一期!AB91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第十一期!K8*比赛参数!D57</f>
        <v/>
      </c>
      <c r="Z19" s="104" t="inlineStr">
        <is>
          <t>Min</t>
        </is>
      </c>
      <c r="AA19" s="134">
        <f>第十一期!K8*比赛参数!D60</f>
        <v/>
      </c>
      <c r="AB19" s="104" t="inlineStr">
        <is>
          <t>Min</t>
        </is>
      </c>
      <c r="AC19" s="495">
        <f>IF((AC21-第十一期!K10)/比赛参数!D41&gt;0,(AC21-第十一期!K10)/比赛参数!D41,0)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IF((第十一期!BW92-第十一期!BS87)&gt;0,第十一期!BW92-第十一期!BS87,0)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第十一期!$CX$68</f>
        <v/>
      </c>
      <c r="CD19" s="497">
        <f>第十一期!$CX$69</f>
        <v/>
      </c>
      <c r="CE19" s="497">
        <f>第十一期!$CX$70</f>
        <v/>
      </c>
      <c r="CF19" s="497">
        <f>第十一期!$CX$71</f>
        <v/>
      </c>
      <c r="CG19" s="396" t="n"/>
      <c r="CH19" s="498" t="n"/>
      <c r="CI19" s="499" t="inlineStr">
        <is>
          <t>市场1</t>
        </is>
      </c>
      <c r="CJ19" s="497">
        <f>第十一期!$CX$50</f>
        <v/>
      </c>
      <c r="CK19" s="497">
        <f>第十一期!$CX$51</f>
        <v/>
      </c>
      <c r="CL19" s="497">
        <f>第十一期!$CX$52</f>
        <v/>
      </c>
      <c r="CM19" s="497">
        <f>第十一期!$CX$53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第十一期!K8+第十一期!Y18*比赛参数!D59-第十一期!AA18</f>
        <v/>
      </c>
      <c r="Z20" s="148" t="inlineStr">
        <is>
          <t>现有机器数</t>
        </is>
      </c>
      <c r="AA20" s="272">
        <f>第十一期!K9</f>
        <v/>
      </c>
      <c r="AB20" s="148" t="inlineStr">
        <is>
          <t>可用原材料</t>
        </is>
      </c>
      <c r="AC20" s="484">
        <f>AC18*比赛参数!D41+第十一期!K10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第十一期!BS62+第十一期!BS71</f>
        <v/>
      </c>
      <c r="AI20" s="73" t="inlineStr">
        <is>
          <t>期末现金</t>
        </is>
      </c>
      <c r="AJ20" s="484">
        <f>第十一期!BV90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第十一期!Y9</f>
        <v/>
      </c>
      <c r="BT20" s="218">
        <f>第十一期!Z9</f>
        <v/>
      </c>
      <c r="BU20" s="218">
        <f>第十一期!AA9</f>
        <v/>
      </c>
      <c r="BV20" s="218">
        <f>第十一期!AB9</f>
        <v/>
      </c>
      <c r="BW20" s="467">
        <f>第十一期!AJ34</f>
        <v/>
      </c>
      <c r="BX20" s="215" t="n"/>
      <c r="CA20" s="213" t="n"/>
      <c r="CB20" s="196" t="inlineStr">
        <is>
          <t>市场2</t>
        </is>
      </c>
      <c r="CC20" s="497">
        <f>第十一期!$CY$68</f>
        <v/>
      </c>
      <c r="CD20" s="497">
        <f>第十一期!$CY$69</f>
        <v/>
      </c>
      <c r="CE20" s="497">
        <f>第十一期!$CY$70</f>
        <v/>
      </c>
      <c r="CF20" s="497">
        <f>第十一期!$CY$71</f>
        <v/>
      </c>
      <c r="CG20" s="396" t="n"/>
      <c r="CH20" s="498" t="n"/>
      <c r="CI20" s="502" t="inlineStr">
        <is>
          <t>市场2</t>
        </is>
      </c>
      <c r="CJ20" s="497">
        <f>第十一期!$CY$50</f>
        <v/>
      </c>
      <c r="CK20" s="497">
        <f>第十一期!$CY$51</f>
        <v/>
      </c>
      <c r="CL20" s="497">
        <f>第十一期!$CY$52</f>
        <v/>
      </c>
      <c r="CM20" s="497">
        <f>第十一期!$CY$53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第十一期!Y10</f>
        <v/>
      </c>
      <c r="BT21" s="218">
        <f>第十一期!Z10</f>
        <v/>
      </c>
      <c r="BU21" s="218">
        <f>第十一期!AA10</f>
        <v/>
      </c>
      <c r="BV21" s="218">
        <f>第十一期!AB10</f>
        <v/>
      </c>
      <c r="BW21" s="467">
        <f>第十一期!AJ35</f>
        <v/>
      </c>
      <c r="BX21" s="215" t="n"/>
      <c r="CA21" s="213" t="n"/>
      <c r="CB21" s="196" t="inlineStr">
        <is>
          <t>市场3</t>
        </is>
      </c>
      <c r="CC21" s="497">
        <f>第十一期!$CZ$68</f>
        <v/>
      </c>
      <c r="CD21" s="497">
        <f>第十一期!$CZ$69</f>
        <v/>
      </c>
      <c r="CE21" s="497">
        <f>第十一期!$CZ$70</f>
        <v/>
      </c>
      <c r="CF21" s="497">
        <f>第十一期!$CZ$71</f>
        <v/>
      </c>
      <c r="CG21" s="396" t="n"/>
      <c r="CH21" s="498" t="n"/>
      <c r="CI21" s="502" t="inlineStr">
        <is>
          <t>市场3</t>
        </is>
      </c>
      <c r="CJ21" s="497">
        <f>第十一期!$CZ$50</f>
        <v/>
      </c>
      <c r="CK21" s="497">
        <f>第十一期!$CZ$51</f>
        <v/>
      </c>
      <c r="CL21" s="497">
        <f>第十一期!$CZ$52</f>
        <v/>
      </c>
      <c r="CM21" s="497">
        <f>第十一期!$CZ$53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第十一期!Y11</f>
        <v/>
      </c>
      <c r="BT22" s="218">
        <f>第十一期!Z11</f>
        <v/>
      </c>
      <c r="BU22" s="218">
        <f>第十一期!AA11</f>
        <v/>
      </c>
      <c r="BV22" s="218">
        <f>第十一期!AB11</f>
        <v/>
      </c>
      <c r="BW22" s="467">
        <f>第十一期!AJ36</f>
        <v/>
      </c>
      <c r="BX22" s="215" t="n"/>
      <c r="CA22" s="213" t="n"/>
      <c r="CB22" s="196" t="inlineStr">
        <is>
          <t>市场4</t>
        </is>
      </c>
      <c r="CC22" s="497">
        <f>第十一期!$DA$68</f>
        <v/>
      </c>
      <c r="CD22" s="497">
        <f>第十一期!$DA$69</f>
        <v/>
      </c>
      <c r="CE22" s="497">
        <f>第十一期!$DA$70</f>
        <v/>
      </c>
      <c r="CF22" s="497">
        <f>第十一期!$DA$71</f>
        <v/>
      </c>
      <c r="CG22" s="396" t="n"/>
      <c r="CH22" s="498" t="n"/>
      <c r="CI22" s="502" t="inlineStr">
        <is>
          <t>市场4</t>
        </is>
      </c>
      <c r="CJ22" s="497">
        <f>第十一期!$DA$50</f>
        <v/>
      </c>
      <c r="CK22" s="497">
        <f>第十一期!$DA$51</f>
        <v/>
      </c>
      <c r="CL22" s="497">
        <f>第十一期!$DA$52</f>
        <v/>
      </c>
      <c r="CM22" s="497">
        <f>第十一期!$DA$53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第十一期!Y12</f>
        <v/>
      </c>
      <c r="BT23" s="218">
        <f>第十一期!Z12</f>
        <v/>
      </c>
      <c r="BU23" s="218">
        <f>第十一期!AA12</f>
        <v/>
      </c>
      <c r="BV23" s="218">
        <f>第十一期!AB12</f>
        <v/>
      </c>
      <c r="BW23" s="467">
        <f>第十一期!AJ37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第十一期!BV57-第十一期!BV76</f>
        <v/>
      </c>
      <c r="AJ26" s="294">
        <f>第十一期!K9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第十一期!DB50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第十一期!Y18</f>
        <v/>
      </c>
      <c r="BT26" s="218">
        <f>第十一期!AA18</f>
        <v/>
      </c>
      <c r="BU26" s="218">
        <f>第十一期!AF18</f>
        <v/>
      </c>
      <c r="BV26" s="511">
        <f>第十一期!AC18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第十一期!DB51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第十一期!DB52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第十一期!DB53</f>
        <v/>
      </c>
      <c r="BQ29" s="507" t="n"/>
      <c r="BS29" s="511">
        <f>第十一期!AH14</f>
        <v/>
      </c>
      <c r="BT29" s="511">
        <f>第十一期!AH15</f>
        <v/>
      </c>
      <c r="BU29" s="218">
        <f>第十一期!AF20</f>
        <v/>
      </c>
      <c r="BV29" s="511">
        <f>第十一期!AJ18</f>
        <v/>
      </c>
      <c r="BW29" s="218">
        <f>第十一期!AH18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INT(第十一期!DV26)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INT(第十一期!DV27)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INT(第十一期!DV28)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INT(第十一期!DV29)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第十一期!DG56*第十一期!DG50+第十一期!DG64*第十一期!Y88</f>
        <v/>
      </c>
      <c r="CD38" s="272">
        <f>第十一期!DH56*第十一期!DH50+第十一期!DH64*第十一期!Z88</f>
        <v/>
      </c>
      <c r="CE38" s="272">
        <f>第十一期!DI56*第十一期!DI50+第十一期!DI64*第十一期!AA88</f>
        <v/>
      </c>
      <c r="CF38" s="272">
        <f>第十一期!DJ56*第十一期!DJ50+第十一期!DJ64*第十一期!AB88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第十一期!DG57*第十一期!DG51+第十一期!DG65*第十一期!Y89</f>
        <v/>
      </c>
      <c r="CD39" s="272">
        <f>第十一期!DH57*第十一期!DH51+第十一期!DH65*第十一期!Z89</f>
        <v/>
      </c>
      <c r="CE39" s="272">
        <f>第十一期!DI57*第十一期!DI51+第十一期!DI65*第十一期!AA89</f>
        <v/>
      </c>
      <c r="CF39" s="272">
        <f>第十一期!DJ57*第十一期!DJ51+第十一期!DJ65*第十一期!AB89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第十一期!DG58*第十一期!DG52+第十一期!DG66*第十一期!Y90</f>
        <v/>
      </c>
      <c r="CD40" s="272">
        <f>第十一期!DH58*第十一期!DH52+第十一期!DH66*第十一期!Z90</f>
        <v/>
      </c>
      <c r="CE40" s="272">
        <f>第十一期!DI58*第十一期!DI52+第十一期!DI66*第十一期!AA90</f>
        <v/>
      </c>
      <c r="CF40" s="272">
        <f>第十一期!DJ58*第十一期!DJ52+第十一期!DJ66*第十一期!AB90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第十一期!DG59*第十一期!DG53+第十一期!DG67*第十一期!Y91</f>
        <v/>
      </c>
      <c r="CD41" s="272">
        <f>第十一期!DH59*第十一期!DH53+第十一期!DH67*第十一期!Z91</f>
        <v/>
      </c>
      <c r="CE41" s="272">
        <f>第十一期!DI59*第十一期!DI53+第十一期!DI67*第十一期!AA91</f>
        <v/>
      </c>
      <c r="CF41" s="272">
        <f>第十一期!DJ59*第十一期!DJ53+第十一期!DJ67*第十一期!AB91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第十一期!Y9*第十一期!CQ62*比赛参数!D65</f>
        <v/>
      </c>
      <c r="CR50" s="294">
        <f>第十一期!Z9*第十一期!CR62*比赛参数!E65</f>
        <v/>
      </c>
      <c r="CS50" s="294">
        <f>第十一期!AA9*第十一期!CS62*比赛参数!F65</f>
        <v/>
      </c>
      <c r="CT50" s="294">
        <f>第十一期!AB9*第十一期!CT62*比赛参数!G65</f>
        <v/>
      </c>
      <c r="CU50" s="294">
        <f>IF(第十一期!AC9&gt;0,SUM(CQ50:CT50)/第十一期!AC9,0)</f>
        <v/>
      </c>
      <c r="CW50" s="11" t="inlineStr">
        <is>
          <t>A产品</t>
        </is>
      </c>
      <c r="CX50" s="525">
        <f>IF(第十一期!$CU$50*第十一期!CQ93&gt;0,第十一期!$CU$50+第十一期!CQ68+第十一期!CQ93+第十一期!CQ74,0)</f>
        <v/>
      </c>
      <c r="CY50" s="525">
        <f>IF(第十一期!$CU$50*第十一期!CR93&gt;0,第十一期!$CU$50+第十一期!CR68+第十一期!CR93+第十一期!CR74,0)</f>
        <v/>
      </c>
      <c r="CZ50" s="525">
        <f>IF(第十一期!$CU$50*第十一期!CS93&gt;0,第十一期!$CU$50+第十一期!CS68+第十一期!CS93+第十一期!CS74,0)</f>
        <v/>
      </c>
      <c r="DA50" s="525">
        <f>IF(第十一期!$CU$50*第十一期!CT93&gt;0,第十一期!$CU$50+第十一期!CT68+第十一期!CT93+第十一期!CT74,0)</f>
        <v/>
      </c>
      <c r="DB50" s="525">
        <f>AVERAGE(CX50:DA50)</f>
        <v/>
      </c>
      <c r="DF50" s="294" t="inlineStr">
        <is>
          <t>市场1</t>
        </is>
      </c>
      <c r="DG50" s="247">
        <f>IF(第十一期!Y88&gt;0,1,0)</f>
        <v/>
      </c>
      <c r="DH50" s="247">
        <f>IF(第十一期!Z88&gt;0,1,0)</f>
        <v/>
      </c>
      <c r="DI50" s="247">
        <f>IF(第十一期!AA88&gt;0,1,0)</f>
        <v/>
      </c>
      <c r="DJ50" s="247">
        <f>IF(第十一期!AB88&gt;0,1,0)</f>
        <v/>
      </c>
      <c r="DL50" s="247" t="inlineStr">
        <is>
          <t>产品A</t>
        </is>
      </c>
      <c r="DM50" s="248">
        <f>IF(第十一期!Y9+第十一期!Z9&gt;0,1,0)</f>
        <v/>
      </c>
      <c r="DN50" s="248">
        <f>IF(第十一期!AA9+第十一期!AB9&gt;0,1,0)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第十一期!Y10*第十一期!CQ63*比赛参数!D65</f>
        <v/>
      </c>
      <c r="CR51" s="294">
        <f>第十一期!Z10*第十一期!CR63*比赛参数!E65</f>
        <v/>
      </c>
      <c r="CS51" s="294">
        <f>第十一期!AA10*第十一期!CS63*比赛参数!F65</f>
        <v/>
      </c>
      <c r="CT51" s="294">
        <f>第十一期!AB10*第十一期!CT63*比赛参数!G65</f>
        <v/>
      </c>
      <c r="CU51" s="294">
        <f>IF(第十一期!AC10&gt;0,SUM(CQ51:CT51)/第十一期!AC10,0)</f>
        <v/>
      </c>
      <c r="CW51" s="11" t="inlineStr">
        <is>
          <t>B产品</t>
        </is>
      </c>
      <c r="CX51" s="525">
        <f>IF(第十一期!$CU$51*第十一期!CQ94&gt;0,第十一期!$CU$51+第十一期!CQ69+第十一期!CQ94+第十一期!CQ75,0)</f>
        <v/>
      </c>
      <c r="CY51" s="525">
        <f>IF(第十一期!$CU$51*第十一期!CR94&gt;0,第十一期!$CU$51+第十一期!CR69+第十一期!CR94+第十一期!CR75,0)</f>
        <v/>
      </c>
      <c r="CZ51" s="525">
        <f>IF(第十一期!$CU$51*第十一期!CS94&gt;0,第十一期!$CU$51+第十一期!CS69+第十一期!CS94+第十一期!CS75,0)</f>
        <v/>
      </c>
      <c r="DA51" s="525">
        <f>IF(第十一期!$CU$51*第十一期!CT94&gt;0,第十一期!$CU$51+第十一期!CT69+第十一期!CT94+第十一期!CT75,0)</f>
        <v/>
      </c>
      <c r="DB51" s="525">
        <f>AVERAGE(CX51:DA51)</f>
        <v/>
      </c>
      <c r="DF51" s="294" t="inlineStr">
        <is>
          <t>市场2</t>
        </is>
      </c>
      <c r="DG51" s="247">
        <f>IF(第十一期!Y89&gt;0,1,0)</f>
        <v/>
      </c>
      <c r="DH51" s="247">
        <f>IF(第十一期!Z89&gt;0,1,0)</f>
        <v/>
      </c>
      <c r="DI51" s="247">
        <f>IF(第十一期!AA89&gt;0,1,0)</f>
        <v/>
      </c>
      <c r="DJ51" s="247">
        <f>IF(第十一期!AB89&gt;0,1,0)</f>
        <v/>
      </c>
      <c r="DL51" s="247" t="inlineStr">
        <is>
          <t>产品B</t>
        </is>
      </c>
      <c r="DM51" s="248">
        <f>IF(第十一期!Y10+第十一期!Z10&gt;0,1,0)</f>
        <v/>
      </c>
      <c r="DN51" s="248">
        <f>IF(第十一期!AA10+第十一期!AB10&gt;0,1,0)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第十一期!Y11*第十一期!CQ64*比赛参数!D65</f>
        <v/>
      </c>
      <c r="CR52" s="294">
        <f>第十一期!Z11*第十一期!CR64*比赛参数!E65</f>
        <v/>
      </c>
      <c r="CS52" s="294">
        <f>第十一期!AA11*第十一期!CS64*比赛参数!F65</f>
        <v/>
      </c>
      <c r="CT52" s="294">
        <f>第十一期!AB11*第十一期!CT64*比赛参数!G65</f>
        <v/>
      </c>
      <c r="CU52" s="294">
        <f>IF(第十一期!AC11&gt;0,SUM(CQ52:CT52)/第十一期!AC11,0)</f>
        <v/>
      </c>
      <c r="CW52" s="11" t="inlineStr">
        <is>
          <t>C产品</t>
        </is>
      </c>
      <c r="CX52" s="525">
        <f>IF(第十一期!$CU$52*第十一期!CQ95&gt;0,第十一期!$CU$52+第十一期!CQ70+第十一期!CQ95+第十一期!CQ76,0)</f>
        <v/>
      </c>
      <c r="CY52" s="525">
        <f>IF(第十一期!$CU$52*第十一期!CR95&gt;0,第十一期!$CU$52+第十一期!CR70+第十一期!CR95+第十一期!CR76,0)</f>
        <v/>
      </c>
      <c r="CZ52" s="525">
        <f>IF(第十一期!$CU$52*第十一期!CS95&gt;0,第十一期!$CU$52+第十一期!CS70+第十一期!CS95+第十一期!CS76,0)</f>
        <v/>
      </c>
      <c r="DA52" s="525">
        <f>IF(第十一期!$CU$52*第十一期!CT95&gt;0,第十一期!$CU$52+第十一期!CT70+第十一期!CT95+第十一期!CT76,0)</f>
        <v/>
      </c>
      <c r="DB52" s="525">
        <f>AVERAGE(CX52:DA52)</f>
        <v/>
      </c>
      <c r="DF52" s="294" t="inlineStr">
        <is>
          <t>市场3</t>
        </is>
      </c>
      <c r="DG52" s="247">
        <f>IF(第十一期!Y90&gt;0,1,0)</f>
        <v/>
      </c>
      <c r="DH52" s="247">
        <f>IF(第十一期!Z90&gt;0,1,0)</f>
        <v/>
      </c>
      <c r="DI52" s="247">
        <f>IF(第十一期!AA90&gt;0,1,0)</f>
        <v/>
      </c>
      <c r="DJ52" s="247">
        <f>IF(第十一期!AB90&gt;0,1,0)</f>
        <v/>
      </c>
      <c r="DL52" s="247" t="inlineStr">
        <is>
          <t>产品C</t>
        </is>
      </c>
      <c r="DM52" s="248">
        <f>IF(第十一期!Y11+第十一期!Z11&gt;0,1,0)</f>
        <v/>
      </c>
      <c r="DN52" s="248">
        <f>IF(第十一期!AA11+第十一期!AB11&gt;0,1,0)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第十一期!Y12*第十一期!CQ65*比赛参数!D65</f>
        <v/>
      </c>
      <c r="CR53" s="294">
        <f>第十一期!Z12*第十一期!CR65*比赛参数!E65</f>
        <v/>
      </c>
      <c r="CS53" s="294">
        <f>第十一期!AA12*第十一期!CS65*比赛参数!F65</f>
        <v/>
      </c>
      <c r="CT53" s="294">
        <f>第十一期!AB12*第十一期!CT65*比赛参数!G65</f>
        <v/>
      </c>
      <c r="CU53" s="294">
        <f>IF(第十一期!AC12&gt;0,SUM(CQ53:CT53)/第十一期!AC12,0)</f>
        <v/>
      </c>
      <c r="CW53" s="11" t="inlineStr">
        <is>
          <t>D产品</t>
        </is>
      </c>
      <c r="CX53" s="525">
        <f>IF(第十一期!$CU$53*第十一期!CQ96&gt;0,第十一期!$CU$53+第十一期!CQ71+第十一期!CQ96+第十一期!CQ77,0)</f>
        <v/>
      </c>
      <c r="CY53" s="525">
        <f>IF(第十一期!$CU$53*第十一期!CR96&gt;0,第十一期!$CU$53+第十一期!CR71+第十一期!CR96+第十一期!CR77,0)</f>
        <v/>
      </c>
      <c r="CZ53" s="525">
        <f>IF(第十一期!$CU$53*第十一期!CS96&gt;0,第十一期!$CU$53+第十一期!CS71+第十一期!CS96+第十一期!CS77,0)</f>
        <v/>
      </c>
      <c r="DA53" s="525">
        <f>IF(第十一期!$CU$53*第十一期!CT96&gt;0,第十一期!$CU$53+第十一期!CT71+第十一期!CT96+第十一期!CT77,0)</f>
        <v/>
      </c>
      <c r="DB53" s="525">
        <f>AVERAGE(CX53:DA53)</f>
        <v/>
      </c>
      <c r="DF53" s="294" t="inlineStr">
        <is>
          <t>市场4</t>
        </is>
      </c>
      <c r="DG53" s="247">
        <f>IF(第十一期!Y91&gt;0,1,0)</f>
        <v/>
      </c>
      <c r="DH53" s="247">
        <f>IF(第十一期!Z91&gt;0,1,0)</f>
        <v/>
      </c>
      <c r="DI53" s="247">
        <f>IF(第十一期!AA91&gt;0,1,0)</f>
        <v/>
      </c>
      <c r="DJ53" s="247">
        <f>IF(第十一期!AB91&gt;0,1,0)</f>
        <v/>
      </c>
      <c r="DL53" s="247" t="inlineStr">
        <is>
          <t>产品D</t>
        </is>
      </c>
      <c r="DM53" s="248">
        <f>IF(第十一期!Y12+第十一期!Z12&gt;0,1,0)</f>
        <v/>
      </c>
      <c r="DN53" s="248">
        <f>IF(第十一期!AA12+第十一期!AB12&gt;0,1,0)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第十一期!K11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第十一期!AH14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第十一期!DU26</f>
        <v/>
      </c>
      <c r="CD56" s="272">
        <f>第十一期!DU27</f>
        <v/>
      </c>
      <c r="CE56" s="272">
        <f>第十一期!DU28</f>
        <v/>
      </c>
      <c r="CF56" s="272">
        <f>第十一期!DU29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第十一期!BS7-第十一期!CX50</f>
        <v/>
      </c>
      <c r="CY56" s="525">
        <f>第十一期!BT7-第十一期!CY50</f>
        <v/>
      </c>
      <c r="CZ56" s="525">
        <f>第十一期!BU7-第十一期!CZ50</f>
        <v/>
      </c>
      <c r="DA56" s="525">
        <f>第十一期!BV7-第十一期!DA50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第十一期!DX6</f>
        <v/>
      </c>
      <c r="Z57" s="272">
        <f>第十一期!DX10</f>
        <v/>
      </c>
      <c r="AA57" s="272">
        <f>第十一期!DX14</f>
        <v/>
      </c>
      <c r="AB57" s="272">
        <f>第十一期!DX18</f>
        <v/>
      </c>
      <c r="AC57" s="234" t="n"/>
      <c r="AE57" s="64" t="inlineStr">
        <is>
          <t>市场1</t>
        </is>
      </c>
      <c r="AF57" s="272">
        <f>第十一期!DW6</f>
        <v/>
      </c>
      <c r="AG57" s="272">
        <f>第十一期!DW10</f>
        <v/>
      </c>
      <c r="AH57" s="272">
        <f>第十一期!DW14</f>
        <v/>
      </c>
      <c r="AI57" s="272">
        <f>第十一期!DW18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第十一期!AH15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第十一期!BS8-第十一期!CX51</f>
        <v/>
      </c>
      <c r="CY57" s="525">
        <f>第十一期!BT8-第十一期!CY51</f>
        <v/>
      </c>
      <c r="CZ57" s="525">
        <f>第十一期!BU8-第十一期!CZ51</f>
        <v/>
      </c>
      <c r="DA57" s="525">
        <f>第十一期!BV8-第十一期!DA51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第十一期!DX7</f>
        <v/>
      </c>
      <c r="Z58" s="272">
        <f>第十一期!DX11</f>
        <v/>
      </c>
      <c r="AA58" s="272">
        <f>第十一期!DX15</f>
        <v/>
      </c>
      <c r="AB58" s="272">
        <f>第十一期!DX19</f>
        <v/>
      </c>
      <c r="AC58" s="234" t="n"/>
      <c r="AE58" s="11" t="inlineStr">
        <is>
          <t>市场2</t>
        </is>
      </c>
      <c r="AF58" s="272">
        <f>第十一期!DW7</f>
        <v/>
      </c>
      <c r="AG58" s="272">
        <f>第十一期!DW11</f>
        <v/>
      </c>
      <c r="AH58" s="272">
        <f>第十一期!DW15</f>
        <v/>
      </c>
      <c r="AI58" s="272">
        <f>第十一期!DW19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第十一期!H5+第十一期!H4*比赛参数!F71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第十一期!BS9-第十一期!CX52</f>
        <v/>
      </c>
      <c r="CY58" s="525">
        <f>第十一期!BT9-第十一期!CY52</f>
        <v/>
      </c>
      <c r="CZ58" s="525">
        <f>第十一期!BU9-第十一期!CZ52</f>
        <v/>
      </c>
      <c r="DA58" s="525">
        <f>第十一期!BV9-第十一期!DA52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第十一期!DX8</f>
        <v/>
      </c>
      <c r="Z59" s="272">
        <f>第十一期!DX12</f>
        <v/>
      </c>
      <c r="AA59" s="272">
        <f>第十一期!DX16</f>
        <v/>
      </c>
      <c r="AB59" s="272">
        <f>第十一期!DX20</f>
        <v/>
      </c>
      <c r="AC59" s="235" t="n"/>
      <c r="AE59" s="11" t="inlineStr">
        <is>
          <t>市场3</t>
        </is>
      </c>
      <c r="AF59" s="272">
        <f>第十一期!DW8</f>
        <v/>
      </c>
      <c r="AG59" s="272">
        <f>第十一期!DW12</f>
        <v/>
      </c>
      <c r="AH59" s="272">
        <f>第十一期!DW16</f>
        <v/>
      </c>
      <c r="AI59" s="272">
        <f>第十一期!DW20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第十一期!K14*比赛参数!D71/4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第十一期!BS10-第十一期!CX53</f>
        <v/>
      </c>
      <c r="CY59" s="525">
        <f>第十一期!BT10-第十一期!CY53</f>
        <v/>
      </c>
      <c r="CZ59" s="525">
        <f>第十一期!BU10-第十一期!CZ53</f>
        <v/>
      </c>
      <c r="DA59" s="525">
        <f>第十一期!BV10-第十一期!DA53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第十一期!DX9</f>
        <v/>
      </c>
      <c r="Z60" s="272">
        <f>第十一期!DX13</f>
        <v/>
      </c>
      <c r="AA60" s="272">
        <f>第十一期!DX17</f>
        <v/>
      </c>
      <c r="AB60" s="272">
        <f>第十一期!DX21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第十一期!DW9</f>
        <v/>
      </c>
      <c r="AG60" s="272">
        <f>第十一期!DW13</f>
        <v/>
      </c>
      <c r="AH60" s="272">
        <f>第十一期!DW17</f>
        <v/>
      </c>
      <c r="AI60" s="272">
        <f>第十一期!DW21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第十一期!Y18*比赛参数!D58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第十一期!AA18*比赛参数!D62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((第十一期!K8-第十一期!AA18)*比赛参数!D65+第十一期!Y18*比赛参数!D59*比赛参数!D65)*第十一期!AH18*520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CX56/第十一期!CQ56</f>
        <v/>
      </c>
      <c r="CY62" s="525">
        <f>CY56/第十一期!CR56</f>
        <v/>
      </c>
      <c r="CZ62" s="525">
        <f>CZ56/第十一期!CS56</f>
        <v/>
      </c>
      <c r="DA62" s="525">
        <f>DA56/第十一期!CT56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第十一期!K9*比赛参数!D49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CX57/第十一期!CQ57</f>
        <v/>
      </c>
      <c r="CY63" s="525">
        <f>CY57/第十一期!CR57</f>
        <v/>
      </c>
      <c r="CZ63" s="525">
        <f>CZ57/第十一期!CS57</f>
        <v/>
      </c>
      <c r="DA63" s="525">
        <f>DA57/第十一期!CT57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第十一期!AL37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CX58/第十一期!CQ58</f>
        <v/>
      </c>
      <c r="CY64" s="525">
        <f>CY58/第十一期!CR58</f>
        <v/>
      </c>
      <c r="CZ64" s="525">
        <f>CZ58/第十一期!CS58</f>
        <v/>
      </c>
      <c r="DA64" s="525">
        <f>DA58/第十一期!CT58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0.5*第十一期!AL37+0.5*第十一期!DV23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CX59/第十一期!CQ59</f>
        <v/>
      </c>
      <c r="CY65" s="525">
        <f>CY59/第十一期!CR59</f>
        <v/>
      </c>
      <c r="CZ65" s="525">
        <f>CZ59/第十一期!CS59</f>
        <v/>
      </c>
      <c r="DA65" s="525">
        <f>DA59/第十一期!CT59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第十一期!AC18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一期!AC18&gt;=比赛参数!D33,(1-比赛参数!E33)*第十一期!AC18,0)+IF(AND(第十一期!AC18&gt;=比赛参数!D34,第十一期!AC18&lt;比赛参数!D33),(1-比赛参数!E34)*第十一期!AC18,0)+IF(AND(第十一期!AC18&gt;=比赛参数!D35,第十一期!AC18&lt;比赛参数!D34),(1-比赛参数!E35)*第十一期!AC18,0)+IF(AND(第十一期!AC18&gt;=比赛参数!D36,第十一期!AC18&lt;比赛参数!D35),(1-比赛参数!E36)*第十一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第十一期!DV6</f>
        <v/>
      </c>
      <c r="AG70" s="131">
        <f>第十一期!DV10</f>
        <v/>
      </c>
      <c r="AH70" s="131">
        <f>第十一期!DV14</f>
        <v/>
      </c>
      <c r="AI70" s="131">
        <f>第十一期!DV18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IF(第十一期!AC18&gt;0,第十一期!AC18*比赛参数!E40+比赛参数!E39,0)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第十一期!DV7</f>
        <v/>
      </c>
      <c r="AG71" s="131">
        <f>第十一期!DV11</f>
        <v/>
      </c>
      <c r="AH71" s="131">
        <f>第十一期!DV15</f>
        <v/>
      </c>
      <c r="AI71" s="131">
        <f>第十一期!DV19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(第十一期!Z13*比赛参数!E65*260+第十一期!AA13*(比赛参数!F65-比赛参数!D65)*520+第十一期!AB13*比赛参数!G65*260)*第十一期!AH18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第十一期!DV8</f>
        <v/>
      </c>
      <c r="AG72" s="131">
        <f>第十一期!DV12</f>
        <v/>
      </c>
      <c r="AH72" s="131">
        <f>第十一期!DV16</f>
        <v/>
      </c>
      <c r="AI72" s="131">
        <f>第十一期!DV20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第十一期!DM60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第十一期!DV9</f>
        <v/>
      </c>
      <c r="AG73" s="131">
        <f>第十一期!DV13</f>
        <v/>
      </c>
      <c r="AH73" s="131">
        <f>第十一期!DV17</f>
        <v/>
      </c>
      <c r="AI73" s="131">
        <f>第十一期!DV21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第十一期!AC21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第十一期!CG42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SUM(第十一期!AF80:AI80)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SUM(第十一期!AJ76:AJ79)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第十一期!CG53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第十一期!CN53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第十一期!K9*比赛参数!D30*比赛参数!F30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第十一期!CG65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第十一期!Y9*第十一期!CQ56</f>
        <v/>
      </c>
      <c r="CR80" s="294">
        <f>第十一期!Z9*第十一期!CR56</f>
        <v/>
      </c>
      <c r="CS80" s="294">
        <f>第十一期!AA9*第十一期!CS56</f>
        <v/>
      </c>
      <c r="CT80" s="294">
        <f>第十一期!AB9*第十一期!CT56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(第十一期!K10+(第十一期!AC18+第十一期!K10-第十一期!AC21))/2*比赛参数!D16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第十一期!Y10*第十一期!CQ57</f>
        <v/>
      </c>
      <c r="CR81" s="294">
        <f>第十一期!Z10*第十一期!CR57</f>
        <v/>
      </c>
      <c r="CS81" s="294">
        <f>第十一期!AA10*第十一期!CS57</f>
        <v/>
      </c>
      <c r="CT81" s="294">
        <f>第十一期!AB10*第十一期!CT57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第十一期!CG67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第十一期!Y11*第十一期!CQ58</f>
        <v/>
      </c>
      <c r="CR82" s="294">
        <f>第十一期!Z11*第十一期!CR58</f>
        <v/>
      </c>
      <c r="CS82" s="294">
        <f>第十一期!AA11*第十一期!CS58</f>
        <v/>
      </c>
      <c r="CT82" s="294">
        <f>第十一期!AB11*第十一期!CT58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第十一期!K13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第十一期!Y12*第十一期!CQ59</f>
        <v/>
      </c>
      <c r="CR83" s="294">
        <f>第十一期!Z12*第十一期!CR59</f>
        <v/>
      </c>
      <c r="CS83" s="294">
        <f>第十一期!AA12*第十一期!CS59</f>
        <v/>
      </c>
      <c r="CT83" s="294">
        <f>第十一期!AB12*第十一期!CT59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第十一期!K13*比赛参数!D70/4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第十一期!AH14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第十一期!DS33</f>
        <v/>
      </c>
      <c r="AG86" s="131">
        <f>第十一期!DW33</f>
        <v/>
      </c>
      <c r="AH86" s="131">
        <f>第十一期!EA33</f>
        <v/>
      </c>
      <c r="AI86" s="131">
        <f>第十一期!EE33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第十一期!AH14*比赛参数!D69/4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第十一期!DT33</f>
        <v/>
      </c>
      <c r="AG87" s="131">
        <f>第十一期!DX33</f>
        <v/>
      </c>
      <c r="AH87" s="131">
        <f>第十一期!EB33</f>
        <v/>
      </c>
      <c r="AI87" s="131">
        <f>第十一期!EF33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IF(第十一期!BW92&gt;0,IF((第十一期!K15+第十一期!BW92*比赛参数!D72)&gt;0,第十一期!K15+第十一期!BW92*比赛参数!D72,0))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第十一期!DU33</f>
        <v/>
      </c>
      <c r="AG88" s="131">
        <f>第十一期!DY33</f>
        <v/>
      </c>
      <c r="AH88" s="131">
        <f>第十一期!EC33</f>
        <v/>
      </c>
      <c r="AI88" s="131">
        <f>第十一期!EG33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第十一期!AF18*比赛参数!D30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第十一期!DV33</f>
        <v/>
      </c>
      <c r="AG89" s="131">
        <f>第十一期!DZ33</f>
        <v/>
      </c>
      <c r="AH89" s="131">
        <f>第十一期!ED33</f>
        <v/>
      </c>
      <c r="AI89" s="131">
        <f>第十一期!EH33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第十一期!AJ18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第十一期!AF20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第十一期!BT84</f>
        <v/>
      </c>
      <c r="BT92" s="546" t="inlineStr">
        <is>
          <t>本期成本</t>
        </is>
      </c>
      <c r="BU92" s="478">
        <f>第十一期!BU86</f>
        <v/>
      </c>
      <c r="BV92" s="547" t="inlineStr">
        <is>
          <t>本期利润</t>
        </is>
      </c>
      <c r="BW92" s="548">
        <f>第十一期!BT84-第十一期!BU86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AC9*比赛参数!D6+第十一期!DU26</f>
        <v/>
      </c>
      <c r="Z93" s="37">
        <f>AC10*比赛参数!D6+第十一期!DU27</f>
        <v/>
      </c>
      <c r="AA93" s="37">
        <f>AC11*比赛参数!D6+第十一期!DU28</f>
        <v/>
      </c>
      <c r="AB93" s="37">
        <f>AC12*比赛参数!D6+第十一期!DU29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IF(第十一期!$AC$9&gt;0,第十一期!$K$9*比赛参数!$D$30*比赛参数!$F$30*$CU$87/第十一期!$AC$9,0)</f>
        <v/>
      </c>
      <c r="CR93" s="294">
        <f>IF(第十一期!$AC$9&gt;0,第十一期!$K$9*比赛参数!$D$30*比赛参数!$F$30*$CU$87/第十一期!$AC$9,0)</f>
        <v/>
      </c>
      <c r="CS93" s="294">
        <f>IF(第十一期!$AC$9&gt;0,第十一期!$K$9*比赛参数!$D$30*比赛参数!$F$30*$CU$87/第十一期!$AC$9,0)</f>
        <v/>
      </c>
      <c r="CT93" s="294">
        <f>IF(第十一期!$AC$9&gt;0,第十一期!$K$9*比赛参数!$D$30*比赛参数!$F$30*$CU$87/第十一期!$AC$9,0)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IF(第十一期!$AC$10&gt;0,第十一期!$K$9*比赛参数!$D$30*比赛参数!$F$30*$CU$88/第十一期!$AC$10,0)</f>
        <v/>
      </c>
      <c r="CR94" s="294">
        <f>IF(第十一期!$AC$10&gt;0,第十一期!$K$9*比赛参数!$D$30*比赛参数!$F$30*$CU$88/第十一期!$AC$10,0)</f>
        <v/>
      </c>
      <c r="CS94" s="294">
        <f>IF(第十一期!$AC$10&gt;0,第十一期!$K$9*比赛参数!$D$30*比赛参数!$F$30*$CU$88/第十一期!$AC$10,0)</f>
        <v/>
      </c>
      <c r="CT94" s="294">
        <f>IF(第十一期!$AC$10&gt;0,第十一期!$K$9*比赛参数!$D$30*比赛参数!$F$30*$CU$88/第十一期!$AC$10,0)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IF(第十一期!$AC$11&gt;0,第十一期!$K$9*比赛参数!$D$30*比赛参数!$F$30*$CU$89/第十一期!$AC$11,0)</f>
        <v/>
      </c>
      <c r="CR95" s="294">
        <f>IF(第十一期!$AC$11&gt;0,第十一期!$K$9*比赛参数!$D$30*比赛参数!$F$30*$CU$89/第十一期!$AC$11,0)</f>
        <v/>
      </c>
      <c r="CS95" s="294">
        <f>IF(第十一期!$AC$11&gt;0,第十一期!$K$9*比赛参数!$D$30*比赛参数!$F$30*$CU$89/第十一期!$AC$11,0)</f>
        <v/>
      </c>
      <c r="CT95" s="294">
        <f>IF(第十一期!$AC$11&gt;0,第十一期!$K$9*比赛参数!$D$30*比赛参数!$F$30*$CU$89/第十一期!$AC$11,0)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第十一期!CX62</f>
        <v/>
      </c>
      <c r="Z96" s="486">
        <f>第十一期!CX63</f>
        <v/>
      </c>
      <c r="AA96" s="486">
        <f>第十一期!CX64</f>
        <v/>
      </c>
      <c r="AB96" s="486">
        <f>第十一期!CX65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IF(第十一期!$AC$12&gt;0,第十一期!$K$9*比赛参数!$D$30*比赛参数!$F$30*$CU$90/第十一期!$AC$12,0)</f>
        <v/>
      </c>
      <c r="CR96" s="294">
        <f>IF(第十一期!$AC$12&gt;0,第十一期!$K$9*比赛参数!$D$30*比赛参数!$F$30*$CU$90/第十一期!$AC$12,0)</f>
        <v/>
      </c>
      <c r="CS96" s="294">
        <f>IF(第十一期!$AC$12&gt;0,第十一期!$K$9*比赛参数!$D$30*比赛参数!$F$30*$CU$90/第十一期!$AC$12,0)</f>
        <v/>
      </c>
      <c r="CT96" s="294">
        <f>IF(第十一期!$AC$12&gt;0,第十一期!$K$9*比赛参数!$D$30*比赛参数!$F$30*$CU$90/第十一期!$AC$12,0)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第十一期!CY62</f>
        <v/>
      </c>
      <c r="Z97" s="486">
        <f>第十一期!CY63</f>
        <v/>
      </c>
      <c r="AA97" s="486">
        <f>第十一期!CY64</f>
        <v/>
      </c>
      <c r="AB97" s="486">
        <f>第十一期!CY65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第十一期!CZ62</f>
        <v/>
      </c>
      <c r="Z98" s="486">
        <f>第十一期!CZ63</f>
        <v/>
      </c>
      <c r="AA98" s="486">
        <f>第十一期!CZ64</f>
        <v/>
      </c>
      <c r="AB98" s="486">
        <f>第十一期!CZ65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第十一期!DA62</f>
        <v/>
      </c>
      <c r="Z99" s="486">
        <f>第十一期!DA63</f>
        <v/>
      </c>
      <c r="AA99" s="486">
        <f>第十一期!DA64</f>
        <v/>
      </c>
      <c r="AB99" s="486">
        <f>第十一期!DA65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(第十一期!#REF!-$BE$54)&lt;0</formula>
    </cfRule>
  </conditionalFormatting>
  <conditionalFormatting sqref="BF132:BF133">
    <cfRule dxfId="6" priority="26" stopIfTrue="1" type="expression">
      <formula>(第十一期!#REF!-$BF$54)&lt;0</formula>
    </cfRule>
  </conditionalFormatting>
  <conditionalFormatting sqref="BG132:BG133">
    <cfRule dxfId="6" priority="25" stopIfTrue="1" type="expression">
      <formula>(第十一期!#REF!-$BG$54)&lt;0</formula>
    </cfRule>
  </conditionalFormatting>
  <conditionalFormatting sqref="BH132:BH133">
    <cfRule dxfId="6" priority="24" stopIfTrue="1" type="expression">
      <formula>(第十一期!#REF!-$BH$54)&lt;0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7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R70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第十二期!AF76</f>
        <v/>
      </c>
      <c r="BT7" s="218">
        <f>第十二期!AF77</f>
        <v/>
      </c>
      <c r="BU7" s="218">
        <f>第十二期!AF78</f>
        <v/>
      </c>
      <c r="BV7" s="218">
        <f>第十二期!AF79</f>
        <v/>
      </c>
      <c r="BW7" s="467">
        <f>第十二期!$AF$80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第十二期!$AG$76</f>
        <v/>
      </c>
      <c r="BT8" s="218">
        <f>第十二期!$AG$77</f>
        <v/>
      </c>
      <c r="BU8" s="218">
        <f>第十二期!$AG$78</f>
        <v/>
      </c>
      <c r="BV8" s="218">
        <f>第十二期!$AG$79</f>
        <v/>
      </c>
      <c r="BW8" s="467">
        <f>第十二期!$AG$80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第十二期!DB56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第十二期!$AH$76</f>
        <v/>
      </c>
      <c r="BT9" s="218">
        <f>第十二期!$AH$77</f>
        <v/>
      </c>
      <c r="BU9" s="218">
        <f>第十二期!$AH$78</f>
        <v/>
      </c>
      <c r="BV9" s="218">
        <f>第十二期!$AH$79</f>
        <v/>
      </c>
      <c r="BW9" s="467">
        <f>第十二期!$AH$80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第十二期!DB57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第十二期!$AI$76</f>
        <v/>
      </c>
      <c r="BT10" s="218">
        <f>第十二期!$AI$77</f>
        <v/>
      </c>
      <c r="BU10" s="218">
        <f>第十二期!$AI$78</f>
        <v/>
      </c>
      <c r="BV10" s="218">
        <f>第十二期!$AI$79</f>
        <v/>
      </c>
      <c r="BW10" s="467">
        <f>第十二期!$AI$80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第十二期!DB58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第十二期!$AJ$76</f>
        <v/>
      </c>
      <c r="BT11" s="467">
        <f>第十二期!$AJ$77</f>
        <v/>
      </c>
      <c r="BU11" s="467">
        <f>第十二期!$AJ$78</f>
        <v/>
      </c>
      <c r="BV11" s="467">
        <f>第十二期!$AJ$79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第十二期!DB59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第十二期!BU86</f>
        <v/>
      </c>
      <c r="AG13" s="135" t="inlineStr">
        <is>
          <t>售前现金</t>
        </is>
      </c>
      <c r="AH13" s="473">
        <f>第十二期!BV76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第十二期!BW92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第十二期!K12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第十二期!Y88</f>
        <v/>
      </c>
      <c r="BT14" s="218">
        <f>第十二期!Y89</f>
        <v/>
      </c>
      <c r="BU14" s="218">
        <f>第十二期!Y90</f>
        <v/>
      </c>
      <c r="BV14" s="218">
        <f>第十二期!Y91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AF14/(Y18+第十二期!K8-AA18)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第十二期!K16*0.5-第十二期!K14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第十二期!Z88</f>
        <v/>
      </c>
      <c r="BT15" s="218">
        <f>第十二期!Z89</f>
        <v/>
      </c>
      <c r="BU15" s="218">
        <f>第十二期!Z90</f>
        <v/>
      </c>
      <c r="BV15" s="218">
        <f>第十二期!Z91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第十二期!DM60</f>
        <v/>
      </c>
      <c r="Z16" s="92" t="inlineStr">
        <is>
          <t>生产成本</t>
        </is>
      </c>
      <c r="AA16" s="485">
        <f>AH20+Y16+第十二期!K9*比赛参数!D30*比赛参数!F30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第十二期!AA88</f>
        <v/>
      </c>
      <c r="BT16" s="218">
        <f>第十二期!AA89</f>
        <v/>
      </c>
      <c r="BU16" s="218">
        <f>第十二期!AA90</f>
        <v/>
      </c>
      <c r="BV16" s="218">
        <f>第十二期!AA91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第十二期!AB88</f>
        <v/>
      </c>
      <c r="BT17" s="218">
        <f>第十二期!AB89</f>
        <v/>
      </c>
      <c r="BU17" s="218">
        <f>第十二期!AB90</f>
        <v/>
      </c>
      <c r="BV17" s="218">
        <f>第十二期!AB91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第十二期!K8*比赛参数!D57</f>
        <v/>
      </c>
      <c r="Z19" s="104" t="inlineStr">
        <is>
          <t>Min</t>
        </is>
      </c>
      <c r="AA19" s="134">
        <f>第十二期!K8*比赛参数!D60</f>
        <v/>
      </c>
      <c r="AB19" s="104" t="inlineStr">
        <is>
          <t>Min</t>
        </is>
      </c>
      <c r="AC19" s="495">
        <f>IF((AC21-第十二期!K10)/比赛参数!D41&gt;0,(AC21-第十二期!K10)/比赛参数!D41,0)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IF((第十二期!BW92-第十二期!BS87)&gt;0,第十二期!BW92-第十二期!BS87,0)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第十二期!$CX$68</f>
        <v/>
      </c>
      <c r="CD19" s="497">
        <f>第十二期!$CX$69</f>
        <v/>
      </c>
      <c r="CE19" s="497">
        <f>第十二期!$CX$70</f>
        <v/>
      </c>
      <c r="CF19" s="497">
        <f>第十二期!$CX$71</f>
        <v/>
      </c>
      <c r="CG19" s="396" t="n"/>
      <c r="CH19" s="498" t="n"/>
      <c r="CI19" s="499" t="inlineStr">
        <is>
          <t>市场1</t>
        </is>
      </c>
      <c r="CJ19" s="497">
        <f>第十二期!$CX$50</f>
        <v/>
      </c>
      <c r="CK19" s="497">
        <f>第十二期!$CX$51</f>
        <v/>
      </c>
      <c r="CL19" s="497">
        <f>第十二期!$CX$52</f>
        <v/>
      </c>
      <c r="CM19" s="497">
        <f>第十二期!$CX$53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第十二期!K8+第十二期!Y18*比赛参数!D59-第十二期!AA18</f>
        <v/>
      </c>
      <c r="Z20" s="148" t="inlineStr">
        <is>
          <t>现有机器数</t>
        </is>
      </c>
      <c r="AA20" s="272">
        <f>第十二期!K9</f>
        <v/>
      </c>
      <c r="AB20" s="148" t="inlineStr">
        <is>
          <t>可用原材料</t>
        </is>
      </c>
      <c r="AC20" s="484">
        <f>AC18*比赛参数!D41+第十二期!K10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第十二期!BS62+第十二期!BS71</f>
        <v/>
      </c>
      <c r="AI20" s="73" t="inlineStr">
        <is>
          <t>期末现金</t>
        </is>
      </c>
      <c r="AJ20" s="484">
        <f>第十二期!BV90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第十二期!Y9</f>
        <v/>
      </c>
      <c r="BT20" s="218">
        <f>第十二期!Z9</f>
        <v/>
      </c>
      <c r="BU20" s="218">
        <f>第十二期!AA9</f>
        <v/>
      </c>
      <c r="BV20" s="218">
        <f>第十二期!AB9</f>
        <v/>
      </c>
      <c r="BW20" s="467">
        <f>第十二期!AJ34</f>
        <v/>
      </c>
      <c r="BX20" s="215" t="n"/>
      <c r="CA20" s="213" t="n"/>
      <c r="CB20" s="196" t="inlineStr">
        <is>
          <t>市场2</t>
        </is>
      </c>
      <c r="CC20" s="497">
        <f>第十二期!$CY$68</f>
        <v/>
      </c>
      <c r="CD20" s="497">
        <f>第十二期!$CY$69</f>
        <v/>
      </c>
      <c r="CE20" s="497">
        <f>第十二期!$CY$70</f>
        <v/>
      </c>
      <c r="CF20" s="497">
        <f>第十二期!$CY$71</f>
        <v/>
      </c>
      <c r="CG20" s="396" t="n"/>
      <c r="CH20" s="498" t="n"/>
      <c r="CI20" s="502" t="inlineStr">
        <is>
          <t>市场2</t>
        </is>
      </c>
      <c r="CJ20" s="497">
        <f>第十二期!$CY$50</f>
        <v/>
      </c>
      <c r="CK20" s="497">
        <f>第十二期!$CY$51</f>
        <v/>
      </c>
      <c r="CL20" s="497">
        <f>第十二期!$CY$52</f>
        <v/>
      </c>
      <c r="CM20" s="497">
        <f>第十二期!$CY$53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第十二期!Y10</f>
        <v/>
      </c>
      <c r="BT21" s="218">
        <f>第十二期!Z10</f>
        <v/>
      </c>
      <c r="BU21" s="218">
        <f>第十二期!AA10</f>
        <v/>
      </c>
      <c r="BV21" s="218">
        <f>第十二期!AB10</f>
        <v/>
      </c>
      <c r="BW21" s="467">
        <f>第十二期!AJ35</f>
        <v/>
      </c>
      <c r="BX21" s="215" t="n"/>
      <c r="CA21" s="213" t="n"/>
      <c r="CB21" s="196" t="inlineStr">
        <is>
          <t>市场3</t>
        </is>
      </c>
      <c r="CC21" s="497">
        <f>第十二期!$CZ$68</f>
        <v/>
      </c>
      <c r="CD21" s="497">
        <f>第十二期!$CZ$69</f>
        <v/>
      </c>
      <c r="CE21" s="497">
        <f>第十二期!$CZ$70</f>
        <v/>
      </c>
      <c r="CF21" s="497">
        <f>第十二期!$CZ$71</f>
        <v/>
      </c>
      <c r="CG21" s="396" t="n"/>
      <c r="CH21" s="498" t="n"/>
      <c r="CI21" s="502" t="inlineStr">
        <is>
          <t>市场3</t>
        </is>
      </c>
      <c r="CJ21" s="497">
        <f>第十二期!$CZ$50</f>
        <v/>
      </c>
      <c r="CK21" s="497">
        <f>第十二期!$CZ$51</f>
        <v/>
      </c>
      <c r="CL21" s="497">
        <f>第十二期!$CZ$52</f>
        <v/>
      </c>
      <c r="CM21" s="497">
        <f>第十二期!$CZ$53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第十二期!Y11</f>
        <v/>
      </c>
      <c r="BT22" s="218">
        <f>第十二期!Z11</f>
        <v/>
      </c>
      <c r="BU22" s="218">
        <f>第十二期!AA11</f>
        <v/>
      </c>
      <c r="BV22" s="218">
        <f>第十二期!AB11</f>
        <v/>
      </c>
      <c r="BW22" s="467">
        <f>第十二期!AJ36</f>
        <v/>
      </c>
      <c r="BX22" s="215" t="n"/>
      <c r="CA22" s="213" t="n"/>
      <c r="CB22" s="196" t="inlineStr">
        <is>
          <t>市场4</t>
        </is>
      </c>
      <c r="CC22" s="497">
        <f>第十二期!$DA$68</f>
        <v/>
      </c>
      <c r="CD22" s="497">
        <f>第十二期!$DA$69</f>
        <v/>
      </c>
      <c r="CE22" s="497">
        <f>第十二期!$DA$70</f>
        <v/>
      </c>
      <c r="CF22" s="497">
        <f>第十二期!$DA$71</f>
        <v/>
      </c>
      <c r="CG22" s="396" t="n"/>
      <c r="CH22" s="498" t="n"/>
      <c r="CI22" s="502" t="inlineStr">
        <is>
          <t>市场4</t>
        </is>
      </c>
      <c r="CJ22" s="497">
        <f>第十二期!$DA$50</f>
        <v/>
      </c>
      <c r="CK22" s="497">
        <f>第十二期!$DA$51</f>
        <v/>
      </c>
      <c r="CL22" s="497">
        <f>第十二期!$DA$52</f>
        <v/>
      </c>
      <c r="CM22" s="497">
        <f>第十二期!$DA$53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第十二期!Y12</f>
        <v/>
      </c>
      <c r="BT23" s="218">
        <f>第十二期!Z12</f>
        <v/>
      </c>
      <c r="BU23" s="218">
        <f>第十二期!AA12</f>
        <v/>
      </c>
      <c r="BV23" s="218">
        <f>第十二期!AB12</f>
        <v/>
      </c>
      <c r="BW23" s="467">
        <f>第十二期!AJ37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第十二期!BV57-第十二期!BV76</f>
        <v/>
      </c>
      <c r="AJ26" s="294">
        <f>第十二期!K9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第十二期!DB50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第十二期!Y18</f>
        <v/>
      </c>
      <c r="BT26" s="218">
        <f>第十二期!AA18</f>
        <v/>
      </c>
      <c r="BU26" s="218">
        <f>第十二期!AF18</f>
        <v/>
      </c>
      <c r="BV26" s="511">
        <f>第十二期!AC18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第十二期!DB51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第十二期!DB52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第十二期!DB53</f>
        <v/>
      </c>
      <c r="BQ29" s="507" t="n"/>
      <c r="BS29" s="511">
        <f>第十二期!AH14</f>
        <v/>
      </c>
      <c r="BT29" s="511">
        <f>第十二期!AH15</f>
        <v/>
      </c>
      <c r="BU29" s="218">
        <f>第十二期!AF20</f>
        <v/>
      </c>
      <c r="BV29" s="511">
        <f>第十二期!AJ18</f>
        <v/>
      </c>
      <c r="BW29" s="218">
        <f>第十二期!AH18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INT(第十二期!DV26)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INT(第十二期!DV27)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INT(第十二期!DV28)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INT(第十二期!DV29)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第十二期!DG56*第十二期!DG50+第十二期!DG64*第十二期!Y88</f>
        <v/>
      </c>
      <c r="CD38" s="272">
        <f>第十二期!DH56*第十二期!DH50+第十二期!DH64*第十二期!Z88</f>
        <v/>
      </c>
      <c r="CE38" s="272">
        <f>第十二期!DI56*第十二期!DI50+第十二期!DI64*第十二期!AA88</f>
        <v/>
      </c>
      <c r="CF38" s="272">
        <f>第十二期!DJ56*第十二期!DJ50+第十二期!DJ64*第十二期!AB88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第十二期!DG57*第十二期!DG51+第十二期!DG65*第十二期!Y89</f>
        <v/>
      </c>
      <c r="CD39" s="272">
        <f>第十二期!DH57*第十二期!DH51+第十二期!DH65*第十二期!Z89</f>
        <v/>
      </c>
      <c r="CE39" s="272">
        <f>第十二期!DI57*第十二期!DI51+第十二期!DI65*第十二期!AA89</f>
        <v/>
      </c>
      <c r="CF39" s="272">
        <f>第十二期!DJ57*第十二期!DJ51+第十二期!DJ65*第十二期!AB89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第十二期!DG58*第十二期!DG52+第十二期!DG66*第十二期!Y90</f>
        <v/>
      </c>
      <c r="CD40" s="272">
        <f>第十二期!DH58*第十二期!DH52+第十二期!DH66*第十二期!Z90</f>
        <v/>
      </c>
      <c r="CE40" s="272">
        <f>第十二期!DI58*第十二期!DI52+第十二期!DI66*第十二期!AA90</f>
        <v/>
      </c>
      <c r="CF40" s="272">
        <f>第十二期!DJ58*第十二期!DJ52+第十二期!DJ66*第十二期!AB90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第十二期!DG59*第十二期!DG53+第十二期!DG67*第十二期!Y91</f>
        <v/>
      </c>
      <c r="CD41" s="272">
        <f>第十二期!DH59*第十二期!DH53+第十二期!DH67*第十二期!Z91</f>
        <v/>
      </c>
      <c r="CE41" s="272">
        <f>第十二期!DI59*第十二期!DI53+第十二期!DI67*第十二期!AA91</f>
        <v/>
      </c>
      <c r="CF41" s="272">
        <f>第十二期!DJ59*第十二期!DJ53+第十二期!DJ67*第十二期!AB91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第十二期!Y9*第十二期!CQ62*比赛参数!D65</f>
        <v/>
      </c>
      <c r="CR50" s="294">
        <f>第十二期!Z9*第十二期!CR62*比赛参数!E65</f>
        <v/>
      </c>
      <c r="CS50" s="294">
        <f>第十二期!AA9*第十二期!CS62*比赛参数!F65</f>
        <v/>
      </c>
      <c r="CT50" s="294">
        <f>第十二期!AB9*第十二期!CT62*比赛参数!G65</f>
        <v/>
      </c>
      <c r="CU50" s="294">
        <f>IF(第十二期!AC9&gt;0,SUM(CQ50:CT50)/第十二期!AC9,0)</f>
        <v/>
      </c>
      <c r="CW50" s="11" t="inlineStr">
        <is>
          <t>A产品</t>
        </is>
      </c>
      <c r="CX50" s="525">
        <f>IF(第十二期!$CU$50*第十二期!CQ93&gt;0,第十二期!$CU$50+第十二期!CQ68+第十二期!CQ93+第十二期!CQ74,0)</f>
        <v/>
      </c>
      <c r="CY50" s="525">
        <f>IF(第十二期!$CU$50*第十二期!CR93&gt;0,第十二期!$CU$50+第十二期!CR68+第十二期!CR93+第十二期!CR74,0)</f>
        <v/>
      </c>
      <c r="CZ50" s="525">
        <f>IF(第十二期!$CU$50*第十二期!CS93&gt;0,第十二期!$CU$50+第十二期!CS68+第十二期!CS93+第十二期!CS74,0)</f>
        <v/>
      </c>
      <c r="DA50" s="525">
        <f>IF(第十二期!$CU$50*第十二期!CT93&gt;0,第十二期!$CU$50+第十二期!CT68+第十二期!CT93+第十二期!CT74,0)</f>
        <v/>
      </c>
      <c r="DB50" s="525">
        <f>AVERAGE(CX50:DA50)</f>
        <v/>
      </c>
      <c r="DF50" s="294" t="inlineStr">
        <is>
          <t>市场1</t>
        </is>
      </c>
      <c r="DG50" s="247">
        <f>IF(第十二期!Y88&gt;0,1,0)</f>
        <v/>
      </c>
      <c r="DH50" s="247">
        <f>IF(第十二期!Z88&gt;0,1,0)</f>
        <v/>
      </c>
      <c r="DI50" s="247">
        <f>IF(第十二期!AA88&gt;0,1,0)</f>
        <v/>
      </c>
      <c r="DJ50" s="247">
        <f>IF(第十二期!AB88&gt;0,1,0)</f>
        <v/>
      </c>
      <c r="DL50" s="247" t="inlineStr">
        <is>
          <t>产品A</t>
        </is>
      </c>
      <c r="DM50" s="248">
        <f>IF(第十二期!Y9+第十二期!Z9&gt;0,1,0)</f>
        <v/>
      </c>
      <c r="DN50" s="248">
        <f>IF(第十二期!AA9+第十二期!AB9&gt;0,1,0)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第十二期!Y10*第十二期!CQ63*比赛参数!D65</f>
        <v/>
      </c>
      <c r="CR51" s="294">
        <f>第十二期!Z10*第十二期!CR63*比赛参数!E65</f>
        <v/>
      </c>
      <c r="CS51" s="294">
        <f>第十二期!AA10*第十二期!CS63*比赛参数!F65</f>
        <v/>
      </c>
      <c r="CT51" s="294">
        <f>第十二期!AB10*第十二期!CT63*比赛参数!G65</f>
        <v/>
      </c>
      <c r="CU51" s="294">
        <f>IF(第十二期!AC10&gt;0,SUM(CQ51:CT51)/第十二期!AC10,0)</f>
        <v/>
      </c>
      <c r="CW51" s="11" t="inlineStr">
        <is>
          <t>B产品</t>
        </is>
      </c>
      <c r="CX51" s="525">
        <f>IF(第十二期!$CU$51*第十二期!CQ94&gt;0,第十二期!$CU$51+第十二期!CQ69+第十二期!CQ94+第十二期!CQ75,0)</f>
        <v/>
      </c>
      <c r="CY51" s="525">
        <f>IF(第十二期!$CU$51*第十二期!CR94&gt;0,第十二期!$CU$51+第十二期!CR69+第十二期!CR94+第十二期!CR75,0)</f>
        <v/>
      </c>
      <c r="CZ51" s="525">
        <f>IF(第十二期!$CU$51*第十二期!CS94&gt;0,第十二期!$CU$51+第十二期!CS69+第十二期!CS94+第十二期!CS75,0)</f>
        <v/>
      </c>
      <c r="DA51" s="525">
        <f>IF(第十二期!$CU$51*第十二期!CT94&gt;0,第十二期!$CU$51+第十二期!CT69+第十二期!CT94+第十二期!CT75,0)</f>
        <v/>
      </c>
      <c r="DB51" s="525">
        <f>AVERAGE(CX51:DA51)</f>
        <v/>
      </c>
      <c r="DF51" s="294" t="inlineStr">
        <is>
          <t>市场2</t>
        </is>
      </c>
      <c r="DG51" s="247">
        <f>IF(第十二期!Y89&gt;0,1,0)</f>
        <v/>
      </c>
      <c r="DH51" s="247">
        <f>IF(第十二期!Z89&gt;0,1,0)</f>
        <v/>
      </c>
      <c r="DI51" s="247">
        <f>IF(第十二期!AA89&gt;0,1,0)</f>
        <v/>
      </c>
      <c r="DJ51" s="247">
        <f>IF(第十二期!AB89&gt;0,1,0)</f>
        <v/>
      </c>
      <c r="DL51" s="247" t="inlineStr">
        <is>
          <t>产品B</t>
        </is>
      </c>
      <c r="DM51" s="248">
        <f>IF(第十二期!Y10+第十二期!Z10&gt;0,1,0)</f>
        <v/>
      </c>
      <c r="DN51" s="248">
        <f>IF(第十二期!AA10+第十二期!AB10&gt;0,1,0)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第十二期!Y11*第十二期!CQ64*比赛参数!D65</f>
        <v/>
      </c>
      <c r="CR52" s="294">
        <f>第十二期!Z11*第十二期!CR64*比赛参数!E65</f>
        <v/>
      </c>
      <c r="CS52" s="294">
        <f>第十二期!AA11*第十二期!CS64*比赛参数!F65</f>
        <v/>
      </c>
      <c r="CT52" s="294">
        <f>第十二期!AB11*第十二期!CT64*比赛参数!G65</f>
        <v/>
      </c>
      <c r="CU52" s="294">
        <f>IF(第十二期!AC11&gt;0,SUM(CQ52:CT52)/第十二期!AC11,0)</f>
        <v/>
      </c>
      <c r="CW52" s="11" t="inlineStr">
        <is>
          <t>C产品</t>
        </is>
      </c>
      <c r="CX52" s="525">
        <f>IF(第十二期!$CU$52*第十二期!CQ95&gt;0,第十二期!$CU$52+第十二期!CQ70+第十二期!CQ95+第十二期!CQ76,0)</f>
        <v/>
      </c>
      <c r="CY52" s="525">
        <f>IF(第十二期!$CU$52*第十二期!CR95&gt;0,第十二期!$CU$52+第十二期!CR70+第十二期!CR95+第十二期!CR76,0)</f>
        <v/>
      </c>
      <c r="CZ52" s="525">
        <f>IF(第十二期!$CU$52*第十二期!CS95&gt;0,第十二期!$CU$52+第十二期!CS70+第十二期!CS95+第十二期!CS76,0)</f>
        <v/>
      </c>
      <c r="DA52" s="525">
        <f>IF(第十二期!$CU$52*第十二期!CT95&gt;0,第十二期!$CU$52+第十二期!CT70+第十二期!CT95+第十二期!CT76,0)</f>
        <v/>
      </c>
      <c r="DB52" s="525">
        <f>AVERAGE(CX52:DA52)</f>
        <v/>
      </c>
      <c r="DF52" s="294" t="inlineStr">
        <is>
          <t>市场3</t>
        </is>
      </c>
      <c r="DG52" s="247">
        <f>IF(第十二期!Y90&gt;0,1,0)</f>
        <v/>
      </c>
      <c r="DH52" s="247">
        <f>IF(第十二期!Z90&gt;0,1,0)</f>
        <v/>
      </c>
      <c r="DI52" s="247">
        <f>IF(第十二期!AA90&gt;0,1,0)</f>
        <v/>
      </c>
      <c r="DJ52" s="247">
        <f>IF(第十二期!AB90&gt;0,1,0)</f>
        <v/>
      </c>
      <c r="DL52" s="247" t="inlineStr">
        <is>
          <t>产品C</t>
        </is>
      </c>
      <c r="DM52" s="248">
        <f>IF(第十二期!Y11+第十二期!Z11&gt;0,1,0)</f>
        <v/>
      </c>
      <c r="DN52" s="248">
        <f>IF(第十二期!AA11+第十二期!AB11&gt;0,1,0)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第十二期!Y12*第十二期!CQ65*比赛参数!D65</f>
        <v/>
      </c>
      <c r="CR53" s="294">
        <f>第十二期!Z12*第十二期!CR65*比赛参数!E65</f>
        <v/>
      </c>
      <c r="CS53" s="294">
        <f>第十二期!AA12*第十二期!CS65*比赛参数!F65</f>
        <v/>
      </c>
      <c r="CT53" s="294">
        <f>第十二期!AB12*第十二期!CT65*比赛参数!G65</f>
        <v/>
      </c>
      <c r="CU53" s="294">
        <f>IF(第十二期!AC12&gt;0,SUM(CQ53:CT53)/第十二期!AC12,0)</f>
        <v/>
      </c>
      <c r="CW53" s="11" t="inlineStr">
        <is>
          <t>D产品</t>
        </is>
      </c>
      <c r="CX53" s="525">
        <f>IF(第十二期!$CU$53*第十二期!CQ96&gt;0,第十二期!$CU$53+第十二期!CQ71+第十二期!CQ96+第十二期!CQ77,0)</f>
        <v/>
      </c>
      <c r="CY53" s="525">
        <f>IF(第十二期!$CU$53*第十二期!CR96&gt;0,第十二期!$CU$53+第十二期!CR71+第十二期!CR96+第十二期!CR77,0)</f>
        <v/>
      </c>
      <c r="CZ53" s="525">
        <f>IF(第十二期!$CU$53*第十二期!CS96&gt;0,第十二期!$CU$53+第十二期!CS71+第十二期!CS96+第十二期!CS77,0)</f>
        <v/>
      </c>
      <c r="DA53" s="525">
        <f>IF(第十二期!$CU$53*第十二期!CT96&gt;0,第十二期!$CU$53+第十二期!CT71+第十二期!CT96+第十二期!CT77,0)</f>
        <v/>
      </c>
      <c r="DB53" s="525">
        <f>AVERAGE(CX53:DA53)</f>
        <v/>
      </c>
      <c r="DF53" s="294" t="inlineStr">
        <is>
          <t>市场4</t>
        </is>
      </c>
      <c r="DG53" s="247">
        <f>IF(第十二期!Y91&gt;0,1,0)</f>
        <v/>
      </c>
      <c r="DH53" s="247">
        <f>IF(第十二期!Z91&gt;0,1,0)</f>
        <v/>
      </c>
      <c r="DI53" s="247">
        <f>IF(第十二期!AA91&gt;0,1,0)</f>
        <v/>
      </c>
      <c r="DJ53" s="247">
        <f>IF(第十二期!AB91&gt;0,1,0)</f>
        <v/>
      </c>
      <c r="DL53" s="247" t="inlineStr">
        <is>
          <t>产品D</t>
        </is>
      </c>
      <c r="DM53" s="248">
        <f>IF(第十二期!Y12+第十二期!Z12&gt;0,1,0)</f>
        <v/>
      </c>
      <c r="DN53" s="248">
        <f>IF(第十二期!AA12+第十二期!AB12&gt;0,1,0)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第十二期!K11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第十二期!AH14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第十二期!DU26</f>
        <v/>
      </c>
      <c r="CD56" s="272">
        <f>第十二期!DU27</f>
        <v/>
      </c>
      <c r="CE56" s="272">
        <f>第十二期!DU28</f>
        <v/>
      </c>
      <c r="CF56" s="272">
        <f>第十二期!DU29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第十二期!BS7-第十二期!CX50</f>
        <v/>
      </c>
      <c r="CY56" s="525">
        <f>第十二期!BT7-第十二期!CY50</f>
        <v/>
      </c>
      <c r="CZ56" s="525">
        <f>第十二期!BU7-第十二期!CZ50</f>
        <v/>
      </c>
      <c r="DA56" s="525">
        <f>第十二期!BV7-第十二期!DA50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第十二期!DX6</f>
        <v/>
      </c>
      <c r="Z57" s="272">
        <f>第十二期!DX10</f>
        <v/>
      </c>
      <c r="AA57" s="272">
        <f>第十二期!DX14</f>
        <v/>
      </c>
      <c r="AB57" s="272">
        <f>第十二期!DX18</f>
        <v/>
      </c>
      <c r="AC57" s="234" t="n"/>
      <c r="AE57" s="64" t="inlineStr">
        <is>
          <t>市场1</t>
        </is>
      </c>
      <c r="AF57" s="272">
        <f>第十二期!DW6</f>
        <v/>
      </c>
      <c r="AG57" s="272">
        <f>第十二期!DW10</f>
        <v/>
      </c>
      <c r="AH57" s="272">
        <f>第十二期!DW14</f>
        <v/>
      </c>
      <c r="AI57" s="272">
        <f>第十二期!DW18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第十二期!AH15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第十二期!BS8-第十二期!CX51</f>
        <v/>
      </c>
      <c r="CY57" s="525">
        <f>第十二期!BT8-第十二期!CY51</f>
        <v/>
      </c>
      <c r="CZ57" s="525">
        <f>第十二期!BU8-第十二期!CZ51</f>
        <v/>
      </c>
      <c r="DA57" s="525">
        <f>第十二期!BV8-第十二期!DA51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第十二期!DX7</f>
        <v/>
      </c>
      <c r="Z58" s="272">
        <f>第十二期!DX11</f>
        <v/>
      </c>
      <c r="AA58" s="272">
        <f>第十二期!DX15</f>
        <v/>
      </c>
      <c r="AB58" s="272">
        <f>第十二期!DX19</f>
        <v/>
      </c>
      <c r="AC58" s="234" t="n"/>
      <c r="AE58" s="11" t="inlineStr">
        <is>
          <t>市场2</t>
        </is>
      </c>
      <c r="AF58" s="272">
        <f>第十二期!DW7</f>
        <v/>
      </c>
      <c r="AG58" s="272">
        <f>第十二期!DW11</f>
        <v/>
      </c>
      <c r="AH58" s="272">
        <f>第十二期!DW15</f>
        <v/>
      </c>
      <c r="AI58" s="272">
        <f>第十二期!DW19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第十二期!H5+第十二期!H4*比赛参数!F71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第十二期!BS9-第十二期!CX52</f>
        <v/>
      </c>
      <c r="CY58" s="525">
        <f>第十二期!BT9-第十二期!CY52</f>
        <v/>
      </c>
      <c r="CZ58" s="525">
        <f>第十二期!BU9-第十二期!CZ52</f>
        <v/>
      </c>
      <c r="DA58" s="525">
        <f>第十二期!BV9-第十二期!DA52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第十二期!DX8</f>
        <v/>
      </c>
      <c r="Z59" s="272">
        <f>第十二期!DX12</f>
        <v/>
      </c>
      <c r="AA59" s="272">
        <f>第十二期!DX16</f>
        <v/>
      </c>
      <c r="AB59" s="272">
        <f>第十二期!DX20</f>
        <v/>
      </c>
      <c r="AC59" s="235" t="n"/>
      <c r="AE59" s="11" t="inlineStr">
        <is>
          <t>市场3</t>
        </is>
      </c>
      <c r="AF59" s="272">
        <f>第十二期!DW8</f>
        <v/>
      </c>
      <c r="AG59" s="272">
        <f>第十二期!DW12</f>
        <v/>
      </c>
      <c r="AH59" s="272">
        <f>第十二期!DW16</f>
        <v/>
      </c>
      <c r="AI59" s="272">
        <f>第十二期!DW20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第十二期!K14*比赛参数!D71/4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第十二期!BS10-第十二期!CX53</f>
        <v/>
      </c>
      <c r="CY59" s="525">
        <f>第十二期!BT10-第十二期!CY53</f>
        <v/>
      </c>
      <c r="CZ59" s="525">
        <f>第十二期!BU10-第十二期!CZ53</f>
        <v/>
      </c>
      <c r="DA59" s="525">
        <f>第十二期!BV10-第十二期!DA53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第十二期!DX9</f>
        <v/>
      </c>
      <c r="Z60" s="272">
        <f>第十二期!DX13</f>
        <v/>
      </c>
      <c r="AA60" s="272">
        <f>第十二期!DX17</f>
        <v/>
      </c>
      <c r="AB60" s="272">
        <f>第十二期!DX21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第十二期!DW9</f>
        <v/>
      </c>
      <c r="AG60" s="272">
        <f>第十二期!DW13</f>
        <v/>
      </c>
      <c r="AH60" s="272">
        <f>第十二期!DW17</f>
        <v/>
      </c>
      <c r="AI60" s="272">
        <f>第十二期!DW21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第十二期!Y18*比赛参数!D58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第十二期!AA18*比赛参数!D62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((第十二期!K8-第十二期!AA18)*比赛参数!D65+第十二期!Y18*比赛参数!D59*比赛参数!D65)*第十二期!AH18*520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CX56/第十二期!CQ56</f>
        <v/>
      </c>
      <c r="CY62" s="525">
        <f>CY56/第十二期!CR56</f>
        <v/>
      </c>
      <c r="CZ62" s="525">
        <f>CZ56/第十二期!CS56</f>
        <v/>
      </c>
      <c r="DA62" s="525">
        <f>DA56/第十二期!CT56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第十二期!K9*比赛参数!D49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CX57/第十二期!CQ57</f>
        <v/>
      </c>
      <c r="CY63" s="525">
        <f>CY57/第十二期!CR57</f>
        <v/>
      </c>
      <c r="CZ63" s="525">
        <f>CZ57/第十二期!CS57</f>
        <v/>
      </c>
      <c r="DA63" s="525">
        <f>DA57/第十二期!CT57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第十二期!AL37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CX58/第十二期!CQ58</f>
        <v/>
      </c>
      <c r="CY64" s="525">
        <f>CY58/第十二期!CR58</f>
        <v/>
      </c>
      <c r="CZ64" s="525">
        <f>CZ58/第十二期!CS58</f>
        <v/>
      </c>
      <c r="DA64" s="525">
        <f>DA58/第十二期!CT58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0.5*第十二期!AL37+0.5*第十二期!DV23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CX59/第十二期!CQ59</f>
        <v/>
      </c>
      <c r="CY65" s="525">
        <f>CY59/第十二期!CR59</f>
        <v/>
      </c>
      <c r="CZ65" s="525">
        <f>CZ59/第十二期!CS59</f>
        <v/>
      </c>
      <c r="DA65" s="525">
        <f>DA59/第十二期!CT59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第十二期!AC18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二期!AC18&gt;=比赛参数!D33,(1-比赛参数!E33)*第十二期!AC18,0)+IF(AND(第十二期!AC18&gt;=比赛参数!D34,第十二期!AC18&lt;比赛参数!D33),(1-比赛参数!E34)*第十二期!AC18,0)+IF(AND(第十二期!AC18&gt;=比赛参数!D35,第十二期!AC18&lt;比赛参数!D34),(1-比赛参数!E35)*第十二期!AC18,0)+IF(AND(第十二期!AC18&gt;=比赛参数!D36,第十二期!AC18&lt;比赛参数!D35),(1-比赛参数!E36)*第十二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第十二期!DV6</f>
        <v/>
      </c>
      <c r="AG70" s="131">
        <f>第十二期!DV10</f>
        <v/>
      </c>
      <c r="AH70" s="131">
        <f>第十二期!DV14</f>
        <v/>
      </c>
      <c r="AI70" s="131">
        <f>第十二期!DV18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IF(第十二期!AC18&gt;0,第十二期!AC18*比赛参数!E40+比赛参数!E39,0)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第十二期!DV7</f>
        <v/>
      </c>
      <c r="AG71" s="131">
        <f>第十二期!DV11</f>
        <v/>
      </c>
      <c r="AH71" s="131">
        <f>第十二期!DV15</f>
        <v/>
      </c>
      <c r="AI71" s="131">
        <f>第十二期!DV19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(第十二期!Z13*比赛参数!E65*260+第十二期!AA13*(比赛参数!F65-比赛参数!D65)*520+第十二期!AB13*比赛参数!G65*260)*第十二期!AH18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第十二期!DV8</f>
        <v/>
      </c>
      <c r="AG72" s="131">
        <f>第十二期!DV12</f>
        <v/>
      </c>
      <c r="AH72" s="131">
        <f>第十二期!DV16</f>
        <v/>
      </c>
      <c r="AI72" s="131">
        <f>第十二期!DV20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第十二期!DM60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第十二期!DV9</f>
        <v/>
      </c>
      <c r="AG73" s="131">
        <f>第十二期!DV13</f>
        <v/>
      </c>
      <c r="AH73" s="131">
        <f>第十二期!DV17</f>
        <v/>
      </c>
      <c r="AI73" s="131">
        <f>第十二期!DV21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第十二期!AC21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第十二期!CG42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SUM(第十二期!AF80:AI80)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SUM(第十二期!AJ76:AJ79)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第十二期!CG53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第十二期!CN53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第十二期!K9*比赛参数!D30*比赛参数!F30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第十二期!CG65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第十二期!Y9*第十二期!CQ56</f>
        <v/>
      </c>
      <c r="CR80" s="294">
        <f>第十二期!Z9*第十二期!CR56</f>
        <v/>
      </c>
      <c r="CS80" s="294">
        <f>第十二期!AA9*第十二期!CS56</f>
        <v/>
      </c>
      <c r="CT80" s="294">
        <f>第十二期!AB9*第十二期!CT56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(第十二期!K10+(第十二期!AC18+第十二期!K10-第十二期!AC21))/2*比赛参数!D16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第十二期!Y10*第十二期!CQ57</f>
        <v/>
      </c>
      <c r="CR81" s="294">
        <f>第十二期!Z10*第十二期!CR57</f>
        <v/>
      </c>
      <c r="CS81" s="294">
        <f>第十二期!AA10*第十二期!CS57</f>
        <v/>
      </c>
      <c r="CT81" s="294">
        <f>第十二期!AB10*第十二期!CT57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第十二期!CG67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第十二期!Y11*第十二期!CQ58</f>
        <v/>
      </c>
      <c r="CR82" s="294">
        <f>第十二期!Z11*第十二期!CR58</f>
        <v/>
      </c>
      <c r="CS82" s="294">
        <f>第十二期!AA11*第十二期!CS58</f>
        <v/>
      </c>
      <c r="CT82" s="294">
        <f>第十二期!AB11*第十二期!CT58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第十二期!K13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第十二期!Y12*第十二期!CQ59</f>
        <v/>
      </c>
      <c r="CR83" s="294">
        <f>第十二期!Z12*第十二期!CR59</f>
        <v/>
      </c>
      <c r="CS83" s="294">
        <f>第十二期!AA12*第十二期!CS59</f>
        <v/>
      </c>
      <c r="CT83" s="294">
        <f>第十二期!AB12*第十二期!CT59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第十二期!K13*比赛参数!D70/4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第十二期!AH14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第十二期!DS33</f>
        <v/>
      </c>
      <c r="AG86" s="131">
        <f>第十二期!DW33</f>
        <v/>
      </c>
      <c r="AH86" s="131">
        <f>第十二期!EA33</f>
        <v/>
      </c>
      <c r="AI86" s="131">
        <f>第十二期!EE33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第十二期!AH14*比赛参数!D69/4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第十二期!DT33</f>
        <v/>
      </c>
      <c r="AG87" s="131">
        <f>第十二期!DX33</f>
        <v/>
      </c>
      <c r="AH87" s="131">
        <f>第十二期!EB33</f>
        <v/>
      </c>
      <c r="AI87" s="131">
        <f>第十二期!EF33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IF(第十二期!BW92&gt;0,IF((第十二期!K15+第十二期!BW92*比赛参数!D72)&gt;0,第十二期!K15+第十二期!BW92*比赛参数!D72,0))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第十二期!DU33</f>
        <v/>
      </c>
      <c r="AG88" s="131">
        <f>第十二期!DY33</f>
        <v/>
      </c>
      <c r="AH88" s="131">
        <f>第十二期!EC33</f>
        <v/>
      </c>
      <c r="AI88" s="131">
        <f>第十二期!EG33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第十二期!AF18*比赛参数!D30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第十二期!DV33</f>
        <v/>
      </c>
      <c r="AG89" s="131">
        <f>第十二期!DZ33</f>
        <v/>
      </c>
      <c r="AH89" s="131">
        <f>第十二期!ED33</f>
        <v/>
      </c>
      <c r="AI89" s="131">
        <f>第十二期!EH33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第十二期!AJ18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第十二期!AF20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第十二期!BT84</f>
        <v/>
      </c>
      <c r="BT92" s="546" t="inlineStr">
        <is>
          <t>本期成本</t>
        </is>
      </c>
      <c r="BU92" s="478">
        <f>第十二期!BU86</f>
        <v/>
      </c>
      <c r="BV92" s="547" t="inlineStr">
        <is>
          <t>本期利润</t>
        </is>
      </c>
      <c r="BW92" s="548">
        <f>第十二期!BT84-第十二期!BU86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AC9*比赛参数!D6+第十二期!DU26</f>
        <v/>
      </c>
      <c r="Z93" s="37">
        <f>AC10*比赛参数!D6+第十二期!DU27</f>
        <v/>
      </c>
      <c r="AA93" s="37">
        <f>AC11*比赛参数!D6+第十二期!DU28</f>
        <v/>
      </c>
      <c r="AB93" s="37">
        <f>AC12*比赛参数!D6+第十二期!DU29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IF(第十二期!$AC$9&gt;0,第十二期!$K$9*比赛参数!$D$30*比赛参数!$F$30*$CU$87/第十二期!$AC$9,0)</f>
        <v/>
      </c>
      <c r="CR93" s="294">
        <f>IF(第十二期!$AC$9&gt;0,第十二期!$K$9*比赛参数!$D$30*比赛参数!$F$30*$CU$87/第十二期!$AC$9,0)</f>
        <v/>
      </c>
      <c r="CS93" s="294">
        <f>IF(第十二期!$AC$9&gt;0,第十二期!$K$9*比赛参数!$D$30*比赛参数!$F$30*$CU$87/第十二期!$AC$9,0)</f>
        <v/>
      </c>
      <c r="CT93" s="294">
        <f>IF(第十二期!$AC$9&gt;0,第十二期!$K$9*比赛参数!$D$30*比赛参数!$F$30*$CU$87/第十二期!$AC$9,0)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IF(第十二期!$AC$10&gt;0,第十二期!$K$9*比赛参数!$D$30*比赛参数!$F$30*$CU$88/第十二期!$AC$10,0)</f>
        <v/>
      </c>
      <c r="CR94" s="294">
        <f>IF(第十二期!$AC$10&gt;0,第十二期!$K$9*比赛参数!$D$30*比赛参数!$F$30*$CU$88/第十二期!$AC$10,0)</f>
        <v/>
      </c>
      <c r="CS94" s="294">
        <f>IF(第十二期!$AC$10&gt;0,第十二期!$K$9*比赛参数!$D$30*比赛参数!$F$30*$CU$88/第十二期!$AC$10,0)</f>
        <v/>
      </c>
      <c r="CT94" s="294">
        <f>IF(第十二期!$AC$10&gt;0,第十二期!$K$9*比赛参数!$D$30*比赛参数!$F$30*$CU$88/第十二期!$AC$10,0)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IF(第十二期!$AC$11&gt;0,第十二期!$K$9*比赛参数!$D$30*比赛参数!$F$30*$CU$89/第十二期!$AC$11,0)</f>
        <v/>
      </c>
      <c r="CR95" s="294">
        <f>IF(第十二期!$AC$11&gt;0,第十二期!$K$9*比赛参数!$D$30*比赛参数!$F$30*$CU$89/第十二期!$AC$11,0)</f>
        <v/>
      </c>
      <c r="CS95" s="294">
        <f>IF(第十二期!$AC$11&gt;0,第十二期!$K$9*比赛参数!$D$30*比赛参数!$F$30*$CU$89/第十二期!$AC$11,0)</f>
        <v/>
      </c>
      <c r="CT95" s="294">
        <f>IF(第十二期!$AC$11&gt;0,第十二期!$K$9*比赛参数!$D$30*比赛参数!$F$30*$CU$89/第十二期!$AC$11,0)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第十二期!CX62</f>
        <v/>
      </c>
      <c r="Z96" s="486">
        <f>第十二期!CX63</f>
        <v/>
      </c>
      <c r="AA96" s="486">
        <f>第十二期!CX64</f>
        <v/>
      </c>
      <c r="AB96" s="486">
        <f>第十二期!CX65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IF(第十二期!$AC$12&gt;0,第十二期!$K$9*比赛参数!$D$30*比赛参数!$F$30*$CU$90/第十二期!$AC$12,0)</f>
        <v/>
      </c>
      <c r="CR96" s="294">
        <f>IF(第十二期!$AC$12&gt;0,第十二期!$K$9*比赛参数!$D$30*比赛参数!$F$30*$CU$90/第十二期!$AC$12,0)</f>
        <v/>
      </c>
      <c r="CS96" s="294">
        <f>IF(第十二期!$AC$12&gt;0,第十二期!$K$9*比赛参数!$D$30*比赛参数!$F$30*$CU$90/第十二期!$AC$12,0)</f>
        <v/>
      </c>
      <c r="CT96" s="294">
        <f>IF(第十二期!$AC$12&gt;0,第十二期!$K$9*比赛参数!$D$30*比赛参数!$F$30*$CU$90/第十二期!$AC$12,0)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第十二期!CY62</f>
        <v/>
      </c>
      <c r="Z97" s="486">
        <f>第十二期!CY63</f>
        <v/>
      </c>
      <c r="AA97" s="486">
        <f>第十二期!CY64</f>
        <v/>
      </c>
      <c r="AB97" s="486">
        <f>第十二期!CY65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第十二期!CZ62</f>
        <v/>
      </c>
      <c r="Z98" s="486">
        <f>第十二期!CZ63</f>
        <v/>
      </c>
      <c r="AA98" s="486">
        <f>第十二期!CZ64</f>
        <v/>
      </c>
      <c r="AB98" s="486">
        <f>第十二期!CZ65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第十二期!DA62</f>
        <v/>
      </c>
      <c r="Z99" s="486">
        <f>第十二期!DA63</f>
        <v/>
      </c>
      <c r="AA99" s="486">
        <f>第十二期!DA64</f>
        <v/>
      </c>
      <c r="AB99" s="486">
        <f>第十二期!DA65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(第十二期!#REF!-$BE$54)&lt;0</formula>
    </cfRule>
  </conditionalFormatting>
  <conditionalFormatting sqref="BF132:BF133">
    <cfRule dxfId="6" priority="26" stopIfTrue="1" type="expression">
      <formula>(第十二期!#REF!-$BF$54)&lt;0</formula>
    </cfRule>
  </conditionalFormatting>
  <conditionalFormatting sqref="BG132:BG133">
    <cfRule dxfId="6" priority="25" stopIfTrue="1" type="expression">
      <formula>(第十二期!#REF!-$BG$54)&lt;0</formula>
    </cfRule>
  </conditionalFormatting>
  <conditionalFormatting sqref="BH132:BH133">
    <cfRule dxfId="6" priority="24" stopIfTrue="1" type="expression">
      <formula>(第十二期!#REF!-$BH$54)&lt;0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8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S1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第十三期!AF76</f>
        <v/>
      </c>
      <c r="BT7" s="218">
        <f>第十三期!AF77</f>
        <v/>
      </c>
      <c r="BU7" s="218">
        <f>第十三期!AF78</f>
        <v/>
      </c>
      <c r="BV7" s="218">
        <f>第十三期!AF79</f>
        <v/>
      </c>
      <c r="BW7" s="467">
        <f>第十三期!$AF$80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第十三期!$AG$76</f>
        <v/>
      </c>
      <c r="BT8" s="218">
        <f>第十三期!$AG$77</f>
        <v/>
      </c>
      <c r="BU8" s="218">
        <f>第十三期!$AG$78</f>
        <v/>
      </c>
      <c r="BV8" s="218">
        <f>第十三期!$AG$79</f>
        <v/>
      </c>
      <c r="BW8" s="467">
        <f>第十三期!$AG$80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第十三期!DB56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第十三期!$AH$76</f>
        <v/>
      </c>
      <c r="BT9" s="218">
        <f>第十三期!$AH$77</f>
        <v/>
      </c>
      <c r="BU9" s="218">
        <f>第十三期!$AH$78</f>
        <v/>
      </c>
      <c r="BV9" s="218">
        <f>第十三期!$AH$79</f>
        <v/>
      </c>
      <c r="BW9" s="467">
        <f>第十三期!$AH$80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第十三期!DB57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第十三期!$AI$76</f>
        <v/>
      </c>
      <c r="BT10" s="218">
        <f>第十三期!$AI$77</f>
        <v/>
      </c>
      <c r="BU10" s="218">
        <f>第十三期!$AI$78</f>
        <v/>
      </c>
      <c r="BV10" s="218">
        <f>第十三期!$AI$79</f>
        <v/>
      </c>
      <c r="BW10" s="467">
        <f>第十三期!$AI$80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第十三期!DB58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第十三期!$AJ$76</f>
        <v/>
      </c>
      <c r="BT11" s="467">
        <f>第十三期!$AJ$77</f>
        <v/>
      </c>
      <c r="BU11" s="467">
        <f>第十三期!$AJ$78</f>
        <v/>
      </c>
      <c r="BV11" s="467">
        <f>第十三期!$AJ$79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第十三期!DB59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第十三期!BU86</f>
        <v/>
      </c>
      <c r="AG13" s="135" t="inlineStr">
        <is>
          <t>售前现金</t>
        </is>
      </c>
      <c r="AH13" s="473">
        <f>第十三期!BV76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第十三期!BW92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第十三期!K12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第十三期!Y88</f>
        <v/>
      </c>
      <c r="BT14" s="218">
        <f>第十三期!Y89</f>
        <v/>
      </c>
      <c r="BU14" s="218">
        <f>第十三期!Y90</f>
        <v/>
      </c>
      <c r="BV14" s="218">
        <f>第十三期!Y91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AF14/(Y18+第十三期!K8-AA18)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第十三期!K16*0.5-第十三期!K14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第十三期!Z88</f>
        <v/>
      </c>
      <c r="BT15" s="218">
        <f>第十三期!Z89</f>
        <v/>
      </c>
      <c r="BU15" s="218">
        <f>第十三期!Z90</f>
        <v/>
      </c>
      <c r="BV15" s="218">
        <f>第十三期!Z91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第十三期!DM60</f>
        <v/>
      </c>
      <c r="Z16" s="92" t="inlineStr">
        <is>
          <t>生产成本</t>
        </is>
      </c>
      <c r="AA16" s="485">
        <f>AH20+Y16+第十三期!K9*比赛参数!D30*比赛参数!F30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第十三期!AA88</f>
        <v/>
      </c>
      <c r="BT16" s="218">
        <f>第十三期!AA89</f>
        <v/>
      </c>
      <c r="BU16" s="218">
        <f>第十三期!AA90</f>
        <v/>
      </c>
      <c r="BV16" s="218">
        <f>第十三期!AA91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第十三期!AB88</f>
        <v/>
      </c>
      <c r="BT17" s="218">
        <f>第十三期!AB89</f>
        <v/>
      </c>
      <c r="BU17" s="218">
        <f>第十三期!AB90</f>
        <v/>
      </c>
      <c r="BV17" s="218">
        <f>第十三期!AB91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第十三期!K8*比赛参数!D57</f>
        <v/>
      </c>
      <c r="Z19" s="104" t="inlineStr">
        <is>
          <t>Min</t>
        </is>
      </c>
      <c r="AA19" s="134">
        <f>第十三期!K8*比赛参数!D60</f>
        <v/>
      </c>
      <c r="AB19" s="104" t="inlineStr">
        <is>
          <t>Min</t>
        </is>
      </c>
      <c r="AC19" s="495">
        <f>IF((AC21-第十三期!K10)/比赛参数!D41&gt;0,(AC21-第十三期!K10)/比赛参数!D41,0)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IF((第十三期!BW92-第十三期!BS87)&gt;0,第十三期!BW92-第十三期!BS87,0)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第十三期!$CX$68</f>
        <v/>
      </c>
      <c r="CD19" s="497">
        <f>第十三期!$CX$69</f>
        <v/>
      </c>
      <c r="CE19" s="497">
        <f>第十三期!$CX$70</f>
        <v/>
      </c>
      <c r="CF19" s="497">
        <f>第十三期!$CX$71</f>
        <v/>
      </c>
      <c r="CG19" s="396" t="n"/>
      <c r="CH19" s="498" t="n"/>
      <c r="CI19" s="499" t="inlineStr">
        <is>
          <t>市场1</t>
        </is>
      </c>
      <c r="CJ19" s="497">
        <f>第十三期!$CX$50</f>
        <v/>
      </c>
      <c r="CK19" s="497">
        <f>第十三期!$CX$51</f>
        <v/>
      </c>
      <c r="CL19" s="497">
        <f>第十三期!$CX$52</f>
        <v/>
      </c>
      <c r="CM19" s="497">
        <f>第十三期!$CX$53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第十三期!K8+第十三期!Y18*比赛参数!D59-第十三期!AA18</f>
        <v/>
      </c>
      <c r="Z20" s="148" t="inlineStr">
        <is>
          <t>现有机器数</t>
        </is>
      </c>
      <c r="AA20" s="272">
        <f>第十三期!K9</f>
        <v/>
      </c>
      <c r="AB20" s="148" t="inlineStr">
        <is>
          <t>可用原材料</t>
        </is>
      </c>
      <c r="AC20" s="484">
        <f>AC18*比赛参数!D41+第十三期!K10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第十三期!BS62+第十三期!BS71</f>
        <v/>
      </c>
      <c r="AI20" s="73" t="inlineStr">
        <is>
          <t>期末现金</t>
        </is>
      </c>
      <c r="AJ20" s="484">
        <f>第十三期!BV90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第十三期!Y9</f>
        <v/>
      </c>
      <c r="BT20" s="218">
        <f>第十三期!Z9</f>
        <v/>
      </c>
      <c r="BU20" s="218">
        <f>第十三期!AA9</f>
        <v/>
      </c>
      <c r="BV20" s="218">
        <f>第十三期!AB9</f>
        <v/>
      </c>
      <c r="BW20" s="467">
        <f>第十三期!AJ34</f>
        <v/>
      </c>
      <c r="BX20" s="215" t="n"/>
      <c r="CA20" s="213" t="n"/>
      <c r="CB20" s="196" t="inlineStr">
        <is>
          <t>市场2</t>
        </is>
      </c>
      <c r="CC20" s="497">
        <f>第十三期!$CY$68</f>
        <v/>
      </c>
      <c r="CD20" s="497">
        <f>第十三期!$CY$69</f>
        <v/>
      </c>
      <c r="CE20" s="497">
        <f>第十三期!$CY$70</f>
        <v/>
      </c>
      <c r="CF20" s="497">
        <f>第十三期!$CY$71</f>
        <v/>
      </c>
      <c r="CG20" s="396" t="n"/>
      <c r="CH20" s="498" t="n"/>
      <c r="CI20" s="502" t="inlineStr">
        <is>
          <t>市场2</t>
        </is>
      </c>
      <c r="CJ20" s="497">
        <f>第十三期!$CY$50</f>
        <v/>
      </c>
      <c r="CK20" s="497">
        <f>第十三期!$CY$51</f>
        <v/>
      </c>
      <c r="CL20" s="497">
        <f>第十三期!$CY$52</f>
        <v/>
      </c>
      <c r="CM20" s="497">
        <f>第十三期!$CY$53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第十三期!Y10</f>
        <v/>
      </c>
      <c r="BT21" s="218">
        <f>第十三期!Z10</f>
        <v/>
      </c>
      <c r="BU21" s="218">
        <f>第十三期!AA10</f>
        <v/>
      </c>
      <c r="BV21" s="218">
        <f>第十三期!AB10</f>
        <v/>
      </c>
      <c r="BW21" s="467">
        <f>第十三期!AJ35</f>
        <v/>
      </c>
      <c r="BX21" s="215" t="n"/>
      <c r="CA21" s="213" t="n"/>
      <c r="CB21" s="196" t="inlineStr">
        <is>
          <t>市场3</t>
        </is>
      </c>
      <c r="CC21" s="497">
        <f>第十三期!$CZ$68</f>
        <v/>
      </c>
      <c r="CD21" s="497">
        <f>第十三期!$CZ$69</f>
        <v/>
      </c>
      <c r="CE21" s="497">
        <f>第十三期!$CZ$70</f>
        <v/>
      </c>
      <c r="CF21" s="497">
        <f>第十三期!$CZ$71</f>
        <v/>
      </c>
      <c r="CG21" s="396" t="n"/>
      <c r="CH21" s="498" t="n"/>
      <c r="CI21" s="502" t="inlineStr">
        <is>
          <t>市场3</t>
        </is>
      </c>
      <c r="CJ21" s="497">
        <f>第十三期!$CZ$50</f>
        <v/>
      </c>
      <c r="CK21" s="497">
        <f>第十三期!$CZ$51</f>
        <v/>
      </c>
      <c r="CL21" s="497">
        <f>第十三期!$CZ$52</f>
        <v/>
      </c>
      <c r="CM21" s="497">
        <f>第十三期!$CZ$53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第十三期!Y11</f>
        <v/>
      </c>
      <c r="BT22" s="218">
        <f>第十三期!Z11</f>
        <v/>
      </c>
      <c r="BU22" s="218">
        <f>第十三期!AA11</f>
        <v/>
      </c>
      <c r="BV22" s="218">
        <f>第十三期!AB11</f>
        <v/>
      </c>
      <c r="BW22" s="467">
        <f>第十三期!AJ36</f>
        <v/>
      </c>
      <c r="BX22" s="215" t="n"/>
      <c r="CA22" s="213" t="n"/>
      <c r="CB22" s="196" t="inlineStr">
        <is>
          <t>市场4</t>
        </is>
      </c>
      <c r="CC22" s="497">
        <f>第十三期!$DA$68</f>
        <v/>
      </c>
      <c r="CD22" s="497">
        <f>第十三期!$DA$69</f>
        <v/>
      </c>
      <c r="CE22" s="497">
        <f>第十三期!$DA$70</f>
        <v/>
      </c>
      <c r="CF22" s="497">
        <f>第十三期!$DA$71</f>
        <v/>
      </c>
      <c r="CG22" s="396" t="n"/>
      <c r="CH22" s="498" t="n"/>
      <c r="CI22" s="502" t="inlineStr">
        <is>
          <t>市场4</t>
        </is>
      </c>
      <c r="CJ22" s="497">
        <f>第十三期!$DA$50</f>
        <v/>
      </c>
      <c r="CK22" s="497">
        <f>第十三期!$DA$51</f>
        <v/>
      </c>
      <c r="CL22" s="497">
        <f>第十三期!$DA$52</f>
        <v/>
      </c>
      <c r="CM22" s="497">
        <f>第十三期!$DA$53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第十三期!Y12</f>
        <v/>
      </c>
      <c r="BT23" s="218">
        <f>第十三期!Z12</f>
        <v/>
      </c>
      <c r="BU23" s="218">
        <f>第十三期!AA12</f>
        <v/>
      </c>
      <c r="BV23" s="218">
        <f>第十三期!AB12</f>
        <v/>
      </c>
      <c r="BW23" s="467">
        <f>第十三期!AJ37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第十三期!BV57-第十三期!BV76</f>
        <v/>
      </c>
      <c r="AJ26" s="294">
        <f>第十三期!K9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第十三期!DB50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第十三期!Y18</f>
        <v/>
      </c>
      <c r="BT26" s="218">
        <f>第十三期!AA18</f>
        <v/>
      </c>
      <c r="BU26" s="218">
        <f>第十三期!AF18</f>
        <v/>
      </c>
      <c r="BV26" s="511">
        <f>第十三期!AC18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第十三期!DB51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第十三期!DB52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第十三期!DB53</f>
        <v/>
      </c>
      <c r="BQ29" s="507" t="n"/>
      <c r="BS29" s="511">
        <f>第十三期!AH14</f>
        <v/>
      </c>
      <c r="BT29" s="511">
        <f>第十三期!AH15</f>
        <v/>
      </c>
      <c r="BU29" s="218">
        <f>第十三期!AF20</f>
        <v/>
      </c>
      <c r="BV29" s="511">
        <f>第十三期!AJ18</f>
        <v/>
      </c>
      <c r="BW29" s="218">
        <f>第十三期!AH18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INT(第十三期!DV26)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INT(第十三期!DV27)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INT(第十三期!DV28)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INT(第十三期!DV29)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第十三期!DG56*第十三期!DG50+第十三期!DG64*第十三期!Y88</f>
        <v/>
      </c>
      <c r="CD38" s="272">
        <f>第十三期!DH56*第十三期!DH50+第十三期!DH64*第十三期!Z88</f>
        <v/>
      </c>
      <c r="CE38" s="272">
        <f>第十三期!DI56*第十三期!DI50+第十三期!DI64*第十三期!AA88</f>
        <v/>
      </c>
      <c r="CF38" s="272">
        <f>第十三期!DJ56*第十三期!DJ50+第十三期!DJ64*第十三期!AB88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第十三期!DG57*第十三期!DG51+第十三期!DG65*第十三期!Y89</f>
        <v/>
      </c>
      <c r="CD39" s="272">
        <f>第十三期!DH57*第十三期!DH51+第十三期!DH65*第十三期!Z89</f>
        <v/>
      </c>
      <c r="CE39" s="272">
        <f>第十三期!DI57*第十三期!DI51+第十三期!DI65*第十三期!AA89</f>
        <v/>
      </c>
      <c r="CF39" s="272">
        <f>第十三期!DJ57*第十三期!DJ51+第十三期!DJ65*第十三期!AB89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第十三期!DG58*第十三期!DG52+第十三期!DG66*第十三期!Y90</f>
        <v/>
      </c>
      <c r="CD40" s="272">
        <f>第十三期!DH58*第十三期!DH52+第十三期!DH66*第十三期!Z90</f>
        <v/>
      </c>
      <c r="CE40" s="272">
        <f>第十三期!DI58*第十三期!DI52+第十三期!DI66*第十三期!AA90</f>
        <v/>
      </c>
      <c r="CF40" s="272">
        <f>第十三期!DJ58*第十三期!DJ52+第十三期!DJ66*第十三期!AB90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第十三期!DG59*第十三期!DG53+第十三期!DG67*第十三期!Y91</f>
        <v/>
      </c>
      <c r="CD41" s="272">
        <f>第十三期!DH59*第十三期!DH53+第十三期!DH67*第十三期!Z91</f>
        <v/>
      </c>
      <c r="CE41" s="272">
        <f>第十三期!DI59*第十三期!DI53+第十三期!DI67*第十三期!AA91</f>
        <v/>
      </c>
      <c r="CF41" s="272">
        <f>第十三期!DJ59*第十三期!DJ53+第十三期!DJ67*第十三期!AB91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第十三期!Y9*第十三期!CQ62*比赛参数!D65</f>
        <v/>
      </c>
      <c r="CR50" s="294">
        <f>第十三期!Z9*第十三期!CR62*比赛参数!E65</f>
        <v/>
      </c>
      <c r="CS50" s="294">
        <f>第十三期!AA9*第十三期!CS62*比赛参数!F65</f>
        <v/>
      </c>
      <c r="CT50" s="294">
        <f>第十三期!AB9*第十三期!CT62*比赛参数!G65</f>
        <v/>
      </c>
      <c r="CU50" s="294">
        <f>IF(第十三期!AC9&gt;0,SUM(CQ50:CT50)/第十三期!AC9,0)</f>
        <v/>
      </c>
      <c r="CW50" s="11" t="inlineStr">
        <is>
          <t>A产品</t>
        </is>
      </c>
      <c r="CX50" s="525">
        <f>IF(第十三期!$CU$50*第十三期!CQ93&gt;0,第十三期!$CU$50+第十三期!CQ68+第十三期!CQ93+第十三期!CQ74,0)</f>
        <v/>
      </c>
      <c r="CY50" s="525">
        <f>IF(第十三期!$CU$50*第十三期!CR93&gt;0,第十三期!$CU$50+第十三期!CR68+第十三期!CR93+第十三期!CR74,0)</f>
        <v/>
      </c>
      <c r="CZ50" s="525">
        <f>IF(第十三期!$CU$50*第十三期!CS93&gt;0,第十三期!$CU$50+第十三期!CS68+第十三期!CS93+第十三期!CS74,0)</f>
        <v/>
      </c>
      <c r="DA50" s="525">
        <f>IF(第十三期!$CU$50*第十三期!CT93&gt;0,第十三期!$CU$50+第十三期!CT68+第十三期!CT93+第十三期!CT74,0)</f>
        <v/>
      </c>
      <c r="DB50" s="525">
        <f>AVERAGE(CX50:DA50)</f>
        <v/>
      </c>
      <c r="DF50" s="294" t="inlineStr">
        <is>
          <t>市场1</t>
        </is>
      </c>
      <c r="DG50" s="247">
        <f>IF(第十三期!Y88&gt;0,1,0)</f>
        <v/>
      </c>
      <c r="DH50" s="247">
        <f>IF(第十三期!Z88&gt;0,1,0)</f>
        <v/>
      </c>
      <c r="DI50" s="247">
        <f>IF(第十三期!AA88&gt;0,1,0)</f>
        <v/>
      </c>
      <c r="DJ50" s="247">
        <f>IF(第十三期!AB88&gt;0,1,0)</f>
        <v/>
      </c>
      <c r="DL50" s="247" t="inlineStr">
        <is>
          <t>产品A</t>
        </is>
      </c>
      <c r="DM50" s="248">
        <f>IF(第十三期!Y9+第十三期!Z9&gt;0,1,0)</f>
        <v/>
      </c>
      <c r="DN50" s="248">
        <f>IF(第十三期!AA9+第十三期!AB9&gt;0,1,0)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第十三期!Y10*第十三期!CQ63*比赛参数!D65</f>
        <v/>
      </c>
      <c r="CR51" s="294">
        <f>第十三期!Z10*第十三期!CR63*比赛参数!E65</f>
        <v/>
      </c>
      <c r="CS51" s="294">
        <f>第十三期!AA10*第十三期!CS63*比赛参数!F65</f>
        <v/>
      </c>
      <c r="CT51" s="294">
        <f>第十三期!AB10*第十三期!CT63*比赛参数!G65</f>
        <v/>
      </c>
      <c r="CU51" s="294">
        <f>IF(第十三期!AC10&gt;0,SUM(CQ51:CT51)/第十三期!AC10,0)</f>
        <v/>
      </c>
      <c r="CW51" s="11" t="inlineStr">
        <is>
          <t>B产品</t>
        </is>
      </c>
      <c r="CX51" s="525">
        <f>IF(第十三期!$CU$51*第十三期!CQ94&gt;0,第十三期!$CU$51+第十三期!CQ69+第十三期!CQ94+第十三期!CQ75,0)</f>
        <v/>
      </c>
      <c r="CY51" s="525">
        <f>IF(第十三期!$CU$51*第十三期!CR94&gt;0,第十三期!$CU$51+第十三期!CR69+第十三期!CR94+第十三期!CR75,0)</f>
        <v/>
      </c>
      <c r="CZ51" s="525">
        <f>IF(第十三期!$CU$51*第十三期!CS94&gt;0,第十三期!$CU$51+第十三期!CS69+第十三期!CS94+第十三期!CS75,0)</f>
        <v/>
      </c>
      <c r="DA51" s="525">
        <f>IF(第十三期!$CU$51*第十三期!CT94&gt;0,第十三期!$CU$51+第十三期!CT69+第十三期!CT94+第十三期!CT75,0)</f>
        <v/>
      </c>
      <c r="DB51" s="525">
        <f>AVERAGE(CX51:DA51)</f>
        <v/>
      </c>
      <c r="DF51" s="294" t="inlineStr">
        <is>
          <t>市场2</t>
        </is>
      </c>
      <c r="DG51" s="247">
        <f>IF(第十三期!Y89&gt;0,1,0)</f>
        <v/>
      </c>
      <c r="DH51" s="247">
        <f>IF(第十三期!Z89&gt;0,1,0)</f>
        <v/>
      </c>
      <c r="DI51" s="247">
        <f>IF(第十三期!AA89&gt;0,1,0)</f>
        <v/>
      </c>
      <c r="DJ51" s="247">
        <f>IF(第十三期!AB89&gt;0,1,0)</f>
        <v/>
      </c>
      <c r="DL51" s="247" t="inlineStr">
        <is>
          <t>产品B</t>
        </is>
      </c>
      <c r="DM51" s="248">
        <f>IF(第十三期!Y10+第十三期!Z10&gt;0,1,0)</f>
        <v/>
      </c>
      <c r="DN51" s="248">
        <f>IF(第十三期!AA10+第十三期!AB10&gt;0,1,0)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第十三期!Y11*第十三期!CQ64*比赛参数!D65</f>
        <v/>
      </c>
      <c r="CR52" s="294">
        <f>第十三期!Z11*第十三期!CR64*比赛参数!E65</f>
        <v/>
      </c>
      <c r="CS52" s="294">
        <f>第十三期!AA11*第十三期!CS64*比赛参数!F65</f>
        <v/>
      </c>
      <c r="CT52" s="294">
        <f>第十三期!AB11*第十三期!CT64*比赛参数!G65</f>
        <v/>
      </c>
      <c r="CU52" s="294">
        <f>IF(第十三期!AC11&gt;0,SUM(CQ52:CT52)/第十三期!AC11,0)</f>
        <v/>
      </c>
      <c r="CW52" s="11" t="inlineStr">
        <is>
          <t>C产品</t>
        </is>
      </c>
      <c r="CX52" s="525">
        <f>IF(第十三期!$CU$52*第十三期!CQ95&gt;0,第十三期!$CU$52+第十三期!CQ70+第十三期!CQ95+第十三期!CQ76,0)</f>
        <v/>
      </c>
      <c r="CY52" s="525">
        <f>IF(第十三期!$CU$52*第十三期!CR95&gt;0,第十三期!$CU$52+第十三期!CR70+第十三期!CR95+第十三期!CR76,0)</f>
        <v/>
      </c>
      <c r="CZ52" s="525">
        <f>IF(第十三期!$CU$52*第十三期!CS95&gt;0,第十三期!$CU$52+第十三期!CS70+第十三期!CS95+第十三期!CS76,0)</f>
        <v/>
      </c>
      <c r="DA52" s="525">
        <f>IF(第十三期!$CU$52*第十三期!CT95&gt;0,第十三期!$CU$52+第十三期!CT70+第十三期!CT95+第十三期!CT76,0)</f>
        <v/>
      </c>
      <c r="DB52" s="525">
        <f>AVERAGE(CX52:DA52)</f>
        <v/>
      </c>
      <c r="DF52" s="294" t="inlineStr">
        <is>
          <t>市场3</t>
        </is>
      </c>
      <c r="DG52" s="247">
        <f>IF(第十三期!Y90&gt;0,1,0)</f>
        <v/>
      </c>
      <c r="DH52" s="247">
        <f>IF(第十三期!Z90&gt;0,1,0)</f>
        <v/>
      </c>
      <c r="DI52" s="247">
        <f>IF(第十三期!AA90&gt;0,1,0)</f>
        <v/>
      </c>
      <c r="DJ52" s="247">
        <f>IF(第十三期!AB90&gt;0,1,0)</f>
        <v/>
      </c>
      <c r="DL52" s="247" t="inlineStr">
        <is>
          <t>产品C</t>
        </is>
      </c>
      <c r="DM52" s="248">
        <f>IF(第十三期!Y11+第十三期!Z11&gt;0,1,0)</f>
        <v/>
      </c>
      <c r="DN52" s="248">
        <f>IF(第十三期!AA11+第十三期!AB11&gt;0,1,0)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第十三期!Y12*第十三期!CQ65*比赛参数!D65</f>
        <v/>
      </c>
      <c r="CR53" s="294">
        <f>第十三期!Z12*第十三期!CR65*比赛参数!E65</f>
        <v/>
      </c>
      <c r="CS53" s="294">
        <f>第十三期!AA12*第十三期!CS65*比赛参数!F65</f>
        <v/>
      </c>
      <c r="CT53" s="294">
        <f>第十三期!AB12*第十三期!CT65*比赛参数!G65</f>
        <v/>
      </c>
      <c r="CU53" s="294">
        <f>IF(第十三期!AC12&gt;0,SUM(CQ53:CT53)/第十三期!AC12,0)</f>
        <v/>
      </c>
      <c r="CW53" s="11" t="inlineStr">
        <is>
          <t>D产品</t>
        </is>
      </c>
      <c r="CX53" s="525">
        <f>IF(第十三期!$CU$53*第十三期!CQ96&gt;0,第十三期!$CU$53+第十三期!CQ71+第十三期!CQ96+第十三期!CQ77,0)</f>
        <v/>
      </c>
      <c r="CY53" s="525">
        <f>IF(第十三期!$CU$53*第十三期!CR96&gt;0,第十三期!$CU$53+第十三期!CR71+第十三期!CR96+第十三期!CR77,0)</f>
        <v/>
      </c>
      <c r="CZ53" s="525">
        <f>IF(第十三期!$CU$53*第十三期!CS96&gt;0,第十三期!$CU$53+第十三期!CS71+第十三期!CS96+第十三期!CS77,0)</f>
        <v/>
      </c>
      <c r="DA53" s="525">
        <f>IF(第十三期!$CU$53*第十三期!CT96&gt;0,第十三期!$CU$53+第十三期!CT71+第十三期!CT96+第十三期!CT77,0)</f>
        <v/>
      </c>
      <c r="DB53" s="525">
        <f>AVERAGE(CX53:DA53)</f>
        <v/>
      </c>
      <c r="DF53" s="294" t="inlineStr">
        <is>
          <t>市场4</t>
        </is>
      </c>
      <c r="DG53" s="247">
        <f>IF(第十三期!Y91&gt;0,1,0)</f>
        <v/>
      </c>
      <c r="DH53" s="247">
        <f>IF(第十三期!Z91&gt;0,1,0)</f>
        <v/>
      </c>
      <c r="DI53" s="247">
        <f>IF(第十三期!AA91&gt;0,1,0)</f>
        <v/>
      </c>
      <c r="DJ53" s="247">
        <f>IF(第十三期!AB91&gt;0,1,0)</f>
        <v/>
      </c>
      <c r="DL53" s="247" t="inlineStr">
        <is>
          <t>产品D</t>
        </is>
      </c>
      <c r="DM53" s="248">
        <f>IF(第十三期!Y12+第十三期!Z12&gt;0,1,0)</f>
        <v/>
      </c>
      <c r="DN53" s="248">
        <f>IF(第十三期!AA12+第十三期!AB12&gt;0,1,0)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第十三期!K11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第十三期!AH14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第十三期!DU26</f>
        <v/>
      </c>
      <c r="CD56" s="272">
        <f>第十三期!DU27</f>
        <v/>
      </c>
      <c r="CE56" s="272">
        <f>第十三期!DU28</f>
        <v/>
      </c>
      <c r="CF56" s="272">
        <f>第十三期!DU29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第十三期!BS7-第十三期!CX50</f>
        <v/>
      </c>
      <c r="CY56" s="525">
        <f>第十三期!BT7-第十三期!CY50</f>
        <v/>
      </c>
      <c r="CZ56" s="525">
        <f>第十三期!BU7-第十三期!CZ50</f>
        <v/>
      </c>
      <c r="DA56" s="525">
        <f>第十三期!BV7-第十三期!DA50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第十三期!DX6</f>
        <v/>
      </c>
      <c r="Z57" s="272">
        <f>第十三期!DX10</f>
        <v/>
      </c>
      <c r="AA57" s="272">
        <f>第十三期!DX14</f>
        <v/>
      </c>
      <c r="AB57" s="272">
        <f>第十三期!DX18</f>
        <v/>
      </c>
      <c r="AC57" s="234" t="n"/>
      <c r="AE57" s="64" t="inlineStr">
        <is>
          <t>市场1</t>
        </is>
      </c>
      <c r="AF57" s="272">
        <f>第十三期!DW6</f>
        <v/>
      </c>
      <c r="AG57" s="272">
        <f>第十三期!DW10</f>
        <v/>
      </c>
      <c r="AH57" s="272">
        <f>第十三期!DW14</f>
        <v/>
      </c>
      <c r="AI57" s="272">
        <f>第十三期!DW18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第十三期!AH15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第十三期!BS8-第十三期!CX51</f>
        <v/>
      </c>
      <c r="CY57" s="525">
        <f>第十三期!BT8-第十三期!CY51</f>
        <v/>
      </c>
      <c r="CZ57" s="525">
        <f>第十三期!BU8-第十三期!CZ51</f>
        <v/>
      </c>
      <c r="DA57" s="525">
        <f>第十三期!BV8-第十三期!DA51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第十三期!DX7</f>
        <v/>
      </c>
      <c r="Z58" s="272">
        <f>第十三期!DX11</f>
        <v/>
      </c>
      <c r="AA58" s="272">
        <f>第十三期!DX15</f>
        <v/>
      </c>
      <c r="AB58" s="272">
        <f>第十三期!DX19</f>
        <v/>
      </c>
      <c r="AC58" s="234" t="n"/>
      <c r="AE58" s="11" t="inlineStr">
        <is>
          <t>市场2</t>
        </is>
      </c>
      <c r="AF58" s="272">
        <f>第十三期!DW7</f>
        <v/>
      </c>
      <c r="AG58" s="272">
        <f>第十三期!DW11</f>
        <v/>
      </c>
      <c r="AH58" s="272">
        <f>第十三期!DW15</f>
        <v/>
      </c>
      <c r="AI58" s="272">
        <f>第十三期!DW19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第十三期!H5+第十三期!H4*比赛参数!F71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第十三期!BS9-第十三期!CX52</f>
        <v/>
      </c>
      <c r="CY58" s="525">
        <f>第十三期!BT9-第十三期!CY52</f>
        <v/>
      </c>
      <c r="CZ58" s="525">
        <f>第十三期!BU9-第十三期!CZ52</f>
        <v/>
      </c>
      <c r="DA58" s="525">
        <f>第十三期!BV9-第十三期!DA52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第十三期!DX8</f>
        <v/>
      </c>
      <c r="Z59" s="272">
        <f>第十三期!DX12</f>
        <v/>
      </c>
      <c r="AA59" s="272">
        <f>第十三期!DX16</f>
        <v/>
      </c>
      <c r="AB59" s="272">
        <f>第十三期!DX20</f>
        <v/>
      </c>
      <c r="AC59" s="235" t="n"/>
      <c r="AE59" s="11" t="inlineStr">
        <is>
          <t>市场3</t>
        </is>
      </c>
      <c r="AF59" s="272">
        <f>第十三期!DW8</f>
        <v/>
      </c>
      <c r="AG59" s="272">
        <f>第十三期!DW12</f>
        <v/>
      </c>
      <c r="AH59" s="272">
        <f>第十三期!DW16</f>
        <v/>
      </c>
      <c r="AI59" s="272">
        <f>第十三期!DW20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第十三期!K14*比赛参数!D71/4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第十三期!BS10-第十三期!CX53</f>
        <v/>
      </c>
      <c r="CY59" s="525">
        <f>第十三期!BT10-第十三期!CY53</f>
        <v/>
      </c>
      <c r="CZ59" s="525">
        <f>第十三期!BU10-第十三期!CZ53</f>
        <v/>
      </c>
      <c r="DA59" s="525">
        <f>第十三期!BV10-第十三期!DA53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第十三期!DX9</f>
        <v/>
      </c>
      <c r="Z60" s="272">
        <f>第十三期!DX13</f>
        <v/>
      </c>
      <c r="AA60" s="272">
        <f>第十三期!DX17</f>
        <v/>
      </c>
      <c r="AB60" s="272">
        <f>第十三期!DX21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第十三期!DW9</f>
        <v/>
      </c>
      <c r="AG60" s="272">
        <f>第十三期!DW13</f>
        <v/>
      </c>
      <c r="AH60" s="272">
        <f>第十三期!DW17</f>
        <v/>
      </c>
      <c r="AI60" s="272">
        <f>第十三期!DW21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第十三期!Y18*比赛参数!D58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第十三期!AA18*比赛参数!D62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((第十三期!K8-第十三期!AA18)*比赛参数!D65+第十三期!Y18*比赛参数!D59*比赛参数!D65)*第十三期!AH18*520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CX56/第十三期!CQ56</f>
        <v/>
      </c>
      <c r="CY62" s="525">
        <f>CY56/第十三期!CR56</f>
        <v/>
      </c>
      <c r="CZ62" s="525">
        <f>CZ56/第十三期!CS56</f>
        <v/>
      </c>
      <c r="DA62" s="525">
        <f>DA56/第十三期!CT56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第十三期!K9*比赛参数!D49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CX57/第十三期!CQ57</f>
        <v/>
      </c>
      <c r="CY63" s="525">
        <f>CY57/第十三期!CR57</f>
        <v/>
      </c>
      <c r="CZ63" s="525">
        <f>CZ57/第十三期!CS57</f>
        <v/>
      </c>
      <c r="DA63" s="525">
        <f>DA57/第十三期!CT57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第十三期!AL37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CX58/第十三期!CQ58</f>
        <v/>
      </c>
      <c r="CY64" s="525">
        <f>CY58/第十三期!CR58</f>
        <v/>
      </c>
      <c r="CZ64" s="525">
        <f>CZ58/第十三期!CS58</f>
        <v/>
      </c>
      <c r="DA64" s="525">
        <f>DA58/第十三期!CT58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0.5*第十三期!AL37+0.5*第十三期!DV23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CX59/第十三期!CQ59</f>
        <v/>
      </c>
      <c r="CY65" s="525">
        <f>CY59/第十三期!CR59</f>
        <v/>
      </c>
      <c r="CZ65" s="525">
        <f>CZ59/第十三期!CS59</f>
        <v/>
      </c>
      <c r="DA65" s="525">
        <f>DA59/第十三期!CT59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第十三期!AC18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三期!AC18&gt;=比赛参数!D33,(1-比赛参数!E33)*第十三期!AC18,0)+IF(AND(第十三期!AC18&gt;=比赛参数!D34,第十三期!AC18&lt;比赛参数!D33),(1-比赛参数!E34)*第十三期!AC18,0)+IF(AND(第十三期!AC18&gt;=比赛参数!D35,第十三期!AC18&lt;比赛参数!D34),(1-比赛参数!E35)*第十三期!AC18,0)+IF(AND(第十三期!AC18&gt;=比赛参数!D36,第十三期!AC18&lt;比赛参数!D35),(1-比赛参数!E36)*第十三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第十三期!DV6</f>
        <v/>
      </c>
      <c r="AG70" s="131">
        <f>第十三期!DV10</f>
        <v/>
      </c>
      <c r="AH70" s="131">
        <f>第十三期!DV14</f>
        <v/>
      </c>
      <c r="AI70" s="131">
        <f>第十三期!DV18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IF(第十三期!AC18&gt;0,第十三期!AC18*比赛参数!E40+比赛参数!E39,0)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第十三期!DV7</f>
        <v/>
      </c>
      <c r="AG71" s="131">
        <f>第十三期!DV11</f>
        <v/>
      </c>
      <c r="AH71" s="131">
        <f>第十三期!DV15</f>
        <v/>
      </c>
      <c r="AI71" s="131">
        <f>第十三期!DV19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(第十三期!Z13*比赛参数!E65*260+第十三期!AA13*(比赛参数!F65-比赛参数!D65)*520+第十三期!AB13*比赛参数!G65*260)*第十三期!AH18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第十三期!DV8</f>
        <v/>
      </c>
      <c r="AG72" s="131">
        <f>第十三期!DV12</f>
        <v/>
      </c>
      <c r="AH72" s="131">
        <f>第十三期!DV16</f>
        <v/>
      </c>
      <c r="AI72" s="131">
        <f>第十三期!DV20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第十三期!DM60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第十三期!DV9</f>
        <v/>
      </c>
      <c r="AG73" s="131">
        <f>第十三期!DV13</f>
        <v/>
      </c>
      <c r="AH73" s="131">
        <f>第十三期!DV17</f>
        <v/>
      </c>
      <c r="AI73" s="131">
        <f>第十三期!DV21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第十三期!AC21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第十三期!CG42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SUM(第十三期!AF80:AI80)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SUM(第十三期!AJ76:AJ79)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第十三期!CG53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第十三期!CN53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第十三期!K9*比赛参数!D30*比赛参数!F30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第十三期!CG65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第十三期!Y9*第十三期!CQ56</f>
        <v/>
      </c>
      <c r="CR80" s="294">
        <f>第十三期!Z9*第十三期!CR56</f>
        <v/>
      </c>
      <c r="CS80" s="294">
        <f>第十三期!AA9*第十三期!CS56</f>
        <v/>
      </c>
      <c r="CT80" s="294">
        <f>第十三期!AB9*第十三期!CT56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(第十三期!K10+(第十三期!AC18+第十三期!K10-第十三期!AC21))/2*比赛参数!D16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第十三期!Y10*第十三期!CQ57</f>
        <v/>
      </c>
      <c r="CR81" s="294">
        <f>第十三期!Z10*第十三期!CR57</f>
        <v/>
      </c>
      <c r="CS81" s="294">
        <f>第十三期!AA10*第十三期!CS57</f>
        <v/>
      </c>
      <c r="CT81" s="294">
        <f>第十三期!AB10*第十三期!CT57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第十三期!CG67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第十三期!Y11*第十三期!CQ58</f>
        <v/>
      </c>
      <c r="CR82" s="294">
        <f>第十三期!Z11*第十三期!CR58</f>
        <v/>
      </c>
      <c r="CS82" s="294">
        <f>第十三期!AA11*第十三期!CS58</f>
        <v/>
      </c>
      <c r="CT82" s="294">
        <f>第十三期!AB11*第十三期!CT58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第十三期!K13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第十三期!Y12*第十三期!CQ59</f>
        <v/>
      </c>
      <c r="CR83" s="294">
        <f>第十三期!Z12*第十三期!CR59</f>
        <v/>
      </c>
      <c r="CS83" s="294">
        <f>第十三期!AA12*第十三期!CS59</f>
        <v/>
      </c>
      <c r="CT83" s="294">
        <f>第十三期!AB12*第十三期!CT59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第十三期!K13*比赛参数!D70/4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第十三期!AH14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第十三期!DS33</f>
        <v/>
      </c>
      <c r="AG86" s="131">
        <f>第十三期!DW33</f>
        <v/>
      </c>
      <c r="AH86" s="131">
        <f>第十三期!EA33</f>
        <v/>
      </c>
      <c r="AI86" s="131">
        <f>第十三期!EE33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第十三期!AH14*比赛参数!D69/4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第十三期!DT33</f>
        <v/>
      </c>
      <c r="AG87" s="131">
        <f>第十三期!DX33</f>
        <v/>
      </c>
      <c r="AH87" s="131">
        <f>第十三期!EB33</f>
        <v/>
      </c>
      <c r="AI87" s="131">
        <f>第十三期!EF33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IF(第十三期!BW92&gt;0,IF((第十三期!K15+第十三期!BW92*比赛参数!D72)&gt;0,第十三期!K15+第十三期!BW92*比赛参数!D72,0))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第十三期!DU33</f>
        <v/>
      </c>
      <c r="AG88" s="131">
        <f>第十三期!DY33</f>
        <v/>
      </c>
      <c r="AH88" s="131">
        <f>第十三期!EC33</f>
        <v/>
      </c>
      <c r="AI88" s="131">
        <f>第十三期!EG33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第十三期!AF18*比赛参数!D30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第十三期!DV33</f>
        <v/>
      </c>
      <c r="AG89" s="131">
        <f>第十三期!DZ33</f>
        <v/>
      </c>
      <c r="AH89" s="131">
        <f>第十三期!ED33</f>
        <v/>
      </c>
      <c r="AI89" s="131">
        <f>第十三期!EH33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第十三期!AJ18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第十三期!AF20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第十三期!BT84</f>
        <v/>
      </c>
      <c r="BT92" s="546" t="inlineStr">
        <is>
          <t>本期成本</t>
        </is>
      </c>
      <c r="BU92" s="478">
        <f>第十三期!BU86</f>
        <v/>
      </c>
      <c r="BV92" s="547" t="inlineStr">
        <is>
          <t>本期利润</t>
        </is>
      </c>
      <c r="BW92" s="548">
        <f>第十三期!BT84-第十三期!BU86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AC9*比赛参数!D6+第十三期!DU26</f>
        <v/>
      </c>
      <c r="Z93" s="37">
        <f>AC10*比赛参数!D6+第十三期!DU27</f>
        <v/>
      </c>
      <c r="AA93" s="37">
        <f>AC11*比赛参数!D6+第十三期!DU28</f>
        <v/>
      </c>
      <c r="AB93" s="37">
        <f>AC12*比赛参数!D6+第十三期!DU29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IF(第十三期!$AC$9&gt;0,第十三期!$K$9*比赛参数!$D$30*比赛参数!$F$30*$CU$87/第十三期!$AC$9,0)</f>
        <v/>
      </c>
      <c r="CR93" s="294">
        <f>IF(第十三期!$AC$9&gt;0,第十三期!$K$9*比赛参数!$D$30*比赛参数!$F$30*$CU$87/第十三期!$AC$9,0)</f>
        <v/>
      </c>
      <c r="CS93" s="294">
        <f>IF(第十三期!$AC$9&gt;0,第十三期!$K$9*比赛参数!$D$30*比赛参数!$F$30*$CU$87/第十三期!$AC$9,0)</f>
        <v/>
      </c>
      <c r="CT93" s="294">
        <f>IF(第十三期!$AC$9&gt;0,第十三期!$K$9*比赛参数!$D$30*比赛参数!$F$30*$CU$87/第十三期!$AC$9,0)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IF(第十三期!$AC$10&gt;0,第十三期!$K$9*比赛参数!$D$30*比赛参数!$F$30*$CU$88/第十三期!$AC$10,0)</f>
        <v/>
      </c>
      <c r="CR94" s="294">
        <f>IF(第十三期!$AC$10&gt;0,第十三期!$K$9*比赛参数!$D$30*比赛参数!$F$30*$CU$88/第十三期!$AC$10,0)</f>
        <v/>
      </c>
      <c r="CS94" s="294">
        <f>IF(第十三期!$AC$10&gt;0,第十三期!$K$9*比赛参数!$D$30*比赛参数!$F$30*$CU$88/第十三期!$AC$10,0)</f>
        <v/>
      </c>
      <c r="CT94" s="294">
        <f>IF(第十三期!$AC$10&gt;0,第十三期!$K$9*比赛参数!$D$30*比赛参数!$F$30*$CU$88/第十三期!$AC$10,0)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IF(第十三期!$AC$11&gt;0,第十三期!$K$9*比赛参数!$D$30*比赛参数!$F$30*$CU$89/第十三期!$AC$11,0)</f>
        <v/>
      </c>
      <c r="CR95" s="294">
        <f>IF(第十三期!$AC$11&gt;0,第十三期!$K$9*比赛参数!$D$30*比赛参数!$F$30*$CU$89/第十三期!$AC$11,0)</f>
        <v/>
      </c>
      <c r="CS95" s="294">
        <f>IF(第十三期!$AC$11&gt;0,第十三期!$K$9*比赛参数!$D$30*比赛参数!$F$30*$CU$89/第十三期!$AC$11,0)</f>
        <v/>
      </c>
      <c r="CT95" s="294">
        <f>IF(第十三期!$AC$11&gt;0,第十三期!$K$9*比赛参数!$D$30*比赛参数!$F$30*$CU$89/第十三期!$AC$11,0)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第十三期!CX62</f>
        <v/>
      </c>
      <c r="Z96" s="486">
        <f>第十三期!CX63</f>
        <v/>
      </c>
      <c r="AA96" s="486">
        <f>第十三期!CX64</f>
        <v/>
      </c>
      <c r="AB96" s="486">
        <f>第十三期!CX65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IF(第十三期!$AC$12&gt;0,第十三期!$K$9*比赛参数!$D$30*比赛参数!$F$30*$CU$90/第十三期!$AC$12,0)</f>
        <v/>
      </c>
      <c r="CR96" s="294">
        <f>IF(第十三期!$AC$12&gt;0,第十三期!$K$9*比赛参数!$D$30*比赛参数!$F$30*$CU$90/第十三期!$AC$12,0)</f>
        <v/>
      </c>
      <c r="CS96" s="294">
        <f>IF(第十三期!$AC$12&gt;0,第十三期!$K$9*比赛参数!$D$30*比赛参数!$F$30*$CU$90/第十三期!$AC$12,0)</f>
        <v/>
      </c>
      <c r="CT96" s="294">
        <f>IF(第十三期!$AC$12&gt;0,第十三期!$K$9*比赛参数!$D$30*比赛参数!$F$30*$CU$90/第十三期!$AC$12,0)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第十三期!CY62</f>
        <v/>
      </c>
      <c r="Z97" s="486">
        <f>第十三期!CY63</f>
        <v/>
      </c>
      <c r="AA97" s="486">
        <f>第十三期!CY64</f>
        <v/>
      </c>
      <c r="AB97" s="486">
        <f>第十三期!CY65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第十三期!CZ62</f>
        <v/>
      </c>
      <c r="Z98" s="486">
        <f>第十三期!CZ63</f>
        <v/>
      </c>
      <c r="AA98" s="486">
        <f>第十三期!CZ64</f>
        <v/>
      </c>
      <c r="AB98" s="486">
        <f>第十三期!CZ65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第十三期!DA62</f>
        <v/>
      </c>
      <c r="Z99" s="486">
        <f>第十三期!DA63</f>
        <v/>
      </c>
      <c r="AA99" s="486">
        <f>第十三期!DA64</f>
        <v/>
      </c>
      <c r="AB99" s="486">
        <f>第十三期!DA65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(第十三期!#REF!-$BE$54)&lt;0</formula>
    </cfRule>
  </conditionalFormatting>
  <conditionalFormatting sqref="BF132:BF133">
    <cfRule dxfId="6" priority="26" stopIfTrue="1" type="expression">
      <formula>(第十三期!#REF!-$BF$54)&lt;0</formula>
    </cfRule>
  </conditionalFormatting>
  <conditionalFormatting sqref="BG132:BG133">
    <cfRule dxfId="6" priority="25" stopIfTrue="1" type="expression">
      <formula>(第十三期!#REF!-$BG$54)&lt;0</formula>
    </cfRule>
  </conditionalFormatting>
  <conditionalFormatting sqref="BH132:BH133">
    <cfRule dxfId="6" priority="24" stopIfTrue="1" type="expression">
      <formula>(第十三期!#REF!-$BH$54)&lt;0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xl/worksheets/sheet9.xml><?xml version="1.0" encoding="utf-8"?>
<worksheet xmlns="http://schemas.openxmlformats.org/spreadsheetml/2006/main">
  <sheetPr>
    <tabColor indexed="52"/>
    <outlinePr summaryBelow="1" summaryRight="1"/>
    <pageSetUpPr/>
  </sheetPr>
  <dimension ref="A1:EH236"/>
  <sheetViews>
    <sheetView topLeftCell="S1" workbookViewId="0" zoomScale="70" zoomScaleNormal="70">
      <selection activeCell="Y23" sqref="Y23:AB23"/>
    </sheetView>
  </sheetViews>
  <sheetFormatPr baseColWidth="8" customHeight="1" defaultColWidth="9" defaultRowHeight="18"/>
  <cols>
    <col customWidth="1" max="1" min="1" style="1" width="9"/>
    <col customWidth="1" max="2" min="2" style="215" width="2.4"/>
    <col customWidth="1" max="3" min="3" style="215" width="11.7"/>
    <col customWidth="1" max="4" min="4" style="215" width="16.7"/>
    <col customWidth="1" max="5" min="5" style="215" width="9.4"/>
    <col customWidth="1" max="6" min="6" style="215" width="13"/>
    <col customWidth="1" max="18" min="7" style="215" width="9.4"/>
    <col customWidth="1" max="19" min="19" style="215" width="9.199999999999999"/>
    <col customWidth="1" max="20" min="20" style="215" width="9"/>
    <col customWidth="1" max="21" min="21" style="1" width="9"/>
    <col customWidth="1" max="22" min="22" style="215" width="10.4"/>
    <col customWidth="1" max="29" min="23" style="215" width="13.6"/>
    <col customWidth="1" max="30" min="30" style="215" width="8.6"/>
    <col customWidth="1" max="33" min="31" style="215" width="13.6"/>
    <col customWidth="1" max="34" min="34" style="215" width="15.2"/>
    <col customWidth="1" max="36" min="35" style="215" width="13.6"/>
    <col customWidth="1" max="37" min="37" style="215" width="17.1"/>
    <col customWidth="1" max="41" min="38" style="215" width="13.6"/>
    <col customWidth="1" max="42" min="42" style="1" width="9"/>
    <col customWidth="1" max="67" min="43" style="215" width="13.6"/>
    <col customWidth="1" max="68" min="68" style="1" width="9"/>
    <col customWidth="1" max="76" min="69" style="215" width="13.6"/>
    <col customWidth="1" max="77" min="77" style="1" width="9"/>
    <col customWidth="1" max="80" min="78" style="215" width="13.6"/>
    <col customWidth="1" max="134" min="81" style="215" width="9"/>
    <col customWidth="1" max="135" min="135" style="215" width="11.6"/>
    <col customWidth="1" max="137" min="136" style="215" width="9"/>
    <col customWidth="1" max="138" min="138" style="215" width="10"/>
    <col customWidth="1" max="16384" min="139" style="215" width="9"/>
  </cols>
  <sheetData>
    <row r="1" s="353">
      <c r="A1" s="215" t="n"/>
      <c r="U1" s="215" t="n"/>
      <c r="AP1" s="215" t="n"/>
      <c r="BP1" s="215" t="n"/>
      <c r="BY1" s="215" t="n"/>
    </row>
    <row customHeight="1" ht="60.75" r="2" s="353">
      <c r="B2" s="4" t="inlineStr">
        <is>
          <t>数      据      填      充</t>
        </is>
      </c>
      <c r="V2" s="4" t="inlineStr">
        <is>
          <t>生      产      安      排</t>
        </is>
      </c>
      <c r="AQ2" s="4" t="inlineStr">
        <is>
          <t>竞     争     对     手     分     析</t>
        </is>
      </c>
      <c r="BQ2" s="4" t="inlineStr">
        <is>
          <t>决        策        单</t>
        </is>
      </c>
    </row>
    <row r="3" s="353">
      <c r="C3" s="6" t="n"/>
      <c r="D3" s="6" t="n"/>
      <c r="E3" s="6" t="n"/>
      <c r="X3" s="148" t="inlineStr">
        <is>
          <t>上期需求</t>
        </is>
      </c>
      <c r="Y3" s="148" t="inlineStr">
        <is>
          <t>上期市场份额</t>
        </is>
      </c>
      <c r="Z3" s="148" t="inlineStr">
        <is>
          <t>平均份额</t>
        </is>
      </c>
      <c r="AB3" s="459" t="inlineStr">
        <is>
          <t>标准供应量</t>
        </is>
      </c>
      <c r="AC3" s="459" t="inlineStr">
        <is>
          <t>实际供应量</t>
        </is>
      </c>
      <c r="AE3" s="148" t="inlineStr">
        <is>
          <t>无折旧机时贡献</t>
        </is>
      </c>
      <c r="AF3" s="148" t="inlineStr">
        <is>
          <t>机时成本</t>
        </is>
      </c>
      <c r="AG3" s="148" t="inlineStr">
        <is>
          <t>人时贡献</t>
        </is>
      </c>
      <c r="AH3" s="148" t="inlineStr">
        <is>
          <t>无折旧成本贡献</t>
        </is>
      </c>
      <c r="AJ3" s="148" t="inlineStr">
        <is>
          <t>无差别机时贡献</t>
        </is>
      </c>
      <c r="AK3" s="148" t="inlineStr">
        <is>
          <t>成本贡献*15</t>
        </is>
      </c>
      <c r="AL3" s="148" t="inlineStr">
        <is>
          <t>单位成本/机时</t>
        </is>
      </c>
      <c r="AM3" s="148" t="inlineStr">
        <is>
          <t>实际供应量</t>
        </is>
      </c>
      <c r="AN3" s="148" t="inlineStr">
        <is>
          <t>可运出</t>
        </is>
      </c>
      <c r="AO3" s="148" t="inlineStr">
        <is>
          <t>工厂库存</t>
        </is>
      </c>
      <c r="AQ3" s="396" t="n"/>
      <c r="AR3" s="396" t="n"/>
      <c r="AW3" s="396" t="n"/>
      <c r="AX3" s="396" t="n"/>
      <c r="AY3" s="396" t="n"/>
      <c r="AZ3" s="396" t="n"/>
      <c r="BA3" s="396" t="n"/>
      <c r="BB3" s="396" t="n"/>
      <c r="BC3" s="396" t="n"/>
      <c r="BD3" s="396" t="n"/>
      <c r="BE3" s="396" t="n"/>
      <c r="BF3" s="396" t="n"/>
      <c r="BG3" s="396" t="n"/>
      <c r="BH3" s="396" t="n"/>
      <c r="BI3" s="396" t="n"/>
      <c r="BJ3" s="396" t="n"/>
      <c r="BK3" s="396" t="n"/>
      <c r="BL3" s="396" t="n"/>
      <c r="BM3" s="396" t="n"/>
      <c r="BN3" s="396" t="n"/>
      <c r="BO3" s="396" t="n"/>
    </row>
    <row r="4" s="353">
      <c r="B4" s="441" t="n"/>
      <c r="C4" s="8" t="inlineStr">
        <is>
          <t>工人数</t>
        </is>
      </c>
      <c r="D4" s="9" t="n"/>
      <c r="E4" s="9" t="n"/>
      <c r="F4" s="10" t="n"/>
      <c r="G4" s="11" t="inlineStr">
        <is>
          <t>上期发债券数</t>
        </is>
      </c>
      <c r="H4" s="384" t="n"/>
      <c r="W4" s="460">
        <f>AC4-X4</f>
        <v/>
      </c>
      <c r="X4" s="39">
        <f>SUM(AF70:AF73)</f>
        <v/>
      </c>
      <c r="Y4" s="67">
        <f>AVERAGE(Y76:Y79)</f>
        <v/>
      </c>
      <c r="Z4" s="67">
        <f>1/比赛参数!$G$4</f>
        <v/>
      </c>
      <c r="AA4" s="68">
        <f>(AC4-X4)/X4</f>
        <v/>
      </c>
      <c r="AB4" s="461">
        <f>SUM(Y232:AB232)/比赛参数!$G$4</f>
        <v/>
      </c>
      <c r="AC4" s="462">
        <f>AN4+SUM(Y57:Y60)-SUM(AF57:AF60)-SUM(Y108:Y111)</f>
        <v/>
      </c>
      <c r="AD4" s="215" t="n">
        <v>571</v>
      </c>
      <c r="AE4" s="463">
        <f>DK29</f>
        <v/>
      </c>
      <c r="AF4" s="464">
        <f>DK41</f>
        <v/>
      </c>
      <c r="AG4" s="463">
        <f>DQ29</f>
        <v/>
      </c>
      <c r="AH4" s="465">
        <f>DK35*15</f>
        <v/>
      </c>
      <c r="AJ4" s="464">
        <f>DD29</f>
        <v/>
      </c>
      <c r="AK4" s="465">
        <f>DD35*15</f>
        <v/>
      </c>
      <c r="AL4" s="466">
        <f>CJ24/比赛参数!D26</f>
        <v/>
      </c>
      <c r="AM4" s="39">
        <f>AF68</f>
        <v/>
      </c>
      <c r="AN4" s="39">
        <f>Y93</f>
        <v/>
      </c>
      <c r="AO4" s="39">
        <f>AC9+D42-Y92</f>
        <v/>
      </c>
      <c r="AQ4" s="396" t="n"/>
      <c r="AR4" s="396" t="n"/>
      <c r="AW4" s="396" t="n"/>
      <c r="AX4" s="396" t="n"/>
      <c r="AY4" s="396" t="n"/>
      <c r="AZ4" s="396" t="n"/>
      <c r="BA4" s="396" t="n"/>
      <c r="BB4" s="396" t="n"/>
      <c r="BC4" s="396" t="n"/>
      <c r="BD4" s="396" t="n"/>
      <c r="BE4" s="396" t="n"/>
      <c r="BF4" s="396" t="n"/>
      <c r="BG4" s="396" t="n"/>
      <c r="BH4" s="396" t="n"/>
      <c r="BI4" s="396" t="n"/>
      <c r="BJ4" s="396" t="n"/>
      <c r="BK4" s="396" t="n"/>
      <c r="BL4" s="396" t="n"/>
      <c r="BM4" s="396" t="n"/>
      <c r="BN4" s="396" t="n"/>
      <c r="BO4" s="396" t="n"/>
    </row>
    <row r="5" s="353">
      <c r="B5" s="441" t="n"/>
      <c r="C5" s="8" t="inlineStr">
        <is>
          <t>机器数</t>
        </is>
      </c>
      <c r="D5" s="9" t="n"/>
      <c r="E5" s="9" t="n"/>
      <c r="F5" s="10" t="n"/>
      <c r="G5" s="11" t="inlineStr">
        <is>
          <t>上期偿债本金</t>
        </is>
      </c>
      <c r="H5" s="13" t="n"/>
      <c r="M5" s="27" t="n"/>
      <c r="N5" s="28" t="n"/>
      <c r="O5" s="29" t="n"/>
      <c r="P5" s="29" t="n"/>
      <c r="Q5" s="44" t="n"/>
      <c r="W5" s="460">
        <f>AC5-X5</f>
        <v/>
      </c>
      <c r="X5" s="39">
        <f>SUM(AG70:AG73)</f>
        <v/>
      </c>
      <c r="Y5" s="67">
        <f>AVERAGE(Z76:Z79)</f>
        <v/>
      </c>
      <c r="Z5" s="67">
        <f>1/比赛参数!$G$4</f>
        <v/>
      </c>
      <c r="AA5" s="68">
        <f>(AC5-X5)/X5</f>
        <v/>
      </c>
      <c r="AB5" s="461">
        <f>SUM(AC232:AF232)/比赛参数!$G$4</f>
        <v/>
      </c>
      <c r="AC5" s="462">
        <f>AN5+SUM(Z57:Z60)-SUM(AG57:AG60)-SUM(Z108:Z111)</f>
        <v/>
      </c>
      <c r="AD5" s="215" t="n">
        <v>679.25</v>
      </c>
      <c r="AE5" s="463">
        <f>DK30</f>
        <v/>
      </c>
      <c r="AF5" s="464">
        <f>DK42</f>
        <v/>
      </c>
      <c r="AG5" s="463">
        <f>DQ30</f>
        <v/>
      </c>
      <c r="AH5" s="465">
        <f>DK36*15</f>
        <v/>
      </c>
      <c r="AJ5" s="464">
        <f>DD30</f>
        <v/>
      </c>
      <c r="AK5" s="465">
        <f>DD36*15</f>
        <v/>
      </c>
      <c r="AL5" s="466">
        <f>CK24/比赛参数!E26</f>
        <v/>
      </c>
      <c r="AM5" s="39">
        <f>AG68</f>
        <v/>
      </c>
      <c r="AN5" s="39">
        <f>Z93</f>
        <v/>
      </c>
      <c r="AO5" s="39">
        <f>AC10+D43-Z92</f>
        <v/>
      </c>
      <c r="AQ5" s="396" t="n"/>
      <c r="AR5" s="396" t="n"/>
      <c r="AW5" s="396" t="n"/>
      <c r="AX5" s="396" t="n"/>
      <c r="AY5" s="396" t="n"/>
      <c r="AZ5" s="396" t="n"/>
      <c r="BA5" s="396" t="n"/>
      <c r="BB5" s="396" t="n"/>
      <c r="BC5" s="396" t="n"/>
      <c r="BD5" s="396" t="n"/>
      <c r="BE5" s="396" t="n"/>
      <c r="BF5" s="396" t="n"/>
      <c r="BG5" s="396" t="n"/>
      <c r="BH5" s="396" t="n"/>
      <c r="BI5" s="396" t="n"/>
      <c r="BJ5" s="396" t="n"/>
      <c r="BK5" s="396" t="n"/>
      <c r="BL5" s="396" t="n"/>
      <c r="BM5" s="396" t="n"/>
      <c r="BN5" s="396" t="n"/>
      <c r="BO5" s="396" t="n"/>
      <c r="DT5" s="196" t="inlineStr">
        <is>
          <t>产品</t>
        </is>
      </c>
      <c r="DU5" s="195" t="inlineStr">
        <is>
          <t>市场</t>
        </is>
      </c>
      <c r="DV5" s="196" t="inlineStr">
        <is>
          <t>需求</t>
        </is>
      </c>
      <c r="DW5" s="196" t="inlineStr">
        <is>
          <t>订货</t>
        </is>
      </c>
      <c r="DX5" s="196" t="inlineStr">
        <is>
          <t>库存</t>
        </is>
      </c>
    </row>
    <row r="6" s="353">
      <c r="B6" s="441" t="n"/>
      <c r="C6" s="8" t="inlineStr">
        <is>
          <t>原材料</t>
        </is>
      </c>
      <c r="D6" s="14" t="n"/>
      <c r="E6" s="9" t="n"/>
      <c r="F6" s="10" t="n"/>
      <c r="M6" s="30" t="n"/>
      <c r="N6" s="31" t="inlineStr">
        <is>
          <t>工人数</t>
        </is>
      </c>
      <c r="O6" s="39">
        <f>K8+Y18-AA18</f>
        <v/>
      </c>
      <c r="P6" s="33" t="inlineStr">
        <is>
          <t>发债券数</t>
        </is>
      </c>
      <c r="Q6" s="39">
        <f>AH15</f>
        <v/>
      </c>
      <c r="W6" s="460">
        <f>AC6-X6</f>
        <v/>
      </c>
      <c r="X6" s="39">
        <f>SUM(AH70:AH73)</f>
        <v/>
      </c>
      <c r="Y6" s="67">
        <f>AVERAGE(AA76:AA79)</f>
        <v/>
      </c>
      <c r="Z6" s="67">
        <f>1/比赛参数!$G$4</f>
        <v/>
      </c>
      <c r="AA6" s="68">
        <f>(AC6-X6)/X6</f>
        <v/>
      </c>
      <c r="AB6" s="461">
        <f>SUM(AG232:AJ232)/比赛参数!$G$4</f>
        <v/>
      </c>
      <c r="AC6" s="462">
        <f>AN6+SUM(AA57:AA60)-SUM(AH57:AH60)-SUM(AA108:AA111)</f>
        <v/>
      </c>
      <c r="AD6" s="215" t="n">
        <v>294</v>
      </c>
      <c r="AE6" s="463">
        <f>DK31</f>
        <v/>
      </c>
      <c r="AF6" s="464">
        <f>DK43</f>
        <v/>
      </c>
      <c r="AG6" s="463">
        <f>DQ31</f>
        <v/>
      </c>
      <c r="AH6" s="465">
        <f>DK37*15</f>
        <v/>
      </c>
      <c r="AJ6" s="464">
        <f>DD31</f>
        <v/>
      </c>
      <c r="AK6" s="465">
        <f>DD37*15</f>
        <v/>
      </c>
      <c r="AL6" s="466">
        <f>CL24/比赛参数!F26</f>
        <v/>
      </c>
      <c r="AM6" s="39">
        <f>AH68</f>
        <v/>
      </c>
      <c r="AN6" s="39">
        <f>AA93</f>
        <v/>
      </c>
      <c r="AO6" s="39">
        <f>AC11+D44-AA92</f>
        <v/>
      </c>
      <c r="AR6" s="11" t="inlineStr">
        <is>
          <t>评判标准</t>
        </is>
      </c>
      <c r="BR6" s="203" t="inlineStr">
        <is>
          <t>价格</t>
        </is>
      </c>
      <c r="BS6" s="195" t="inlineStr">
        <is>
          <t>市场1</t>
        </is>
      </c>
      <c r="BT6" s="196" t="inlineStr">
        <is>
          <t>市场2</t>
        </is>
      </c>
      <c r="BU6" s="196" t="inlineStr">
        <is>
          <t>市场3</t>
        </is>
      </c>
      <c r="BV6" s="196" t="inlineStr">
        <is>
          <t>市场4</t>
        </is>
      </c>
      <c r="BW6" s="199" t="inlineStr">
        <is>
          <t>广告</t>
        </is>
      </c>
      <c r="DT6" s="260" t="inlineStr">
        <is>
          <t>产品A</t>
        </is>
      </c>
      <c r="DU6" s="376" t="n">
        <v>1</v>
      </c>
      <c r="DV6" s="270">
        <f>F24</f>
        <v/>
      </c>
      <c r="DW6" s="270">
        <f>I24</f>
        <v/>
      </c>
      <c r="DX6" s="270">
        <f>J24</f>
        <v/>
      </c>
    </row>
    <row r="7" s="353">
      <c r="B7" s="441" t="n"/>
      <c r="C7" s="8" t="inlineStr">
        <is>
          <t>现 金</t>
        </is>
      </c>
      <c r="D7" s="14" t="n"/>
      <c r="E7" s="9" t="n"/>
      <c r="F7" s="10" t="n"/>
      <c r="M7" s="30" t="n"/>
      <c r="N7" s="31" t="inlineStr">
        <is>
          <t>机器数</t>
        </is>
      </c>
      <c r="O7" s="39" t="n"/>
      <c r="P7" s="33" t="inlineStr">
        <is>
          <t>偿债本金</t>
        </is>
      </c>
      <c r="Q7" s="39">
        <f>BS58</f>
        <v/>
      </c>
      <c r="W7" s="460">
        <f>AC7-X7</f>
        <v/>
      </c>
      <c r="X7" s="39">
        <f>SUM(AI70:AI73)</f>
        <v/>
      </c>
      <c r="Y7" s="67">
        <f>AVERAGE(AB76:AB79)</f>
        <v/>
      </c>
      <c r="Z7" s="67">
        <f>1/比赛参数!$G$4</f>
        <v/>
      </c>
      <c r="AA7" s="68">
        <f>(AC7-X7)/X7</f>
        <v/>
      </c>
      <c r="AB7" s="461">
        <f>SUM(AK232:AN232)/比赛参数!$G$4</f>
        <v/>
      </c>
      <c r="AC7" s="462">
        <f>AN7+SUM(AB57:AB60)-SUM(AI57:AI60)-SUM(AB108:AB111)</f>
        <v/>
      </c>
      <c r="AE7" s="463">
        <f>DK32</f>
        <v/>
      </c>
      <c r="AF7" s="464">
        <f>DK44</f>
        <v/>
      </c>
      <c r="AG7" s="463">
        <f>DQ32</f>
        <v/>
      </c>
      <c r="AH7" s="465">
        <f>DK38*15</f>
        <v/>
      </c>
      <c r="AJ7" s="464">
        <f>DD32</f>
        <v/>
      </c>
      <c r="AK7" s="465">
        <f>DD38*15</f>
        <v/>
      </c>
      <c r="AL7" s="466">
        <f>CM24/比赛参数!G26</f>
        <v/>
      </c>
      <c r="AM7" s="39">
        <f>AI68</f>
        <v/>
      </c>
      <c r="AN7" s="39">
        <f>AB93</f>
        <v/>
      </c>
      <c r="AO7" s="39">
        <f>AC12+D45-AB92</f>
        <v/>
      </c>
      <c r="AR7" s="294" t="inlineStr">
        <is>
          <t>权重</t>
        </is>
      </c>
      <c r="BR7" s="197" t="inlineStr">
        <is>
          <t>产品A</t>
        </is>
      </c>
      <c r="BS7" s="218">
        <f>第十四期!AF76</f>
        <v/>
      </c>
      <c r="BT7" s="218">
        <f>第十四期!AF77</f>
        <v/>
      </c>
      <c r="BU7" s="218">
        <f>第十四期!AF78</f>
        <v/>
      </c>
      <c r="BV7" s="218">
        <f>第十四期!AF79</f>
        <v/>
      </c>
      <c r="BW7" s="467">
        <f>第十四期!$AF$80</f>
        <v/>
      </c>
      <c r="DT7" s="376" t="inlineStr">
        <is>
          <t>产品A</t>
        </is>
      </c>
      <c r="DU7" s="376" t="n">
        <v>2</v>
      </c>
      <c r="DV7" s="270">
        <f>F25</f>
        <v/>
      </c>
      <c r="DW7" s="270">
        <f>I25</f>
        <v/>
      </c>
      <c r="DX7" s="270">
        <f>J25</f>
        <v/>
      </c>
    </row>
    <row r="8" s="353">
      <c r="B8" s="441" t="n"/>
      <c r="C8" s="8" t="inlineStr">
        <is>
          <t>累计折旧</t>
        </is>
      </c>
      <c r="D8" s="14" t="n"/>
      <c r="E8" s="9" t="n"/>
      <c r="F8" s="10" t="n"/>
      <c r="J8" s="11" t="inlineStr">
        <is>
          <t>工人数</t>
        </is>
      </c>
      <c r="K8" s="376">
        <f>D4</f>
        <v/>
      </c>
      <c r="M8" s="30" t="n"/>
      <c r="N8" s="31" t="inlineStr">
        <is>
          <t>原材料</t>
        </is>
      </c>
      <c r="O8" s="39">
        <f>AL23</f>
        <v/>
      </c>
      <c r="P8" s="35" t="n"/>
      <c r="Q8" s="45" t="n"/>
      <c r="X8" s="63" t="inlineStr">
        <is>
          <t>生产安排</t>
        </is>
      </c>
      <c r="Y8" s="73" t="inlineStr">
        <is>
          <t>一正</t>
        </is>
      </c>
      <c r="Z8" s="11" t="inlineStr">
        <is>
          <t>一加</t>
        </is>
      </c>
      <c r="AA8" s="11" t="inlineStr">
        <is>
          <t>二正</t>
        </is>
      </c>
      <c r="AB8" s="74" t="inlineStr">
        <is>
          <t>二加</t>
        </is>
      </c>
      <c r="AC8" s="148" t="inlineStr">
        <is>
          <t>总量</t>
        </is>
      </c>
      <c r="AE8" s="148" t="inlineStr">
        <is>
          <t>实际机时贡献</t>
        </is>
      </c>
      <c r="AF8" s="148" t="inlineStr">
        <is>
          <t>成本贡献*15</t>
        </is>
      </c>
      <c r="AG8" s="148" t="inlineStr">
        <is>
          <t>边际贡献率*20</t>
        </is>
      </c>
      <c r="AH8" s="148" t="inlineStr">
        <is>
          <t>消耗机时</t>
        </is>
      </c>
      <c r="AI8" s="148" t="inlineStr">
        <is>
          <t>单位利润</t>
        </is>
      </c>
      <c r="AJ8" s="294" t="inlineStr">
        <is>
          <t>一正</t>
        </is>
      </c>
      <c r="AK8" s="294" t="inlineStr">
        <is>
          <t>一加</t>
        </is>
      </c>
      <c r="AL8" s="294" t="inlineStr">
        <is>
          <t>二正</t>
        </is>
      </c>
      <c r="AM8" s="294" t="inlineStr">
        <is>
          <t>二加</t>
        </is>
      </c>
      <c r="AQ8" s="396" t="n"/>
      <c r="AR8" s="11" t="inlineStr">
        <is>
          <t>公司号</t>
        </is>
      </c>
      <c r="AS8" s="11" t="inlineStr">
        <is>
          <t>销售产能</t>
        </is>
      </c>
      <c r="AT8" s="11" t="inlineStr">
        <is>
          <t>销售机器</t>
        </is>
      </c>
      <c r="AU8" s="11" t="inlineStr">
        <is>
          <t>本期利润</t>
        </is>
      </c>
      <c r="AV8" s="11" t="inlineStr">
        <is>
          <t>机时利润率</t>
        </is>
      </c>
      <c r="AW8" s="11" t="inlineStr">
        <is>
          <t>本期成本</t>
        </is>
      </c>
      <c r="AX8" s="11" t="inlineStr">
        <is>
          <t>成本利润率</t>
        </is>
      </c>
      <c r="AY8" s="11" t="inlineStr">
        <is>
          <t>销售收入</t>
        </is>
      </c>
      <c r="AZ8" s="11" t="inlineStr">
        <is>
          <t>实际收入</t>
        </is>
      </c>
      <c r="BA8" s="11" t="inlineStr">
        <is>
          <t>原材料优惠</t>
        </is>
      </c>
      <c r="BB8" s="11" t="inlineStr">
        <is>
          <t>原材料采购</t>
        </is>
      </c>
      <c r="BC8" s="11" t="inlineStr">
        <is>
          <t>纯利润</t>
        </is>
      </c>
      <c r="BD8" s="11" t="inlineStr">
        <is>
          <t>研发分摊</t>
        </is>
      </c>
      <c r="BE8" s="11" t="inlineStr">
        <is>
          <t>调整利润（扣除研发）</t>
        </is>
      </c>
      <c r="BF8" s="11" t="inlineStr">
        <is>
          <t>机时利润</t>
        </is>
      </c>
      <c r="BQ8" s="396" t="n"/>
      <c r="BR8" s="196" t="inlineStr">
        <is>
          <t>产品B</t>
        </is>
      </c>
      <c r="BS8" s="218">
        <f>第十四期!$AG$76</f>
        <v/>
      </c>
      <c r="BT8" s="218">
        <f>第十四期!$AG$77</f>
        <v/>
      </c>
      <c r="BU8" s="218">
        <f>第十四期!$AG$78</f>
        <v/>
      </c>
      <c r="BV8" s="218">
        <f>第十四期!$AG$79</f>
        <v/>
      </c>
      <c r="BW8" s="467">
        <f>第十四期!$AG$80</f>
        <v/>
      </c>
      <c r="BX8" s="396" t="n"/>
      <c r="DT8" s="254" t="inlineStr">
        <is>
          <t>产品A</t>
        </is>
      </c>
      <c r="DU8" s="254" t="n">
        <v>3</v>
      </c>
      <c r="DV8" s="255">
        <f>F26</f>
        <v/>
      </c>
      <c r="DW8" s="255">
        <f>I26</f>
        <v/>
      </c>
      <c r="DX8" s="255">
        <f>J26</f>
        <v/>
      </c>
    </row>
    <row r="9" s="353">
      <c r="B9" s="441" t="n"/>
      <c r="C9" s="8" t="inlineStr">
        <is>
          <t>银行信用额度</t>
        </is>
      </c>
      <c r="D9" s="14" t="n"/>
      <c r="E9" s="9" t="n"/>
      <c r="F9" s="10" t="n"/>
      <c r="J9" s="11" t="inlineStr">
        <is>
          <t>机器数</t>
        </is>
      </c>
      <c r="K9" s="376">
        <f>D5</f>
        <v/>
      </c>
      <c r="M9" s="36" t="inlineStr">
        <is>
          <t>下</t>
        </is>
      </c>
      <c r="N9" s="31" t="inlineStr">
        <is>
          <t>现  金</t>
        </is>
      </c>
      <c r="O9" s="39">
        <f>AJ20</f>
        <v/>
      </c>
      <c r="P9" s="35" t="n"/>
      <c r="Q9" s="45" t="n"/>
      <c r="X9" s="47" t="inlineStr">
        <is>
          <t>产品A产量</t>
        </is>
      </c>
      <c r="Y9" s="75" t="n"/>
      <c r="Z9" s="75" t="n"/>
      <c r="AA9" s="75" t="n"/>
      <c r="AB9" s="75" t="n"/>
      <c r="AC9" s="76">
        <f>SUM(Y9:AB9)</f>
        <v/>
      </c>
      <c r="AE9" s="464">
        <f>SUMPRODUCT(Y96:Y99,AF64:AF67)/SUM(AF64:AF67)</f>
        <v/>
      </c>
      <c r="AF9" s="465">
        <f>CC24*15</f>
        <v/>
      </c>
      <c r="AG9" s="468">
        <f>SUMPRODUCT(Y102:Y105,AF64:AF67)/SUM(AF64:AF67)*20</f>
        <v/>
      </c>
      <c r="AH9" s="39">
        <f>AC9*比赛参数!D26</f>
        <v/>
      </c>
      <c r="AI9" s="134">
        <f>第十四期!DB56</f>
        <v/>
      </c>
      <c r="AJ9" s="294">
        <f>CS17+CS35+AVERAGE($CS41:$CV41)</f>
        <v/>
      </c>
      <c r="AK9" s="294">
        <f>CT17+CT35+AVERAGE($CS41:$CV41)</f>
        <v/>
      </c>
      <c r="AL9" s="294">
        <f>CU17+CU35+AVERAGE($CS41:$CV41)</f>
        <v/>
      </c>
      <c r="AM9" s="294">
        <f>CV17+CV35+AVERAGE($CS41:$CV41)</f>
        <v/>
      </c>
      <c r="AQ9" s="396" t="n"/>
      <c r="AR9" s="11" t="n">
        <v>1</v>
      </c>
      <c r="AS9" s="294">
        <f>SUM(AB131:AE131)*比赛参数!$D$26+SUM(AL131:AO131)*比赛参数!$E$26+SUM(AB154:AE154)*比赛参数!$F$26+SUM(AL154:AO154)*比赛参数!$G$26</f>
        <v/>
      </c>
      <c r="AT9" s="469">
        <f>AS9/1300</f>
        <v/>
      </c>
      <c r="AU9" s="175">
        <f>F95</f>
        <v/>
      </c>
      <c r="AV9" s="470">
        <f>AU9/AS9</f>
        <v/>
      </c>
      <c r="AW9" s="175">
        <f>E95</f>
        <v/>
      </c>
      <c r="AX9" s="192">
        <f>AU9/AW9</f>
        <v/>
      </c>
      <c r="AY9" s="294">
        <f>X131*AB131+Y131*AC131+Z131*AD131+AA131*AE131+AH131*AL131+AI131*AM131+AJ131*AN131+AK131*AO131+X154*AB154+Y154*AC154+Z154*AD154+AA154*AE154+AH154*AL154+AI154*AM154+AJ154*AN154+AK154*AO154</f>
        <v/>
      </c>
      <c r="AZ9" s="338">
        <f>D95</f>
        <v/>
      </c>
      <c r="BA9" s="294">
        <f>AZ9-AY9</f>
        <v/>
      </c>
      <c r="BB9" s="294">
        <f>IF(BA9&lt;比赛参数!$K$34,0,IF(BA9&lt;比赛参数!$K$35,BA9/(1-比赛参数!$E$36),IF(BA9&lt;比赛参数!$K$36,BA9/(1-比赛参数!$E$34))))</f>
        <v/>
      </c>
      <c r="BC9" s="294">
        <f>AU9-BA9</f>
        <v/>
      </c>
      <c r="BD9" s="101" t="n"/>
      <c r="BE9" s="294">
        <f>BC9-BD9</f>
        <v/>
      </c>
      <c r="BF9" s="470">
        <f>BE9/AS9</f>
        <v/>
      </c>
      <c r="BQ9" s="396" t="n"/>
      <c r="BR9" s="196" t="inlineStr">
        <is>
          <t>产品C</t>
        </is>
      </c>
      <c r="BS9" s="218">
        <f>第十四期!$AH$76</f>
        <v/>
      </c>
      <c r="BT9" s="218">
        <f>第十四期!$AH$77</f>
        <v/>
      </c>
      <c r="BU9" s="218">
        <f>第十四期!$AH$78</f>
        <v/>
      </c>
      <c r="BV9" s="218">
        <f>第十四期!$AH$79</f>
        <v/>
      </c>
      <c r="BW9" s="467">
        <f>第十四期!$AH$80</f>
        <v/>
      </c>
      <c r="BX9" s="396" t="n"/>
      <c r="DT9" s="256" t="inlineStr">
        <is>
          <t>产品A</t>
        </is>
      </c>
      <c r="DU9" s="257" t="n">
        <v>4</v>
      </c>
      <c r="DV9" s="258">
        <f>F27</f>
        <v/>
      </c>
      <c r="DW9" s="258">
        <f>I27</f>
        <v/>
      </c>
      <c r="DX9" s="259">
        <f>J27</f>
        <v/>
      </c>
    </row>
    <row r="10" s="353">
      <c r="B10" s="441" t="n"/>
      <c r="C10" s="8" t="inlineStr">
        <is>
          <t>国 债</t>
        </is>
      </c>
      <c r="D10" s="9" t="n"/>
      <c r="E10" s="9" t="n"/>
      <c r="F10" s="10" t="n"/>
      <c r="J10" s="11" t="inlineStr">
        <is>
          <t>原材料</t>
        </is>
      </c>
      <c r="K10" s="376">
        <f>D6</f>
        <v/>
      </c>
      <c r="M10" s="30" t="n"/>
      <c r="N10" s="31" t="inlineStr">
        <is>
          <t>累计折旧</t>
        </is>
      </c>
      <c r="O10" s="37" t="n"/>
      <c r="P10" s="35" t="n"/>
      <c r="Q10" s="45" t="n"/>
      <c r="X10" s="11" t="inlineStr">
        <is>
          <t>产品B产量</t>
        </is>
      </c>
      <c r="Y10" s="75" t="n"/>
      <c r="Z10" s="75" t="n"/>
      <c r="AA10" s="75" t="n"/>
      <c r="AB10" s="75" t="n"/>
      <c r="AC10" s="76">
        <f>SUM(Y10:AB10)</f>
        <v/>
      </c>
      <c r="AE10" s="464">
        <f>SUMPRODUCT(Z96:Z99,AG64:AG67)/SUM(AG64:AG67)</f>
        <v/>
      </c>
      <c r="AF10" s="465">
        <f>CD24*15</f>
        <v/>
      </c>
      <c r="AG10" s="468">
        <f>SUMPRODUCT(Z102:Z105,AG64:AG67)/SUM(AG64:AG67)*20</f>
        <v/>
      </c>
      <c r="AH10" s="39">
        <f>AC10*比赛参数!E26</f>
        <v/>
      </c>
      <c r="AI10" s="134">
        <f>第十四期!DB57</f>
        <v/>
      </c>
      <c r="AJ10" s="294">
        <f>CS18+CS36+AVERAGE($CS42:$CV42)</f>
        <v/>
      </c>
      <c r="AK10" s="294">
        <f>CT18+CT36+AVERAGE($CS42:$CV42)</f>
        <v/>
      </c>
      <c r="AL10" s="294">
        <f>CU18+CU36+AVERAGE($CS42:$CV42)</f>
        <v/>
      </c>
      <c r="AM10" s="294">
        <f>CV18+CV36+AVERAGE($CS42:$CV42)</f>
        <v/>
      </c>
      <c r="AQ10" s="396" t="n"/>
      <c r="AR10" s="11" t="n">
        <v>2</v>
      </c>
      <c r="AS10" s="294">
        <f>SUM(AB132:AE132)*比赛参数!$D$26+SUM(AL132:AO132)*比赛参数!$E$26+SUM(AB155:AE155)*比赛参数!$F$26+SUM(AL155:AO155)*比赛参数!$G$26</f>
        <v/>
      </c>
      <c r="AT10" s="469">
        <f>AS10/1300</f>
        <v/>
      </c>
      <c r="AU10" s="175">
        <f>F96</f>
        <v/>
      </c>
      <c r="AV10" s="470">
        <f>AU10/AS10</f>
        <v/>
      </c>
      <c r="AW10" s="175">
        <f>E96</f>
        <v/>
      </c>
      <c r="AX10" s="192">
        <f>AU10/AW10</f>
        <v/>
      </c>
      <c r="AY10" s="294">
        <f>X132*AB132+Y132*AC132+Z132*AD132+AA132*AE132+AH132*AL132+AI132*AM132+AJ132*AN132+AK132*AO132+X155*AB155+Y155*AC155+Z155*AD155+AA155*AE155+AH155*AL155+AI155*AM155+AJ155*AN155+AK155*AO155</f>
        <v/>
      </c>
      <c r="AZ10" s="338">
        <f>D96</f>
        <v/>
      </c>
      <c r="BA10" s="294">
        <f>AZ10-AY10</f>
        <v/>
      </c>
      <c r="BB10" s="294">
        <f>IF(BA10&lt;比赛参数!$K$34,0,IF(BA10&lt;比赛参数!$K$35,BA10/(1-比赛参数!$E$36),IF(BA10&lt;比赛参数!$K$36,BA10/(1-比赛参数!$E$34))))</f>
        <v/>
      </c>
      <c r="BC10" s="294">
        <f>AU10-BA10</f>
        <v/>
      </c>
      <c r="BD10" s="101" t="n"/>
      <c r="BE10" s="294">
        <f>BC10-BD10</f>
        <v/>
      </c>
      <c r="BF10" s="470">
        <f>BE10/AS10</f>
        <v/>
      </c>
      <c r="BQ10" s="396" t="n"/>
      <c r="BR10" s="196" t="inlineStr">
        <is>
          <t>产品D</t>
        </is>
      </c>
      <c r="BS10" s="218">
        <f>第十四期!$AI$76</f>
        <v/>
      </c>
      <c r="BT10" s="218">
        <f>第十四期!$AI$77</f>
        <v/>
      </c>
      <c r="BU10" s="218">
        <f>第十四期!$AI$78</f>
        <v/>
      </c>
      <c r="BV10" s="218">
        <f>第十四期!$AI$79</f>
        <v/>
      </c>
      <c r="BW10" s="467">
        <f>第十四期!$AI$80</f>
        <v/>
      </c>
      <c r="BX10" s="396" t="n"/>
      <c r="DT10" s="260" t="inlineStr">
        <is>
          <t>产品B</t>
        </is>
      </c>
      <c r="DU10" s="260" t="n">
        <v>1</v>
      </c>
      <c r="DV10" s="261">
        <f>F28</f>
        <v/>
      </c>
      <c r="DW10" s="261">
        <f>I28</f>
        <v/>
      </c>
      <c r="DX10" s="261">
        <f>J28</f>
        <v/>
      </c>
    </row>
    <row r="11" s="353">
      <c r="B11" s="441" t="n"/>
      <c r="C11" s="8" t="inlineStr">
        <is>
          <t>债 券</t>
        </is>
      </c>
      <c r="D11" s="14" t="n"/>
      <c r="E11" s="9" t="n"/>
      <c r="F11" s="10" t="n"/>
      <c r="J11" s="11" t="inlineStr">
        <is>
          <t>现金</t>
        </is>
      </c>
      <c r="K11" s="376">
        <f>D7</f>
        <v/>
      </c>
      <c r="M11" s="36" t="inlineStr">
        <is>
          <t>期</t>
        </is>
      </c>
      <c r="N11" s="39" t="inlineStr">
        <is>
          <t>银行信用</t>
        </is>
      </c>
      <c r="O11" s="39">
        <f>AL14</f>
        <v/>
      </c>
      <c r="P11" s="35" t="n"/>
      <c r="Q11" s="45" t="n"/>
      <c r="X11" s="11" t="inlineStr">
        <is>
          <t>产品C产量</t>
        </is>
      </c>
      <c r="Y11" s="75" t="n"/>
      <c r="Z11" s="75" t="n"/>
      <c r="AA11" s="75" t="n"/>
      <c r="AB11" s="75" t="n"/>
      <c r="AC11" s="76">
        <f>SUM(Y11:AB11)</f>
        <v/>
      </c>
      <c r="AE11" s="464">
        <f>SUMPRODUCT(AA96:AA99,AH64:AH67)/SUM(AH64:AH67)</f>
        <v/>
      </c>
      <c r="AF11" s="465">
        <f>CE24*15</f>
        <v/>
      </c>
      <c r="AG11" s="468">
        <f>SUMPRODUCT(AA102:AA105,AH64:AH67)/SUM(AH64:AH67)*20</f>
        <v/>
      </c>
      <c r="AH11" s="39">
        <f>AC11*比赛参数!F26</f>
        <v/>
      </c>
      <c r="AI11" s="134">
        <f>第十四期!DB58</f>
        <v/>
      </c>
      <c r="AJ11" s="294">
        <f>CS19+CS37+AVERAGE($CS43:$CV43)</f>
        <v/>
      </c>
      <c r="AK11" s="294">
        <f>CT19+CT37+AVERAGE($CS43:$CV43)</f>
        <v/>
      </c>
      <c r="AL11" s="294">
        <f>CU19+CU37+AVERAGE($CS43:$CV43)</f>
        <v/>
      </c>
      <c r="AM11" s="294">
        <f>CV19+CV37+AVERAGE($CS43:$CV43)</f>
        <v/>
      </c>
      <c r="AQ11" s="396" t="n"/>
      <c r="AR11" s="11" t="n">
        <v>3</v>
      </c>
      <c r="AS11" s="294">
        <f>SUM(AB133:AE133)*比赛参数!$D$26+SUM(AL133:AO133)*比赛参数!$E$26+SUM(AB156:AE156)*比赛参数!$F$26+SUM(AL156:AO156)*比赛参数!$G$26</f>
        <v/>
      </c>
      <c r="AT11" s="469">
        <f>AS11/1300</f>
        <v/>
      </c>
      <c r="AU11" s="175">
        <f>F97</f>
        <v/>
      </c>
      <c r="AV11" s="470">
        <f>AU11/AS11</f>
        <v/>
      </c>
      <c r="AW11" s="175">
        <f>E97</f>
        <v/>
      </c>
      <c r="AX11" s="192">
        <f>AU11/AW11</f>
        <v/>
      </c>
      <c r="AY11" s="294">
        <f>X133*AB133+Y133*AC133+Z133*AD133+AA133*AE133+AH133*AL133+AI133*AM133+AJ133*AN133+AK133*AO133+X156*AB156+Y156*AC156+Z156*AD156+AA156*AE156+AH156*AL156+AI156*AM156+AJ156*AN156+AK156*AO156</f>
        <v/>
      </c>
      <c r="AZ11" s="338">
        <f>D97</f>
        <v/>
      </c>
      <c r="BA11" s="294">
        <f>AZ11-AY11</f>
        <v/>
      </c>
      <c r="BB11" s="294">
        <f>IF(BA11&lt;比赛参数!$K$34,0,IF(BA11&lt;比赛参数!$K$35,BA11/(1-比赛参数!$E$36),IF(BA11&lt;比赛参数!$K$36,BA11/(1-比赛参数!$E$34))))</f>
        <v/>
      </c>
      <c r="BC11" s="294">
        <f>AU11-BA11</f>
        <v/>
      </c>
      <c r="BD11" s="101" t="n"/>
      <c r="BE11" s="294">
        <f>BC11-BD11</f>
        <v/>
      </c>
      <c r="BF11" s="470">
        <f>BE11/AS11</f>
        <v/>
      </c>
      <c r="BQ11" s="396" t="n"/>
      <c r="BR11" s="199" t="inlineStr">
        <is>
          <t>促销</t>
        </is>
      </c>
      <c r="BS11" s="467">
        <f>第十四期!$AJ$76</f>
        <v/>
      </c>
      <c r="BT11" s="467">
        <f>第十四期!$AJ$77</f>
        <v/>
      </c>
      <c r="BU11" s="467">
        <f>第十四期!$AJ$78</f>
        <v/>
      </c>
      <c r="BV11" s="467">
        <f>第十四期!$AJ$79</f>
        <v/>
      </c>
      <c r="BW11" s="210" t="n"/>
      <c r="BX11" s="396" t="n"/>
      <c r="DT11" s="376" t="inlineStr">
        <is>
          <t>产品B</t>
        </is>
      </c>
      <c r="DU11" s="376" t="n">
        <v>2</v>
      </c>
      <c r="DV11" s="270">
        <f>F29</f>
        <v/>
      </c>
      <c r="DW11" s="270">
        <f>I29</f>
        <v/>
      </c>
      <c r="DX11" s="270">
        <f>J29</f>
        <v/>
      </c>
    </row>
    <row customHeight="1" ht="17.25" r="12" s="353">
      <c r="B12" s="441" t="n"/>
      <c r="C12" s="8" t="inlineStr">
        <is>
          <t>累计研发费</t>
        </is>
      </c>
      <c r="D12" s="14" t="n"/>
      <c r="E12" s="9" t="n"/>
      <c r="F12" s="10" t="n"/>
      <c r="J12" s="11" t="inlineStr">
        <is>
          <t>银行信用额度</t>
        </is>
      </c>
      <c r="K12" s="376">
        <f>D9</f>
        <v/>
      </c>
      <c r="M12" s="30" t="n"/>
      <c r="N12" s="39" t="inlineStr">
        <is>
          <t>国债</t>
        </is>
      </c>
      <c r="O12" s="39">
        <f>AF20</f>
        <v/>
      </c>
      <c r="P12" s="35" t="n"/>
      <c r="Q12" s="45" t="n"/>
      <c r="X12" s="11" t="inlineStr">
        <is>
          <t>产品D产量</t>
        </is>
      </c>
      <c r="Y12" s="75" t="n"/>
      <c r="Z12" s="75" t="n"/>
      <c r="AA12" s="75" t="n"/>
      <c r="AB12" s="75" t="n"/>
      <c r="AC12" s="78">
        <f>SUM(Y12:AB12)</f>
        <v/>
      </c>
      <c r="AE12" s="464">
        <f>SUMPRODUCT(AB96:AB99,AI64:AI67)/SUM(AI64:AI67)</f>
        <v/>
      </c>
      <c r="AF12" s="465">
        <f>CF24*15</f>
        <v/>
      </c>
      <c r="AG12" s="468">
        <f>SUMPRODUCT(AB102:AB105,AI64:AI67)/SUM(AI64:AI67)*20</f>
        <v/>
      </c>
      <c r="AH12" s="39">
        <f>AC12*比赛参数!G26</f>
        <v/>
      </c>
      <c r="AI12" s="134">
        <f>第十四期!DB59</f>
        <v/>
      </c>
      <c r="AJ12" s="294">
        <f>CS20+CS38+AVERAGE($CS44:$CV44)</f>
        <v/>
      </c>
      <c r="AK12" s="294">
        <f>CT20+CT38+AVERAGE($CS44:$CV44)</f>
        <v/>
      </c>
      <c r="AL12" s="294">
        <f>CU20+CU38+AVERAGE($CS44:$CV44)</f>
        <v/>
      </c>
      <c r="AM12" s="294">
        <f>CV20+CV38+AVERAGE($CS44:$CV44)</f>
        <v/>
      </c>
      <c r="AQ12" s="396" t="n"/>
      <c r="AR12" s="11" t="n">
        <v>4</v>
      </c>
      <c r="AS12" s="294">
        <f>SUM(AB134:AE134)*比赛参数!$D$26+SUM(AL134:AO134)*比赛参数!$E$26+SUM(AB157:AE157)*比赛参数!$F$26+SUM(AL157:AO157)*比赛参数!$G$26</f>
        <v/>
      </c>
      <c r="AT12" s="469">
        <f>AS12/1300</f>
        <v/>
      </c>
      <c r="AU12" s="175">
        <f>F98</f>
        <v/>
      </c>
      <c r="AV12" s="470">
        <f>AU12/AS12</f>
        <v/>
      </c>
      <c r="AW12" s="175">
        <f>E98</f>
        <v/>
      </c>
      <c r="AX12" s="192">
        <f>AU12/AW12</f>
        <v/>
      </c>
      <c r="AY12" s="294">
        <f>X134*AB134+Y134*AC134+Z134*AD134+AA134*AE134+AH134*AL134+AI134*AM134+AJ134*AN134+AK134*AO134+X157*AB157+Y157*AC157+Z157*AD157+AA157*AE157+AH157*AL157+AI157*AM157+AJ157*AN157+AK157*AO157</f>
        <v/>
      </c>
      <c r="AZ12" s="338">
        <f>D98</f>
        <v/>
      </c>
      <c r="BA12" s="294">
        <f>AZ12-AY12</f>
        <v/>
      </c>
      <c r="BB12" s="294">
        <f>IF(BA12&lt;比赛参数!$K$34,0,IF(BA12&lt;比赛参数!$K$35,BA12/(1-比赛参数!$E$36),IF(BA12&lt;比赛参数!$K$36,BA12/(1-比赛参数!$E$34))))</f>
        <v/>
      </c>
      <c r="BC12" s="294">
        <f>AU12-BA12</f>
        <v/>
      </c>
      <c r="BD12" s="101" t="n"/>
      <c r="BE12" s="294">
        <f>BC12-BD12</f>
        <v/>
      </c>
      <c r="BF12" s="470">
        <f>BE12/AS12</f>
        <v/>
      </c>
      <c r="BQ12" s="396" t="n"/>
      <c r="BS12" s="202" t="n"/>
      <c r="BT12" s="202" t="n"/>
      <c r="BU12" s="202" t="n"/>
      <c r="BV12" s="202" t="n"/>
      <c r="BW12" s="202" t="n"/>
      <c r="BX12" s="396" t="n"/>
      <c r="DT12" s="376" t="inlineStr">
        <is>
          <t>产品B</t>
        </is>
      </c>
      <c r="DU12" s="376" t="n">
        <v>3</v>
      </c>
      <c r="DV12" s="270">
        <f>F30</f>
        <v/>
      </c>
      <c r="DW12" s="270">
        <f>I30</f>
        <v/>
      </c>
      <c r="DX12" s="270">
        <f>J30</f>
        <v/>
      </c>
    </row>
    <row r="13" s="353">
      <c r="B13" s="441" t="n"/>
      <c r="C13" s="8" t="inlineStr">
        <is>
          <t>本期利润</t>
        </is>
      </c>
      <c r="D13" s="14" t="n"/>
      <c r="E13" s="9" t="n"/>
      <c r="F13" s="10" t="n"/>
      <c r="J13" s="11" t="inlineStr">
        <is>
          <t>国债</t>
        </is>
      </c>
      <c r="K13" s="376">
        <f>D10</f>
        <v/>
      </c>
      <c r="M13" s="36" t="inlineStr">
        <is>
          <t>企</t>
        </is>
      </c>
      <c r="N13" s="39" t="inlineStr">
        <is>
          <t>下期债券</t>
        </is>
      </c>
      <c r="O13" s="39">
        <f>K14-BS58+AH15</f>
        <v/>
      </c>
      <c r="P13" s="35" t="n"/>
      <c r="Q13" s="45" t="n"/>
      <c r="W13" s="215" t="n"/>
      <c r="X13" s="49" t="inlineStr">
        <is>
          <t>各班需人数</t>
        </is>
      </c>
      <c r="Y13" s="464">
        <f>(Y9*比赛参数!D27+Y10*比赛参数!E27+Y11*比赛参数!F27+Y12*比赛参数!G27)/520</f>
        <v/>
      </c>
      <c r="Z13" s="464">
        <f>(Z9*比赛参数!D27+Z10*比赛参数!E27+Z11*比赛参数!F27+Z12*比赛参数!G27)/260</f>
        <v/>
      </c>
      <c r="AA13" s="464">
        <f>(AA9*比赛参数!D27+AA10*比赛参数!E27+AA11*比赛参数!F27+AA12*比赛参数!G27)/520</f>
        <v/>
      </c>
      <c r="AB13" s="471">
        <f>(AB9*比赛参数!D27+AB10*比赛参数!E27+AB11*比赛参数!F27+AB12*比赛参数!G27)/260</f>
        <v/>
      </c>
      <c r="AC13" s="80">
        <f>IF(Y21&lt;=Y20,IF(Z13&lt;=Y13,IF(AB13&lt;=AA13,"人数 YES","人数 NO"),"人数 NO"),"人数 NO")</f>
        <v/>
      </c>
      <c r="AE13" s="148" t="inlineStr">
        <is>
          <t>本期成本</t>
        </is>
      </c>
      <c r="AF13" s="472">
        <f>第十四期!BU86</f>
        <v/>
      </c>
      <c r="AG13" s="135" t="inlineStr">
        <is>
          <t>售前现金</t>
        </is>
      </c>
      <c r="AH13" s="473">
        <f>第十四期!BV76</f>
        <v/>
      </c>
      <c r="AI13" s="148" t="inlineStr">
        <is>
          <t>机时总贡献</t>
        </is>
      </c>
      <c r="AJ13" s="474">
        <f>SUMPRODUCT(AE4:AE7,AH9:AH12)</f>
        <v/>
      </c>
      <c r="AL13" s="215" t="n"/>
      <c r="AQ13" s="396" t="n"/>
      <c r="AR13" s="11" t="n">
        <v>5</v>
      </c>
      <c r="AS13" s="294">
        <f>SUM(AB135:AE135)*比赛参数!$D$26+SUM(AL135:AO135)*比赛参数!$E$26+SUM(AB158:AE158)*比赛参数!$F$26+SUM(AL158:AO158)*比赛参数!$G$26</f>
        <v/>
      </c>
      <c r="AT13" s="469">
        <f>AS13/1300</f>
        <v/>
      </c>
      <c r="AU13" s="175">
        <f>F99</f>
        <v/>
      </c>
      <c r="AV13" s="470">
        <f>AU13/AS13</f>
        <v/>
      </c>
      <c r="AW13" s="175">
        <f>E99</f>
        <v/>
      </c>
      <c r="AX13" s="192">
        <f>AU13/AW13</f>
        <v/>
      </c>
      <c r="AY13" s="294">
        <f>X135*AB135+Y135*AC135+Z135*AD135+AA135*AE135+AH135*AL135+AI135*AM135+AJ135*AN135+AK135*AO135+X158*AB158+Y158*AC158+Z158*AD158+AA158*AE158+AH158*AL158+AI158*AM158+AJ158*AN158+AK158*AO158</f>
        <v/>
      </c>
      <c r="AZ13" s="338">
        <f>D99</f>
        <v/>
      </c>
      <c r="BA13" s="294">
        <f>AZ13-AY13</f>
        <v/>
      </c>
      <c r="BB13" s="294">
        <f>IF(BA13&lt;比赛参数!$K$34,0,IF(BA13&lt;比赛参数!$K$35,BA13/(1-比赛参数!$E$36),IF(BA13&lt;比赛参数!$K$36,BA13/(1-比赛参数!$E$34))))</f>
        <v/>
      </c>
      <c r="BC13" s="294">
        <f>AU13-BA13</f>
        <v/>
      </c>
      <c r="BD13" s="101" t="n"/>
      <c r="BE13" s="294">
        <f>BC13-BD13</f>
        <v/>
      </c>
      <c r="BF13" s="470">
        <f>BE13/AS13</f>
        <v/>
      </c>
      <c r="BQ13" s="396" t="n"/>
      <c r="BR13" s="203" t="inlineStr">
        <is>
          <t>供货</t>
        </is>
      </c>
      <c r="BS13" s="195" t="inlineStr">
        <is>
          <t>市场1</t>
        </is>
      </c>
      <c r="BT13" s="196" t="inlineStr">
        <is>
          <t>市场2</t>
        </is>
      </c>
      <c r="BU13" s="196" t="inlineStr">
        <is>
          <t>市场3</t>
        </is>
      </c>
      <c r="BV13" s="196" t="inlineStr">
        <is>
          <t>市场4</t>
        </is>
      </c>
      <c r="BW13" s="202" t="n"/>
      <c r="BX13" s="396" t="n"/>
      <c r="DT13" s="262" t="inlineStr">
        <is>
          <t>产品B</t>
        </is>
      </c>
      <c r="DU13" s="263" t="n">
        <v>4</v>
      </c>
      <c r="DV13" s="264">
        <f>F31</f>
        <v/>
      </c>
      <c r="DW13" s="264">
        <f>I31</f>
        <v/>
      </c>
      <c r="DX13" s="265">
        <f>J31</f>
        <v/>
      </c>
    </row>
    <row r="14" s="353">
      <c r="B14" s="441" t="n"/>
      <c r="C14" s="8" t="inlineStr">
        <is>
          <t>本期交税</t>
        </is>
      </c>
      <c r="D14" s="9" t="n"/>
      <c r="E14" s="9" t="n"/>
      <c r="F14" s="10" t="n"/>
      <c r="J14" s="11" t="inlineStr">
        <is>
          <t>债券</t>
        </is>
      </c>
      <c r="K14" s="376">
        <f>D11</f>
        <v/>
      </c>
      <c r="M14" s="30" t="n"/>
      <c r="N14" s="31" t="inlineStr">
        <is>
          <t>累计研发费</t>
        </is>
      </c>
      <c r="O14" s="37" t="n"/>
      <c r="P14" s="35" t="n"/>
      <c r="Q14" s="45" t="n"/>
      <c r="W14" s="50" t="n"/>
      <c r="X14" s="49" t="inlineStr">
        <is>
          <t>各班需机器</t>
        </is>
      </c>
      <c r="Y14" s="464">
        <f>(Y9*比赛参数!D26+Y10*比赛参数!E26+Y11*比赛参数!F26+Y12*比赛参数!G26)/520</f>
        <v/>
      </c>
      <c r="Z14" s="464">
        <f>(Z9*比赛参数!D26+Z10*比赛参数!E26+Z11*比赛参数!F26+Z12*比赛参数!G26)/260</f>
        <v/>
      </c>
      <c r="AA14" s="464">
        <f>(AA9*比赛参数!D26+AA10*比赛参数!E26+AA11*比赛参数!F26+AA12*比赛参数!G26)/520</f>
        <v/>
      </c>
      <c r="AB14" s="471">
        <f>(AB9*比赛参数!D26+AB10*比赛参数!E26+AB11*比赛参数!F26+AB12*比赛参数!G26)/260</f>
        <v/>
      </c>
      <c r="AC14" s="82">
        <f>IF(AA21&lt;=AA20,IF((Z14+AA14)&lt;=AA20,"机器 YES","机器 NO"),"机器 NO")</f>
        <v/>
      </c>
      <c r="AE14" s="83" t="inlineStr">
        <is>
          <t>本期利润</t>
        </is>
      </c>
      <c r="AF14" s="475">
        <f>第十四期!BW92</f>
        <v/>
      </c>
      <c r="AG14" s="73" t="inlineStr">
        <is>
          <t>银行贷款</t>
        </is>
      </c>
      <c r="AH14" s="476" t="n"/>
      <c r="AI14" s="148" t="inlineStr">
        <is>
          <t>银行信用额</t>
        </is>
      </c>
      <c r="AJ14" s="477">
        <f>第十四期!K12</f>
        <v/>
      </c>
      <c r="AK14" s="148" t="inlineStr">
        <is>
          <t>下期信用额</t>
        </is>
      </c>
      <c r="AL14" s="478">
        <f>AJ14-AH14</f>
        <v/>
      </c>
      <c r="AQ14" s="396" t="n"/>
      <c r="AR14" s="11" t="n">
        <v>6</v>
      </c>
      <c r="AS14" s="294">
        <f>SUM(AB136:AE136)*比赛参数!$D$26+SUM(AL136:AO136)*比赛参数!$E$26+SUM(AB159:AE159)*比赛参数!$F$26+SUM(AL159:AO159)*比赛参数!$G$26</f>
        <v/>
      </c>
      <c r="AT14" s="469">
        <f>AS14/1300</f>
        <v/>
      </c>
      <c r="AU14" s="175">
        <f>F100</f>
        <v/>
      </c>
      <c r="AV14" s="470">
        <f>AU14/AS14</f>
        <v/>
      </c>
      <c r="AW14" s="175">
        <f>E100</f>
        <v/>
      </c>
      <c r="AX14" s="192">
        <f>AU14/AW14</f>
        <v/>
      </c>
      <c r="AY14" s="294">
        <f>X136*AB136+Y136*AC136+Z136*AD136+AA136*AE136+AH136*AL136+AI136*AM136+AJ136*AN136+AK136*AO136+X159*AB159+Y159*AC159+Z159*AD159+AA159*AE159+AH159*AL159+AI159*AM159+AJ159*AN159+AK159*AO159</f>
        <v/>
      </c>
      <c r="AZ14" s="338">
        <f>D100</f>
        <v/>
      </c>
      <c r="BA14" s="294">
        <f>AZ14-AY14</f>
        <v/>
      </c>
      <c r="BB14" s="294">
        <f>IF(BA14&lt;比赛参数!$K$34,0,IF(BA14&lt;比赛参数!$K$35,BA14/(1-比赛参数!$E$36),IF(BA14&lt;比赛参数!$K$36,BA14/(1-比赛参数!$E$34))))</f>
        <v/>
      </c>
      <c r="BC14" s="294">
        <f>AU14-BA14</f>
        <v/>
      </c>
      <c r="BD14" s="101" t="n"/>
      <c r="BE14" s="294">
        <f>BC14-BD14</f>
        <v/>
      </c>
      <c r="BF14" s="470">
        <f>BE14/AS14</f>
        <v/>
      </c>
      <c r="BQ14" s="396" t="n"/>
      <c r="BR14" s="197" t="inlineStr">
        <is>
          <t>产品A</t>
        </is>
      </c>
      <c r="BS14" s="218">
        <f>第十四期!Y88</f>
        <v/>
      </c>
      <c r="BT14" s="218">
        <f>第十四期!Y89</f>
        <v/>
      </c>
      <c r="BU14" s="218">
        <f>第十四期!Y90</f>
        <v/>
      </c>
      <c r="BV14" s="218">
        <f>第十四期!Y91</f>
        <v/>
      </c>
      <c r="BW14" s="202" t="n"/>
      <c r="BX14" s="396" t="n"/>
      <c r="DT14" s="260" t="inlineStr">
        <is>
          <t>产品C</t>
        </is>
      </c>
      <c r="DU14" s="260" t="n">
        <v>1</v>
      </c>
      <c r="DV14" s="261">
        <f>F32</f>
        <v/>
      </c>
      <c r="DW14" s="261">
        <f>I32</f>
        <v/>
      </c>
      <c r="DX14" s="261">
        <f>J32</f>
        <v/>
      </c>
    </row>
    <row r="15" s="353">
      <c r="B15" s="441" t="n"/>
      <c r="C15" s="8" t="inlineStr">
        <is>
          <t>累计交税</t>
        </is>
      </c>
      <c r="D15" s="9" t="n"/>
      <c r="E15" s="9" t="n"/>
      <c r="F15" s="10" t="n"/>
      <c r="J15" s="11" t="inlineStr">
        <is>
          <t>交税信用</t>
        </is>
      </c>
      <c r="K15" s="376">
        <f>D16</f>
        <v/>
      </c>
      <c r="M15" s="36" t="inlineStr">
        <is>
          <t>业</t>
        </is>
      </c>
      <c r="N15" s="31" t="inlineStr">
        <is>
          <t>本期利润</t>
        </is>
      </c>
      <c r="O15" s="37" t="n"/>
      <c r="P15" s="35" t="n"/>
      <c r="Q15" s="45" t="n"/>
      <c r="W15" s="50" t="n"/>
      <c r="X15" s="49" t="inlineStr">
        <is>
          <t>机器利用率</t>
        </is>
      </c>
      <c r="Y15" s="479">
        <f>Y14/AA20</f>
        <v/>
      </c>
      <c r="Z15" s="480">
        <f>(Z14+AA14)/AA20</f>
        <v/>
      </c>
      <c r="AA15" s="481" t="n"/>
      <c r="AB15" s="482">
        <f>AB14/AA20</f>
        <v/>
      </c>
      <c r="AC15" s="89">
        <f>IF(AC21&lt;=AC20,"材料 YES","材料 NO")</f>
        <v/>
      </c>
      <c r="AE15" s="83" t="inlineStr">
        <is>
          <t>人均利润率</t>
        </is>
      </c>
      <c r="AF15" s="483">
        <f>AF14/(Y18+第十四期!K8-AA18)</f>
        <v/>
      </c>
      <c r="AG15" s="73" t="inlineStr">
        <is>
          <t>发行债券</t>
        </is>
      </c>
      <c r="AH15" s="476" t="n"/>
      <c r="AI15" s="148" t="inlineStr">
        <is>
          <t>债券可发额</t>
        </is>
      </c>
      <c r="AJ15" s="477">
        <f>第十四期!K16*0.5-第十四期!K14</f>
        <v/>
      </c>
      <c r="AK15" s="148" t="inlineStr">
        <is>
          <t>下期可发债券</t>
        </is>
      </c>
      <c r="AL15" s="484">
        <f>O20*0.5-O13</f>
        <v/>
      </c>
      <c r="AQ15" s="396" t="n"/>
      <c r="AR15" s="11" t="n">
        <v>7</v>
      </c>
      <c r="AS15" s="294">
        <f>SUM(AB137:AE137)*比赛参数!$D$26+SUM(AL137:AO137)*比赛参数!$E$26+SUM(AB160:AE160)*比赛参数!$F$26+SUM(AL160:AO160)*比赛参数!$G$26</f>
        <v/>
      </c>
      <c r="AT15" s="469">
        <f>AS15/1300</f>
        <v/>
      </c>
      <c r="AU15" s="175">
        <f>F101</f>
        <v/>
      </c>
      <c r="AV15" s="470">
        <f>AU15/AS15</f>
        <v/>
      </c>
      <c r="AW15" s="175">
        <f>E101</f>
        <v/>
      </c>
      <c r="AX15" s="192">
        <f>AU15/AW15</f>
        <v/>
      </c>
      <c r="AY15" s="294">
        <f>X137*AB137+Y137*AC137+Z137*AD137+AA137*AE137+AH137*AL137+AI137*AM137+AJ137*AN137+AK137*AO137+X160*AB160+Y160*AC160+Z160*AD160+AA160*AE160+AH160*AL160+AI160*AM160+AJ160*AN160+AK160*AO160</f>
        <v/>
      </c>
      <c r="AZ15" s="338">
        <f>D101</f>
        <v/>
      </c>
      <c r="BA15" s="294">
        <f>AZ15-AY15</f>
        <v/>
      </c>
      <c r="BB15" s="294">
        <f>IF(BA15&lt;比赛参数!$K$34,0,IF(BA15&lt;比赛参数!$K$35,BA15/(1-比赛参数!$E$36),IF(BA15&lt;比赛参数!$K$36,BA15/(1-比赛参数!$E$34))))</f>
        <v/>
      </c>
      <c r="BC15" s="294">
        <f>AU15-BA15</f>
        <v/>
      </c>
      <c r="BD15" s="101" t="n"/>
      <c r="BE15" s="294">
        <f>BC15-BD15</f>
        <v/>
      </c>
      <c r="BF15" s="470">
        <f>BE15/AS15</f>
        <v/>
      </c>
      <c r="BQ15" s="396" t="n"/>
      <c r="BR15" s="196" t="inlineStr">
        <is>
          <t>产品B</t>
        </is>
      </c>
      <c r="BS15" s="218">
        <f>第十四期!Z88</f>
        <v/>
      </c>
      <c r="BT15" s="218">
        <f>第十四期!Z89</f>
        <v/>
      </c>
      <c r="BU15" s="218">
        <f>第十四期!Z90</f>
        <v/>
      </c>
      <c r="BV15" s="218">
        <f>第十四期!Z91</f>
        <v/>
      </c>
      <c r="BW15" s="202" t="n"/>
      <c r="BX15" s="396" t="n"/>
      <c r="DT15" s="376" t="inlineStr">
        <is>
          <t>产品C</t>
        </is>
      </c>
      <c r="DU15" s="376" t="n">
        <v>2</v>
      </c>
      <c r="DV15" s="270">
        <f>F33</f>
        <v/>
      </c>
      <c r="DW15" s="270">
        <f>I33</f>
        <v/>
      </c>
      <c r="DX15" s="270">
        <f>J33</f>
        <v/>
      </c>
    </row>
    <row r="16" s="353">
      <c r="B16" s="441" t="n"/>
      <c r="C16" s="8" t="inlineStr">
        <is>
          <t>交税信用</t>
        </is>
      </c>
      <c r="D16" s="14" t="n"/>
      <c r="E16" s="9" t="n"/>
      <c r="F16" s="10">
        <f>D16*4</f>
        <v/>
      </c>
      <c r="J16" s="11" t="inlineStr">
        <is>
          <t>净资产</t>
        </is>
      </c>
      <c r="K16" s="376">
        <f>D18</f>
        <v/>
      </c>
      <c r="M16" s="30" t="n"/>
      <c r="N16" s="31" t="inlineStr">
        <is>
          <t>本期交税</t>
        </is>
      </c>
      <c r="O16" s="37" t="n"/>
      <c r="P16" s="35" t="n"/>
      <c r="Q16" s="45" t="n"/>
      <c r="W16" s="50" t="n"/>
      <c r="X16" s="11" t="inlineStr">
        <is>
          <t>管理成本</t>
        </is>
      </c>
      <c r="Y16" s="478">
        <f>第十四期!DM60</f>
        <v/>
      </c>
      <c r="Z16" s="92" t="inlineStr">
        <is>
          <t>生产成本</t>
        </is>
      </c>
      <c r="AA16" s="485">
        <f>AH20+Y16+第十四期!K9*比赛参数!D30*比赛参数!F30</f>
        <v/>
      </c>
      <c r="AB16" s="73" t="inlineStr">
        <is>
          <t>未值班工人</t>
        </is>
      </c>
      <c r="AC16" s="486">
        <f>Y20-Y21</f>
        <v/>
      </c>
      <c r="AE16" s="83" t="inlineStr">
        <is>
          <t>平均机时贡献</t>
        </is>
      </c>
      <c r="AF16" s="487">
        <f>AJ13/SUM(AH9:AH12)</f>
        <v/>
      </c>
      <c r="AG16" s="83" t="inlineStr">
        <is>
          <t>单位机器贡献</t>
        </is>
      </c>
      <c r="AH16" s="488">
        <f>AF14/AL111</f>
        <v/>
      </c>
      <c r="AI16" s="148" t="inlineStr">
        <is>
          <t>广告促销费</t>
        </is>
      </c>
      <c r="AJ16" s="489">
        <f>BS75+BS76</f>
        <v/>
      </c>
      <c r="AK16" s="142">
        <f>AJ16/BS77</f>
        <v/>
      </c>
      <c r="AL16" s="490" t="n"/>
      <c r="AQ16" s="396" t="n"/>
      <c r="AR16" s="11" t="n">
        <v>8</v>
      </c>
      <c r="AS16" s="294">
        <f>SUM(AB138:AE138)*比赛参数!$D$26+SUM(AL138:AO138)*比赛参数!$E$26+SUM(AB161:AE161)*比赛参数!$F$26+SUM(AL161:AO161)*比赛参数!$G$26</f>
        <v/>
      </c>
      <c r="AT16" s="469">
        <f>AS16/1300</f>
        <v/>
      </c>
      <c r="AU16" s="175">
        <f>F102</f>
        <v/>
      </c>
      <c r="AV16" s="470">
        <f>AU16/AS16</f>
        <v/>
      </c>
      <c r="AW16" s="175">
        <f>E102</f>
        <v/>
      </c>
      <c r="AX16" s="192">
        <f>AU16/AW16</f>
        <v/>
      </c>
      <c r="AY16" s="294">
        <f>X138*AB138+Y138*AC138+Z138*AD138+AA138*AE138+AH138*AL138+AI138*AM138+AJ138*AN138+AK138*AO138+X161*AB161+Y161*AC161+Z161*AD161+AA161*AE161+AH161*AL161+AI161*AM161+AJ161*AN161+AK161*AO161</f>
        <v/>
      </c>
      <c r="AZ16" s="338">
        <f>D102</f>
        <v/>
      </c>
      <c r="BA16" s="294">
        <f>AZ16-AY16</f>
        <v/>
      </c>
      <c r="BB16" s="294">
        <f>IF(BA16&lt;比赛参数!$K$34,0,IF(BA16&lt;比赛参数!$K$35,BA16/(1-比赛参数!$E$36),IF(BA16&lt;比赛参数!$K$36,BA16/(1-比赛参数!$E$34))))</f>
        <v/>
      </c>
      <c r="BC16" s="294">
        <f>AU16-BA16</f>
        <v/>
      </c>
      <c r="BD16" s="101" t="n"/>
      <c r="BE16" s="294">
        <f>BC16-BD16</f>
        <v/>
      </c>
      <c r="BF16" s="470">
        <f>BE16/AS16</f>
        <v/>
      </c>
      <c r="BQ16" s="396" t="n"/>
      <c r="BR16" s="196" t="inlineStr">
        <is>
          <t>产品C</t>
        </is>
      </c>
      <c r="BS16" s="218">
        <f>第十四期!AA88</f>
        <v/>
      </c>
      <c r="BT16" s="218">
        <f>第十四期!AA89</f>
        <v/>
      </c>
      <c r="BU16" s="218">
        <f>第十四期!AA90</f>
        <v/>
      </c>
      <c r="BV16" s="218">
        <f>第十四期!AA91</f>
        <v/>
      </c>
      <c r="BW16" s="202" t="n"/>
      <c r="BX16" s="396" t="n"/>
      <c r="CR16" s="215" t="inlineStr">
        <is>
          <t>单位工资</t>
        </is>
      </c>
      <c r="CS16" s="215" t="inlineStr">
        <is>
          <t>第一班正班</t>
        </is>
      </c>
      <c r="CT16" s="215" t="inlineStr">
        <is>
          <t>第一班加班</t>
        </is>
      </c>
      <c r="CU16" s="215" t="inlineStr">
        <is>
          <t>第二班正班</t>
        </is>
      </c>
      <c r="CV16" s="215" t="inlineStr">
        <is>
          <t>第二班加班</t>
        </is>
      </c>
      <c r="CW16" s="215" t="inlineStr">
        <is>
          <t>平均工资</t>
        </is>
      </c>
      <c r="CY16" s="215" t="inlineStr">
        <is>
          <t>单位成本</t>
        </is>
      </c>
      <c r="CZ16" s="215" t="inlineStr">
        <is>
          <t>市场1</t>
        </is>
      </c>
      <c r="DA16" s="215" t="inlineStr">
        <is>
          <t>市场2</t>
        </is>
      </c>
      <c r="DB16" s="215" t="inlineStr">
        <is>
          <t>市场3</t>
        </is>
      </c>
      <c r="DC16" s="215" t="inlineStr">
        <is>
          <t>市场4</t>
        </is>
      </c>
      <c r="DF16" s="215" t="inlineStr">
        <is>
          <t>无差别成本</t>
        </is>
      </c>
      <c r="DG16" s="215" t="inlineStr">
        <is>
          <t>市场1</t>
        </is>
      </c>
      <c r="DH16" s="215" t="inlineStr">
        <is>
          <t>市场2</t>
        </is>
      </c>
      <c r="DI16" s="215" t="inlineStr">
        <is>
          <t>市场3</t>
        </is>
      </c>
      <c r="DJ16" s="215" t="inlineStr">
        <is>
          <t>市场4</t>
        </is>
      </c>
      <c r="DT16" s="376" t="inlineStr">
        <is>
          <t>产品C</t>
        </is>
      </c>
      <c r="DU16" s="376" t="n">
        <v>3</v>
      </c>
      <c r="DV16" s="270">
        <f>F34</f>
        <v/>
      </c>
      <c r="DW16" s="270">
        <f>I34</f>
        <v/>
      </c>
      <c r="DX16" s="270">
        <f>J34</f>
        <v/>
      </c>
      <c r="DZ16" s="460" t="n"/>
    </row>
    <row r="17" s="353">
      <c r="B17" s="441" t="n"/>
      <c r="C17" s="8" t="inlineStr">
        <is>
          <t>累计分红</t>
        </is>
      </c>
      <c r="D17" s="9" t="n"/>
      <c r="E17" s="9" t="n"/>
      <c r="F17" s="10" t="n"/>
      <c r="M17" s="36" t="inlineStr">
        <is>
          <t>状</t>
        </is>
      </c>
      <c r="N17" s="31" t="inlineStr">
        <is>
          <t>累计交税</t>
        </is>
      </c>
      <c r="O17" s="37" t="n"/>
      <c r="P17" s="35" t="n"/>
      <c r="Q17" s="45" t="n"/>
      <c r="W17" s="215" t="n"/>
      <c r="X17" s="51" t="n"/>
      <c r="Y17" s="96" t="n"/>
      <c r="Z17" s="96" t="n"/>
      <c r="AA17" s="97" t="n"/>
      <c r="AB17" s="98" t="inlineStr">
        <is>
          <t>未值班工资</t>
        </is>
      </c>
      <c r="AC17" s="134">
        <f>AC16*比赛参数!D65*520</f>
        <v/>
      </c>
      <c r="AE17" s="83" t="inlineStr">
        <is>
          <t>单产机时贡献</t>
        </is>
      </c>
      <c r="AF17" s="491">
        <f>(AE9*SUM(AF64:AF67)+AE10*SUM(AG64:AG67)+AE11*SUM(AH64:AH67)+AE12*SUM(AI64:AI67))/SUM(AF64:AI67)</f>
        <v/>
      </c>
      <c r="AG17" s="215" t="inlineStr">
        <is>
          <t>资本利润率</t>
        </is>
      </c>
      <c r="AH17" s="215">
        <f>AF14/(O20+O13)</f>
        <v/>
      </c>
      <c r="AI17" s="215" t="n"/>
      <c r="AJ17" s="215" t="n"/>
      <c r="AK17" s="215" t="n"/>
      <c r="AL17" s="215" t="n"/>
      <c r="AQ17" s="396" t="n"/>
      <c r="AR17" s="11" t="n">
        <v>9</v>
      </c>
      <c r="AS17" s="294">
        <f>SUM(AB139:AE139)*比赛参数!$D$26+SUM(AL139:AO139)*比赛参数!$E$26+SUM(AB162:AE162)*比赛参数!$F$26+SUM(AL162:AO162)*比赛参数!$G$26</f>
        <v/>
      </c>
      <c r="AT17" s="469">
        <f>AS17/1300</f>
        <v/>
      </c>
      <c r="AU17" s="175">
        <f>F103</f>
        <v/>
      </c>
      <c r="AV17" s="470">
        <f>AU17/AS17</f>
        <v/>
      </c>
      <c r="AW17" s="175">
        <f>E103</f>
        <v/>
      </c>
      <c r="AX17" s="192">
        <f>AU17/AW17</f>
        <v/>
      </c>
      <c r="AY17" s="294">
        <f>X139*AB139+Y139*AC139+Z139*AD139+AA139*AE139+AH139*AL139+AI139*AM139+AJ139*AN139+AK139*AO139+X162*AB162+Y162*AC162+Z162*AD162+AA162*AE162+AH162*AL162+AI162*AM162+AJ162*AN162+AK162*AO162</f>
        <v/>
      </c>
      <c r="AZ17" s="338">
        <f>D103</f>
        <v/>
      </c>
      <c r="BA17" s="294">
        <f>AZ17-AY17</f>
        <v/>
      </c>
      <c r="BB17" s="294">
        <f>IF(BA17&lt;比赛参数!$K$34,0,IF(BA17&lt;比赛参数!$K$35,BA17/(1-比赛参数!$E$36),IF(BA17&lt;比赛参数!$K$36,BA17/(1-比赛参数!$E$34))))</f>
        <v/>
      </c>
      <c r="BC17" s="294">
        <f>AU17-BA17</f>
        <v/>
      </c>
      <c r="BD17" s="101" t="n"/>
      <c r="BE17" s="294">
        <f>BC17-BD17</f>
        <v/>
      </c>
      <c r="BF17" s="470">
        <f>BE17/AS17</f>
        <v/>
      </c>
      <c r="BQ17" s="396" t="n"/>
      <c r="BR17" s="196" t="inlineStr">
        <is>
          <t>产品D</t>
        </is>
      </c>
      <c r="BS17" s="218">
        <f>第十四期!AB88</f>
        <v/>
      </c>
      <c r="BT17" s="218">
        <f>第十四期!AB89</f>
        <v/>
      </c>
      <c r="BU17" s="218">
        <f>第十四期!AB90</f>
        <v/>
      </c>
      <c r="BV17" s="218">
        <f>第十四期!AB91</f>
        <v/>
      </c>
      <c r="BW17" s="202" t="n"/>
      <c r="BX17" s="396" t="n"/>
      <c r="CA17" s="211" t="n"/>
      <c r="CB17" s="212" t="n"/>
      <c r="CC17" s="212" t="n"/>
      <c r="CD17" s="212" t="n"/>
      <c r="CE17" s="212" t="n"/>
      <c r="CF17" s="212" t="n"/>
      <c r="CG17" s="212" t="n"/>
      <c r="CH17" s="212" t="n"/>
      <c r="CI17" s="212" t="n"/>
      <c r="CJ17" s="212" t="n"/>
      <c r="CK17" s="212" t="n"/>
      <c r="CL17" s="212" t="n"/>
      <c r="CM17" s="212" t="n"/>
      <c r="CN17" s="212" t="n"/>
      <c r="CO17" s="238" t="n"/>
      <c r="CR17" s="215" t="inlineStr">
        <is>
          <t>A产品</t>
        </is>
      </c>
      <c r="CS17" s="215">
        <f>比赛参数!D$65*CS29</f>
        <v/>
      </c>
      <c r="CT17" s="215">
        <f>比赛参数!E$65*CT29</f>
        <v/>
      </c>
      <c r="CU17" s="215">
        <f>比赛参数!F$65*CU29</f>
        <v/>
      </c>
      <c r="CV17" s="215">
        <f>比赛参数!G$65*CV29</f>
        <v/>
      </c>
      <c r="CW17" s="246">
        <f>(CS17*520+CU17*520+CV17*260)/1300</f>
        <v/>
      </c>
      <c r="CY17" s="215" t="inlineStr">
        <is>
          <t>A产品</t>
        </is>
      </c>
      <c r="CZ17" s="215">
        <f>$CW17+CS35+CS41+比赛参数!$D$30*比赛参数!$F$30*CS23/520</f>
        <v/>
      </c>
      <c r="DA17" s="215">
        <f>$CW17+CT35+CT41+比赛参数!$D$30*比赛参数!$F$30*CT23/520</f>
        <v/>
      </c>
      <c r="DB17" s="215">
        <f>$CW17+CU35+CU41+比赛参数!$D$30*比赛参数!$F$30*CU23/520</f>
        <v/>
      </c>
      <c r="DC17" s="215">
        <f>$CW17+CV35+CV41+比赛参数!$D$30*比赛参数!$F$30*CV23/520</f>
        <v/>
      </c>
      <c r="DF17" s="215" t="inlineStr">
        <is>
          <t>A产品</t>
        </is>
      </c>
      <c r="DG17" s="215">
        <f>$CW17+CS35+AVERAGE(CS41:CT41)</f>
        <v/>
      </c>
      <c r="DH17" s="215">
        <f>$CW17+CT35+AVERAGE(CS41:CT41)</f>
        <v/>
      </c>
      <c r="DI17" s="215">
        <f>$CW17+CU35+AVERAGE(CU41:CV41)</f>
        <v/>
      </c>
      <c r="DJ17" s="215">
        <f>$CW17+CV35+AVERAGE(CU41:CV41)</f>
        <v/>
      </c>
      <c r="DT17" s="267" t="inlineStr">
        <is>
          <t>产品C</t>
        </is>
      </c>
      <c r="DU17" s="267" t="n">
        <v>4</v>
      </c>
      <c r="DV17" s="268">
        <f>F35</f>
        <v/>
      </c>
      <c r="DW17" s="268">
        <f>I35</f>
        <v/>
      </c>
      <c r="DX17" s="268">
        <f>J35</f>
        <v/>
      </c>
    </row>
    <row r="18" s="353">
      <c r="B18" s="441" t="n"/>
      <c r="C18" s="8" t="inlineStr">
        <is>
          <t>净资产</t>
        </is>
      </c>
      <c r="D18" s="14" t="n"/>
      <c r="E18" s="9" t="n"/>
      <c r="F18" s="10" t="n"/>
      <c r="M18" s="30" t="n"/>
      <c r="N18" s="39" t="inlineStr">
        <is>
          <t>交税信用</t>
        </is>
      </c>
      <c r="O18" s="39" t="n"/>
      <c r="P18" s="35" t="n"/>
      <c r="Q18" s="45" t="n"/>
      <c r="W18" s="50" t="n"/>
      <c r="X18" s="11" t="inlineStr">
        <is>
          <t>新雇人数</t>
        </is>
      </c>
      <c r="Y18" s="101" t="n"/>
      <c r="Z18" s="11" t="inlineStr">
        <is>
          <t>解雇人数</t>
        </is>
      </c>
      <c r="AA18" s="101" t="n"/>
      <c r="AB18" s="11" t="inlineStr">
        <is>
          <t>购原材料</t>
        </is>
      </c>
      <c r="AC18" s="492" t="n"/>
      <c r="AE18" s="11" t="inlineStr">
        <is>
          <t>购买机器</t>
        </is>
      </c>
      <c r="AF18" s="103" t="n"/>
      <c r="AG18" s="73" t="inlineStr">
        <is>
          <t>工资系数</t>
        </is>
      </c>
      <c r="AH18" s="144" t="n">
        <v>1</v>
      </c>
      <c r="AI18" s="73" t="inlineStr">
        <is>
          <t>分红</t>
        </is>
      </c>
      <c r="AJ18" s="492" t="n"/>
      <c r="AK18" s="148" t="inlineStr">
        <is>
          <t>现有机器数</t>
        </is>
      </c>
      <c r="AL18" s="493">
        <f>AL109</f>
        <v/>
      </c>
      <c r="AQ18" s="396" t="n"/>
      <c r="AR18" s="11" t="n">
        <v>10</v>
      </c>
      <c r="AS18" s="294">
        <f>SUM(AB140:AE140)*比赛参数!$D$26+SUM(AL140:AO140)*比赛参数!$E$26+SUM(AB163:AE163)*比赛参数!$F$26+SUM(AL163:AO163)*比赛参数!$G$26</f>
        <v/>
      </c>
      <c r="AT18" s="469">
        <f>AS18/1300</f>
        <v/>
      </c>
      <c r="AU18" s="175">
        <f>F104</f>
        <v/>
      </c>
      <c r="AV18" s="470">
        <f>AU18/AS18</f>
        <v/>
      </c>
      <c r="AW18" s="175">
        <f>E104</f>
        <v/>
      </c>
      <c r="AX18" s="192">
        <f>AU18/AW18</f>
        <v/>
      </c>
      <c r="AY18" s="294">
        <f>X140*AB140+Y140*AC140+Z140*AD140+AA140*AE140+AH140*AL140+AI140*AM140+AJ140*AN140+AK140*AO140+X163*AB163+Y163*AC163+Z163*AD163+AA163*AE163+AH163*AL163+AI163*AM163+AJ163*AN163+AK163*AO163</f>
        <v/>
      </c>
      <c r="AZ18" s="338">
        <f>D104</f>
        <v/>
      </c>
      <c r="BA18" s="294">
        <f>AZ18-AY18</f>
        <v/>
      </c>
      <c r="BB18" s="294">
        <f>IF(BA18&lt;比赛参数!$K$34,0,IF(BA18&lt;比赛参数!$K$35,BA18/(1-比赛参数!$E$36),IF(BA18&lt;比赛参数!$K$36,BA18/(1-比赛参数!$E$34))))</f>
        <v/>
      </c>
      <c r="BC18" s="294">
        <f>AU18-BA18</f>
        <v/>
      </c>
      <c r="BD18" s="101" t="n"/>
      <c r="BE18" s="294">
        <f>BC18-BD18</f>
        <v/>
      </c>
      <c r="BF18" s="470">
        <f>BE18/AS18</f>
        <v/>
      </c>
      <c r="BQ18" s="396" t="n"/>
      <c r="BS18" s="202" t="n"/>
      <c r="BT18" s="202" t="n"/>
      <c r="BU18" s="202" t="n"/>
      <c r="BV18" s="202" t="n"/>
      <c r="BW18" s="202" t="n"/>
      <c r="BX18" s="396" t="n"/>
      <c r="CA18" s="213" t="n"/>
      <c r="CB18" s="214" t="inlineStr">
        <is>
          <t>单位成本贡献</t>
        </is>
      </c>
      <c r="CC18" s="494" t="inlineStr">
        <is>
          <t>A产品</t>
        </is>
      </c>
      <c r="CD18" s="494" t="inlineStr">
        <is>
          <t>B产品</t>
        </is>
      </c>
      <c r="CE18" s="494" t="inlineStr">
        <is>
          <t>C产品</t>
        </is>
      </c>
      <c r="CF18" s="494" t="inlineStr">
        <is>
          <t>D产品</t>
        </is>
      </c>
      <c r="CG18" s="396" t="n"/>
      <c r="CH18" s="396" t="n"/>
      <c r="CI18" s="214" t="inlineStr">
        <is>
          <t>成本</t>
        </is>
      </c>
      <c r="CJ18" s="195" t="inlineStr">
        <is>
          <t>A产品</t>
        </is>
      </c>
      <c r="CK18" s="195" t="inlineStr">
        <is>
          <t>B产品</t>
        </is>
      </c>
      <c r="CL18" s="195" t="inlineStr">
        <is>
          <t>C产品</t>
        </is>
      </c>
      <c r="CM18" s="195" t="inlineStr">
        <is>
          <t>D产品</t>
        </is>
      </c>
      <c r="CN18" s="215" t="n"/>
      <c r="CO18" s="239" t="n"/>
      <c r="CR18" s="215" t="inlineStr">
        <is>
          <t>B产品</t>
        </is>
      </c>
      <c r="CS18" s="215">
        <f>比赛参数!D$65*CS30</f>
        <v/>
      </c>
      <c r="CT18" s="215">
        <f>比赛参数!E$65*CT30</f>
        <v/>
      </c>
      <c r="CU18" s="215">
        <f>比赛参数!F$65*CU30</f>
        <v/>
      </c>
      <c r="CV18" s="215">
        <f>比赛参数!G$65*CV30</f>
        <v/>
      </c>
      <c r="CW18" s="246">
        <f>(CS18*520+CU18*520+CV18*260)/1300</f>
        <v/>
      </c>
      <c r="CY18" s="215" t="inlineStr">
        <is>
          <t>B产品</t>
        </is>
      </c>
      <c r="CZ18" s="215">
        <f>$CW18+CS36+CS42+比赛参数!$D$30*比赛参数!$F$30*CS24/520</f>
        <v/>
      </c>
      <c r="DA18" s="215">
        <f>$CW18+CT36+CT42+比赛参数!$D$30*比赛参数!$F$30*CT24/520</f>
        <v/>
      </c>
      <c r="DB18" s="215">
        <f>$CW18+CU36+CU42+比赛参数!$D$30*比赛参数!$F$30*CU24/520</f>
        <v/>
      </c>
      <c r="DC18" s="215">
        <f>$CW18+CV36+CV42+比赛参数!$D$30*比赛参数!$F$30*CV24/520</f>
        <v/>
      </c>
      <c r="DF18" s="215" t="inlineStr">
        <is>
          <t>B产品</t>
        </is>
      </c>
      <c r="DG18" s="215">
        <f>$CW18+CS36+AVERAGE(CS42:CT42)</f>
        <v/>
      </c>
      <c r="DH18" s="215">
        <f>$CW18+CT36+AVERAGE(CS42:CT42)</f>
        <v/>
      </c>
      <c r="DI18" s="215">
        <f>$CW18+CU36+AVERAGE(CU42:CV42)</f>
        <v/>
      </c>
      <c r="DJ18" s="215">
        <f>$CW18+CV36+AVERAGE(CU42:CV42)</f>
        <v/>
      </c>
      <c r="DT18" s="260" t="inlineStr">
        <is>
          <t>产品D</t>
        </is>
      </c>
      <c r="DU18" s="260" t="n">
        <v>1</v>
      </c>
      <c r="DV18" s="261">
        <f>F36</f>
        <v/>
      </c>
      <c r="DW18" s="261">
        <f>I36</f>
        <v/>
      </c>
      <c r="DX18" s="261">
        <f>J36</f>
        <v/>
      </c>
      <c r="DZ18" s="460" t="n"/>
    </row>
    <row r="19" s="353">
      <c r="B19" s="441" t="n"/>
      <c r="C19" s="8" t="inlineStr">
        <is>
          <t>人均利润率</t>
        </is>
      </c>
      <c r="D19" s="14" t="n"/>
      <c r="E19" s="9" t="n"/>
      <c r="F19" s="10" t="n"/>
      <c r="M19" s="36" t="inlineStr">
        <is>
          <t>况</t>
        </is>
      </c>
      <c r="N19" s="31" t="inlineStr">
        <is>
          <t>累计分红</t>
        </is>
      </c>
      <c r="O19" s="37" t="n"/>
      <c r="P19" s="35" t="n"/>
      <c r="Q19" s="45" t="n"/>
      <c r="W19" s="215" t="n"/>
      <c r="X19" s="104" t="inlineStr">
        <is>
          <t>Max</t>
        </is>
      </c>
      <c r="Y19" s="134">
        <f>第十四期!K8*比赛参数!D57</f>
        <v/>
      </c>
      <c r="Z19" s="104" t="inlineStr">
        <is>
          <t>Min</t>
        </is>
      </c>
      <c r="AA19" s="134">
        <f>第十四期!K8*比赛参数!D60</f>
        <v/>
      </c>
      <c r="AB19" s="104" t="inlineStr">
        <is>
          <t>Min</t>
        </is>
      </c>
      <c r="AC19" s="495">
        <f>IF((AC21-第十四期!K10)/比赛参数!D41&gt;0,(AC21-第十四期!K10)/比赛参数!D41,0)</f>
        <v/>
      </c>
      <c r="AE19" s="148" t="inlineStr">
        <is>
          <t>原材料优惠</t>
        </is>
      </c>
      <c r="AF19" s="496">
        <f>BS67</f>
        <v/>
      </c>
      <c r="AG19" s="215" t="n"/>
      <c r="AH19" s="215" t="n"/>
      <c r="AI19" s="146" t="inlineStr">
        <is>
          <t>税后利润</t>
        </is>
      </c>
      <c r="AJ19" s="495">
        <f>IF((第十四期!BW92-第十四期!BS87)&gt;0,第十四期!BW92-第十四期!BS87,0)</f>
        <v/>
      </c>
      <c r="AK19" s="148" t="inlineStr">
        <is>
          <t>供应机器数</t>
        </is>
      </c>
      <c r="AL19" s="493">
        <f>AL110</f>
        <v/>
      </c>
      <c r="AM19" s="215" t="inlineStr">
        <is>
          <t>机时贡献</t>
        </is>
      </c>
      <c r="AR19" s="11" t="n">
        <v>11</v>
      </c>
      <c r="AS19" s="294">
        <f>SUM(AB141:AE141)*比赛参数!$D$26+SUM(AL141:AO141)*比赛参数!$E$26+SUM(AB164:AE164)*比赛参数!$F$26+SUM(AL164:AO164)*比赛参数!$G$26</f>
        <v/>
      </c>
      <c r="AT19" s="469">
        <f>AS19/1300</f>
        <v/>
      </c>
      <c r="AU19" s="175">
        <f>F105</f>
        <v/>
      </c>
      <c r="AV19" s="470">
        <f>AU19/AS19</f>
        <v/>
      </c>
      <c r="AW19" s="175">
        <f>E105</f>
        <v/>
      </c>
      <c r="AX19" s="192">
        <f>AU19/AW19</f>
        <v/>
      </c>
      <c r="AY19" s="294">
        <f>X141*AB141+Y141*AC141+Z141*AD141+AA141*AE141+AH141*AL141+AI141*AM141+AJ141*AN141+AK141*AO141+X164*AB164+Y164*AC164+Z164*AD164+AA164*AE164+AH164*AL164+AI164*AM164+AJ164*AN164+AK164*AO164</f>
        <v/>
      </c>
      <c r="AZ19" s="338">
        <f>D105</f>
        <v/>
      </c>
      <c r="BA19" s="294">
        <f>AZ19-AY19</f>
        <v/>
      </c>
      <c r="BB19" s="294">
        <f>IF(BA19&lt;比赛参数!$K$34,0,IF(BA19&lt;比赛参数!$K$35,BA19/(1-比赛参数!$E$36),IF(BA19&lt;比赛参数!$K$36,BA19/(1-比赛参数!$E$34))))</f>
        <v/>
      </c>
      <c r="BC19" s="294">
        <f>AU19-BA19</f>
        <v/>
      </c>
      <c r="BD19" s="101" t="n"/>
      <c r="BE19" s="294">
        <f>BC19-BD19</f>
        <v/>
      </c>
      <c r="BF19" s="470">
        <f>BE19/AS19</f>
        <v/>
      </c>
      <c r="BR19" s="203" t="inlineStr">
        <is>
          <t>生产安排</t>
        </is>
      </c>
      <c r="BS19" s="195" t="inlineStr">
        <is>
          <t>一正</t>
        </is>
      </c>
      <c r="BT19" s="196" t="inlineStr">
        <is>
          <t>一加</t>
        </is>
      </c>
      <c r="BU19" s="196" t="inlineStr">
        <is>
          <t>二正</t>
        </is>
      </c>
      <c r="BV19" s="196" t="inlineStr">
        <is>
          <t>二加</t>
        </is>
      </c>
      <c r="BW19" s="199" t="inlineStr">
        <is>
          <t>研发(K)</t>
        </is>
      </c>
      <c r="BX19" s="215" t="n"/>
      <c r="CA19" s="213" t="n"/>
      <c r="CB19" s="216" t="inlineStr">
        <is>
          <t>市场1</t>
        </is>
      </c>
      <c r="CC19" s="497">
        <f>第十四期!$CX$68</f>
        <v/>
      </c>
      <c r="CD19" s="497">
        <f>第十四期!$CX$69</f>
        <v/>
      </c>
      <c r="CE19" s="497">
        <f>第十四期!$CX$70</f>
        <v/>
      </c>
      <c r="CF19" s="497">
        <f>第十四期!$CX$71</f>
        <v/>
      </c>
      <c r="CG19" s="396" t="n"/>
      <c r="CH19" s="498" t="n"/>
      <c r="CI19" s="499" t="inlineStr">
        <is>
          <t>市场1</t>
        </is>
      </c>
      <c r="CJ19" s="497">
        <f>第十四期!$CX$50</f>
        <v/>
      </c>
      <c r="CK19" s="497">
        <f>第十四期!$CX$51</f>
        <v/>
      </c>
      <c r="CL19" s="497">
        <f>第十四期!$CX$52</f>
        <v/>
      </c>
      <c r="CM19" s="497">
        <f>第十四期!$CX$53</f>
        <v/>
      </c>
      <c r="CN19" s="215" t="n"/>
      <c r="CO19" s="239" t="n"/>
      <c r="CR19" s="215" t="inlineStr">
        <is>
          <t>C产品</t>
        </is>
      </c>
      <c r="CS19" s="215">
        <f>比赛参数!D$65*CS31</f>
        <v/>
      </c>
      <c r="CT19" s="215">
        <f>比赛参数!E$65*CT31</f>
        <v/>
      </c>
      <c r="CU19" s="215">
        <f>比赛参数!F$65*CU31</f>
        <v/>
      </c>
      <c r="CV19" s="215">
        <f>比赛参数!G$65*CV31</f>
        <v/>
      </c>
      <c r="CW19" s="246">
        <f>(CS19*520+CU19*520+CV19*260)/1300</f>
        <v/>
      </c>
      <c r="CY19" s="215" t="inlineStr">
        <is>
          <t>C产品</t>
        </is>
      </c>
      <c r="CZ19" s="215">
        <f>$CW19+CS37+CS43+比赛参数!$D$30*比赛参数!$F$30*CS25/520</f>
        <v/>
      </c>
      <c r="DA19" s="215">
        <f>$CW19+CT37+CT43+比赛参数!$D$30*比赛参数!$F$30*CT25/520</f>
        <v/>
      </c>
      <c r="DB19" s="215">
        <f>$CW19+CU37+CU43+比赛参数!$D$30*比赛参数!$F$30*CU25/520</f>
        <v/>
      </c>
      <c r="DC19" s="215">
        <f>$CW19+CV37+CV43+比赛参数!$D$30*比赛参数!$F$30*CV25/520</f>
        <v/>
      </c>
      <c r="DF19" s="215" t="inlineStr">
        <is>
          <t>C产品</t>
        </is>
      </c>
      <c r="DG19" s="215">
        <f>$CW19+CS37+AVERAGE(CS43:CT43)</f>
        <v/>
      </c>
      <c r="DH19" s="215">
        <f>$CW19+CT37+AVERAGE(CS43:CT43)</f>
        <v/>
      </c>
      <c r="DI19" s="215">
        <f>$CW19+CU37+AVERAGE(CU43:CV43)</f>
        <v/>
      </c>
      <c r="DJ19" s="215">
        <f>$CW19+CV37+AVERAGE(CU43:CV43)</f>
        <v/>
      </c>
      <c r="DT19" s="376" t="inlineStr">
        <is>
          <t>产品D</t>
        </is>
      </c>
      <c r="DU19" s="376" t="n">
        <v>2</v>
      </c>
      <c r="DV19" s="270">
        <f>F37</f>
        <v/>
      </c>
      <c r="DW19" s="270">
        <f>I37</f>
        <v/>
      </c>
      <c r="DX19" s="270">
        <f>J37</f>
        <v/>
      </c>
    </row>
    <row r="20" s="353">
      <c r="B20" s="441" t="n"/>
      <c r="C20" s="8" t="inlineStr">
        <is>
          <t>总资本利润率</t>
        </is>
      </c>
      <c r="D20" s="9" t="n"/>
      <c r="E20" s="9" t="n"/>
      <c r="F20" s="10" t="n"/>
      <c r="M20" s="30" t="n"/>
      <c r="N20" s="39" t="inlineStr">
        <is>
          <t>净资产</t>
        </is>
      </c>
      <c r="O20" s="500">
        <f>K16+AJ19-AJ18</f>
        <v/>
      </c>
      <c r="P20" s="35" t="n"/>
      <c r="Q20" s="45" t="n"/>
      <c r="W20" s="50" t="n"/>
      <c r="X20" s="148" t="inlineStr">
        <is>
          <t>可用人数</t>
        </is>
      </c>
      <c r="Y20" s="497">
        <f>第十四期!K8+第十四期!Y18*比赛参数!D59-第十四期!AA18</f>
        <v/>
      </c>
      <c r="Z20" s="148" t="inlineStr">
        <is>
          <t>现有机器数</t>
        </is>
      </c>
      <c r="AA20" s="272">
        <f>第十四期!K9</f>
        <v/>
      </c>
      <c r="AB20" s="148" t="inlineStr">
        <is>
          <t>可用原材料</t>
        </is>
      </c>
      <c r="AC20" s="484">
        <f>AC18*比赛参数!D41+第十四期!K10</f>
        <v/>
      </c>
      <c r="AE20" s="11" t="inlineStr">
        <is>
          <t>买国债</t>
        </is>
      </c>
      <c r="AF20" s="101" t="n"/>
      <c r="AG20" s="148" t="inlineStr">
        <is>
          <t>工人工资</t>
        </is>
      </c>
      <c r="AH20" s="501">
        <f>第十四期!BS62+第十四期!BS71</f>
        <v/>
      </c>
      <c r="AI20" s="73" t="inlineStr">
        <is>
          <t>期末现金</t>
        </is>
      </c>
      <c r="AJ20" s="484">
        <f>第十四期!BV90</f>
        <v/>
      </c>
      <c r="AK20" s="148" t="inlineStr">
        <is>
          <t>销售机器数</t>
        </is>
      </c>
      <c r="AL20" s="493">
        <f>AL111</f>
        <v/>
      </c>
      <c r="AM20" s="215">
        <f>AF14/AL20/1300</f>
        <v/>
      </c>
      <c r="AR20" s="11" t="n">
        <v>12</v>
      </c>
      <c r="AS20" s="294">
        <f>SUM(AB142:AE142)*比赛参数!$D$26+SUM(AL142:AO142)*比赛参数!$E$26+SUM(AB165:AE165)*比赛参数!$F$26+SUM(AL165:AO165)*比赛参数!$G$26</f>
        <v/>
      </c>
      <c r="AT20" s="469">
        <f>AS20/1300</f>
        <v/>
      </c>
      <c r="AU20" s="175">
        <f>F106</f>
        <v/>
      </c>
      <c r="AV20" s="470">
        <f>AU20/AS20</f>
        <v/>
      </c>
      <c r="AW20" s="175">
        <f>E106</f>
        <v/>
      </c>
      <c r="AX20" s="192">
        <f>AU20/AW20</f>
        <v/>
      </c>
      <c r="AY20" s="294">
        <f>X142*AB142+Y142*AC142+Z142*AD142+AA142*AE142+AH142*AL142+AI142*AM142+AJ142*AN142+AK142*AO142+X165*AB165+Y165*AC165+Z165*AD165+AA165*AE165+AH165*AL165+AI165*AM165+AJ165*AN165+AK165*AO165</f>
        <v/>
      </c>
      <c r="AZ20" s="338">
        <f>D106</f>
        <v/>
      </c>
      <c r="BA20" s="294">
        <f>AZ20-AY20</f>
        <v/>
      </c>
      <c r="BB20" s="294">
        <f>IF(BA20&lt;比赛参数!$K$34,0,IF(BA20&lt;比赛参数!$K$35,BA20/(1-比赛参数!$E$36),IF(BA20&lt;比赛参数!$K$36,BA20/(1-比赛参数!$E$34))))</f>
        <v/>
      </c>
      <c r="BC20" s="294">
        <f>AU20-BA20</f>
        <v/>
      </c>
      <c r="BD20" s="101" t="n"/>
      <c r="BE20" s="294">
        <f>BC20-BD20</f>
        <v/>
      </c>
      <c r="BF20" s="470">
        <f>BE20/AS20</f>
        <v/>
      </c>
      <c r="BR20" s="197" t="inlineStr">
        <is>
          <t>产品A</t>
        </is>
      </c>
      <c r="BS20" s="218">
        <f>第十四期!Y9</f>
        <v/>
      </c>
      <c r="BT20" s="218">
        <f>第十四期!Z9</f>
        <v/>
      </c>
      <c r="BU20" s="218">
        <f>第十四期!AA9</f>
        <v/>
      </c>
      <c r="BV20" s="218">
        <f>第十四期!AB9</f>
        <v/>
      </c>
      <c r="BW20" s="467">
        <f>第十四期!AJ34</f>
        <v/>
      </c>
      <c r="BX20" s="215" t="n"/>
      <c r="CA20" s="213" t="n"/>
      <c r="CB20" s="196" t="inlineStr">
        <is>
          <t>市场2</t>
        </is>
      </c>
      <c r="CC20" s="497">
        <f>第十四期!$CY$68</f>
        <v/>
      </c>
      <c r="CD20" s="497">
        <f>第十四期!$CY$69</f>
        <v/>
      </c>
      <c r="CE20" s="497">
        <f>第十四期!$CY$70</f>
        <v/>
      </c>
      <c r="CF20" s="497">
        <f>第十四期!$CY$71</f>
        <v/>
      </c>
      <c r="CG20" s="396" t="n"/>
      <c r="CH20" s="498" t="n"/>
      <c r="CI20" s="502" t="inlineStr">
        <is>
          <t>市场2</t>
        </is>
      </c>
      <c r="CJ20" s="497">
        <f>第十四期!$CY$50</f>
        <v/>
      </c>
      <c r="CK20" s="497">
        <f>第十四期!$CY$51</f>
        <v/>
      </c>
      <c r="CL20" s="497">
        <f>第十四期!$CY$52</f>
        <v/>
      </c>
      <c r="CM20" s="497">
        <f>第十四期!$CY$53</f>
        <v/>
      </c>
      <c r="CN20" s="215" t="n"/>
      <c r="CO20" s="239" t="n"/>
      <c r="CR20" s="215" t="inlineStr">
        <is>
          <t>D产品</t>
        </is>
      </c>
      <c r="CS20" s="215">
        <f>比赛参数!D$65*CS32</f>
        <v/>
      </c>
      <c r="CT20" s="215">
        <f>比赛参数!E$65*CT32</f>
        <v/>
      </c>
      <c r="CU20" s="215">
        <f>比赛参数!F$65*CU32</f>
        <v/>
      </c>
      <c r="CV20" s="215">
        <f>比赛参数!G$65*CV32</f>
        <v/>
      </c>
      <c r="CW20" s="246">
        <f>(CS20*520+CU20*520+CV20*260)/1300</f>
        <v/>
      </c>
      <c r="CY20" s="215" t="inlineStr">
        <is>
          <t>D产品</t>
        </is>
      </c>
      <c r="CZ20" s="215">
        <f>$CW20+CS38+CS44+比赛参数!$D$30*比赛参数!$F$30*CS26/520</f>
        <v/>
      </c>
      <c r="DA20" s="215">
        <f>$CW20+CT38+CT44+比赛参数!$D$30*比赛参数!$F$30*CT26/520</f>
        <v/>
      </c>
      <c r="DB20" s="215">
        <f>$CW20+CU38+CU44+比赛参数!$D$30*比赛参数!$F$30*CU26/520</f>
        <v/>
      </c>
      <c r="DC20" s="215">
        <f>$CW20+CV38+CV44+比赛参数!$D$30*比赛参数!$F$30*CV26/520</f>
        <v/>
      </c>
      <c r="DF20" s="215" t="inlineStr">
        <is>
          <t>D产品</t>
        </is>
      </c>
      <c r="DG20" s="215">
        <f>$CW20+CS38+AVERAGE(CS44:CT44)</f>
        <v/>
      </c>
      <c r="DH20" s="215">
        <f>$CW20+CT38+AVERAGE(CS44:CT44)</f>
        <v/>
      </c>
      <c r="DI20" s="215">
        <f>$CW20+CU38+AVERAGE(CU44:CV44)</f>
        <v/>
      </c>
      <c r="DJ20" s="215">
        <f>$CW20+CV38+AVERAGE(CU44:CV44)</f>
        <v/>
      </c>
      <c r="DT20" s="376" t="inlineStr">
        <is>
          <t>产品D</t>
        </is>
      </c>
      <c r="DU20" s="376" t="n">
        <v>3</v>
      </c>
      <c r="DV20" s="270">
        <f>F38</f>
        <v/>
      </c>
      <c r="DW20" s="270">
        <f>I38</f>
        <v/>
      </c>
      <c r="DX20" s="270">
        <f>J38</f>
        <v/>
      </c>
      <c r="DZ20" s="460" t="n"/>
    </row>
    <row r="21" s="353">
      <c r="B21" s="441" t="n"/>
      <c r="C21" s="8" t="inlineStr">
        <is>
          <t>综合评分</t>
        </is>
      </c>
      <c r="D21" s="9" t="n"/>
      <c r="E21" s="9" t="n"/>
      <c r="F21" s="10" t="n"/>
      <c r="M21" s="30" t="n"/>
      <c r="N21" s="31" t="inlineStr">
        <is>
          <t>人均利润率</t>
        </is>
      </c>
      <c r="O21" s="37" t="n"/>
      <c r="P21" s="35" t="n"/>
      <c r="Q21" s="45" t="n"/>
      <c r="W21" s="215" t="n"/>
      <c r="X21" s="148" t="inlineStr">
        <is>
          <t>需要人数</t>
        </is>
      </c>
      <c r="Y21" s="497">
        <f>Y13+AA13</f>
        <v/>
      </c>
      <c r="Z21" s="148" t="inlineStr">
        <is>
          <t>需要机器数</t>
        </is>
      </c>
      <c r="AA21" s="497">
        <f>MAX(Y14,Z14+AA14,AB14)</f>
        <v/>
      </c>
      <c r="AB21" s="148" t="inlineStr">
        <is>
          <t>需要原材料</t>
        </is>
      </c>
      <c r="AC21" s="484">
        <f>AC9*比赛参数!D28+AC10*比赛参数!E28+AC11*比赛参数!F28+AC12*比赛参数!G28</f>
        <v/>
      </c>
      <c r="AE21" s="148" t="inlineStr">
        <is>
          <t>国债利息</t>
        </is>
      </c>
      <c r="AF21" s="112">
        <f>AF20*比赛参数!D70/4</f>
        <v/>
      </c>
      <c r="AG21" s="503" t="inlineStr">
        <is>
          <t>废品损失</t>
        </is>
      </c>
      <c r="AH21" s="501">
        <f>CN53+CN59</f>
        <v/>
      </c>
      <c r="AI21" s="148" t="inlineStr">
        <is>
          <t>保留现金</t>
        </is>
      </c>
      <c r="AJ21" s="477">
        <f>比赛参数!D67</f>
        <v/>
      </c>
      <c r="AK21" s="148" t="inlineStr">
        <is>
          <t>销售比例</t>
        </is>
      </c>
      <c r="AL21" s="150">
        <f>AL112</f>
        <v/>
      </c>
      <c r="AR21" s="11" t="n">
        <v>13</v>
      </c>
      <c r="AS21" s="294">
        <f>SUM(AB143:AE143)*比赛参数!$D$26+SUM(AL143:AO143)*比赛参数!$E$26+SUM(AB166:AE166)*比赛参数!$F$26+SUM(AL166:AO166)*比赛参数!$G$26</f>
        <v/>
      </c>
      <c r="AT21" s="469">
        <f>AS21/1300</f>
        <v/>
      </c>
      <c r="AU21" s="175">
        <f>F107</f>
        <v/>
      </c>
      <c r="AV21" s="470">
        <f>AU21/AS21</f>
        <v/>
      </c>
      <c r="AW21" s="175">
        <f>E107</f>
        <v/>
      </c>
      <c r="AX21" s="192">
        <f>AU21/AW21</f>
        <v/>
      </c>
      <c r="AY21" s="294">
        <f>X143*AB143+Y143*AC143+Z143*AD143+AA143*AE143+AH143*AL143+AI143*AM143+AJ143*AN143+AK143*AO143+X166*AB166+Y166*AC166+Z166*AD166+AA166*AE166+AH166*AL166+AI166*AM166+AJ166*AN166+AK166*AO166</f>
        <v/>
      </c>
      <c r="AZ21" s="338">
        <f>D107</f>
        <v/>
      </c>
      <c r="BA21" s="294">
        <f>AZ21-AY21</f>
        <v/>
      </c>
      <c r="BB21" s="294">
        <f>IF(BA21&lt;比赛参数!$K$34,0,IF(BA21&lt;比赛参数!$K$35,BA21/(1-比赛参数!$E$36),IF(BA21&lt;比赛参数!$K$36,BA21/(1-比赛参数!$E$34))))</f>
        <v/>
      </c>
      <c r="BC21" s="294">
        <f>AU21-BA21</f>
        <v/>
      </c>
      <c r="BD21" s="101" t="n"/>
      <c r="BE21" s="294">
        <f>BC21-BD21</f>
        <v/>
      </c>
      <c r="BF21" s="470">
        <f>BE21/AS21</f>
        <v/>
      </c>
      <c r="BR21" s="196" t="inlineStr">
        <is>
          <t>产品B</t>
        </is>
      </c>
      <c r="BS21" s="218">
        <f>第十四期!Y10</f>
        <v/>
      </c>
      <c r="BT21" s="218">
        <f>第十四期!Z10</f>
        <v/>
      </c>
      <c r="BU21" s="218">
        <f>第十四期!AA10</f>
        <v/>
      </c>
      <c r="BV21" s="218">
        <f>第十四期!AB10</f>
        <v/>
      </c>
      <c r="BW21" s="467">
        <f>第十四期!AJ35</f>
        <v/>
      </c>
      <c r="BX21" s="215" t="n"/>
      <c r="CA21" s="213" t="n"/>
      <c r="CB21" s="196" t="inlineStr">
        <is>
          <t>市场3</t>
        </is>
      </c>
      <c r="CC21" s="497">
        <f>第十四期!$CZ$68</f>
        <v/>
      </c>
      <c r="CD21" s="497">
        <f>第十四期!$CZ$69</f>
        <v/>
      </c>
      <c r="CE21" s="497">
        <f>第十四期!$CZ$70</f>
        <v/>
      </c>
      <c r="CF21" s="497">
        <f>第十四期!$CZ$71</f>
        <v/>
      </c>
      <c r="CG21" s="396" t="n"/>
      <c r="CH21" s="498" t="n"/>
      <c r="CI21" s="502" t="inlineStr">
        <is>
          <t>市场3</t>
        </is>
      </c>
      <c r="CJ21" s="497">
        <f>第十四期!$CZ$50</f>
        <v/>
      </c>
      <c r="CK21" s="497">
        <f>第十四期!$CZ$51</f>
        <v/>
      </c>
      <c r="CL21" s="497">
        <f>第十四期!$CZ$52</f>
        <v/>
      </c>
      <c r="CM21" s="497">
        <f>第十四期!$CZ$53</f>
        <v/>
      </c>
      <c r="CN21" s="215" t="n"/>
      <c r="CO21" s="239" t="n"/>
      <c r="DT21" s="376" t="inlineStr">
        <is>
          <t>产品D</t>
        </is>
      </c>
      <c r="DU21" s="376" t="n">
        <v>4</v>
      </c>
      <c r="DV21" s="270">
        <f>F39</f>
        <v/>
      </c>
      <c r="DW21" s="270">
        <f>I39</f>
        <v/>
      </c>
      <c r="DX21" s="270">
        <f>J39</f>
        <v/>
      </c>
    </row>
    <row r="22" s="353">
      <c r="C22" s="15" t="n"/>
      <c r="D22" s="15" t="n"/>
      <c r="E22" s="15" t="n"/>
      <c r="M22" s="30" t="n"/>
      <c r="N22" s="31" t="inlineStr">
        <is>
          <t>总资本利润率</t>
        </is>
      </c>
      <c r="O22" s="37" t="n"/>
      <c r="P22" s="35" t="n"/>
      <c r="Q22" s="45" t="n"/>
      <c r="Z22" s="215" t="inlineStr">
        <is>
          <t>利用机器</t>
        </is>
      </c>
      <c r="AA22" s="504">
        <f>SUM(AH9:AH12)/1300</f>
        <v/>
      </c>
      <c r="AB22" s="114">
        <f>AA22/AA20</f>
        <v/>
      </c>
      <c r="AD22" s="115" t="n"/>
      <c r="AH22" s="505">
        <f>AH20+AH21</f>
        <v/>
      </c>
      <c r="AI22" s="148" t="inlineStr">
        <is>
          <t>期初现金</t>
        </is>
      </c>
      <c r="AJ22" s="477">
        <f>K11</f>
        <v/>
      </c>
      <c r="AK22" s="215" t="inlineStr">
        <is>
          <t>期初原材料</t>
        </is>
      </c>
      <c r="AL22" s="506">
        <f>K10</f>
        <v/>
      </c>
      <c r="AR22" s="11" t="n">
        <v>14</v>
      </c>
      <c r="AS22" s="294">
        <f>SUM(AB144:AE144)*比赛参数!$D$26+SUM(AL144:AO144)*比赛参数!$E$26+SUM(AB167:AE167)*比赛参数!$F$26+SUM(AL167:AO167)*比赛参数!$G$26</f>
        <v/>
      </c>
      <c r="AT22" s="469">
        <f>AS22/1300</f>
        <v/>
      </c>
      <c r="AU22" s="175">
        <f>F108</f>
        <v/>
      </c>
      <c r="AV22" s="470">
        <f>AU22/AS22</f>
        <v/>
      </c>
      <c r="AW22" s="175">
        <f>E108</f>
        <v/>
      </c>
      <c r="AX22" s="192">
        <f>AU22/AW22</f>
        <v/>
      </c>
      <c r="AY22" s="294">
        <f>X144*AB144+Y144*AC144+Z144*AD144+AA144*AE144+AH144*AL144+AI144*AM144+AJ144*AN144+AK144*AO144+X167*AB167+Y167*AC167+Z167*AD167+AA167*AE167+AH167*AL167+AI167*AM167+AJ167*AN167+AK167*AO167</f>
        <v/>
      </c>
      <c r="AZ22" s="338">
        <f>D108</f>
        <v/>
      </c>
      <c r="BA22" s="294">
        <f>AZ22-AY22</f>
        <v/>
      </c>
      <c r="BB22" s="294">
        <f>IF(BA22&lt;比赛参数!$K$34,0,IF(BA22&lt;比赛参数!$K$35,BA22/(1-比赛参数!$E$36),IF(BA22&lt;比赛参数!$K$36,BA22/(1-比赛参数!$E$34))))</f>
        <v/>
      </c>
      <c r="BC22" s="294">
        <f>AU22-BA22</f>
        <v/>
      </c>
      <c r="BD22" s="101" t="n"/>
      <c r="BE22" s="294">
        <f>BC22-BD22</f>
        <v/>
      </c>
      <c r="BF22" s="470">
        <f>BE22/AS22</f>
        <v/>
      </c>
      <c r="BR22" s="196" t="inlineStr">
        <is>
          <t>产品C</t>
        </is>
      </c>
      <c r="BS22" s="218">
        <f>第十四期!Y11</f>
        <v/>
      </c>
      <c r="BT22" s="218">
        <f>第十四期!Z11</f>
        <v/>
      </c>
      <c r="BU22" s="218">
        <f>第十四期!AA11</f>
        <v/>
      </c>
      <c r="BV22" s="218">
        <f>第十四期!AB11</f>
        <v/>
      </c>
      <c r="BW22" s="467">
        <f>第十四期!AJ36</f>
        <v/>
      </c>
      <c r="BX22" s="215" t="n"/>
      <c r="CA22" s="213" t="n"/>
      <c r="CB22" s="196" t="inlineStr">
        <is>
          <t>市场4</t>
        </is>
      </c>
      <c r="CC22" s="497">
        <f>第十四期!$DA$68</f>
        <v/>
      </c>
      <c r="CD22" s="497">
        <f>第十四期!$DA$69</f>
        <v/>
      </c>
      <c r="CE22" s="497">
        <f>第十四期!$DA$70</f>
        <v/>
      </c>
      <c r="CF22" s="497">
        <f>第十四期!$DA$71</f>
        <v/>
      </c>
      <c r="CG22" s="396" t="n"/>
      <c r="CH22" s="498" t="n"/>
      <c r="CI22" s="502" t="inlineStr">
        <is>
          <t>市场4</t>
        </is>
      </c>
      <c r="CJ22" s="497">
        <f>第十四期!$DA$50</f>
        <v/>
      </c>
      <c r="CK22" s="497">
        <f>第十四期!$DA$51</f>
        <v/>
      </c>
      <c r="CL22" s="497">
        <f>第十四期!$DA$52</f>
        <v/>
      </c>
      <c r="CM22" s="497">
        <f>第十四期!$DA$53</f>
        <v/>
      </c>
      <c r="CN22" s="215" t="n"/>
      <c r="CO22" s="239" t="n"/>
      <c r="CR22" s="215" t="inlineStr">
        <is>
          <t>机时</t>
        </is>
      </c>
      <c r="CS22" s="215" t="inlineStr">
        <is>
          <t>第一班正班</t>
        </is>
      </c>
      <c r="CT22" s="215" t="inlineStr">
        <is>
          <t>第一班加班</t>
        </is>
      </c>
      <c r="CU22" s="215" t="inlineStr">
        <is>
          <t>第二班正班</t>
        </is>
      </c>
      <c r="CV22" s="215" t="inlineStr">
        <is>
          <t>第二班加班</t>
        </is>
      </c>
      <c r="CY22" s="215" t="inlineStr">
        <is>
          <t>单位利润</t>
        </is>
      </c>
      <c r="CZ22" s="215" t="inlineStr">
        <is>
          <t>市场1</t>
        </is>
      </c>
      <c r="DA22" s="215" t="inlineStr">
        <is>
          <t>市场2</t>
        </is>
      </c>
      <c r="DB22" s="215" t="inlineStr">
        <is>
          <t>市场3</t>
        </is>
      </c>
      <c r="DC22" s="215" t="inlineStr">
        <is>
          <t>市场4</t>
        </is>
      </c>
      <c r="DF22" s="215" t="inlineStr">
        <is>
          <t>单位利润</t>
        </is>
      </c>
      <c r="DG22" s="215" t="inlineStr">
        <is>
          <t>市场1</t>
        </is>
      </c>
      <c r="DH22" s="215" t="inlineStr">
        <is>
          <t>市场2</t>
        </is>
      </c>
      <c r="DI22" s="215" t="inlineStr">
        <is>
          <t>市场3</t>
        </is>
      </c>
      <c r="DJ22" s="215" t="inlineStr">
        <is>
          <t>市场4</t>
        </is>
      </c>
      <c r="DZ22" s="460" t="n"/>
    </row>
    <row r="23" s="353">
      <c r="B23" s="441" t="n"/>
      <c r="C23" s="16" t="inlineStr">
        <is>
          <t>产品</t>
        </is>
      </c>
      <c r="D23" s="17" t="inlineStr">
        <is>
          <t>市场</t>
        </is>
      </c>
      <c r="E23" s="17" t="inlineStr">
        <is>
          <t>上期预定</t>
        </is>
      </c>
      <c r="F23" s="17" t="inlineStr">
        <is>
          <t>本期需求</t>
        </is>
      </c>
      <c r="G23" s="17" t="inlineStr">
        <is>
          <t>本期销售</t>
        </is>
      </c>
      <c r="H23" s="17" t="inlineStr">
        <is>
          <t>市场份额</t>
        </is>
      </c>
      <c r="I23" s="17" t="inlineStr">
        <is>
          <t>订货</t>
        </is>
      </c>
      <c r="J23" s="17" t="inlineStr">
        <is>
          <t>库存</t>
        </is>
      </c>
      <c r="K23" s="20" t="inlineStr">
        <is>
          <t>废品</t>
        </is>
      </c>
      <c r="L23" s="10" t="n"/>
      <c r="M23" s="39" t="inlineStr">
        <is>
          <t>本期需求</t>
        </is>
      </c>
      <c r="N23" s="31" t="inlineStr">
        <is>
          <t>综合评分</t>
        </is>
      </c>
      <c r="O23" s="37" t="n"/>
      <c r="P23" s="35" t="n"/>
      <c r="Q23" s="45" t="n"/>
      <c r="Y23" s="215">
        <f>比赛参数!D26</f>
        <v/>
      </c>
      <c r="Z23" s="215">
        <f>比赛参数!E26</f>
        <v/>
      </c>
      <c r="AA23" s="215">
        <f>比赛参数!F26</f>
        <v/>
      </c>
      <c r="AB23" s="215">
        <f>比赛参数!G26</f>
        <v/>
      </c>
      <c r="AD23" s="115" t="n"/>
      <c r="AI23" s="148" t="inlineStr">
        <is>
          <t>本期费用</t>
        </is>
      </c>
      <c r="AJ23" s="477">
        <f>AF13</f>
        <v/>
      </c>
      <c r="AK23" s="215" t="inlineStr">
        <is>
          <t>期末原材料</t>
        </is>
      </c>
      <c r="AL23" s="506">
        <f>AL22+AC18-AC21</f>
        <v/>
      </c>
      <c r="AQ23" s="507" t="n"/>
      <c r="AR23" s="11" t="n">
        <v>15</v>
      </c>
      <c r="AS23" s="294">
        <f>SUM(AB145:AE145)*比赛参数!$D$26+SUM(AL145:AO145)*比赛参数!$E$26+SUM(AB168:AE168)*比赛参数!$F$26+SUM(AL168:AO168)*比赛参数!$G$26</f>
        <v/>
      </c>
      <c r="AT23" s="469">
        <f>AS23/1300</f>
        <v/>
      </c>
      <c r="AU23" s="175">
        <f>F109</f>
        <v/>
      </c>
      <c r="AV23" s="470">
        <f>AU23/AS23</f>
        <v/>
      </c>
      <c r="AW23" s="175">
        <f>E109</f>
        <v/>
      </c>
      <c r="AX23" s="192">
        <f>AU23/AW23</f>
        <v/>
      </c>
      <c r="AY23" s="294">
        <f>X145*AB145+Y145*AC145+Z145*AD145+AA145*AE145+AH145*AL145+AI145*AM145+AJ145*AN145+AK145*AO145+X168*AB168+Y168*AC168+Z168*AD168+AA168*AE168+AH168*AL168+AI168*AM168+AJ168*AN168+AK168*AO168</f>
        <v/>
      </c>
      <c r="AZ23" s="338">
        <f>D109</f>
        <v/>
      </c>
      <c r="BA23" s="294">
        <f>AZ23-AY23</f>
        <v/>
      </c>
      <c r="BB23" s="294">
        <f>IF(BA23&lt;比赛参数!$K$34,0,IF(BA23&lt;比赛参数!$K$35,BA23/(1-比赛参数!$E$36),IF(BA23&lt;比赛参数!$K$36,BA23/(1-比赛参数!$E$34))))</f>
        <v/>
      </c>
      <c r="BC23" s="294">
        <f>AU23-BA23</f>
        <v/>
      </c>
      <c r="BD23" s="101" t="n"/>
      <c r="BE23" s="294">
        <f>BC23-BD23</f>
        <v/>
      </c>
      <c r="BF23" s="470">
        <f>BE23/AS23</f>
        <v/>
      </c>
      <c r="BQ23" s="507" t="n"/>
      <c r="BR23" s="196" t="inlineStr">
        <is>
          <t>产品D</t>
        </is>
      </c>
      <c r="BS23" s="218">
        <f>第十四期!Y12</f>
        <v/>
      </c>
      <c r="BT23" s="218">
        <f>第十四期!Z12</f>
        <v/>
      </c>
      <c r="BU23" s="218">
        <f>第十四期!AA12</f>
        <v/>
      </c>
      <c r="BV23" s="218">
        <f>第十四期!AB12</f>
        <v/>
      </c>
      <c r="BW23" s="467">
        <f>第十四期!AJ37</f>
        <v/>
      </c>
      <c r="BX23" s="215" t="n"/>
      <c r="CA23" s="213" t="n"/>
      <c r="CB23" s="396" t="n"/>
      <c r="CC23" s="498" t="n"/>
      <c r="CD23" s="498" t="n"/>
      <c r="CE23" s="498" t="n"/>
      <c r="CF23" s="498" t="n"/>
      <c r="CG23" s="396" t="n"/>
      <c r="CH23" s="498" t="n"/>
      <c r="CI23" s="498" t="n"/>
      <c r="CJ23" s="508" t="n"/>
      <c r="CK23" s="498" t="n"/>
      <c r="CL23" s="498" t="n"/>
      <c r="CM23" s="498" t="n"/>
      <c r="CN23" s="396" t="n"/>
      <c r="CO23" s="239" t="n"/>
      <c r="CR23" s="215" t="inlineStr">
        <is>
          <t>A产品</t>
        </is>
      </c>
      <c r="CS23" s="215">
        <f>比赛参数!$D$26</f>
        <v/>
      </c>
      <c r="CT23" s="215">
        <f>比赛参数!$D$26</f>
        <v/>
      </c>
      <c r="CU23" s="215">
        <f>比赛参数!$D$26</f>
        <v/>
      </c>
      <c r="CV23" s="215">
        <f>比赛参数!$D$26</f>
        <v/>
      </c>
      <c r="CY23" s="215" t="inlineStr">
        <is>
          <t>A产品</t>
        </is>
      </c>
      <c r="CZ23" s="215">
        <f>BS7-CZ17</f>
        <v/>
      </c>
      <c r="DA23" s="215">
        <f>BT7-DA17</f>
        <v/>
      </c>
      <c r="DB23" s="215">
        <f>BU7-DB17</f>
        <v/>
      </c>
      <c r="DC23" s="215">
        <f>BV7-DC17</f>
        <v/>
      </c>
      <c r="DF23" s="215" t="inlineStr">
        <is>
          <t>A产品</t>
        </is>
      </c>
      <c r="DG23" s="215">
        <f>BS7-DG17</f>
        <v/>
      </c>
      <c r="DH23" s="215">
        <f>BT7-DH17</f>
        <v/>
      </c>
      <c r="DI23" s="215">
        <f>BU7-DI17</f>
        <v/>
      </c>
      <c r="DJ23" s="215">
        <f>BV7-DJ17</f>
        <v/>
      </c>
      <c r="DM23" s="215">
        <f>DG23/CS23</f>
        <v/>
      </c>
      <c r="DN23" s="215">
        <f>DH23/CT23</f>
        <v/>
      </c>
      <c r="DO23" s="215">
        <f>DI23/CU23</f>
        <v/>
      </c>
      <c r="DP23" s="215">
        <f>DJ23/CV23</f>
        <v/>
      </c>
      <c r="DQ23" s="215">
        <f>SUMPRODUCT(DM23:DP23,BS14:BV14)/SUM(BS14:BV14)</f>
        <v/>
      </c>
      <c r="DT23" s="396" t="n"/>
      <c r="DU23" s="196" t="inlineStr">
        <is>
          <t>上期研发费</t>
        </is>
      </c>
      <c r="DV23" s="270">
        <f>SUM(E42:E45)</f>
        <v/>
      </c>
    </row>
    <row customHeight="1" ht="16.35" r="24" s="353">
      <c r="B24" s="441" t="n"/>
      <c r="C24" s="388" t="n">
        <v>1</v>
      </c>
      <c r="D24" s="388" t="n">
        <v>1</v>
      </c>
      <c r="E24" s="9" t="n"/>
      <c r="F24" s="9" t="n"/>
      <c r="G24" s="9" t="n"/>
      <c r="H24" s="19" t="n"/>
      <c r="I24" s="9" t="n"/>
      <c r="J24" s="9" t="n"/>
      <c r="K24" s="9" t="n"/>
      <c r="L24" s="10" t="n"/>
      <c r="M24" s="39">
        <f>AF64-AF104</f>
        <v/>
      </c>
      <c r="N24" s="35" t="n"/>
      <c r="O24" s="35" t="n"/>
      <c r="P24" s="35" t="n"/>
      <c r="Q24" s="45" t="n"/>
      <c r="AH24" s="490" t="n"/>
      <c r="AQ24" s="507" t="n"/>
      <c r="AR24" s="11" t="n">
        <v>16</v>
      </c>
      <c r="AS24" s="294">
        <f>SUM(AB146:AE146)*比赛参数!$D$26+SUM(AL146:AO146)*比赛参数!$E$26+SUM(AB169:AE169)*比赛参数!$F$26+SUM(AL169:AO169)*比赛参数!$G$26</f>
        <v/>
      </c>
      <c r="AT24" s="469">
        <f>AS24/1300</f>
        <v/>
      </c>
      <c r="AU24" s="175">
        <f>F110</f>
        <v/>
      </c>
      <c r="AV24" s="470">
        <f>AU24/AS24</f>
        <v/>
      </c>
      <c r="AW24" s="175">
        <f>E110</f>
        <v/>
      </c>
      <c r="AX24" s="192">
        <f>AU24/AW24</f>
        <v/>
      </c>
      <c r="AY24" s="294">
        <f>X146*AB146+Y146*AC146+Z146*AD146+AA146*AE146+AH146*AL146+AI146*AM146+AJ146*AN146+AK146*AO146+X169*AB169+Y169*AC169+Z169*AD169+AA169*AE169+AH169*AL169+AI169*AM169+AJ169*AN169+AK169*AO169</f>
        <v/>
      </c>
      <c r="AZ24" s="338">
        <f>D110</f>
        <v/>
      </c>
      <c r="BA24" s="294">
        <f>AZ24-AY24</f>
        <v/>
      </c>
      <c r="BB24" s="294">
        <f>IF(BA24&lt;比赛参数!$K$34,0,IF(BA24&lt;比赛参数!$K$35,BA24/(1-比赛参数!$E$36),IF(BA24&lt;比赛参数!$K$36,BA24/(1-比赛参数!$E$34))))</f>
        <v/>
      </c>
      <c r="BC24" s="294">
        <f>AU24-BA24</f>
        <v/>
      </c>
      <c r="BD24" s="101" t="n"/>
      <c r="BE24" s="294">
        <f>BC24-BD24</f>
        <v/>
      </c>
      <c r="BF24" s="470">
        <f>BE24/AS24</f>
        <v/>
      </c>
      <c r="BQ24" s="507" t="n"/>
      <c r="BX24" s="215" t="n"/>
      <c r="CA24" s="213" t="n"/>
      <c r="CB24" s="196" t="inlineStr">
        <is>
          <t>加权平均</t>
        </is>
      </c>
      <c r="CC24" s="497">
        <f>SUMPRODUCT(CC19:CC22,AF64:AF67)/SUM(AF64:AF67)</f>
        <v/>
      </c>
      <c r="CD24" s="497">
        <f>SUMPRODUCT(CD19:CD22,AG64:AG67)/SUM(AG64:AG67)</f>
        <v/>
      </c>
      <c r="CE24" s="497">
        <f>SUMPRODUCT(CE19:CE22,AH64:AH67)/SUM(AH64:AH67)</f>
        <v/>
      </c>
      <c r="CF24" s="497">
        <f>SUMPRODUCT(CF19:CF22,AI64:AI67)/SUM(AI64:AI67)</f>
        <v/>
      </c>
      <c r="CG24" s="396" t="n"/>
      <c r="CH24" s="498" t="n"/>
      <c r="CI24" s="502" t="inlineStr">
        <is>
          <t>加权平均</t>
        </is>
      </c>
      <c r="CJ24" s="497">
        <f>SUMPRODUCT(CJ19:CJ22,AF64:AF67)/SUM(AF64:AF67)</f>
        <v/>
      </c>
      <c r="CK24" s="497">
        <f>SUMPRODUCT(CK19:CK22,AG64:AG67)/SUM(AG64:AG67)</f>
        <v/>
      </c>
      <c r="CL24" s="497">
        <f>SUMPRODUCT(CL19:CL22,AH64:AH67)/SUM(AH64:AH67)</f>
        <v/>
      </c>
      <c r="CM24" s="497">
        <f>SUMPRODUCT(CM19:CM22,AI64:AI67)/SUM(AI64:AI67)</f>
        <v/>
      </c>
      <c r="CN24" s="396" t="n"/>
      <c r="CO24" s="239" t="n"/>
      <c r="CR24" s="215" t="inlineStr">
        <is>
          <t>B产品</t>
        </is>
      </c>
      <c r="CS24" s="215">
        <f>比赛参数!$E$26</f>
        <v/>
      </c>
      <c r="CT24" s="215">
        <f>比赛参数!$E$26</f>
        <v/>
      </c>
      <c r="CU24" s="215">
        <f>比赛参数!$E$26</f>
        <v/>
      </c>
      <c r="CV24" s="215">
        <f>比赛参数!$E$26</f>
        <v/>
      </c>
      <c r="CY24" s="215" t="inlineStr">
        <is>
          <t>B产品</t>
        </is>
      </c>
      <c r="CZ24" s="215">
        <f>BS8-CZ18</f>
        <v/>
      </c>
      <c r="DA24" s="215">
        <f>BT8-DA18</f>
        <v/>
      </c>
      <c r="DB24" s="215">
        <f>BU8-DB18</f>
        <v/>
      </c>
      <c r="DC24" s="215">
        <f>BV8-DC18</f>
        <v/>
      </c>
      <c r="DF24" s="215" t="inlineStr">
        <is>
          <t>B产品</t>
        </is>
      </c>
      <c r="DG24" s="215">
        <f>BS8-DG18</f>
        <v/>
      </c>
      <c r="DH24" s="215">
        <f>BT8-DH18</f>
        <v/>
      </c>
      <c r="DI24" s="215">
        <f>BU8-DI18</f>
        <v/>
      </c>
      <c r="DJ24" s="215">
        <f>BV8-DJ18</f>
        <v/>
      </c>
      <c r="DM24" s="215">
        <f>DG24/CS24</f>
        <v/>
      </c>
      <c r="DN24" s="215">
        <f>DH24/CT24</f>
        <v/>
      </c>
      <c r="DO24" s="215">
        <f>DI24/CU24</f>
        <v/>
      </c>
      <c r="DP24" s="215">
        <f>DJ24/CV24</f>
        <v/>
      </c>
      <c r="DQ24" s="215">
        <f>SUMPRODUCT(DM24:DP24,BS15:BV15)/SUM(BS15:BV15)</f>
        <v/>
      </c>
      <c r="DT24" s="396" t="n"/>
      <c r="DU24" s="396" t="n"/>
      <c r="DV24" s="396" t="n"/>
    </row>
    <row customHeight="1" ht="17.1" r="25" s="353">
      <c r="B25" s="441" t="n"/>
      <c r="C25" s="388" t="n">
        <v>1</v>
      </c>
      <c r="D25" s="388" t="n">
        <v>2</v>
      </c>
      <c r="E25" s="9" t="n"/>
      <c r="F25" s="9" t="n"/>
      <c r="G25" s="9" t="n"/>
      <c r="H25" s="19" t="n"/>
      <c r="I25" s="9" t="n"/>
      <c r="J25" s="9" t="n"/>
      <c r="K25" s="9" t="n"/>
      <c r="L25" s="10" t="n"/>
      <c r="M25" s="39">
        <f>AF65-AF105</f>
        <v/>
      </c>
      <c r="N25" s="35" t="n"/>
      <c r="O25" s="35" t="n"/>
      <c r="P25" s="35" t="n"/>
      <c r="Q25" s="45" t="n"/>
      <c r="W25" s="215" t="n"/>
      <c r="AD25" s="116" t="inlineStr">
        <is>
          <t>本期比例</t>
        </is>
      </c>
      <c r="AE25" s="117">
        <f>AC5/AC$4</f>
        <v/>
      </c>
      <c r="AF25" s="117">
        <f>AC6/AC$4</f>
        <v/>
      </c>
      <c r="AG25" s="117">
        <f>AC7/AC$4</f>
        <v/>
      </c>
      <c r="AI25" s="294" t="inlineStr">
        <is>
          <t>售前费用</t>
        </is>
      </c>
      <c r="AJ25" s="294" t="inlineStr">
        <is>
          <t>本期机器</t>
        </is>
      </c>
      <c r="AK25" s="273" t="inlineStr">
        <is>
          <t>下期机器</t>
        </is>
      </c>
      <c r="AL25" s="148" t="inlineStr">
        <is>
          <t>人机比</t>
        </is>
      </c>
      <c r="AM25" s="148" t="inlineStr">
        <is>
          <t>单位价值</t>
        </is>
      </c>
      <c r="AN25" s="148" t="inlineStr">
        <is>
          <t>单位成本</t>
        </is>
      </c>
      <c r="AQ25" s="507" t="n"/>
      <c r="AR25" s="11" t="n">
        <v>17</v>
      </c>
      <c r="AS25" s="294">
        <f>SUM(AB147:AE147)*比赛参数!$D$26+SUM(AL147:AO147)*比赛参数!$E$26+SUM(AB170:AE170)*比赛参数!$F$26+SUM(AL170:AO170)*比赛参数!$G$26</f>
        <v/>
      </c>
      <c r="AT25" s="469">
        <f>AS25/1300</f>
        <v/>
      </c>
      <c r="AU25" s="175">
        <f>F111</f>
        <v/>
      </c>
      <c r="AV25" s="470">
        <f>AU25/AS25</f>
        <v/>
      </c>
      <c r="AW25" s="175">
        <f>E111</f>
        <v/>
      </c>
      <c r="AX25" s="192">
        <f>AU25/AW25</f>
        <v/>
      </c>
      <c r="AY25" s="294">
        <f>X147*AB147+Y147*AC147+Z147*AD147+AA147*AE147+AH147*AL147+AI147*AM147+AJ147*AN147+AK147*AO147+X170*AB170+Y170*AC170+Z170*AD170+AA170*AE170+AH170*AL170+AI170*AM170+AJ170*AN170+AK170*AO170</f>
        <v/>
      </c>
      <c r="AZ25" s="338">
        <f>D111</f>
        <v/>
      </c>
      <c r="BA25" s="294">
        <f>AZ25-AY25</f>
        <v/>
      </c>
      <c r="BB25" s="294">
        <f>IF(BA25&lt;比赛参数!$K$34,0,IF(BA25&lt;比赛参数!$K$35,BA25/(1-比赛参数!$E$36),IF(BA25&lt;比赛参数!$K$36,BA25/(1-比赛参数!$E$34))))</f>
        <v/>
      </c>
      <c r="BC25" s="294">
        <f>AU25-BA25</f>
        <v/>
      </c>
      <c r="BD25" s="101" t="n"/>
      <c r="BE25" s="294">
        <f>BC25-BD25</f>
        <v/>
      </c>
      <c r="BF25" s="470">
        <f>BE25/AS25</f>
        <v/>
      </c>
      <c r="BQ25" s="507" t="n"/>
      <c r="BR25" s="203" t="inlineStr">
        <is>
          <t>发展</t>
        </is>
      </c>
      <c r="BS25" s="196" t="inlineStr">
        <is>
          <t>新雇人数</t>
        </is>
      </c>
      <c r="BT25" s="196" t="inlineStr">
        <is>
          <t>辞退人数</t>
        </is>
      </c>
      <c r="BU25" s="196" t="inlineStr">
        <is>
          <t>买机器</t>
        </is>
      </c>
      <c r="BV25" s="196" t="inlineStr">
        <is>
          <t>原材料(K)</t>
        </is>
      </c>
      <c r="BW25" s="202" t="n"/>
      <c r="BX25" s="215" t="n"/>
      <c r="CA25" s="213" t="n"/>
      <c r="CB25" s="396" t="n"/>
      <c r="CC25" s="498" t="n"/>
      <c r="CD25" s="498" t="n"/>
      <c r="CE25" s="498" t="n"/>
      <c r="CF25" s="498" t="n"/>
      <c r="CG25" s="498" t="n"/>
      <c r="CH25" s="498" t="n"/>
      <c r="CI25" s="498" t="n"/>
      <c r="CJ25" s="498" t="n"/>
      <c r="CK25" s="498" t="n"/>
      <c r="CL25" s="498" t="n"/>
      <c r="CM25" s="498" t="n"/>
      <c r="CN25" s="215" t="n"/>
      <c r="CO25" s="239" t="n"/>
      <c r="CR25" s="215" t="inlineStr">
        <is>
          <t>C产品</t>
        </is>
      </c>
      <c r="CS25" s="215">
        <f>比赛参数!$F$26</f>
        <v/>
      </c>
      <c r="CT25" s="215">
        <f>比赛参数!$F$26</f>
        <v/>
      </c>
      <c r="CU25" s="215">
        <f>比赛参数!$F$26</f>
        <v/>
      </c>
      <c r="CV25" s="215">
        <f>比赛参数!$F$26</f>
        <v/>
      </c>
      <c r="CY25" s="215" t="inlineStr">
        <is>
          <t>C产品</t>
        </is>
      </c>
      <c r="CZ25" s="215">
        <f>BS9-CZ19</f>
        <v/>
      </c>
      <c r="DA25" s="215">
        <f>BT9-DA19</f>
        <v/>
      </c>
      <c r="DB25" s="215">
        <f>BU9-DB19</f>
        <v/>
      </c>
      <c r="DC25" s="215">
        <f>BV9-DC19</f>
        <v/>
      </c>
      <c r="DF25" s="215" t="inlineStr">
        <is>
          <t>C产品</t>
        </is>
      </c>
      <c r="DG25" s="215">
        <f>BS9-DG19</f>
        <v/>
      </c>
      <c r="DH25" s="215">
        <f>BT9-DH19</f>
        <v/>
      </c>
      <c r="DI25" s="215">
        <f>BU9-DI19</f>
        <v/>
      </c>
      <c r="DJ25" s="215">
        <f>BV9-DJ19</f>
        <v/>
      </c>
      <c r="DM25" s="215">
        <f>DG25/CS25</f>
        <v/>
      </c>
      <c r="DN25" s="215">
        <f>DH25/CT25</f>
        <v/>
      </c>
      <c r="DO25" s="215">
        <f>DI25/CU25</f>
        <v/>
      </c>
      <c r="DP25" s="215">
        <f>DJ25/CV25</f>
        <v/>
      </c>
      <c r="DQ25" s="215">
        <f>SUMPRODUCT(DM25:DP25,BS16:BV16)/SUM(BS16:BV16)</f>
        <v/>
      </c>
      <c r="DT25" s="196" t="inlineStr">
        <is>
          <t>工厂库存</t>
        </is>
      </c>
      <c r="DU25" s="364" t="n"/>
      <c r="DV25" s="196" t="inlineStr">
        <is>
          <t>等级</t>
        </is>
      </c>
    </row>
    <row customHeight="1" ht="17.1" r="26" s="353">
      <c r="B26" s="441" t="n"/>
      <c r="C26" s="388" t="n">
        <v>1</v>
      </c>
      <c r="D26" s="388" t="n">
        <v>3</v>
      </c>
      <c r="E26" s="9" t="n"/>
      <c r="F26" s="9" t="n"/>
      <c r="G26" s="9" t="n"/>
      <c r="H26" s="19" t="n"/>
      <c r="I26" s="9" t="n"/>
      <c r="J26" s="9" t="n"/>
      <c r="K26" s="9" t="n"/>
      <c r="L26" s="10" t="n"/>
      <c r="M26" s="39">
        <f>AF66-AF106</f>
        <v/>
      </c>
      <c r="N26" s="35" t="n"/>
      <c r="O26" s="35" t="n"/>
      <c r="P26" s="35" t="n"/>
      <c r="Q26" s="45" t="n"/>
      <c r="W26" s="11" t="inlineStr">
        <is>
          <t>公司</t>
        </is>
      </c>
      <c r="X26" s="11" t="inlineStr">
        <is>
          <t>销售机器</t>
        </is>
      </c>
      <c r="Y26" s="11" t="inlineStr">
        <is>
          <t>利润</t>
        </is>
      </c>
      <c r="Z26" s="92" t="inlineStr">
        <is>
          <t>机时利润率</t>
        </is>
      </c>
      <c r="AA26" s="21" t="inlineStr">
        <is>
          <t>A</t>
        </is>
      </c>
      <c r="AB26" s="22" t="inlineStr">
        <is>
          <t>B</t>
        </is>
      </c>
      <c r="AC26" s="22" t="inlineStr">
        <is>
          <t>C</t>
        </is>
      </c>
      <c r="AD26" s="61" t="inlineStr">
        <is>
          <t>D</t>
        </is>
      </c>
      <c r="AE26" s="21" t="inlineStr">
        <is>
          <t>B</t>
        </is>
      </c>
      <c r="AF26" s="22" t="inlineStr">
        <is>
          <t>C</t>
        </is>
      </c>
      <c r="AG26" s="61" t="inlineStr">
        <is>
          <t>D</t>
        </is>
      </c>
      <c r="AI26" s="294">
        <f>第十四期!BV57-第十四期!BV76</f>
        <v/>
      </c>
      <c r="AJ26" s="294">
        <f>第十四期!K9</f>
        <v/>
      </c>
      <c r="AK26" s="155" t="n"/>
      <c r="AL26" s="509">
        <f>比赛参数!D27/比赛参数!D26</f>
        <v/>
      </c>
      <c r="AM26" s="510">
        <f>比赛参数!D28+比赛参数!D27*比赛参数!D65+比赛参数!D26*比赛参数!D30*比赛参数!F30/520</f>
        <v/>
      </c>
      <c r="AN26" s="510">
        <f>第十四期!DB50</f>
        <v/>
      </c>
      <c r="AQ26" s="507" t="n"/>
      <c r="AR26" s="11" t="n">
        <v>18</v>
      </c>
      <c r="AS26" s="294">
        <f>SUM(AB148:AE148)*比赛参数!$D$26+SUM(AL148:AO148)*比赛参数!$E$26+SUM(AB171:AE171)*比赛参数!$F$26+SUM(AL171:AO171)*比赛参数!$G$26</f>
        <v/>
      </c>
      <c r="AT26" s="469">
        <f>AS26/1300</f>
        <v/>
      </c>
      <c r="AU26" s="178">
        <f>F112</f>
        <v/>
      </c>
      <c r="AV26" s="470">
        <f>AU26/AS26</f>
        <v/>
      </c>
      <c r="AW26" s="175">
        <f>E112</f>
        <v/>
      </c>
      <c r="AX26" s="192">
        <f>AU26/AW26</f>
        <v/>
      </c>
      <c r="AY26" s="294">
        <f>X148*AB148+Y148*AC148+Z148*AD148+AA148*AE148+AH148*AL148+AI148*AM148+AJ148*AN148+AK148*AO148+X171*AB171+Y171*AC171+Z171*AD171+AA171*AE171+AH171*AL171+AI171*AM171+AJ171*AN171+AK171*AO171</f>
        <v/>
      </c>
      <c r="AZ26" s="338">
        <f>D112</f>
        <v/>
      </c>
      <c r="BA26" s="294">
        <f>AZ26-AY26</f>
        <v/>
      </c>
      <c r="BB26" s="294">
        <f>IF(BA26&lt;比赛参数!$K$34,0,IF(BA26&lt;比赛参数!$K$35,BA26/(1-比赛参数!$E$36),IF(BA26&lt;比赛参数!$K$36,BA26/(1-比赛参数!$E$34))))</f>
        <v/>
      </c>
      <c r="BC26" s="294">
        <f>AU26-BA26</f>
        <v/>
      </c>
      <c r="BD26" s="101" t="n"/>
      <c r="BE26" s="294">
        <f>BC26-BD26</f>
        <v/>
      </c>
      <c r="BF26" s="470">
        <f>BE26/AS26</f>
        <v/>
      </c>
      <c r="BQ26" s="507" t="n"/>
      <c r="BS26" s="218">
        <f>第十四期!Y18</f>
        <v/>
      </c>
      <c r="BT26" s="218">
        <f>第十四期!AA18</f>
        <v/>
      </c>
      <c r="BU26" s="218">
        <f>第十四期!AF18</f>
        <v/>
      </c>
      <c r="BV26" s="511">
        <f>第十四期!AC18</f>
        <v/>
      </c>
      <c r="BW26" s="202" t="n"/>
      <c r="BX26" s="215" t="n"/>
      <c r="CA26" s="213" t="n"/>
      <c r="CB26" s="214" t="inlineStr">
        <is>
          <t>单位运输成本</t>
        </is>
      </c>
      <c r="CC26" s="494" t="inlineStr">
        <is>
          <t>A产品</t>
        </is>
      </c>
      <c r="CD26" s="494" t="inlineStr">
        <is>
          <t>B产品</t>
        </is>
      </c>
      <c r="CE26" s="494" t="inlineStr">
        <is>
          <t>C产品</t>
        </is>
      </c>
      <c r="CF26" s="494" t="inlineStr">
        <is>
          <t>D产品</t>
        </is>
      </c>
      <c r="CG26" s="498" t="n"/>
      <c r="CH26" s="498" t="n"/>
      <c r="CI26" s="512" t="inlineStr">
        <is>
          <t>单位销售成本</t>
        </is>
      </c>
      <c r="CJ26" s="494" t="inlineStr">
        <is>
          <t>A产品</t>
        </is>
      </c>
      <c r="CK26" s="494" t="inlineStr">
        <is>
          <t>B产品</t>
        </is>
      </c>
      <c r="CL26" s="494" t="inlineStr">
        <is>
          <t>C产品</t>
        </is>
      </c>
      <c r="CM26" s="494" t="inlineStr">
        <is>
          <t>D产品</t>
        </is>
      </c>
      <c r="CN26" s="215" t="n"/>
      <c r="CO26" s="239" t="n"/>
      <c r="CR26" s="215" t="inlineStr">
        <is>
          <t>D产品</t>
        </is>
      </c>
      <c r="CS26" s="215">
        <f>比赛参数!$G$26</f>
        <v/>
      </c>
      <c r="CT26" s="215">
        <f>比赛参数!$G$26</f>
        <v/>
      </c>
      <c r="CU26" s="215">
        <f>比赛参数!$G$26</f>
        <v/>
      </c>
      <c r="CV26" s="215">
        <f>比赛参数!$G$26</f>
        <v/>
      </c>
      <c r="CY26" s="215" t="inlineStr">
        <is>
          <t>D产品</t>
        </is>
      </c>
      <c r="CZ26" s="215">
        <f>BS10-CZ20</f>
        <v/>
      </c>
      <c r="DA26" s="215">
        <f>BT10-DA20</f>
        <v/>
      </c>
      <c r="DB26" s="215">
        <f>BU10-DB20</f>
        <v/>
      </c>
      <c r="DC26" s="215">
        <f>BV10-DC20</f>
        <v/>
      </c>
      <c r="DF26" s="215" t="inlineStr">
        <is>
          <t>D产品</t>
        </is>
      </c>
      <c r="DG26" s="215">
        <f>BS10-DG20</f>
        <v/>
      </c>
      <c r="DH26" s="215">
        <f>BT10-DH20</f>
        <v/>
      </c>
      <c r="DI26" s="215">
        <f>BU10-DI20</f>
        <v/>
      </c>
      <c r="DJ26" s="215">
        <f>BV10-DJ20</f>
        <v/>
      </c>
      <c r="DM26" s="215">
        <f>DG26/CS26</f>
        <v/>
      </c>
      <c r="DN26" s="215">
        <f>DH26/CT26</f>
        <v/>
      </c>
      <c r="DO26" s="215">
        <f>DI26/CU26</f>
        <v/>
      </c>
      <c r="DP26" s="215">
        <f>DJ26/CV26</f>
        <v/>
      </c>
      <c r="DQ26" s="215">
        <f>SUMPRODUCT(DM26:DP26,BS17:BV17)/SUM(BS17:BV17)</f>
        <v/>
      </c>
      <c r="DT26" s="272" t="inlineStr">
        <is>
          <t>产品A</t>
        </is>
      </c>
      <c r="DU26" s="270">
        <f>D42</f>
        <v/>
      </c>
      <c r="DV26" s="270">
        <f>G42</f>
        <v/>
      </c>
    </row>
    <row customHeight="1" ht="17.1" r="27" s="353">
      <c r="B27" s="441" t="n"/>
      <c r="C27" s="388" t="n">
        <v>1</v>
      </c>
      <c r="D27" s="388" t="n">
        <v>4</v>
      </c>
      <c r="E27" s="9" t="n"/>
      <c r="F27" s="9" t="n"/>
      <c r="G27" s="9" t="n"/>
      <c r="H27" s="19" t="n"/>
      <c r="I27" s="9" t="n"/>
      <c r="J27" s="9" t="n"/>
      <c r="K27" s="9" t="n"/>
      <c r="L27" s="10" t="n"/>
      <c r="M27" s="39">
        <f>AF67-AF107</f>
        <v/>
      </c>
      <c r="N27" s="35" t="n"/>
      <c r="O27" s="35" t="n"/>
      <c r="P27" s="35" t="n"/>
      <c r="Q27" s="45" t="n"/>
      <c r="U27" s="53" t="n"/>
      <c r="V27" s="396" t="n"/>
      <c r="W27" s="11" t="n">
        <v>1</v>
      </c>
      <c r="X27" s="469">
        <f>AT9</f>
        <v/>
      </c>
      <c r="Y27" s="513">
        <f>AU9</f>
        <v/>
      </c>
      <c r="Z27" s="514">
        <f>AV9</f>
        <v/>
      </c>
      <c r="AA27" s="120">
        <f>SUM(AB131:AE131)</f>
        <v/>
      </c>
      <c r="AB27" s="121">
        <f>SUM(AL131:AO131)</f>
        <v/>
      </c>
      <c r="AC27" s="121">
        <f>SUM(AB154:AE154)</f>
        <v/>
      </c>
      <c r="AD27" s="122">
        <f>SUM(AL154:AO154)</f>
        <v/>
      </c>
      <c r="AE27" s="123">
        <f>AB27/$AA27</f>
        <v/>
      </c>
      <c r="AF27" s="124">
        <f>AC27/$AA27</f>
        <v/>
      </c>
      <c r="AG27" s="158">
        <f>AD27/$AA27</f>
        <v/>
      </c>
      <c r="AI27" s="272" t="inlineStr">
        <is>
          <t>下期售前费用</t>
        </is>
      </c>
      <c r="AJ27" s="515">
        <f>AI26/AJ26*AK26</f>
        <v/>
      </c>
      <c r="AK27" s="516" t="n"/>
      <c r="AL27" s="509">
        <f>比赛参数!E27/比赛参数!E26</f>
        <v/>
      </c>
      <c r="AM27" s="510">
        <f>比赛参数!E28+比赛参数!E27*比赛参数!D65+比赛参数!E26*比赛参数!D30*比赛参数!F30/520</f>
        <v/>
      </c>
      <c r="AN27" s="510">
        <f>第十四期!DB51</f>
        <v/>
      </c>
      <c r="AO27" s="506" t="n"/>
      <c r="AQ27" s="507" t="n"/>
      <c r="AR27" s="11" t="n">
        <v>19</v>
      </c>
      <c r="AS27" s="294">
        <f>SUM(AB149:AE149)*比赛参数!$D$26+SUM(AL149:AO149)*比赛参数!$E$26+SUM(AB172:AE172)*比赛参数!$F$26+SUM(AL172:AO172)*比赛参数!$G$26</f>
        <v/>
      </c>
      <c r="AT27" s="469">
        <f>AS27/1300</f>
        <v/>
      </c>
      <c r="AU27" s="175">
        <f>F113</f>
        <v/>
      </c>
      <c r="AV27" s="470">
        <f>AU27/AS27</f>
        <v/>
      </c>
      <c r="AW27" s="175">
        <f>E113</f>
        <v/>
      </c>
      <c r="AX27" s="192">
        <f>AU27/AW27</f>
        <v/>
      </c>
      <c r="AY27" s="294">
        <f>X149*AB149+Y149*AC149+Z149*AD149+AA149*AE149+AH149*AL149+AI149*AM149+AJ149*AN149+AK149*AO149+X172*AB172+Y172*AC172+Z172*AD172+AA172*AE172+AH172*AL172+AI172*AM172+AJ172*AN172+AK172*AO172</f>
        <v/>
      </c>
      <c r="AZ27" s="338">
        <f>D113</f>
        <v/>
      </c>
      <c r="BA27" s="294">
        <f>AZ27-AY27</f>
        <v/>
      </c>
      <c r="BB27" s="294">
        <f>IF(BA27&lt;比赛参数!$K$34,0,IF(BA27&lt;比赛参数!$K$35,BA27/(1-比赛参数!$E$36),IF(BA27&lt;比赛参数!$K$36,BA27/(1-比赛参数!$E$34))))</f>
        <v/>
      </c>
      <c r="BC27" s="294">
        <f>AU27-BA27</f>
        <v/>
      </c>
      <c r="BD27" s="101" t="n"/>
      <c r="BE27" s="294">
        <f>BC27-BD27</f>
        <v/>
      </c>
      <c r="BF27" s="470">
        <f>BE27/AS27</f>
        <v/>
      </c>
      <c r="BQ27" s="507" t="n"/>
      <c r="BS27" s="202" t="n"/>
      <c r="BT27" s="202" t="n"/>
      <c r="BU27" s="202" t="n"/>
      <c r="BV27" s="202" t="n"/>
      <c r="BW27" s="202" t="n"/>
      <c r="BX27" s="215" t="n"/>
      <c r="CA27" s="213" t="n"/>
      <c r="CB27" s="197" t="inlineStr">
        <is>
          <t>市场1</t>
        </is>
      </c>
      <c r="CC27" s="497">
        <f>IF(Y88&gt;0,CC38/Y88,0)</f>
        <v/>
      </c>
      <c r="CD27" s="497">
        <f>IF(Z88&gt;0,CD38/Z88,0)</f>
        <v/>
      </c>
      <c r="CE27" s="497">
        <f>IF(AA88&gt;0,CE38/AA88,0)</f>
        <v/>
      </c>
      <c r="CF27" s="497">
        <f>IF(AB88&gt;0,CF38/AB88,0)</f>
        <v/>
      </c>
      <c r="CG27" s="498" t="n"/>
      <c r="CH27" s="498" t="n"/>
      <c r="CI27" s="499" t="inlineStr">
        <is>
          <t>市场1</t>
        </is>
      </c>
      <c r="CJ27" s="497">
        <f>IF(AF64&gt;0,CJ19+CC27,0)</f>
        <v/>
      </c>
      <c r="CK27" s="497">
        <f>IF(AG64&gt;0,CK19+CD27,0)</f>
        <v/>
      </c>
      <c r="CL27" s="497">
        <f>IF(AH64&gt;0,CL19+CE27,0)</f>
        <v/>
      </c>
      <c r="CM27" s="497">
        <f>IF(AI64&gt;0,CM19+CF27,0)</f>
        <v/>
      </c>
      <c r="CN27" s="215" t="n"/>
      <c r="CO27" s="239" t="n"/>
      <c r="DT27" s="274" t="inlineStr">
        <is>
          <t>产品B</t>
        </is>
      </c>
      <c r="DU27" s="270">
        <f>D43</f>
        <v/>
      </c>
      <c r="DV27" s="270">
        <f>G43</f>
        <v/>
      </c>
    </row>
    <row customHeight="1" ht="17.1" r="28" s="353">
      <c r="B28" s="441" t="n"/>
      <c r="C28" s="388" t="n">
        <v>2</v>
      </c>
      <c r="D28" s="388" t="n">
        <v>1</v>
      </c>
      <c r="E28" s="9" t="n"/>
      <c r="F28" s="9" t="n"/>
      <c r="G28" s="9" t="n"/>
      <c r="H28" s="19" t="n"/>
      <c r="I28" s="9" t="n"/>
      <c r="J28" s="9" t="n"/>
      <c r="K28" s="9" t="n"/>
      <c r="L28" s="10" t="n"/>
      <c r="M28" s="39">
        <f>AG64-AG104</f>
        <v/>
      </c>
      <c r="N28" s="35" t="n"/>
      <c r="O28" s="35" t="n"/>
      <c r="P28" s="35" t="n"/>
      <c r="Q28" s="45" t="n"/>
      <c r="U28" s="53" t="n"/>
      <c r="V28" s="396" t="n"/>
      <c r="W28" s="11" t="n">
        <v>2</v>
      </c>
      <c r="X28" s="469">
        <f>AT10</f>
        <v/>
      </c>
      <c r="Y28" s="513">
        <f>AU10</f>
        <v/>
      </c>
      <c r="Z28" s="514">
        <f>AV10</f>
        <v/>
      </c>
      <c r="AA28" s="120">
        <f>SUM(AB132:AE132)</f>
        <v/>
      </c>
      <c r="AB28" s="121">
        <f>SUM(AL132:AO132)</f>
        <v/>
      </c>
      <c r="AC28" s="121">
        <f>SUM(AB155:AE155)</f>
        <v/>
      </c>
      <c r="AD28" s="122">
        <f>SUM(AL155:AO155)</f>
        <v/>
      </c>
      <c r="AE28" s="123">
        <f>AB28/$AA28</f>
        <v/>
      </c>
      <c r="AF28" s="124">
        <f>AC28/$AA28</f>
        <v/>
      </c>
      <c r="AG28" s="158">
        <f>AD28/$AA28</f>
        <v/>
      </c>
      <c r="AL28" s="509">
        <f>比赛参数!F27/比赛参数!F26</f>
        <v/>
      </c>
      <c r="AM28" s="510">
        <f>比赛参数!F28+比赛参数!F27*比赛参数!D65+比赛参数!F26*比赛参数!D30*比赛参数!F30/520</f>
        <v/>
      </c>
      <c r="AN28" s="510">
        <f>第十四期!DB52</f>
        <v/>
      </c>
      <c r="AQ28" s="507" t="n"/>
      <c r="AR28" s="11" t="n">
        <v>20</v>
      </c>
      <c r="AS28" s="294">
        <f>SUM(AB150:AE150)*比赛参数!$D$26+SUM(AL150:AO150)*比赛参数!$E$26+SUM(AB173:AE173)*比赛参数!$F$26+SUM(AL173:AO173)*比赛参数!$G$26</f>
        <v/>
      </c>
      <c r="AT28" s="469">
        <f>AS28/1300</f>
        <v/>
      </c>
      <c r="AU28" s="175">
        <f>F114</f>
        <v/>
      </c>
      <c r="AV28" s="470">
        <f>AU28/AS28</f>
        <v/>
      </c>
      <c r="AW28" s="175">
        <f>E114</f>
        <v/>
      </c>
      <c r="AX28" s="192">
        <f>AU28/AW28</f>
        <v/>
      </c>
      <c r="AY28" s="294">
        <f>X150*AB150+Y150*AC150+Z150*AD150+AA150*AE150+AH150*AL150+AI150*AM150+AJ150*AN150+AK150*AO150+X173*AB173+Y173*AC173+Z173*AD173+AA173*AE173+AH173*AL173+AI173*AM173+AJ173*AN173+AK173*AO173</f>
        <v/>
      </c>
      <c r="AZ28" s="338">
        <f>D114</f>
        <v/>
      </c>
      <c r="BA28" s="294">
        <f>AZ28-AY28</f>
        <v/>
      </c>
      <c r="BB28" s="294">
        <f>IF(BA28&lt;比赛参数!$K$34,0,IF(BA28&lt;比赛参数!$K$35,BA28/(1-比赛参数!$E$36),IF(BA28&lt;比赛参数!$K$36,BA28/(1-比赛参数!$E$34))))</f>
        <v/>
      </c>
      <c r="BC28" s="294">
        <f>AU28-BA28</f>
        <v/>
      </c>
      <c r="BD28" s="101" t="n"/>
      <c r="BE28" s="294">
        <f>BC28-BD28</f>
        <v/>
      </c>
      <c r="BF28" s="470">
        <f>BE28/AS28</f>
        <v/>
      </c>
      <c r="BQ28" s="507" t="n"/>
      <c r="BR28" s="203" t="inlineStr">
        <is>
          <t>财务(K)</t>
        </is>
      </c>
      <c r="BS28" s="196" t="inlineStr">
        <is>
          <t>银行贷款</t>
        </is>
      </c>
      <c r="BT28" s="196" t="inlineStr">
        <is>
          <t>发债券</t>
        </is>
      </c>
      <c r="BU28" s="196" t="inlineStr">
        <is>
          <t>买国债</t>
        </is>
      </c>
      <c r="BV28" s="196" t="inlineStr">
        <is>
          <t>分红</t>
        </is>
      </c>
      <c r="BW28" s="196" t="inlineStr">
        <is>
          <t>工资系数</t>
        </is>
      </c>
      <c r="BX28" s="215" t="n"/>
      <c r="CA28" s="213" t="n"/>
      <c r="CB28" s="196" t="inlineStr">
        <is>
          <t>市场2</t>
        </is>
      </c>
      <c r="CC28" s="497">
        <f>IF(Y89&gt;0,CC39/Y89,0)</f>
        <v/>
      </c>
      <c r="CD28" s="497">
        <f>IF(Z89&gt;0,CD39/Z89,0)</f>
        <v/>
      </c>
      <c r="CE28" s="497">
        <f>IF(AA89&gt;0,CE39/AA89,0)</f>
        <v/>
      </c>
      <c r="CF28" s="497">
        <f>IF(AB89&gt;0,CF39/AB89,0)</f>
        <v/>
      </c>
      <c r="CG28" s="498" t="n"/>
      <c r="CH28" s="498" t="n"/>
      <c r="CI28" s="502" t="inlineStr">
        <is>
          <t>市场2</t>
        </is>
      </c>
      <c r="CJ28" s="497">
        <f>IF(AF65&gt;0,CJ20+CC28,0)</f>
        <v/>
      </c>
      <c r="CK28" s="497">
        <f>IF(AG65&gt;0,CK20+CD28,0)</f>
        <v/>
      </c>
      <c r="CL28" s="497">
        <f>IF(AH65&gt;0,CL20+CE28,0)</f>
        <v/>
      </c>
      <c r="CM28" s="497">
        <f>IF(AI65&gt;0,CM20+CF28,0)</f>
        <v/>
      </c>
      <c r="CN28" s="215" t="n"/>
      <c r="CO28" s="239" t="n"/>
      <c r="CR28" s="215" t="inlineStr">
        <is>
          <t>人时</t>
        </is>
      </c>
      <c r="CS28" s="215" t="inlineStr">
        <is>
          <t>第一班正班</t>
        </is>
      </c>
      <c r="CT28" s="215" t="inlineStr">
        <is>
          <t>第一班加班</t>
        </is>
      </c>
      <c r="CU28" s="215" t="inlineStr">
        <is>
          <t>第二班正班</t>
        </is>
      </c>
      <c r="CV28" s="215" t="inlineStr">
        <is>
          <t>第二班加班</t>
        </is>
      </c>
      <c r="CY28" s="215" t="inlineStr">
        <is>
          <t>单位机时贡献</t>
        </is>
      </c>
      <c r="CZ28" s="215" t="inlineStr">
        <is>
          <t>市场1</t>
        </is>
      </c>
      <c r="DA28" s="215" t="inlineStr">
        <is>
          <t>市场2</t>
        </is>
      </c>
      <c r="DB28" s="215" t="inlineStr">
        <is>
          <t>市场3</t>
        </is>
      </c>
      <c r="DC28" s="215" t="inlineStr">
        <is>
          <t>市场4</t>
        </is>
      </c>
      <c r="DF28" s="215" t="inlineStr">
        <is>
          <t>单位机时贡献</t>
        </is>
      </c>
      <c r="DG28" s="215" t="inlineStr">
        <is>
          <t>市场1</t>
        </is>
      </c>
      <c r="DH28" s="215" t="inlineStr">
        <is>
          <t>市场2</t>
        </is>
      </c>
      <c r="DI28" s="215" t="inlineStr">
        <is>
          <t>市场3</t>
        </is>
      </c>
      <c r="DJ28" s="215" t="inlineStr">
        <is>
          <t>市场4</t>
        </is>
      </c>
      <c r="DL28" s="215" t="inlineStr">
        <is>
          <t>人时贡献</t>
        </is>
      </c>
      <c r="DT28" s="274" t="inlineStr">
        <is>
          <t>产品C</t>
        </is>
      </c>
      <c r="DU28" s="270">
        <f>D44</f>
        <v/>
      </c>
      <c r="DV28" s="270">
        <f>G44</f>
        <v/>
      </c>
    </row>
    <row customHeight="1" ht="16.35" r="29" s="353">
      <c r="B29" s="441" t="n"/>
      <c r="C29" s="388" t="n">
        <v>2</v>
      </c>
      <c r="D29" s="388" t="n">
        <v>2</v>
      </c>
      <c r="E29" s="9" t="n"/>
      <c r="F29" s="9" t="n"/>
      <c r="G29" s="9" t="n"/>
      <c r="H29" s="19" t="n"/>
      <c r="I29" s="9" t="n"/>
      <c r="J29" s="9" t="n"/>
      <c r="K29" s="9" t="n"/>
      <c r="L29" s="10" t="n"/>
      <c r="M29" s="39">
        <f>AG65-AG105</f>
        <v/>
      </c>
      <c r="N29" s="35" t="n"/>
      <c r="O29" s="35" t="n"/>
      <c r="P29" s="35" t="n"/>
      <c r="Q29" s="45" t="n"/>
      <c r="U29" s="53" t="n"/>
      <c r="V29" s="56" t="n"/>
      <c r="W29" s="11" t="n">
        <v>3</v>
      </c>
      <c r="X29" s="469">
        <f>AT11</f>
        <v/>
      </c>
      <c r="Y29" s="513">
        <f>AU11</f>
        <v/>
      </c>
      <c r="Z29" s="514">
        <f>AV11</f>
        <v/>
      </c>
      <c r="AA29" s="120">
        <f>SUM(AB133:AE133)</f>
        <v/>
      </c>
      <c r="AB29" s="121">
        <f>SUM(AL133:AO133)</f>
        <v/>
      </c>
      <c r="AC29" s="121">
        <f>SUM(AB156:AE156)</f>
        <v/>
      </c>
      <c r="AD29" s="122">
        <f>SUM(AL156:AO156)</f>
        <v/>
      </c>
      <c r="AE29" s="123">
        <f>AB29/$AA29</f>
        <v/>
      </c>
      <c r="AF29" s="124">
        <f>AC29/$AA29</f>
        <v/>
      </c>
      <c r="AG29" s="158">
        <f>AD29/$AA29</f>
        <v/>
      </c>
      <c r="AL29" s="509">
        <f>比赛参数!G27/比赛参数!G26</f>
        <v/>
      </c>
      <c r="AM29" s="510">
        <f>比赛参数!G28+比赛参数!G27*比赛参数!D65+比赛参数!G26*比赛参数!D30*比赛参数!F30/520</f>
        <v/>
      </c>
      <c r="AN29" s="510">
        <f>第十四期!DB53</f>
        <v/>
      </c>
      <c r="BQ29" s="507" t="n"/>
      <c r="BS29" s="511">
        <f>第十四期!AH14</f>
        <v/>
      </c>
      <c r="BT29" s="511">
        <f>第十四期!AH15</f>
        <v/>
      </c>
      <c r="BU29" s="218">
        <f>第十四期!AF20</f>
        <v/>
      </c>
      <c r="BV29" s="511">
        <f>第十四期!AJ18</f>
        <v/>
      </c>
      <c r="BW29" s="218">
        <f>第十四期!AH18</f>
        <v/>
      </c>
      <c r="BX29" s="215" t="n"/>
      <c r="CA29" s="213" t="n"/>
      <c r="CB29" s="196" t="inlineStr">
        <is>
          <t>市场3</t>
        </is>
      </c>
      <c r="CC29" s="497">
        <f>IF(Y90&gt;0,CC40/Y90,0)</f>
        <v/>
      </c>
      <c r="CD29" s="497">
        <f>IF(Z90&gt;0,CD40/Z90,0)</f>
        <v/>
      </c>
      <c r="CE29" s="497">
        <f>IF(AA90&gt;0,CE40/AA90,0)</f>
        <v/>
      </c>
      <c r="CF29" s="497">
        <f>IF(AB90&gt;0,CF40/AB90,0)</f>
        <v/>
      </c>
      <c r="CG29" s="498" t="n"/>
      <c r="CH29" s="498" t="n"/>
      <c r="CI29" s="502" t="inlineStr">
        <is>
          <t>市场3</t>
        </is>
      </c>
      <c r="CJ29" s="497">
        <f>IF(AF66&gt;0,CJ21+CC29,0)</f>
        <v/>
      </c>
      <c r="CK29" s="497">
        <f>IF(AG66&gt;0,CK21+CD29,0)</f>
        <v/>
      </c>
      <c r="CL29" s="497">
        <f>IF(AH66&gt;0,CL21+CE29,0)</f>
        <v/>
      </c>
      <c r="CM29" s="497">
        <f>IF(AI66&gt;0,CM21+CF29,0)</f>
        <v/>
      </c>
      <c r="CN29" s="215" t="n"/>
      <c r="CO29" s="239" t="n"/>
      <c r="CR29" s="215" t="inlineStr">
        <is>
          <t>A产品</t>
        </is>
      </c>
      <c r="CS29" s="215">
        <f>比赛参数!$D$27</f>
        <v/>
      </c>
      <c r="CT29" s="215">
        <f>比赛参数!$D$27</f>
        <v/>
      </c>
      <c r="CU29" s="215">
        <f>比赛参数!$D$27</f>
        <v/>
      </c>
      <c r="CV29" s="215">
        <f>比赛参数!$D$27</f>
        <v/>
      </c>
      <c r="CY29" s="215" t="inlineStr">
        <is>
          <t>A产品</t>
        </is>
      </c>
      <c r="CZ29" s="215">
        <f>CZ23/CS23</f>
        <v/>
      </c>
      <c r="DA29" s="215">
        <f>DA23/CT23</f>
        <v/>
      </c>
      <c r="DB29" s="215">
        <f>DB23/CU23</f>
        <v/>
      </c>
      <c r="DC29" s="215">
        <f>DC23/CV23</f>
        <v/>
      </c>
      <c r="DD29" s="215">
        <f>SUMPRODUCT(CZ29:DC29,BS14:BV14)/SUM(BS14:BV14)</f>
        <v/>
      </c>
      <c r="DF29" s="215" t="inlineStr">
        <is>
          <t>A产品</t>
        </is>
      </c>
      <c r="DG29" s="215">
        <f>DG23/CS23</f>
        <v/>
      </c>
      <c r="DH29" s="215">
        <f>DH23/CT23</f>
        <v/>
      </c>
      <c r="DI29" s="215">
        <f>DI23/CU23</f>
        <v/>
      </c>
      <c r="DJ29" s="215">
        <f>DJ23/CV23</f>
        <v/>
      </c>
      <c r="DK29" s="215">
        <f>SUMPRODUCT(DG29:DJ29,BS14:BV14)/SUM(BS14:BV14)</f>
        <v/>
      </c>
      <c r="DM29" s="215">
        <f>DG23/CS29</f>
        <v/>
      </c>
      <c r="DN29" s="215">
        <f>DH23/CT29</f>
        <v/>
      </c>
      <c r="DO29" s="215">
        <f>DI23/CU29</f>
        <v/>
      </c>
      <c r="DP29" s="215">
        <f>DJ23/CV29</f>
        <v/>
      </c>
      <c r="DQ29" s="215">
        <f>SUMPRODUCT(DM29:DP29,BS14:BV14)/SUM(BS14:BV14)</f>
        <v/>
      </c>
      <c r="DT29" s="272" t="inlineStr">
        <is>
          <t>产品D</t>
        </is>
      </c>
      <c r="DU29" s="270">
        <f>D45</f>
        <v/>
      </c>
      <c r="DV29" s="270">
        <f>G45</f>
        <v/>
      </c>
    </row>
    <row customHeight="1" ht="16.35" r="30" s="353">
      <c r="B30" s="441" t="n"/>
      <c r="C30" s="388" t="n">
        <v>2</v>
      </c>
      <c r="D30" s="388" t="n">
        <v>3</v>
      </c>
      <c r="E30" s="9" t="n"/>
      <c r="F30" s="9" t="n"/>
      <c r="G30" s="9" t="n"/>
      <c r="H30" s="19" t="n"/>
      <c r="I30" s="9" t="n"/>
      <c r="J30" s="9" t="n"/>
      <c r="K30" s="9" t="n"/>
      <c r="L30" s="10" t="n"/>
      <c r="M30" s="39">
        <f>AG66-AG106</f>
        <v/>
      </c>
      <c r="N30" s="35" t="n"/>
      <c r="O30" s="35" t="n"/>
      <c r="P30" s="35" t="n"/>
      <c r="Q30" s="45" t="n"/>
      <c r="U30" s="53" t="n"/>
      <c r="V30" s="396" t="n"/>
      <c r="W30" s="11" t="n">
        <v>4</v>
      </c>
      <c r="X30" s="469">
        <f>AT12</f>
        <v/>
      </c>
      <c r="Y30" s="513">
        <f>AU12</f>
        <v/>
      </c>
      <c r="Z30" s="514">
        <f>AV12</f>
        <v/>
      </c>
      <c r="AA30" s="120">
        <f>SUM(AB134:AE134)</f>
        <v/>
      </c>
      <c r="AB30" s="121">
        <f>SUM(AL134:AO134)</f>
        <v/>
      </c>
      <c r="AC30" s="121">
        <f>SUM(AB157:AE157)</f>
        <v/>
      </c>
      <c r="AD30" s="122">
        <f>SUM(AL157:AO157)</f>
        <v/>
      </c>
      <c r="AE30" s="123">
        <f>AB30/$AA30</f>
        <v/>
      </c>
      <c r="AF30" s="124">
        <f>AC30/$AA30</f>
        <v/>
      </c>
      <c r="AG30" s="158">
        <f>AD30/$AA30</f>
        <v/>
      </c>
      <c r="AL30" s="148" t="inlineStr">
        <is>
          <t>现有人机比</t>
        </is>
      </c>
      <c r="BQ30" s="507" t="n"/>
      <c r="BR30" s="507" t="n"/>
      <c r="BS30" s="507" t="n"/>
      <c r="BT30" s="507" t="n"/>
      <c r="BU30" s="507" t="n"/>
      <c r="BV30" s="507" t="n"/>
      <c r="BW30" s="507" t="n"/>
      <c r="BX30" s="215" t="n"/>
      <c r="CA30" s="213" t="n"/>
      <c r="CB30" s="196" t="inlineStr">
        <is>
          <t>市场4</t>
        </is>
      </c>
      <c r="CC30" s="497">
        <f>IF(Y91&gt;0,CC41/Y91,0)</f>
        <v/>
      </c>
      <c r="CD30" s="497">
        <f>IF(Z91&gt;0,CD41/Z91,0)</f>
        <v/>
      </c>
      <c r="CE30" s="497">
        <f>IF(AA91&gt;0,CE41/AA91,0)</f>
        <v/>
      </c>
      <c r="CF30" s="497">
        <f>IF(AB91&gt;0,CF41/AB91,0)</f>
        <v/>
      </c>
      <c r="CG30" s="498" t="n"/>
      <c r="CH30" s="498" t="n"/>
      <c r="CI30" s="502" t="inlineStr">
        <is>
          <t>市场4</t>
        </is>
      </c>
      <c r="CJ30" s="497">
        <f>IF(AF67&gt;0,CJ22+CC30,0)</f>
        <v/>
      </c>
      <c r="CK30" s="497">
        <f>IF(AG67&gt;0,CK22+CD30,0)</f>
        <v/>
      </c>
      <c r="CL30" s="497">
        <f>IF(AH67&gt;0,CL22+CE30,0)</f>
        <v/>
      </c>
      <c r="CM30" s="497">
        <f>IF(AI67&gt;0,CM22+CF30,0)</f>
        <v/>
      </c>
      <c r="CN30" s="215" t="n"/>
      <c r="CO30" s="239" t="n"/>
      <c r="CR30" s="215" t="inlineStr">
        <is>
          <t>B产品</t>
        </is>
      </c>
      <c r="CS30" s="215">
        <f>比赛参数!$E$27</f>
        <v/>
      </c>
      <c r="CT30" s="215">
        <f>比赛参数!$E$27</f>
        <v/>
      </c>
      <c r="CU30" s="215">
        <f>比赛参数!$E$27</f>
        <v/>
      </c>
      <c r="CV30" s="215">
        <f>比赛参数!$E$27</f>
        <v/>
      </c>
      <c r="CY30" s="215" t="inlineStr">
        <is>
          <t>B产品</t>
        </is>
      </c>
      <c r="CZ30" s="215">
        <f>CZ24/CS24</f>
        <v/>
      </c>
      <c r="DA30" s="215">
        <f>DA24/CT24</f>
        <v/>
      </c>
      <c r="DB30" s="215">
        <f>DB24/CU24</f>
        <v/>
      </c>
      <c r="DC30" s="215">
        <f>DC24/CV24</f>
        <v/>
      </c>
      <c r="DD30" s="215">
        <f>SUMPRODUCT(CZ30:DC30,BS15:BV15)/SUM(BS15:BV15)</f>
        <v/>
      </c>
      <c r="DF30" s="215" t="inlineStr">
        <is>
          <t>B产品</t>
        </is>
      </c>
      <c r="DG30" s="215">
        <f>DG24/CS24</f>
        <v/>
      </c>
      <c r="DH30" s="215">
        <f>DH24/CT24</f>
        <v/>
      </c>
      <c r="DI30" s="215">
        <f>DI24/CU24</f>
        <v/>
      </c>
      <c r="DJ30" s="215">
        <f>DJ24/CV24</f>
        <v/>
      </c>
      <c r="DK30" s="215">
        <f>SUMPRODUCT(DG30:DJ30,BS15:BV15)/SUM(BS15:BV15)</f>
        <v/>
      </c>
      <c r="DM30" s="215">
        <f>DG24/CS30</f>
        <v/>
      </c>
      <c r="DN30" s="215">
        <f>DH24/CT30</f>
        <v/>
      </c>
      <c r="DO30" s="215">
        <f>DI24/CU30</f>
        <v/>
      </c>
      <c r="DP30" s="215">
        <f>DJ24/CV30</f>
        <v/>
      </c>
      <c r="DQ30" s="215">
        <f>SUMPRODUCT(DM30:DP30,BS15:BV15)/SUM(BS15:BV15)</f>
        <v/>
      </c>
    </row>
    <row customHeight="1" ht="16.35" r="31" s="353">
      <c r="B31" s="441" t="n"/>
      <c r="C31" s="388" t="n">
        <v>2</v>
      </c>
      <c r="D31" s="388" t="n">
        <v>4</v>
      </c>
      <c r="E31" s="9" t="n"/>
      <c r="F31" s="9" t="n"/>
      <c r="G31" s="9" t="n"/>
      <c r="H31" s="19" t="n"/>
      <c r="I31" s="9" t="n"/>
      <c r="J31" s="9" t="n"/>
      <c r="K31" s="9" t="n"/>
      <c r="L31" s="10" t="n"/>
      <c r="M31" s="39">
        <f>AG67-AG107</f>
        <v/>
      </c>
      <c r="N31" s="35" t="n"/>
      <c r="O31" s="35" t="n"/>
      <c r="P31" s="35" t="n"/>
      <c r="Q31" s="45" t="n"/>
      <c r="U31" s="53" t="n"/>
      <c r="V31" s="396" t="n"/>
      <c r="W31" s="11" t="n">
        <v>5</v>
      </c>
      <c r="X31" s="469">
        <f>AT13</f>
        <v/>
      </c>
      <c r="Y31" s="513">
        <f>AU13</f>
        <v/>
      </c>
      <c r="Z31" s="514">
        <f>AV13</f>
        <v/>
      </c>
      <c r="AA31" s="120">
        <f>SUM(AB135:AE135)</f>
        <v/>
      </c>
      <c r="AB31" s="121">
        <f>SUM(AL135:AO135)</f>
        <v/>
      </c>
      <c r="AC31" s="121">
        <f>SUM(AB158:AE158)</f>
        <v/>
      </c>
      <c r="AD31" s="122">
        <f>SUM(AL158:AO158)</f>
        <v/>
      </c>
      <c r="AE31" s="123">
        <f>AB31/$AA31</f>
        <v/>
      </c>
      <c r="AF31" s="124">
        <f>AC31/$AA31</f>
        <v/>
      </c>
      <c r="AG31" s="158">
        <f>AD31/$AA31</f>
        <v/>
      </c>
      <c r="AL31" s="509">
        <f>Y20/AA20/2</f>
        <v/>
      </c>
      <c r="AR31" s="92" t="n"/>
      <c r="AS31" s="180" t="inlineStr">
        <is>
          <t>产品A</t>
        </is>
      </c>
      <c r="AT31" s="181" t="n"/>
      <c r="AU31" s="181" t="n"/>
      <c r="AV31" s="182" t="n"/>
      <c r="AW31" s="180" t="inlineStr">
        <is>
          <t>产品B</t>
        </is>
      </c>
      <c r="AX31" s="181" t="n"/>
      <c r="AY31" s="181" t="n"/>
      <c r="AZ31" s="182" t="n"/>
      <c r="BA31" s="180" t="inlineStr">
        <is>
          <t>产品C</t>
        </is>
      </c>
      <c r="BB31" s="181" t="n"/>
      <c r="BC31" s="181" t="n"/>
      <c r="BD31" s="182" t="n"/>
      <c r="BE31" s="180" t="inlineStr">
        <is>
          <t>产品D</t>
        </is>
      </c>
      <c r="BF31" s="181" t="n"/>
      <c r="BG31" s="181" t="n"/>
      <c r="BH31" s="182" t="n"/>
      <c r="BX31" s="215" t="n"/>
      <c r="CA31" s="213" t="n"/>
      <c r="CB31" s="396" t="n"/>
      <c r="CC31" s="396" t="n"/>
      <c r="CD31" s="396" t="n"/>
      <c r="CE31" s="396" t="n"/>
      <c r="CF31" s="396" t="n"/>
      <c r="CG31" s="498" t="n"/>
      <c r="CH31" s="498" t="n"/>
      <c r="CI31" s="498" t="n"/>
      <c r="CJ31" s="498" t="n"/>
      <c r="CK31" s="498" t="n"/>
      <c r="CL31" s="498" t="n"/>
      <c r="CM31" s="498" t="n"/>
      <c r="CN31" s="396" t="n"/>
      <c r="CO31" s="239" t="n"/>
      <c r="CR31" s="215" t="inlineStr">
        <is>
          <t>C产品</t>
        </is>
      </c>
      <c r="CS31" s="215">
        <f>比赛参数!$F$27</f>
        <v/>
      </c>
      <c r="CT31" s="215">
        <f>比赛参数!$F$27</f>
        <v/>
      </c>
      <c r="CU31" s="215">
        <f>比赛参数!$F$27</f>
        <v/>
      </c>
      <c r="CV31" s="215">
        <f>比赛参数!$F$27</f>
        <v/>
      </c>
      <c r="CY31" s="215" t="inlineStr">
        <is>
          <t>C产品</t>
        </is>
      </c>
      <c r="CZ31" s="215">
        <f>CZ25/CS25</f>
        <v/>
      </c>
      <c r="DA31" s="215">
        <f>DA25/CT25</f>
        <v/>
      </c>
      <c r="DB31" s="215">
        <f>DB25/CU25</f>
        <v/>
      </c>
      <c r="DC31" s="215">
        <f>DC25/CV25</f>
        <v/>
      </c>
      <c r="DD31" s="215">
        <f>SUMPRODUCT(CZ31:DC31,BS16:BV16)/SUM(BS16:BV16)</f>
        <v/>
      </c>
      <c r="DF31" s="215" t="inlineStr">
        <is>
          <t>C产品</t>
        </is>
      </c>
      <c r="DG31" s="215">
        <f>DG25/CS25</f>
        <v/>
      </c>
      <c r="DH31" s="215">
        <f>DH25/CT25</f>
        <v/>
      </c>
      <c r="DI31" s="215">
        <f>DI25/CU25</f>
        <v/>
      </c>
      <c r="DJ31" s="215">
        <f>DJ25/CV25</f>
        <v/>
      </c>
      <c r="DK31" s="215">
        <f>SUMPRODUCT(DG31:DJ31,BS16:BV16)/SUM(BS16:BV16)</f>
        <v/>
      </c>
      <c r="DM31" s="215">
        <f>DG25/CS31</f>
        <v/>
      </c>
      <c r="DN31" s="215">
        <f>DH25/CT31</f>
        <v/>
      </c>
      <c r="DO31" s="215">
        <f>DI25/CU31</f>
        <v/>
      </c>
      <c r="DP31" s="215">
        <f>DJ25/CV31</f>
        <v/>
      </c>
      <c r="DQ31" s="215">
        <f>SUMPRODUCT(DM31:DP31,BS16:BV16)/SUM(BS16:BV16)</f>
        <v/>
      </c>
      <c r="DS31" s="294" t="inlineStr">
        <is>
          <t>产品A</t>
        </is>
      </c>
      <c r="DT31" s="516" t="n"/>
      <c r="DU31" s="516" t="n"/>
      <c r="DV31" s="517" t="n"/>
      <c r="DW31" s="294" t="inlineStr">
        <is>
          <t>产品B</t>
        </is>
      </c>
      <c r="DX31" s="516" t="n"/>
      <c r="DY31" s="516" t="n"/>
      <c r="DZ31" s="517" t="n"/>
      <c r="EA31" s="294" t="inlineStr">
        <is>
          <t>产品C</t>
        </is>
      </c>
      <c r="EB31" s="516" t="n"/>
      <c r="EC31" s="516" t="n"/>
      <c r="ED31" s="517" t="n"/>
      <c r="EE31" s="294" t="inlineStr">
        <is>
          <t>产品D</t>
        </is>
      </c>
      <c r="EF31" s="516" t="n"/>
      <c r="EG31" s="516" t="n"/>
      <c r="EH31" s="517" t="n"/>
    </row>
    <row customHeight="1" ht="17.1" r="32" s="353">
      <c r="B32" s="441" t="n"/>
      <c r="C32" s="388" t="n">
        <v>3</v>
      </c>
      <c r="D32" s="388" t="n">
        <v>1</v>
      </c>
      <c r="E32" s="9" t="n"/>
      <c r="F32" s="9" t="n"/>
      <c r="G32" s="9" t="n"/>
      <c r="H32" s="19" t="n"/>
      <c r="I32" s="9" t="n"/>
      <c r="J32" s="9" t="n"/>
      <c r="K32" s="9" t="n"/>
      <c r="L32" s="10" t="n"/>
      <c r="M32" s="39">
        <f>AH64-AH104</f>
        <v/>
      </c>
      <c r="N32" s="35" t="n"/>
      <c r="O32" s="35" t="n"/>
      <c r="P32" s="35" t="n"/>
      <c r="Q32" s="45" t="n"/>
      <c r="U32" s="53" t="n"/>
      <c r="V32" s="396" t="n"/>
      <c r="W32" s="11" t="n">
        <v>6</v>
      </c>
      <c r="X32" s="469">
        <f>AT14</f>
        <v/>
      </c>
      <c r="Y32" s="513">
        <f>AU14</f>
        <v/>
      </c>
      <c r="Z32" s="514">
        <f>AV14</f>
        <v/>
      </c>
      <c r="AA32" s="120">
        <f>SUM(AB136:AE136)</f>
        <v/>
      </c>
      <c r="AB32" s="121">
        <f>SUM(AL136:AO136)</f>
        <v/>
      </c>
      <c r="AC32" s="121">
        <f>SUM(AB159:AE159)</f>
        <v/>
      </c>
      <c r="AD32" s="122">
        <f>SUM(AL159:AO159)</f>
        <v/>
      </c>
      <c r="AE32" s="123">
        <f>AB32/$AA32</f>
        <v/>
      </c>
      <c r="AF32" s="124">
        <f>AC32/$AA32</f>
        <v/>
      </c>
      <c r="AG32" s="158">
        <f>AD32/$AA32</f>
        <v/>
      </c>
      <c r="AR32" s="92" t="inlineStr">
        <is>
          <t>公司</t>
        </is>
      </c>
      <c r="AS32" s="183" t="inlineStr">
        <is>
          <t>市场1</t>
        </is>
      </c>
      <c r="AT32" s="11" t="inlineStr">
        <is>
          <t>市场2</t>
        </is>
      </c>
      <c r="AU32" s="11" t="inlineStr">
        <is>
          <t>市场3</t>
        </is>
      </c>
      <c r="AV32" s="184" t="inlineStr">
        <is>
          <t>市场4</t>
        </is>
      </c>
      <c r="AW32" s="183" t="inlineStr">
        <is>
          <t>市场1</t>
        </is>
      </c>
      <c r="AX32" s="11" t="inlineStr">
        <is>
          <t>市场2</t>
        </is>
      </c>
      <c r="AY32" s="11" t="inlineStr">
        <is>
          <t>市场3</t>
        </is>
      </c>
      <c r="AZ32" s="184" t="inlineStr">
        <is>
          <t>市场4</t>
        </is>
      </c>
      <c r="BA32" s="183" t="inlineStr">
        <is>
          <t>市场1</t>
        </is>
      </c>
      <c r="BB32" s="11" t="inlineStr">
        <is>
          <t>市场2</t>
        </is>
      </c>
      <c r="BC32" s="11" t="inlineStr">
        <is>
          <t>市场3</t>
        </is>
      </c>
      <c r="BD32" s="184" t="inlineStr">
        <is>
          <t>市场4</t>
        </is>
      </c>
      <c r="BE32" s="183" t="inlineStr">
        <is>
          <t>市场1</t>
        </is>
      </c>
      <c r="BF32" s="11" t="inlineStr">
        <is>
          <t>市场2</t>
        </is>
      </c>
      <c r="BG32" s="11" t="inlineStr">
        <is>
          <t>市场3</t>
        </is>
      </c>
      <c r="BH32" s="184" t="inlineStr">
        <is>
          <t>市场4</t>
        </is>
      </c>
      <c r="BX32" s="215" t="n"/>
      <c r="CA32" s="213" t="n"/>
      <c r="CB32" s="214" t="inlineStr">
        <is>
          <t>单位贡献</t>
        </is>
      </c>
      <c r="CC32" s="502" t="inlineStr">
        <is>
          <t>A产品</t>
        </is>
      </c>
      <c r="CD32" s="502" t="inlineStr">
        <is>
          <t>B产品</t>
        </is>
      </c>
      <c r="CE32" s="502" t="inlineStr">
        <is>
          <t>C产品</t>
        </is>
      </c>
      <c r="CF32" s="502" t="inlineStr">
        <is>
          <t>D产品</t>
        </is>
      </c>
      <c r="CG32" s="498" t="n"/>
      <c r="CH32" s="498" t="n"/>
      <c r="CI32" s="214" t="inlineStr">
        <is>
          <t>基础毛利率</t>
        </is>
      </c>
      <c r="CJ32" s="195" t="inlineStr">
        <is>
          <t>A产品</t>
        </is>
      </c>
      <c r="CK32" s="195" t="inlineStr">
        <is>
          <t>B产品</t>
        </is>
      </c>
      <c r="CL32" s="195" t="inlineStr">
        <is>
          <t>C产品</t>
        </is>
      </c>
      <c r="CM32" s="195" t="inlineStr">
        <is>
          <t>D产品</t>
        </is>
      </c>
      <c r="CN32" s="396" t="n"/>
      <c r="CO32" s="239" t="n"/>
      <c r="CR32" s="215" t="inlineStr">
        <is>
          <t>D产品</t>
        </is>
      </c>
      <c r="CS32" s="215">
        <f>比赛参数!$G$27</f>
        <v/>
      </c>
      <c r="CT32" s="215">
        <f>比赛参数!$G$27</f>
        <v/>
      </c>
      <c r="CU32" s="215">
        <f>比赛参数!$G$27</f>
        <v/>
      </c>
      <c r="CV32" s="215">
        <f>比赛参数!$G$27</f>
        <v/>
      </c>
      <c r="CY32" s="215" t="inlineStr">
        <is>
          <t>D产品</t>
        </is>
      </c>
      <c r="CZ32" s="215">
        <f>CZ26/CS26</f>
        <v/>
      </c>
      <c r="DA32" s="215">
        <f>DA26/CT26</f>
        <v/>
      </c>
      <c r="DB32" s="215">
        <f>DB26/CU26</f>
        <v/>
      </c>
      <c r="DC32" s="215">
        <f>DC26/CV26</f>
        <v/>
      </c>
      <c r="DD32" s="215">
        <f>SUMPRODUCT(CZ32:DC32,BS17:BV17)/SUM(BS17:BV17)</f>
        <v/>
      </c>
      <c r="DF32" s="215" t="inlineStr">
        <is>
          <t>D产品</t>
        </is>
      </c>
      <c r="DG32" s="215">
        <f>DG26/CS26</f>
        <v/>
      </c>
      <c r="DH32" s="215">
        <f>DH26/CT26</f>
        <v/>
      </c>
      <c r="DI32" s="215">
        <f>DI26/CU26</f>
        <v/>
      </c>
      <c r="DJ32" s="215">
        <f>DJ26/CV26</f>
        <v/>
      </c>
      <c r="DK32" s="215">
        <f>SUMPRODUCT(DG32:DJ32,BS17:BV17)/SUM(BS17:BV17)</f>
        <v/>
      </c>
      <c r="DM32" s="215">
        <f>DG26/CS32</f>
        <v/>
      </c>
      <c r="DN32" s="215">
        <f>DH26/CT32</f>
        <v/>
      </c>
      <c r="DO32" s="215">
        <f>DI26/CU32</f>
        <v/>
      </c>
      <c r="DP32" s="215">
        <f>DJ26/CV32</f>
        <v/>
      </c>
      <c r="DQ32" s="215">
        <f>SUMPRODUCT(DM32:DP32,BS17:BV17)/SUM(BS17:BV17)</f>
        <v/>
      </c>
      <c r="DS32" s="294" t="inlineStr">
        <is>
          <t>市场1</t>
        </is>
      </c>
      <c r="DT32" s="294" t="inlineStr">
        <is>
          <t>市场2</t>
        </is>
      </c>
      <c r="DU32" s="294" t="inlineStr">
        <is>
          <t>市场3</t>
        </is>
      </c>
      <c r="DV32" s="294" t="inlineStr">
        <is>
          <t>市场4</t>
        </is>
      </c>
      <c r="DW32" s="294" t="inlineStr">
        <is>
          <t>市场1</t>
        </is>
      </c>
      <c r="DX32" s="294" t="inlineStr">
        <is>
          <t>市场2</t>
        </is>
      </c>
      <c r="DY32" s="294" t="inlineStr">
        <is>
          <t>市场3</t>
        </is>
      </c>
      <c r="DZ32" s="294" t="inlineStr">
        <is>
          <t>市场4</t>
        </is>
      </c>
      <c r="EA32" s="294" t="inlineStr">
        <is>
          <t>市场1</t>
        </is>
      </c>
      <c r="EB32" s="294" t="inlineStr">
        <is>
          <t>市场2</t>
        </is>
      </c>
      <c r="EC32" s="294" t="inlineStr">
        <is>
          <t>市场3</t>
        </is>
      </c>
      <c r="ED32" s="294" t="inlineStr">
        <is>
          <t>市场4</t>
        </is>
      </c>
      <c r="EE32" s="294" t="inlineStr">
        <is>
          <t>市场1</t>
        </is>
      </c>
      <c r="EF32" s="294" t="inlineStr">
        <is>
          <t>市场2</t>
        </is>
      </c>
      <c r="EG32" s="294" t="inlineStr">
        <is>
          <t>市场3</t>
        </is>
      </c>
      <c r="EH32" s="294" t="inlineStr">
        <is>
          <t>市场4</t>
        </is>
      </c>
    </row>
    <row customHeight="1" ht="17.1" r="33" s="353">
      <c r="B33" s="441" t="n"/>
      <c r="C33" s="388" t="n">
        <v>3</v>
      </c>
      <c r="D33" s="388" t="n">
        <v>2</v>
      </c>
      <c r="E33" s="9" t="n"/>
      <c r="F33" s="9" t="n"/>
      <c r="G33" s="9" t="n"/>
      <c r="H33" s="19" t="n"/>
      <c r="I33" s="9" t="n"/>
      <c r="J33" s="9" t="n"/>
      <c r="K33" s="9" t="n"/>
      <c r="L33" s="10" t="n"/>
      <c r="M33" s="39">
        <f>AH65-AH105</f>
        <v/>
      </c>
      <c r="N33" s="35" t="n"/>
      <c r="O33" s="35" t="n"/>
      <c r="P33" s="35" t="n"/>
      <c r="Q33" s="45" t="n"/>
      <c r="U33" s="53" t="n"/>
      <c r="V33" s="396" t="n"/>
      <c r="W33" s="11" t="n">
        <v>7</v>
      </c>
      <c r="X33" s="469">
        <f>AT15</f>
        <v/>
      </c>
      <c r="Y33" s="513">
        <f>AU15</f>
        <v/>
      </c>
      <c r="Z33" s="514">
        <f>AV15</f>
        <v/>
      </c>
      <c r="AA33" s="120">
        <f>SUM(AB137:AE137)</f>
        <v/>
      </c>
      <c r="AB33" s="121">
        <f>SUM(AL137:AO137)</f>
        <v/>
      </c>
      <c r="AC33" s="121">
        <f>SUM(AB160:AE160)</f>
        <v/>
      </c>
      <c r="AD33" s="122">
        <f>SUM(AL160:AO160)</f>
        <v/>
      </c>
      <c r="AE33" s="123">
        <f>AB33/$AA33</f>
        <v/>
      </c>
      <c r="AF33" s="124">
        <f>AC33/$AA33</f>
        <v/>
      </c>
      <c r="AG33" s="158">
        <f>AD33/$AA33</f>
        <v/>
      </c>
      <c r="AI33" s="63" t="inlineStr">
        <is>
          <t>研发</t>
        </is>
      </c>
      <c r="AJ33" s="161" t="inlineStr">
        <is>
          <t>研发费</t>
        </is>
      </c>
      <c r="AK33" s="148" t="inlineStr">
        <is>
          <t>升级费用</t>
        </is>
      </c>
      <c r="AL33" s="162" t="n"/>
      <c r="AM33" s="11" t="inlineStr">
        <is>
          <t>产品等级</t>
        </is>
      </c>
      <c r="AN33" s="126" t="n"/>
      <c r="AR33" s="185" t="n">
        <v>1</v>
      </c>
      <c r="AS33" s="186">
        <f>IF(D73="","",D73)</f>
        <v/>
      </c>
      <c r="AT33" s="187">
        <f>IF(E73="","",E73)</f>
        <v/>
      </c>
      <c r="AU33" s="187">
        <f>IF(F73="","",F73)</f>
        <v/>
      </c>
      <c r="AV33" s="188">
        <f>IF(G73="","",G73)</f>
        <v/>
      </c>
      <c r="AW33" s="186">
        <f>IF(H73="","",H73)</f>
        <v/>
      </c>
      <c r="AX33" s="187">
        <f>IF(I73="","",I73)</f>
        <v/>
      </c>
      <c r="AY33" s="187">
        <f>IF(J73="","",J73)</f>
        <v/>
      </c>
      <c r="AZ33" s="188">
        <f>IF(K73="","",K73)</f>
        <v/>
      </c>
      <c r="BA33" s="186">
        <f>IF(L73="","",L73)</f>
        <v/>
      </c>
      <c r="BB33" s="187">
        <f>IF(M73="","",M73)</f>
        <v/>
      </c>
      <c r="BC33" s="187">
        <f>IF(N73="","",N73)</f>
        <v/>
      </c>
      <c r="BD33" s="188">
        <f>IF(O73="","",O73)</f>
        <v/>
      </c>
      <c r="BE33" s="186">
        <f>IF(P73="","",P73)</f>
        <v/>
      </c>
      <c r="BF33" s="187">
        <f>IF(Q73="","",Q73)</f>
        <v/>
      </c>
      <c r="BG33" s="187">
        <f>IF(R73="","",R73)</f>
        <v/>
      </c>
      <c r="BH33" s="188">
        <f>IF(S73="","",S73)</f>
        <v/>
      </c>
      <c r="BX33" s="215" t="n"/>
      <c r="CA33" s="213" t="n"/>
      <c r="CB33" s="196" t="inlineStr">
        <is>
          <t>单位产品边际贡献</t>
        </is>
      </c>
      <c r="CC33" s="518">
        <f>CC70</f>
        <v/>
      </c>
      <c r="CD33" s="518">
        <f>CD70</f>
        <v/>
      </c>
      <c r="CE33" s="518">
        <f>CE70</f>
        <v/>
      </c>
      <c r="CF33" s="518">
        <f>CF70</f>
        <v/>
      </c>
      <c r="CG33" s="498" t="n"/>
      <c r="CH33" s="498" t="n"/>
      <c r="CI33" s="197" t="inlineStr">
        <is>
          <t>市场1</t>
        </is>
      </c>
      <c r="CJ33" s="519">
        <f>IF(CJ27&gt;0,(AF76-CJ27)/CJ27,0)</f>
        <v/>
      </c>
      <c r="CK33" s="519">
        <f>IF(CK27&gt;0,(AG76-CK27)/CK27,0)</f>
        <v/>
      </c>
      <c r="CL33" s="519">
        <f>IF(CL27&gt;0,(AH76-CL27)/CL27,0)</f>
        <v/>
      </c>
      <c r="CM33" s="519">
        <f>IF(CM27&gt;0,(AI76-CM27)/CM27,0)</f>
        <v/>
      </c>
      <c r="CN33" s="215" t="n"/>
      <c r="CO33" s="239" t="n"/>
      <c r="DS33" s="37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/>
      </c>
      <c r="DT33" s="37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+IF($C$66=$S$47,E66,0)+IF($C$67=$S$47,E67,0)+IF($C$68=$S$47,E68,0)+IF($C$69=$S$47,E69,0)</f>
        <v/>
      </c>
      <c r="DU33" s="37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+IF($C$66=$S$47,F66,0)+IF($C$67=$S$47,F67,0)+IF($C$68=$S$47,F68,0)+IF($C$69=$S$47,F69,0)</f>
        <v/>
      </c>
      <c r="DV33" s="37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+IF($C$66=$S$47,G66,0)+IF($C$67=$S$47,G67,0)+IF($C$68=$S$47,G68,0)+IF($C$69=$S$47,G69,0)</f>
        <v/>
      </c>
      <c r="DW33" s="37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+IF($C$66=$S$47,H66,0)+IF($C$67=$S$47,H67,0)+IF($C$68=$S$47,H68,0)+IF($C$69=$S$47,H69,0)</f>
        <v/>
      </c>
      <c r="DX33" s="37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+IF($C$66=$S$47,I66,0)+IF($C$67=$S$47,I67,0)+IF($C$68=$S$47,I68,0)+IF($C$69=$S$47,I69,0)</f>
        <v/>
      </c>
      <c r="DY33" s="37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+IF($C$66=$S$47,J66,0)+IF($C$67=$S$47,J67,0)+IF($C$68=$S$47,J68,0)+IF($C$69=$S$47,J69,0)</f>
        <v/>
      </c>
      <c r="DZ33" s="37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+IF($C$66=$S$47,K66,0)+IF($C$67=$S$47,K67,0)+IF($C$68=$S$47,K68,0)+IF($C$69=$S$47,K69,0)</f>
        <v/>
      </c>
      <c r="EA33" s="37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+IF($C$66=$S$47,L66,0)+IF($C$67=$S$47,L67,0)+IF($C$68=$S$47,L68,0)+IF($C$69=$S$47,L69,0)</f>
        <v/>
      </c>
      <c r="EB33" s="37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+IF($C$66=$S$47,M66,0)+IF($C$67=$S$47,M67,0)+IF($C$68=$S$47,M68,0)+IF($C$69=$S$47,M69,0)</f>
        <v/>
      </c>
      <c r="EC33" s="37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+IF($C$66=$S$47,N66,0)+IF($C$67=$S$47,N67,0)+IF($C$68=$S$47,N68,0)+IF($C$69=$S$47,N69,0)</f>
        <v/>
      </c>
      <c r="ED33" s="37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+IF($C$66=$S$47,O66,0)+IF($C$67=$S$47,O67,0)+IF($C$68=$S$47,O68,0)+IF($C$69=$S$47,O69,0)</f>
        <v/>
      </c>
      <c r="EE33" s="37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+IF($C$66=$S$47,P66,0)+IF($C$67=$S$47,P67,0)+IF($C$68=$S$47,P68,0)+IF($C$69=$S$47,P69,0)</f>
        <v/>
      </c>
      <c r="EF33" s="37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+IF($C$66=$S$47,Q66,0)+IF($C$67=$S$47,Q67,0)+IF($C$68=$S$47,Q68,0)+IF($C$69=$S$47,Q69,0)</f>
        <v/>
      </c>
      <c r="EG33" s="37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+IF($C$66=$S$47,R66,0)+IF($C$67=$S$47,R67,0)+IF($C$68=$S$47,R68,0)+IF($C$69=$S$47,R69,0)</f>
        <v/>
      </c>
      <c r="EH33" s="37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+IF($C$66=$S$47,S66,0)+IF($C$67=$S$47,S67,0)+IF($C$68=$S$47,S68,0)+IF($C$69=$S$47,S69,0)</f>
        <v/>
      </c>
    </row>
    <row customHeight="1" ht="16.35" r="34" s="353">
      <c r="B34" s="441" t="n"/>
      <c r="C34" s="388" t="n">
        <v>3</v>
      </c>
      <c r="D34" s="388" t="n">
        <v>3</v>
      </c>
      <c r="E34" s="9" t="n"/>
      <c r="F34" s="9" t="n"/>
      <c r="G34" s="9" t="n"/>
      <c r="H34" s="19" t="n"/>
      <c r="I34" s="9" t="n"/>
      <c r="J34" s="9" t="n"/>
      <c r="K34" s="9" t="n"/>
      <c r="L34" s="10" t="n"/>
      <c r="M34" s="39">
        <f>AH66-AH106</f>
        <v/>
      </c>
      <c r="N34" s="35" t="n"/>
      <c r="O34" s="35" t="n"/>
      <c r="P34" s="35" t="n"/>
      <c r="Q34" s="45" t="n"/>
      <c r="U34" s="53" t="n"/>
      <c r="V34" s="396" t="n"/>
      <c r="W34" s="11" t="n">
        <v>8</v>
      </c>
      <c r="X34" s="469">
        <f>AT16</f>
        <v/>
      </c>
      <c r="Y34" s="513">
        <f>AU16</f>
        <v/>
      </c>
      <c r="Z34" s="514">
        <f>AV16</f>
        <v/>
      </c>
      <c r="AA34" s="120">
        <f>SUM(AB138:AE138)</f>
        <v/>
      </c>
      <c r="AB34" s="121">
        <f>SUM(AL138:AO138)</f>
        <v/>
      </c>
      <c r="AC34" s="121">
        <f>SUM(AB161:AE161)</f>
        <v/>
      </c>
      <c r="AD34" s="122">
        <f>SUM(AL161:AO161)</f>
        <v/>
      </c>
      <c r="AE34" s="123">
        <f>AB34/$AA34</f>
        <v/>
      </c>
      <c r="AF34" s="124">
        <f>AC34/$AA34</f>
        <v/>
      </c>
      <c r="AG34" s="158">
        <f>AD34/$AA34</f>
        <v/>
      </c>
      <c r="AI34" s="64" t="inlineStr">
        <is>
          <t>A产品</t>
        </is>
      </c>
      <c r="AJ34" s="520" t="n"/>
      <c r="AK34" s="521">
        <f>IF(AM34=1,CK70-CJ70,IF(AM34=2,CL70-CK70,IF(AM34=3,CM70-CL70,IF(AM34=4,CN70-CM70,0))))</f>
        <v/>
      </c>
      <c r="AL34" s="162" t="n"/>
      <c r="AM34" s="294">
        <f>INT(第十四期!DV26)</f>
        <v/>
      </c>
      <c r="AN34" s="126" t="n"/>
      <c r="AR34" s="185" t="n">
        <v>2</v>
      </c>
      <c r="AS34" s="186">
        <f>IF(D74="","",D74)</f>
        <v/>
      </c>
      <c r="AT34" s="187">
        <f>IF(E74="","",E74)</f>
        <v/>
      </c>
      <c r="AU34" s="187">
        <f>IF(F74="","",F74)</f>
        <v/>
      </c>
      <c r="AV34" s="188">
        <f>IF(G74="","",G74)</f>
        <v/>
      </c>
      <c r="AW34" s="186">
        <f>IF(H74="","",H74)</f>
        <v/>
      </c>
      <c r="AX34" s="187">
        <f>IF(I74="","",I74)</f>
        <v/>
      </c>
      <c r="AY34" s="187">
        <f>IF(J74="","",J74)</f>
        <v/>
      </c>
      <c r="AZ34" s="188">
        <f>IF(K74="","",K74)</f>
        <v/>
      </c>
      <c r="BA34" s="186">
        <f>IF(L74="","",L74)</f>
        <v/>
      </c>
      <c r="BB34" s="187">
        <f>IF(M74="","",M74)</f>
        <v/>
      </c>
      <c r="BC34" s="187">
        <f>IF(N74="","",N74)</f>
        <v/>
      </c>
      <c r="BD34" s="188">
        <f>IF(O74="","",O74)</f>
        <v/>
      </c>
      <c r="BE34" s="186">
        <f>IF(P74="","",P74)</f>
        <v/>
      </c>
      <c r="BF34" s="187">
        <f>IF(Q74="","",Q74)</f>
        <v/>
      </c>
      <c r="BG34" s="187">
        <f>IF(R74="","",R74)</f>
        <v/>
      </c>
      <c r="BH34" s="188">
        <f>IF(S74="","",S74)</f>
        <v/>
      </c>
      <c r="BX34" s="215" t="n"/>
      <c r="CA34" s="213" t="n"/>
      <c r="CB34" s="196" t="inlineStr">
        <is>
          <t>单位机时边际贡献</t>
        </is>
      </c>
      <c r="CC34" s="518">
        <f>CC71</f>
        <v/>
      </c>
      <c r="CD34" s="518">
        <f>CD71</f>
        <v/>
      </c>
      <c r="CE34" s="518">
        <f>CE71</f>
        <v/>
      </c>
      <c r="CF34" s="518">
        <f>CF71</f>
        <v/>
      </c>
      <c r="CG34" s="522" t="n"/>
      <c r="CH34" s="498" t="n"/>
      <c r="CI34" s="196" t="inlineStr">
        <is>
          <t>市场2</t>
        </is>
      </c>
      <c r="CJ34" s="519">
        <f>IF(CJ28&gt;0,(AF77-CJ28)/CJ28,0)</f>
        <v/>
      </c>
      <c r="CK34" s="519">
        <f>IF(CK28&gt;0,(AG77-CK28)/CK28,0)</f>
        <v/>
      </c>
      <c r="CL34" s="519">
        <f>IF(CL28&gt;0,(AH77-CL28)/CL28,0)</f>
        <v/>
      </c>
      <c r="CM34" s="519">
        <f>IF(CM28&gt;0,(AI77-CM28)/CM28,0)</f>
        <v/>
      </c>
      <c r="CN34" s="215" t="n"/>
      <c r="CO34" s="239" t="n"/>
      <c r="CR34" s="215" t="inlineStr">
        <is>
          <t>原材料</t>
        </is>
      </c>
      <c r="CS34" s="215" t="inlineStr">
        <is>
          <t>第一班正班</t>
        </is>
      </c>
      <c r="CT34" s="215" t="inlineStr">
        <is>
          <t>第一班加班</t>
        </is>
      </c>
      <c r="CU34" s="215" t="inlineStr">
        <is>
          <t>第二班正班</t>
        </is>
      </c>
      <c r="CV34" s="215" t="inlineStr">
        <is>
          <t>第二班加班</t>
        </is>
      </c>
      <c r="CY34" s="215" t="inlineStr">
        <is>
          <t>成本贡献</t>
        </is>
      </c>
      <c r="DF34" s="215" t="inlineStr">
        <is>
          <t>成本贡献</t>
        </is>
      </c>
    </row>
    <row customHeight="1" ht="15.6" r="35" s="353">
      <c r="B35" s="441" t="n"/>
      <c r="C35" s="388" t="n">
        <v>3</v>
      </c>
      <c r="D35" s="388" t="n">
        <v>4</v>
      </c>
      <c r="E35" s="9" t="n"/>
      <c r="F35" s="9" t="n"/>
      <c r="G35" s="9" t="n"/>
      <c r="H35" s="19" t="n"/>
      <c r="I35" s="9" t="n"/>
      <c r="J35" s="9" t="n"/>
      <c r="K35" s="9" t="n"/>
      <c r="L35" s="10" t="n"/>
      <c r="M35" s="39">
        <f>AH67-AH107</f>
        <v/>
      </c>
      <c r="N35" s="35" t="n"/>
      <c r="O35" s="35" t="n"/>
      <c r="P35" s="35" t="n"/>
      <c r="Q35" s="57" t="n"/>
      <c r="U35" s="53" t="n"/>
      <c r="V35" s="396" t="n"/>
      <c r="W35" s="11" t="n">
        <v>9</v>
      </c>
      <c r="X35" s="469">
        <f>AT17</f>
        <v/>
      </c>
      <c r="Y35" s="513">
        <f>AU17</f>
        <v/>
      </c>
      <c r="Z35" s="514">
        <f>AV17</f>
        <v/>
      </c>
      <c r="AA35" s="120">
        <f>SUM(AB139:AE139)</f>
        <v/>
      </c>
      <c r="AB35" s="121">
        <f>SUM(AL139:AO139)</f>
        <v/>
      </c>
      <c r="AC35" s="121">
        <f>SUM(AB162:AE162)</f>
        <v/>
      </c>
      <c r="AD35" s="122">
        <f>SUM(AL162:AO162)</f>
        <v/>
      </c>
      <c r="AE35" s="123">
        <f>AB35/$AA35</f>
        <v/>
      </c>
      <c r="AF35" s="124">
        <f>AC35/$AA35</f>
        <v/>
      </c>
      <c r="AG35" s="158">
        <f>AD35/$AA35</f>
        <v/>
      </c>
      <c r="AI35" s="11" t="inlineStr">
        <is>
          <t>B产品</t>
        </is>
      </c>
      <c r="AJ35" s="520" t="n"/>
      <c r="AK35" s="521">
        <f>IF(AM35=1,CK71-CJ71,IF(AM35=2,CL71-CK71,IF(AM35=3,CM71-CL71,IF(AM35=4,CN71-CM71,0))))</f>
        <v/>
      </c>
      <c r="AL35" s="165" t="n"/>
      <c r="AM35" s="294">
        <f>INT(第十四期!DV27)</f>
        <v/>
      </c>
      <c r="AN35" s="126" t="n"/>
      <c r="AR35" s="185" t="n">
        <v>3</v>
      </c>
      <c r="AS35" s="186">
        <f>IF(D75="","",D75)</f>
        <v/>
      </c>
      <c r="AT35" s="187">
        <f>IF(E75="","",E75)</f>
        <v/>
      </c>
      <c r="AU35" s="187">
        <f>IF(F75="","",F75)</f>
        <v/>
      </c>
      <c r="AV35" s="188">
        <f>IF(G75="","",G75)</f>
        <v/>
      </c>
      <c r="AW35" s="186">
        <f>IF(H75="","",H75)</f>
        <v/>
      </c>
      <c r="AX35" s="187">
        <f>IF(I75="","",I75)</f>
        <v/>
      </c>
      <c r="AY35" s="187">
        <f>IF(J75="","",J75)</f>
        <v/>
      </c>
      <c r="AZ35" s="188">
        <f>IF(K75="","",K75)</f>
        <v/>
      </c>
      <c r="BA35" s="186">
        <f>IF(L75="","",L75)</f>
        <v/>
      </c>
      <c r="BB35" s="187">
        <f>IF(M75="","",M75)</f>
        <v/>
      </c>
      <c r="BC35" s="187">
        <f>IF(N75="","",N75)</f>
        <v/>
      </c>
      <c r="BD35" s="188">
        <f>IF(O75="","",O75)</f>
        <v/>
      </c>
      <c r="BE35" s="186">
        <f>IF(P75="","",P75)</f>
        <v/>
      </c>
      <c r="BF35" s="187">
        <f>IF(Q75="","",Q75)</f>
        <v/>
      </c>
      <c r="BG35" s="187">
        <f>IF(R75="","",R75)</f>
        <v/>
      </c>
      <c r="BH35" s="188">
        <f>IF(S75="","",S75)</f>
        <v/>
      </c>
      <c r="CA35" s="213" t="n"/>
      <c r="CB35" s="196" t="inlineStr">
        <is>
          <t>单位产品边际贡献率</t>
        </is>
      </c>
      <c r="CC35" s="518">
        <f>CC72</f>
        <v/>
      </c>
      <c r="CD35" s="518">
        <f>CD72</f>
        <v/>
      </c>
      <c r="CE35" s="518">
        <f>CE72</f>
        <v/>
      </c>
      <c r="CF35" s="518">
        <f>CF72</f>
        <v/>
      </c>
      <c r="CG35" s="522" t="n"/>
      <c r="CH35" s="498" t="n"/>
      <c r="CI35" s="196" t="inlineStr">
        <is>
          <t>市场3</t>
        </is>
      </c>
      <c r="CJ35" s="519">
        <f>IF(CJ29&gt;0,(AF78-CJ29)/CJ29,0)</f>
        <v/>
      </c>
      <c r="CK35" s="519">
        <f>IF(CK29&gt;0,(AG78-CK29)/CK29,0)</f>
        <v/>
      </c>
      <c r="CL35" s="519">
        <f>IF(CL29&gt;0,(AH78-CL29)/CL29,0)</f>
        <v/>
      </c>
      <c r="CM35" s="519">
        <f>IF(CM29&gt;0,(AI78-CM29)/CM29,0)</f>
        <v/>
      </c>
      <c r="CN35" s="215" t="n"/>
      <c r="CO35" s="239" t="n"/>
      <c r="CR35" s="215" t="inlineStr">
        <is>
          <t>A产品</t>
        </is>
      </c>
      <c r="CS35" s="215">
        <f>比赛参数!$D$28</f>
        <v/>
      </c>
      <c r="CT35" s="215">
        <f>比赛参数!$D$28</f>
        <v/>
      </c>
      <c r="CU35" s="215">
        <f>比赛参数!$D$28</f>
        <v/>
      </c>
      <c r="CV35" s="215">
        <f>比赛参数!$D$28</f>
        <v/>
      </c>
      <c r="CZ35" s="215">
        <f>CZ23/CZ17</f>
        <v/>
      </c>
      <c r="DA35" s="215">
        <f>DA23/DA17</f>
        <v/>
      </c>
      <c r="DB35" s="215">
        <f>DB23/DB17</f>
        <v/>
      </c>
      <c r="DC35" s="215">
        <f>DC23/DC17</f>
        <v/>
      </c>
      <c r="DD35" s="215">
        <f>SUMPRODUCT(CZ35:DC35,BS14:BV14)/SUM(BS14:BV14)</f>
        <v/>
      </c>
      <c r="DG35" s="215">
        <f>DG23/DG17</f>
        <v/>
      </c>
      <c r="DH35" s="215">
        <f>DH23/DH17</f>
        <v/>
      </c>
      <c r="DI35" s="215">
        <f>DI23/DI17</f>
        <v/>
      </c>
      <c r="DJ35" s="215">
        <f>DJ23/DJ17</f>
        <v/>
      </c>
      <c r="DK35" s="215">
        <f>SUMPRODUCT(DG35:DJ35,BS14:BV14)/SUM(BS14:BV14)</f>
        <v/>
      </c>
      <c r="DS35" s="294" t="inlineStr">
        <is>
          <t>产品A</t>
        </is>
      </c>
      <c r="DT35" s="516" t="n"/>
      <c r="DU35" s="516" t="n"/>
      <c r="DV35" s="517" t="n"/>
      <c r="DW35" s="294" t="inlineStr">
        <is>
          <t>产品B</t>
        </is>
      </c>
      <c r="DX35" s="516" t="n"/>
      <c r="DY35" s="516" t="n"/>
      <c r="DZ35" s="517" t="n"/>
      <c r="EA35" s="273" t="inlineStr">
        <is>
          <t>产品C</t>
        </is>
      </c>
      <c r="EB35" s="160" t="n"/>
      <c r="EC35" s="160" t="n"/>
      <c r="ED35" s="274" t="n"/>
      <c r="EE35" s="273" t="inlineStr">
        <is>
          <t>产品D</t>
        </is>
      </c>
      <c r="EF35" s="160" t="n"/>
      <c r="EG35" s="160" t="n"/>
      <c r="EH35" s="274" t="n"/>
    </row>
    <row customHeight="1" ht="16.35" r="36" s="353">
      <c r="B36" s="441" t="n"/>
      <c r="C36" s="388" t="n">
        <v>4</v>
      </c>
      <c r="D36" s="388" t="n">
        <v>1</v>
      </c>
      <c r="E36" s="9" t="n"/>
      <c r="F36" s="9" t="n"/>
      <c r="G36" s="9" t="n"/>
      <c r="H36" s="19" t="n"/>
      <c r="I36" s="9" t="n"/>
      <c r="J36" s="9" t="n"/>
      <c r="K36" s="9" t="n"/>
      <c r="L36" s="10" t="n"/>
      <c r="M36" s="39">
        <f>AI64-AI104</f>
        <v/>
      </c>
      <c r="N36" s="35" t="n"/>
      <c r="O36" s="35" t="n"/>
      <c r="P36" s="35" t="n"/>
      <c r="Q36" s="57" t="n"/>
      <c r="U36" s="53" t="n"/>
      <c r="V36" s="396" t="n"/>
      <c r="W36" s="11" t="n">
        <v>10</v>
      </c>
      <c r="X36" s="469">
        <f>AT18</f>
        <v/>
      </c>
      <c r="Y36" s="513">
        <f>AU18</f>
        <v/>
      </c>
      <c r="Z36" s="514">
        <f>AV18</f>
        <v/>
      </c>
      <c r="AA36" s="120">
        <f>SUM(AB140:AE140)</f>
        <v/>
      </c>
      <c r="AB36" s="121">
        <f>SUM(AL140:AO140)</f>
        <v/>
      </c>
      <c r="AC36" s="121">
        <f>SUM(AB163:AE163)</f>
        <v/>
      </c>
      <c r="AD36" s="122">
        <f>SUM(AL163:AO163)</f>
        <v/>
      </c>
      <c r="AE36" s="123">
        <f>AB36/$AA36</f>
        <v/>
      </c>
      <c r="AF36" s="124">
        <f>AC36/$AA36</f>
        <v/>
      </c>
      <c r="AG36" s="158">
        <f>AD36/$AA36</f>
        <v/>
      </c>
      <c r="AI36" s="11" t="inlineStr">
        <is>
          <t>C产品</t>
        </is>
      </c>
      <c r="AJ36" s="520" t="n"/>
      <c r="AK36" s="521">
        <f>IF(AM36=0,CJ72,IF(AM36=1,CK72-CJ72,IF(AM36=2,CL72-CK72,IF(AM36=3,CM72-CL72,IF(AM36=4,CN72-CM72,0)))))</f>
        <v/>
      </c>
      <c r="AL36" s="148" t="inlineStr">
        <is>
          <t>总计</t>
        </is>
      </c>
      <c r="AM36" s="294">
        <f>INT(第十四期!DV28)</f>
        <v/>
      </c>
      <c r="AN36" s="126" t="n"/>
      <c r="AR36" s="185" t="n">
        <v>4</v>
      </c>
      <c r="AS36" s="186">
        <f>IF(D76="","",D76)</f>
        <v/>
      </c>
      <c r="AT36" s="187">
        <f>IF(E76="","",E76)</f>
        <v/>
      </c>
      <c r="AU36" s="187">
        <f>IF(F76="","",F76)</f>
        <v/>
      </c>
      <c r="AV36" s="188">
        <f>IF(G76="","",G76)</f>
        <v/>
      </c>
      <c r="AW36" s="186">
        <f>IF(H76="","",H76)</f>
        <v/>
      </c>
      <c r="AX36" s="187">
        <f>IF(I76="","",I76)</f>
        <v/>
      </c>
      <c r="AY36" s="187">
        <f>IF(J76="","",J76)</f>
        <v/>
      </c>
      <c r="AZ36" s="188">
        <f>IF(K76="","",K76)</f>
        <v/>
      </c>
      <c r="BA36" s="186">
        <f>IF(L76="","",L76)</f>
        <v/>
      </c>
      <c r="BB36" s="187">
        <f>IF(M76="","",M76)</f>
        <v/>
      </c>
      <c r="BC36" s="187">
        <f>IF(N76="","",N76)</f>
        <v/>
      </c>
      <c r="BD36" s="188">
        <f>IF(O76="","",O76)</f>
        <v/>
      </c>
      <c r="BE36" s="186">
        <f>IF(P76="","",P76)</f>
        <v/>
      </c>
      <c r="BF36" s="187">
        <f>IF(Q76="","",Q76)</f>
        <v/>
      </c>
      <c r="BG36" s="187">
        <f>IF(R76="","",R76)</f>
        <v/>
      </c>
      <c r="BH36" s="188">
        <f>IF(S76="","",S76)</f>
        <v/>
      </c>
      <c r="CA36" s="213" t="n"/>
      <c r="CB36" s="523" t="n"/>
      <c r="CC36" s="523" t="n"/>
      <c r="CD36" s="523" t="n"/>
      <c r="CE36" s="523" t="n"/>
      <c r="CF36" s="523" t="n"/>
      <c r="CG36" s="498" t="n"/>
      <c r="CH36" s="498" t="n"/>
      <c r="CI36" s="196" t="inlineStr">
        <is>
          <t>市场4</t>
        </is>
      </c>
      <c r="CJ36" s="519">
        <f>IF(CJ30&gt;0,(AF79-CJ30)/CJ30,0)</f>
        <v/>
      </c>
      <c r="CK36" s="519">
        <f>IF(CK30&gt;0,(AG79-CK30)/CK30,0)</f>
        <v/>
      </c>
      <c r="CL36" s="519">
        <f>IF(CL30&gt;0,(AH79-CL30)/CL30,0)</f>
        <v/>
      </c>
      <c r="CM36" s="519">
        <f>IF(CM30&gt;0,(AI79-CM30)/CM30,0)</f>
        <v/>
      </c>
      <c r="CN36" s="215" t="n"/>
      <c r="CO36" s="239" t="n"/>
      <c r="CR36" s="215" t="inlineStr">
        <is>
          <t>B产品</t>
        </is>
      </c>
      <c r="CS36" s="215">
        <f>比赛参数!$E$28</f>
        <v/>
      </c>
      <c r="CT36" s="215">
        <f>比赛参数!$E$28</f>
        <v/>
      </c>
      <c r="CU36" s="215">
        <f>比赛参数!$E$28</f>
        <v/>
      </c>
      <c r="CV36" s="215">
        <f>比赛参数!$E$28</f>
        <v/>
      </c>
      <c r="CZ36" s="215">
        <f>CZ24/CZ18</f>
        <v/>
      </c>
      <c r="DA36" s="215">
        <f>DA24/DA18</f>
        <v/>
      </c>
      <c r="DB36" s="215">
        <f>DB24/DB18</f>
        <v/>
      </c>
      <c r="DC36" s="215">
        <f>DC24/DC18</f>
        <v/>
      </c>
      <c r="DD36" s="215">
        <f>SUMPRODUCT(CZ36:DC36,BS15:BV15)/SUM(BS15:BV15)</f>
        <v/>
      </c>
      <c r="DG36" s="215">
        <f>DG24/DG18</f>
        <v/>
      </c>
      <c r="DH36" s="215">
        <f>DH24/DH18</f>
        <v/>
      </c>
      <c r="DI36" s="215">
        <f>DI24/DI18</f>
        <v/>
      </c>
      <c r="DJ36" s="215">
        <f>DJ24/DJ18</f>
        <v/>
      </c>
      <c r="DK36" s="215">
        <f>SUMPRODUCT(DG36:DJ36,BS15:BV15)/SUM(BS15:BV15)</f>
        <v/>
      </c>
      <c r="DS36" s="294" t="inlineStr">
        <is>
          <t>市场1</t>
        </is>
      </c>
      <c r="DT36" s="294" t="inlineStr">
        <is>
          <t>市场2</t>
        </is>
      </c>
      <c r="DU36" s="294" t="inlineStr">
        <is>
          <t>市场3</t>
        </is>
      </c>
      <c r="DV36" s="294" t="inlineStr">
        <is>
          <t>市场4</t>
        </is>
      </c>
      <c r="DW36" s="294" t="inlineStr">
        <is>
          <t>市场1</t>
        </is>
      </c>
      <c r="DX36" s="294" t="inlineStr">
        <is>
          <t>市场2</t>
        </is>
      </c>
      <c r="DY36" s="294" t="inlineStr">
        <is>
          <t>市场3</t>
        </is>
      </c>
      <c r="DZ36" s="294" t="inlineStr">
        <is>
          <t>市场4</t>
        </is>
      </c>
      <c r="EA36" s="294" t="inlineStr">
        <is>
          <t>市场1</t>
        </is>
      </c>
      <c r="EB36" s="294" t="inlineStr">
        <is>
          <t>市场2</t>
        </is>
      </c>
      <c r="EC36" s="294" t="inlineStr">
        <is>
          <t>市场3</t>
        </is>
      </c>
      <c r="ED36" s="294" t="inlineStr">
        <is>
          <t>市场4</t>
        </is>
      </c>
      <c r="EE36" s="294" t="inlineStr">
        <is>
          <t>市场1</t>
        </is>
      </c>
      <c r="EF36" s="294" t="inlineStr">
        <is>
          <t>市场2</t>
        </is>
      </c>
      <c r="EG36" s="294" t="inlineStr">
        <is>
          <t>市场3</t>
        </is>
      </c>
      <c r="EH36" s="294" t="inlineStr">
        <is>
          <t>市场4</t>
        </is>
      </c>
    </row>
    <row customHeight="1" ht="17.1" r="37" s="353">
      <c r="B37" s="441" t="n"/>
      <c r="C37" s="388" t="n">
        <v>4</v>
      </c>
      <c r="D37" s="388" t="n">
        <v>2</v>
      </c>
      <c r="E37" s="9" t="n"/>
      <c r="F37" s="9" t="n"/>
      <c r="G37" s="9" t="n"/>
      <c r="H37" s="19" t="n"/>
      <c r="I37" s="9" t="n"/>
      <c r="J37" s="9" t="n"/>
      <c r="K37" s="9" t="n"/>
      <c r="L37" s="10" t="n"/>
      <c r="M37" s="39">
        <f>AI65-AI105</f>
        <v/>
      </c>
      <c r="N37" s="35" t="n"/>
      <c r="O37" s="35" t="n"/>
      <c r="P37" s="35" t="n"/>
      <c r="Q37" s="57" t="n"/>
      <c r="U37" s="53" t="n"/>
      <c r="V37" s="396" t="n"/>
      <c r="W37" s="11" t="n">
        <v>11</v>
      </c>
      <c r="X37" s="469">
        <f>AT19</f>
        <v/>
      </c>
      <c r="Y37" s="513">
        <f>AU19</f>
        <v/>
      </c>
      <c r="Z37" s="514">
        <f>AV19</f>
        <v/>
      </c>
      <c r="AA37" s="120">
        <f>SUM(AB141:AE141)</f>
        <v/>
      </c>
      <c r="AB37" s="121">
        <f>SUM(AL141:AO141)</f>
        <v/>
      </c>
      <c r="AC37" s="121">
        <f>SUM(AB164:AE164)</f>
        <v/>
      </c>
      <c r="AD37" s="122">
        <f>SUM(AL164:AO164)</f>
        <v/>
      </c>
      <c r="AE37" s="123">
        <f>AB37/$AA37</f>
        <v/>
      </c>
      <c r="AF37" s="124">
        <f>AC37/$AA37</f>
        <v/>
      </c>
      <c r="AG37" s="158">
        <f>AD37/$AA37</f>
        <v/>
      </c>
      <c r="AI37" s="11" t="inlineStr">
        <is>
          <t>D产品</t>
        </is>
      </c>
      <c r="AJ37" s="520" t="n"/>
      <c r="AK37" s="521">
        <f>IF(AM37=0,CJ73,IF(AM37=1,CK73-CJ73,IF(AM37=2,CL73-CK73,IF(AM37=3,CM73-CL73,IF(AM37=4,CN73-CM73,0)))))</f>
        <v/>
      </c>
      <c r="AL37" s="273">
        <f>SUM(AJ34:AJ37)</f>
        <v/>
      </c>
      <c r="AM37" s="294">
        <f>INT(第十四期!DV29)</f>
        <v/>
      </c>
      <c r="AN37" s="126" t="n"/>
      <c r="AR37" s="185" t="n">
        <v>5</v>
      </c>
      <c r="AS37" s="186">
        <f>IF(D77="","",D77)</f>
        <v/>
      </c>
      <c r="AT37" s="187">
        <f>IF(E77="","",E77)</f>
        <v/>
      </c>
      <c r="AU37" s="187">
        <f>IF(F77="","",F77)</f>
        <v/>
      </c>
      <c r="AV37" s="188">
        <f>IF(G77="","",G77)</f>
        <v/>
      </c>
      <c r="AW37" s="186">
        <f>IF(H77="","",H77)</f>
        <v/>
      </c>
      <c r="AX37" s="187">
        <f>IF(I77="","",I77)</f>
        <v/>
      </c>
      <c r="AY37" s="187">
        <f>IF(J77="","",J77)</f>
        <v/>
      </c>
      <c r="AZ37" s="188">
        <f>IF(K77="","",K77)</f>
        <v/>
      </c>
      <c r="BA37" s="186">
        <f>IF(L77="","",L77)</f>
        <v/>
      </c>
      <c r="BB37" s="187">
        <f>IF(M77="","",M77)</f>
        <v/>
      </c>
      <c r="BC37" s="187">
        <f>IF(N77="","",N77)</f>
        <v/>
      </c>
      <c r="BD37" s="188">
        <f>IF(O77="","",O77)</f>
        <v/>
      </c>
      <c r="BE37" s="186">
        <f>IF(P77="","",P77)</f>
        <v/>
      </c>
      <c r="BF37" s="187">
        <f>IF(Q77="","",Q77)</f>
        <v/>
      </c>
      <c r="BG37" s="187">
        <f>IF(R77="","",R77)</f>
        <v/>
      </c>
      <c r="BH37" s="188">
        <f>IF(S77="","",S77)</f>
        <v/>
      </c>
      <c r="CA37" s="213" t="n"/>
      <c r="CB37" s="214" t="inlineStr">
        <is>
          <t>运输成本</t>
        </is>
      </c>
      <c r="CC37" s="233" t="inlineStr">
        <is>
          <t>A产品</t>
        </is>
      </c>
      <c r="CD37" s="233" t="inlineStr">
        <is>
          <t>B产品</t>
        </is>
      </c>
      <c r="CE37" s="233" t="inlineStr">
        <is>
          <t>C产品</t>
        </is>
      </c>
      <c r="CF37" s="233" t="inlineStr">
        <is>
          <t>D产品</t>
        </is>
      </c>
      <c r="CG37" s="234" t="n"/>
      <c r="CH37" s="498" t="n"/>
      <c r="CI37" s="396" t="n"/>
      <c r="CJ37" s="396" t="n"/>
      <c r="CK37" s="396" t="n"/>
      <c r="CL37" s="396" t="n"/>
      <c r="CM37" s="396" t="n"/>
      <c r="CN37" s="215" t="n"/>
      <c r="CO37" s="239" t="n"/>
      <c r="CR37" s="215" t="inlineStr">
        <is>
          <t>C产品</t>
        </is>
      </c>
      <c r="CS37" s="215">
        <f>比赛参数!$F$28</f>
        <v/>
      </c>
      <c r="CT37" s="215">
        <f>比赛参数!$F$28</f>
        <v/>
      </c>
      <c r="CU37" s="215">
        <f>比赛参数!$F$28</f>
        <v/>
      </c>
      <c r="CV37" s="215">
        <f>比赛参数!$F$28</f>
        <v/>
      </c>
      <c r="CZ37" s="215">
        <f>CZ25/CZ19</f>
        <v/>
      </c>
      <c r="DA37" s="215">
        <f>DA25/DA19</f>
        <v/>
      </c>
      <c r="DB37" s="215">
        <f>DB25/DB19</f>
        <v/>
      </c>
      <c r="DC37" s="215">
        <f>DC25/DC19</f>
        <v/>
      </c>
      <c r="DD37" s="215">
        <f>SUMPRODUCT(CZ37:DC37,BS16:BV16)/SUM(BS16:BV16)</f>
        <v/>
      </c>
      <c r="DG37" s="215">
        <f>DG25/DG19</f>
        <v/>
      </c>
      <c r="DH37" s="215">
        <f>DH25/DH19</f>
        <v/>
      </c>
      <c r="DI37" s="215">
        <f>DI25/DI19</f>
        <v/>
      </c>
      <c r="DJ37" s="215">
        <f>DJ25/DJ19</f>
        <v/>
      </c>
      <c r="DK37" s="215">
        <f>SUMPRODUCT(DG37:DJ37,BS16:BV16)/SUM(BS16:BV16)</f>
        <v/>
      </c>
      <c r="DS37" s="37">
        <f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/>
      </c>
      <c r="DT37" s="37">
        <f>IF($C$50=$S$47,E73,0)+IF($C$51=$S$47,E74,0)+IF($C$52=$S$47,E75,0)+IF($C$53=$S$47,E76,0)+IF($C$54=$S$47,E77,0)+IF($C$55=$S$47,E78,0)+IF($C$56=$S$47,E79,0)+IF($C$57=$S$47,E80,0)+IF($C$58=$S$47,E81,0)+IF($C$59=$S$47,E82,0)+IF($C$60=$S$47,E83,0)+IF($C$61=$S$47,E84,0)+IF($C$62=$S$47,E85,0)+IF($C$63=$S$47,E86,0)+IF($C$64=$S$47,E87,0)+IF($C$65=$S$47,E88,0)+IF($C$66=$S$47,E89,0)+IF($C$67=$S$47,E90,0)+IF($C$68=$S$47,E91,0)+IF($C$69=$S$47,E92,0)</f>
        <v/>
      </c>
      <c r="DU37" s="37">
        <f>IF($C$50=$S$47,F73,0)+IF($C$51=$S$47,F74,0)+IF($C$52=$S$47,F75,0)+IF($C$53=$S$47,F76,0)+IF($C$54=$S$47,F77,0)+IF($C$55=$S$47,F78,0)+IF($C$56=$S$47,F79,0)+IF($C$57=$S$47,F80,0)+IF($C$58=$S$47,F81,0)+IF($C$59=$S$47,F82,0)+IF($C$60=$S$47,F83,0)+IF($C$61=$S$47,F84,0)+IF($C$62=$S$47,F85,0)+IF($C$63=$S$47,F86,0)+IF($C$64=$S$47,F87,0)+IF($C$65=$S$47,F88,0)+IF($C$66=$S$47,F89,0)+IF($C$67=$S$47,F90,0)+IF($C$68=$S$47,F91,0)+IF($C$69=$S$47,F92,0)</f>
        <v/>
      </c>
      <c r="DV37" s="37">
        <f>IF($C$50=$S$47,G73,0)+IF($C$51=$S$47,G74,0)+IF($C$52=$S$47,G75,0)+IF($C$53=$S$47,G76,0)+IF($C$54=$S$47,G77,0)+IF($C$55=$S$47,G78,0)+IF($C$56=$S$47,G79,0)+IF($C$57=$S$47,G80,0)+IF($C$58=$S$47,G81,0)+IF($C$59=$S$47,G82,0)+IF($C$60=$S$47,G83,0)+IF($C$61=$S$47,G84,0)+IF($C$62=$S$47,G85,0)+IF($C$63=$S$47,G86,0)+IF($C$64=$S$47,G87,0)+IF($C$65=$S$47,G88,0)+IF($C$66=$S$47,G89,0)+IF($C$67=$S$47,G90,0)+IF($C$68=$S$47,G91,0)+IF($C$69=$S$47,G92,0)</f>
        <v/>
      </c>
      <c r="DW37" s="37">
        <f>IF($C$50=$S$47,H73,0)+IF($C$51=$S$47,H74,0)+IF($C$52=$S$47,H75,0)+IF($C$53=$S$47,H76,0)+IF($C$54=$S$47,H77,0)+IF($C$55=$S$47,H78,0)+IF($C$56=$S$47,H79,0)+IF($C$57=$S$47,H80,0)+IF($C$58=$S$47,H81,0)+IF($C$59=$S$47,H82,0)+IF($C$60=$S$47,H83,0)+IF($C$61=$S$47,H84,0)+IF($C$62=$S$47,H85,0)+IF($C$63=$S$47,H86,0)+IF($C$64=$S$47,H87,0)+IF($C$65=$S$47,H88,0)+IF($C$66=$S$47,H89,0)+IF($C$67=$S$47,H90,0)+IF($C$68=$S$47,H91,0)+IF($C$69=$S$47,H92,0)</f>
        <v/>
      </c>
      <c r="DX37" s="37">
        <f>IF($C$50=$S$47,I73,0)+IF($C$51=$S$47,I74,0)+IF($C$52=$S$47,I75,0)+IF($C$53=$S$47,I76,0)+IF($C$54=$S$47,I77,0)+IF($C$55=$S$47,I78,0)+IF($C$56=$S$47,I79,0)+IF($C$57=$S$47,I80,0)+IF($C$58=$S$47,I81,0)+IF($C$59=$S$47,I82,0)+IF($C$60=$S$47,I83,0)+IF($C$61=$S$47,I84,0)+IF($C$62=$S$47,I85,0)+IF($C$63=$S$47,I86,0)+IF($C$64=$S$47,I87,0)+IF($C$65=$S$47,I88,0)+IF($C$66=$S$47,I89,0)+IF($C$67=$S$47,I90,0)+IF($C$68=$S$47,I91,0)+IF($C$69=$S$47,I92,0)</f>
        <v/>
      </c>
      <c r="DY37" s="37">
        <f>IF($C$50=$S$47,J73,0)+IF($C$51=$S$47,J74,0)+IF($C$52=$S$47,J75,0)+IF($C$53=$S$47,J76,0)+IF($C$54=$S$47,J77,0)+IF($C$55=$S$47,J78,0)+IF($C$56=$S$47,J79,0)+IF($C$57=$S$47,J80,0)+IF($C$58=$S$47,J81,0)+IF($C$59=$S$47,J82,0)+IF($C$60=$S$47,J83,0)+IF($C$61=$S$47,J84,0)+IF($C$62=$S$47,J85,0)+IF($C$63=$S$47,J86,0)+IF($C$64=$S$47,J87,0)+IF($C$65=$S$47,J88,0)+IF($C$66=$S$47,J89,0)+IF($C$67=$S$47,J90,0)+IF($C$68=$S$47,J91,0)+IF($C$69=$S$47,J92,0)</f>
        <v/>
      </c>
      <c r="DZ37" s="37">
        <f>IF($C$50=$S$47,K73,0)+IF($C$51=$S$47,K74,0)+IF($C$52=$S$47,K75,0)+IF($C$53=$S$47,K76,0)+IF($C$54=$S$47,K77,0)+IF($C$55=$S$47,K78,0)+IF($C$56=$S$47,K79,0)+IF($C$57=$S$47,K80,0)+IF($C$58=$S$47,K81,0)+IF($C$59=$S$47,K82,0)+IF($C$60=$S$47,K83,0)+IF($C$61=$S$47,K84,0)+IF($C$62=$S$47,K85,0)+IF($C$63=$S$47,K86,0)+IF($C$64=$S$47,K87,0)+IF($C$65=$S$47,K88,0)+IF($C$66=$S$47,K89,0)+IF($C$67=$S$47,K90,0)+IF($C$68=$S$47,K91,0)+IF($C$69=$S$47,K92,0)</f>
        <v/>
      </c>
      <c r="EA37" s="37">
        <f>IF($C$50=$S$47,L73,0)+IF($C$51=$S$47,L74,0)+IF($C$52=$S$47,L75,0)+IF($C$53=$S$47,L76,0)+IF($C$54=$S$47,L77,0)+IF($C$55=$S$47,L78,0)+IF($C$56=$S$47,L79,0)+IF($C$57=$S$47,L80,0)+IF($C$58=$S$47,L81,0)+IF($C$59=$S$47,L82,0)+IF($C$60=$S$47,L83,0)+IF($C$61=$S$47,L84,0)+IF($C$62=$S$47,L85,0)+IF($C$63=$S$47,L86,0)+IF($C$64=$S$47,L87,0)+IF($C$65=$S$47,L88,0)+IF($C$66=$S$47,L89,0)+IF($C$67=$S$47,L90,0)+IF($C$68=$S$47,L91,0)+IF($C$69=$S$47,L92,0)</f>
        <v/>
      </c>
      <c r="EB37" s="37">
        <f>IF($C$50=$S$47,M73,0)+IF($C$51=$S$47,M74,0)+IF($C$52=$S$47,M75,0)+IF($C$53=$S$47,M76,0)+IF($C$54=$S$47,M77,0)+IF($C$55=$S$47,M78,0)+IF($C$56=$S$47,M79,0)+IF($C$57=$S$47,M80,0)+IF($C$58=$S$47,M81,0)+IF($C$59=$S$47,M82,0)+IF($C$60=$S$47,M83,0)+IF($C$61=$S$47,M84,0)+IF($C$62=$S$47,M85,0)+IF($C$63=$S$47,M86,0)+IF($C$64=$S$47,M87,0)+IF($C$65=$S$47,M88,0)+IF($C$66=$S$47,M89,0)+IF($C$67=$S$47,M90,0)+IF($C$68=$S$47,M91,0)+IF($C$69=$S$47,M92,0)</f>
        <v/>
      </c>
      <c r="EC37" s="37">
        <f>IF($C$50=$S$47,N73,0)+IF($C$51=$S$47,N74,0)+IF($C$52=$S$47,N75,0)+IF($C$53=$S$47,N76,0)+IF($C$54=$S$47,N77,0)+IF($C$55=$S$47,N78,0)+IF($C$56=$S$47,N79,0)+IF($C$57=$S$47,N80,0)+IF($C$58=$S$47,N81,0)+IF($C$59=$S$47,N82,0)+IF($C$60=$S$47,N83,0)+IF($C$61=$S$47,N84,0)+IF($C$62=$S$47,N85,0)+IF($C$63=$S$47,N86,0)+IF($C$64=$S$47,N87,0)+IF($C$65=$S$47,N88,0)+IF($C$66=$S$47,N89,0)+IF($C$67=$S$47,N90,0)+IF($C$68=$S$47,N91,0)+IF($C$69=$S$47,N92,0)</f>
        <v/>
      </c>
      <c r="ED37" s="37">
        <f>IF($C$50=$S$47,O73,0)+IF($C$51=$S$47,O74,0)+IF($C$52=$S$47,O75,0)+IF($C$53=$S$47,O76,0)+IF($C$54=$S$47,O77,0)+IF($C$55=$S$47,O78,0)+IF($C$56=$S$47,O79,0)+IF($C$57=$S$47,O80,0)+IF($C$58=$S$47,O81,0)+IF($C$59=$S$47,O82,0)+IF($C$60=$S$47,O83,0)+IF($C$61=$S$47,O84,0)+IF($C$62=$S$47,O85,0)+IF($C$63=$S$47,O86,0)+IF($C$64=$S$47,O87,0)+IF($C$65=$S$47,O88,0)+IF($C$66=$S$47,O89,0)+IF($C$67=$S$47,O90,0)+IF($C$68=$S$47,O91,0)+IF($C$69=$S$47,O92,0)</f>
        <v/>
      </c>
      <c r="EE37" s="37">
        <f>IF($C$50=$S$47,P73,0)+IF($C$51=$S$47,P74,0)+IF($C$52=$S$47,P75,0)+IF($C$53=$S$47,P76,0)+IF($C$54=$S$47,P77,0)+IF($C$55=$S$47,P78,0)+IF($C$56=$S$47,P79,0)+IF($C$57=$S$47,P80,0)+IF($C$58=$S$47,P81,0)+IF($C$59=$S$47,P82,0)+IF($C$60=$S$47,P83,0)+IF($C$61=$S$47,P84,0)+IF($C$62=$S$47,P85,0)+IF($C$63=$S$47,P86,0)+IF($C$64=$S$47,P87,0)+IF($C$65=$S$47,P88,0)+IF($C$66=$S$47,P89,0)+IF($C$67=$S$47,P90,0)+IF($C$68=$S$47,P91,0)+IF($C$69=$S$47,P92,0)</f>
        <v/>
      </c>
      <c r="EF37" s="37">
        <f>IF($C$50=$S$47,Q73,0)+IF($C$51=$S$47,Q74,0)+IF($C$52=$S$47,Q75,0)+IF($C$53=$S$47,Q76,0)+IF($C$54=$S$47,Q77,0)+IF($C$55=$S$47,Q78,0)+IF($C$56=$S$47,Q79,0)+IF($C$57=$S$47,Q80,0)+IF($C$58=$S$47,Q81,0)+IF($C$59=$S$47,Q82,0)+IF($C$60=$S$47,Q83,0)+IF($C$61=$S$47,Q84,0)+IF($C$62=$S$47,Q85,0)+IF($C$63=$S$47,Q86,0)+IF($C$64=$S$47,Q87,0)+IF($C$65=$S$47,Q88,0)+IF($C$66=$S$47,Q89,0)+IF($C$67=$S$47,Q90,0)+IF($C$68=$S$47,Q91,0)+IF($C$69=$S$47,Q92,0)</f>
        <v/>
      </c>
      <c r="EG37" s="37">
        <f>IF($C$50=$S$47,R73,0)+IF($C$51=$S$47,R74,0)+IF($C$52=$S$47,R75,0)+IF($C$53=$S$47,R76,0)+IF($C$54=$S$47,R77,0)+IF($C$55=$S$47,R78,0)+IF($C$56=$S$47,R79,0)+IF($C$57=$S$47,R80,0)+IF($C$58=$S$47,R81,0)+IF($C$59=$S$47,R82,0)+IF($C$60=$S$47,R83,0)+IF($C$61=$S$47,R84,0)+IF($C$62=$S$47,R85,0)+IF($C$63=$S$47,R86,0)+IF($C$64=$S$47,R87,0)+IF($C$65=$S$47,R88,0)+IF($C$66=$S$47,R89,0)+IF($C$67=$S$47,R90,0)+IF($C$68=$S$47,R91,0)+IF($C$69=$S$47,R92,0)</f>
        <v/>
      </c>
      <c r="EH37" s="37">
        <f>IF($C$50=$S$47,S73,0)+IF($C$51=$S$47,S74,0)+IF($C$52=$S$47,S75,0)+IF($C$53=$S$47,S76,0)+IF($C$54=$S$47,S77,0)+IF($C$55=$S$47,S78,0)+IF($C$56=$S$47,S79,0)+IF($C$57=$S$47,S80,0)+IF($C$58=$S$47,S81,0)+IF($C$59=$S$47,S82,0)+IF($C$60=$S$47,S83,0)+IF($C$61=$S$47,S84,0)+IF($C$62=$S$47,S85,0)+IF($C$63=$S$47,S86,0)+IF($C$64=$S$47,S87,0)+IF($C$65=$S$47,S88,0)+IF($C$66=$S$47,S89,0)+IF($C$67=$S$47,S90,0)+IF($C$68=$S$47,S91,0)+IF($C$69=$S$47,S92,0)</f>
        <v/>
      </c>
    </row>
    <row customHeight="1" ht="17.1" r="38" s="353">
      <c r="B38" s="441" t="n"/>
      <c r="C38" s="388" t="n">
        <v>4</v>
      </c>
      <c r="D38" s="388" t="n">
        <v>3</v>
      </c>
      <c r="E38" s="9" t="n"/>
      <c r="F38" s="9" t="n"/>
      <c r="G38" s="9" t="n"/>
      <c r="H38" s="19" t="n"/>
      <c r="I38" s="9" t="n"/>
      <c r="J38" s="9" t="n"/>
      <c r="K38" s="9" t="n"/>
      <c r="L38" s="10" t="n"/>
      <c r="M38" s="39">
        <f>AI66-AI106</f>
        <v/>
      </c>
      <c r="N38" s="35" t="n"/>
      <c r="O38" s="35" t="n"/>
      <c r="P38" s="35" t="n"/>
      <c r="Q38" s="57" t="n"/>
      <c r="U38" s="53" t="n"/>
      <c r="V38" s="396" t="n"/>
      <c r="W38" s="11" t="n">
        <v>12</v>
      </c>
      <c r="X38" s="469">
        <f>AT20</f>
        <v/>
      </c>
      <c r="Y38" s="513">
        <f>AU20</f>
        <v/>
      </c>
      <c r="Z38" s="514">
        <f>AV20</f>
        <v/>
      </c>
      <c r="AA38" s="120">
        <f>SUM(AB142:AE142)</f>
        <v/>
      </c>
      <c r="AB38" s="121">
        <f>SUM(AL142:AO142)</f>
        <v/>
      </c>
      <c r="AC38" s="121">
        <f>SUM(AB165:AE165)</f>
        <v/>
      </c>
      <c r="AD38" s="122">
        <f>SUM(AL165:AO165)</f>
        <v/>
      </c>
      <c r="AE38" s="123">
        <f>AB38/$AA38</f>
        <v/>
      </c>
      <c r="AF38" s="124">
        <f>AC38/$AA38</f>
        <v/>
      </c>
      <c r="AG38" s="158">
        <f>AD38/$AA38</f>
        <v/>
      </c>
      <c r="AI38" s="215" t="n"/>
      <c r="AJ38" s="215" t="n"/>
      <c r="AK38" s="215" t="n"/>
      <c r="AL38" s="215" t="n"/>
      <c r="AM38" s="215" t="n"/>
      <c r="AN38" s="215" t="n"/>
      <c r="AR38" s="185" t="n">
        <v>6</v>
      </c>
      <c r="AS38" s="186">
        <f>IF(D78="","",D78)</f>
        <v/>
      </c>
      <c r="AT38" s="187">
        <f>IF(E78="","",E78)</f>
        <v/>
      </c>
      <c r="AU38" s="187">
        <f>IF(F78="","",F78)</f>
        <v/>
      </c>
      <c r="AV38" s="188">
        <f>IF(G78="","",G78)</f>
        <v/>
      </c>
      <c r="AW38" s="186">
        <f>IF(H78="","",H78)</f>
        <v/>
      </c>
      <c r="AX38" s="187">
        <f>IF(I78="","",I78)</f>
        <v/>
      </c>
      <c r="AY38" s="187">
        <f>IF(J78="","",J78)</f>
        <v/>
      </c>
      <c r="AZ38" s="188">
        <f>IF(K78="","",K78)</f>
        <v/>
      </c>
      <c r="BA38" s="186">
        <f>IF(L78="","",L78)</f>
        <v/>
      </c>
      <c r="BB38" s="187">
        <f>IF(M78="","",M78)</f>
        <v/>
      </c>
      <c r="BC38" s="187">
        <f>IF(N78="","",N78)</f>
        <v/>
      </c>
      <c r="BD38" s="188">
        <f>IF(O78="","",O78)</f>
        <v/>
      </c>
      <c r="BE38" s="186">
        <f>IF(P78="","",P78)</f>
        <v/>
      </c>
      <c r="BF38" s="187">
        <f>IF(Q78="","",Q78)</f>
        <v/>
      </c>
      <c r="BG38" s="187">
        <f>IF(R78="","",R78)</f>
        <v/>
      </c>
      <c r="BH38" s="188">
        <f>IF(S78="","",S78)</f>
        <v/>
      </c>
      <c r="CA38" s="213" t="n"/>
      <c r="CB38" s="197" t="inlineStr">
        <is>
          <t>市场1</t>
        </is>
      </c>
      <c r="CC38" s="272">
        <f>第十四期!DG56*第十四期!DG50+第十四期!DG64*第十四期!Y88</f>
        <v/>
      </c>
      <c r="CD38" s="272">
        <f>第十四期!DH56*第十四期!DH50+第十四期!DH64*第十四期!Z88</f>
        <v/>
      </c>
      <c r="CE38" s="272">
        <f>第十四期!DI56*第十四期!DI50+第十四期!DI64*第十四期!AA88</f>
        <v/>
      </c>
      <c r="CF38" s="272">
        <f>第十四期!DJ56*第十四期!DJ50+第十四期!DJ64*第十四期!AB88</f>
        <v/>
      </c>
      <c r="CG38" s="234" t="n"/>
      <c r="CH38" s="498" t="n"/>
      <c r="CI38" s="396" t="n"/>
      <c r="CJ38" s="396" t="n"/>
      <c r="CK38" s="396" t="n"/>
      <c r="CL38" s="396" t="n"/>
      <c r="CM38" s="396" t="n"/>
      <c r="CN38" s="215" t="n"/>
      <c r="CO38" s="239" t="n"/>
      <c r="CR38" s="215" t="inlineStr">
        <is>
          <t>D产品</t>
        </is>
      </c>
      <c r="CS38" s="215">
        <f>比赛参数!$G$28</f>
        <v/>
      </c>
      <c r="CT38" s="215">
        <f>比赛参数!$G$28</f>
        <v/>
      </c>
      <c r="CU38" s="215">
        <f>比赛参数!$G$28</f>
        <v/>
      </c>
      <c r="CV38" s="215">
        <f>比赛参数!$G$28</f>
        <v/>
      </c>
      <c r="CZ38" s="215">
        <f>CZ26/CZ20</f>
        <v/>
      </c>
      <c r="DA38" s="215">
        <f>DA26/DA20</f>
        <v/>
      </c>
      <c r="DB38" s="215">
        <f>DB26/DB20</f>
        <v/>
      </c>
      <c r="DC38" s="215">
        <f>DC26/DC20</f>
        <v/>
      </c>
      <c r="DD38" s="215">
        <f>SUMPRODUCT(CZ38:DC38,BS17:BV17)/SUM(BS17:BV17)</f>
        <v/>
      </c>
      <c r="DG38" s="215">
        <f>DG26/DG20</f>
        <v/>
      </c>
      <c r="DH38" s="215">
        <f>DH26/DH20</f>
        <v/>
      </c>
      <c r="DI38" s="215">
        <f>DI26/DI20</f>
        <v/>
      </c>
      <c r="DJ38" s="215">
        <f>DJ26/DJ20</f>
        <v/>
      </c>
      <c r="DK38" s="215">
        <f>SUMPRODUCT(DG38:DJ38,BS17:BV17)/SUM(BS17:BV17)</f>
        <v/>
      </c>
    </row>
    <row customHeight="1" ht="17.1" r="39" s="353">
      <c r="B39" s="441" t="n"/>
      <c r="C39" s="388" t="n">
        <v>4</v>
      </c>
      <c r="D39" s="388" t="n">
        <v>4</v>
      </c>
      <c r="E39" s="9" t="n"/>
      <c r="F39" s="9" t="n"/>
      <c r="G39" s="9" t="n"/>
      <c r="H39" s="19" t="n"/>
      <c r="I39" s="9" t="n"/>
      <c r="J39" s="9" t="n"/>
      <c r="K39" s="9" t="n"/>
      <c r="L39" s="10" t="n"/>
      <c r="M39" s="39">
        <f>AI67-AI107</f>
        <v/>
      </c>
      <c r="N39" s="35" t="n"/>
      <c r="O39" s="35" t="n"/>
      <c r="P39" s="35" t="n"/>
      <c r="Q39" s="57" t="n"/>
      <c r="U39" s="53" t="n"/>
      <c r="V39" s="396" t="n"/>
      <c r="W39" s="11" t="n">
        <v>13</v>
      </c>
      <c r="X39" s="469">
        <f>AT21</f>
        <v/>
      </c>
      <c r="Y39" s="513">
        <f>AU21</f>
        <v/>
      </c>
      <c r="Z39" s="514">
        <f>AV21</f>
        <v/>
      </c>
      <c r="AA39" s="120">
        <f>SUM(AB143:AE143)</f>
        <v/>
      </c>
      <c r="AB39" s="121">
        <f>SUM(AL143:AO143)</f>
        <v/>
      </c>
      <c r="AC39" s="121">
        <f>SUM(AB166:AE166)</f>
        <v/>
      </c>
      <c r="AD39" s="122">
        <f>SUM(AL166:AO166)</f>
        <v/>
      </c>
      <c r="AE39" s="123">
        <f>AB39/$AA39</f>
        <v/>
      </c>
      <c r="AF39" s="124">
        <f>AC39/$AA39</f>
        <v/>
      </c>
      <c r="AG39" s="158">
        <f>AD39/$AA39</f>
        <v/>
      </c>
      <c r="AI39" s="63" t="inlineStr">
        <is>
          <t>研发费用</t>
        </is>
      </c>
      <c r="AJ39" s="59" t="inlineStr">
        <is>
          <t>等级1</t>
        </is>
      </c>
      <c r="AK39" s="59" t="inlineStr">
        <is>
          <t>等级2</t>
        </is>
      </c>
      <c r="AL39" s="73" t="inlineStr">
        <is>
          <t>等级3</t>
        </is>
      </c>
      <c r="AM39" s="73" t="inlineStr">
        <is>
          <t>等级4</t>
        </is>
      </c>
      <c r="AN39" s="73" t="inlineStr">
        <is>
          <t>等级5</t>
        </is>
      </c>
      <c r="AR39" s="185" t="n">
        <v>7</v>
      </c>
      <c r="AS39" s="186">
        <f>IF(D79="","",D79)</f>
        <v/>
      </c>
      <c r="AT39" s="187">
        <f>IF(E79="","",E79)</f>
        <v/>
      </c>
      <c r="AU39" s="187">
        <f>IF(F79="","",F79)</f>
        <v/>
      </c>
      <c r="AV39" s="188">
        <f>IF(G79="","",G79)</f>
        <v/>
      </c>
      <c r="AW39" s="186">
        <f>IF(H79="","",H79)</f>
        <v/>
      </c>
      <c r="AX39" s="187">
        <f>IF(I79="","",I79)</f>
        <v/>
      </c>
      <c r="AY39" s="187">
        <f>IF(J79="","",J79)</f>
        <v/>
      </c>
      <c r="AZ39" s="188">
        <f>IF(K79="","",K79)</f>
        <v/>
      </c>
      <c r="BA39" s="186">
        <f>IF(L79="","",L79)</f>
        <v/>
      </c>
      <c r="BB39" s="187">
        <f>IF(M79="","",M79)</f>
        <v/>
      </c>
      <c r="BC39" s="187">
        <f>IF(N79="","",N79)</f>
        <v/>
      </c>
      <c r="BD39" s="188">
        <f>IF(O79="","",O79)</f>
        <v/>
      </c>
      <c r="BE39" s="186">
        <f>IF(P79="","",P79)</f>
        <v/>
      </c>
      <c r="BF39" s="187">
        <f>IF(Q79="","",Q79)</f>
        <v/>
      </c>
      <c r="BG39" s="187">
        <f>IF(R79="","",R79)</f>
        <v/>
      </c>
      <c r="BH39" s="188">
        <f>IF(S79="","",S79)</f>
        <v/>
      </c>
      <c r="CA39" s="213" t="n"/>
      <c r="CB39" s="196" t="inlineStr">
        <is>
          <t>市场2</t>
        </is>
      </c>
      <c r="CC39" s="272">
        <f>第十四期!DG57*第十四期!DG51+第十四期!DG65*第十四期!Y89</f>
        <v/>
      </c>
      <c r="CD39" s="272">
        <f>第十四期!DH57*第十四期!DH51+第十四期!DH65*第十四期!Z89</f>
        <v/>
      </c>
      <c r="CE39" s="272">
        <f>第十四期!DI57*第十四期!DI51+第十四期!DI65*第十四期!AA89</f>
        <v/>
      </c>
      <c r="CF39" s="272">
        <f>第十四期!DJ57*第十四期!DJ51+第十四期!DJ65*第十四期!AB89</f>
        <v/>
      </c>
      <c r="CG39" s="234" t="n"/>
      <c r="CH39" s="498" t="n"/>
      <c r="CI39" s="396" t="n"/>
      <c r="CJ39" s="396" t="n"/>
      <c r="CK39" s="396" t="n"/>
      <c r="CL39" s="396" t="n"/>
      <c r="CM39" s="396" t="n"/>
      <c r="CN39" s="215" t="n"/>
      <c r="CO39" s="239" t="n"/>
    </row>
    <row customHeight="1" ht="17.1" r="40" s="353"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M40" s="30" t="n"/>
      <c r="N40" s="35" t="n"/>
      <c r="O40" s="35" t="n"/>
      <c r="P40" s="35" t="n"/>
      <c r="Q40" s="45" t="n"/>
      <c r="U40" s="53" t="n"/>
      <c r="V40" s="396" t="n"/>
      <c r="W40" s="11" t="n">
        <v>14</v>
      </c>
      <c r="X40" s="469">
        <f>AT22</f>
        <v/>
      </c>
      <c r="Y40" s="513">
        <f>AU22</f>
        <v/>
      </c>
      <c r="Z40" s="514">
        <f>AV22</f>
        <v/>
      </c>
      <c r="AA40" s="120">
        <f>SUM(AB144:AE144)</f>
        <v/>
      </c>
      <c r="AB40" s="121">
        <f>SUM(AL144:AO144)</f>
        <v/>
      </c>
      <c r="AC40" s="121">
        <f>SUM(AB167:AE167)</f>
        <v/>
      </c>
      <c r="AD40" s="122">
        <f>SUM(AL167:AO167)</f>
        <v/>
      </c>
      <c r="AE40" s="123">
        <f>AB40/$AA40</f>
        <v/>
      </c>
      <c r="AF40" s="124">
        <f>AC40/$AA40</f>
        <v/>
      </c>
      <c r="AG40" s="158">
        <f>AD40/$AA40</f>
        <v/>
      </c>
      <c r="AI40" s="64" t="inlineStr">
        <is>
          <t>产品A</t>
        </is>
      </c>
      <c r="AJ40" s="524">
        <f>IF($AM$34=1,CJ70+0.0001,比赛参数!D52)</f>
        <v/>
      </c>
      <c r="AK40" s="524">
        <f>IF($AM$34=2,CK70+0.0001,比赛参数!E52)</f>
        <v/>
      </c>
      <c r="AL40" s="524">
        <f>IF($AM$34=3,CL70+0.0001,比赛参数!F52)</f>
        <v/>
      </c>
      <c r="AM40" s="524">
        <f>IF($AM$34=4,CM70+0.0001,比赛参数!G52)</f>
        <v/>
      </c>
      <c r="AN40" s="524">
        <f>IF($AM$34=5,CN70+0.0001,比赛参数!H52)</f>
        <v/>
      </c>
      <c r="AR40" s="185" t="n">
        <v>8</v>
      </c>
      <c r="AS40" s="186">
        <f>IF(D80="","",D80)</f>
        <v/>
      </c>
      <c r="AT40" s="187">
        <f>IF(E80="","",E80)</f>
        <v/>
      </c>
      <c r="AU40" s="187">
        <f>IF(F80="","",F80)</f>
        <v/>
      </c>
      <c r="AV40" s="188">
        <f>IF(G80="","",G80)</f>
        <v/>
      </c>
      <c r="AW40" s="186">
        <f>IF(H80="","",H80)</f>
        <v/>
      </c>
      <c r="AX40" s="187">
        <f>IF(I80="","",I80)</f>
        <v/>
      </c>
      <c r="AY40" s="187">
        <f>IF(J80="","",J80)</f>
        <v/>
      </c>
      <c r="AZ40" s="188">
        <f>IF(K80="","",K80)</f>
        <v/>
      </c>
      <c r="BA40" s="186">
        <f>IF(L80="","",L80)</f>
        <v/>
      </c>
      <c r="BB40" s="187">
        <f>IF(M80="","",M80)</f>
        <v/>
      </c>
      <c r="BC40" s="187">
        <f>IF(N80="","",N80)</f>
        <v/>
      </c>
      <c r="BD40" s="188">
        <f>IF(O80="","",O80)</f>
        <v/>
      </c>
      <c r="BE40" s="186">
        <f>IF(P80="","",P80)</f>
        <v/>
      </c>
      <c r="BF40" s="187">
        <f>IF(Q80="","",Q80)</f>
        <v/>
      </c>
      <c r="BG40" s="187">
        <f>IF(R80="","",R80)</f>
        <v/>
      </c>
      <c r="BH40" s="188">
        <f>IF(S80="","",S80)</f>
        <v/>
      </c>
      <c r="CA40" s="213" t="n"/>
      <c r="CB40" s="196" t="inlineStr">
        <is>
          <t>市场3</t>
        </is>
      </c>
      <c r="CC40" s="272">
        <f>第十四期!DG58*第十四期!DG52+第十四期!DG66*第十四期!Y90</f>
        <v/>
      </c>
      <c r="CD40" s="272">
        <f>第十四期!DH58*第十四期!DH52+第十四期!DH66*第十四期!Z90</f>
        <v/>
      </c>
      <c r="CE40" s="272">
        <f>第十四期!DI58*第十四期!DI52+第十四期!DI66*第十四期!AA90</f>
        <v/>
      </c>
      <c r="CF40" s="272">
        <f>第十四期!DJ58*第十四期!DJ52+第十四期!DJ66*第十四期!AB90</f>
        <v/>
      </c>
      <c r="CG40" s="235" t="n"/>
      <c r="CH40" s="498" t="n"/>
      <c r="CI40" s="396" t="n"/>
      <c r="CJ40" s="396" t="n"/>
      <c r="CK40" s="396" t="n"/>
      <c r="CL40" s="396" t="n"/>
      <c r="CM40" s="396" t="n"/>
      <c r="CN40" s="215" t="n"/>
      <c r="CO40" s="239" t="n"/>
      <c r="CR40" s="215" t="inlineStr">
        <is>
          <t>变动运输成本</t>
        </is>
      </c>
      <c r="CS40" s="215" t="inlineStr">
        <is>
          <t>市场1</t>
        </is>
      </c>
      <c r="CT40" s="215" t="inlineStr">
        <is>
          <t>市场2</t>
        </is>
      </c>
      <c r="CU40" s="215" t="inlineStr">
        <is>
          <t>市场3</t>
        </is>
      </c>
      <c r="CV40" s="215" t="inlineStr">
        <is>
          <t>市场4</t>
        </is>
      </c>
      <c r="DF40" s="215" t="inlineStr">
        <is>
          <t>机时成本</t>
        </is>
      </c>
    </row>
    <row customHeight="1" ht="16.35" r="41" s="353">
      <c r="C41" s="16" t="inlineStr">
        <is>
          <t>产品</t>
        </is>
      </c>
      <c r="D41" s="17" t="inlineStr">
        <is>
          <t>工厂库存</t>
        </is>
      </c>
      <c r="E41" s="17" t="inlineStr">
        <is>
          <t>本期研发</t>
        </is>
      </c>
      <c r="F41" s="17" t="inlineStr">
        <is>
          <t>累计研发</t>
        </is>
      </c>
      <c r="G41" s="17" t="inlineStr">
        <is>
          <t>产品等级</t>
        </is>
      </c>
      <c r="H41" s="20" t="inlineStr">
        <is>
          <t>正品率</t>
        </is>
      </c>
      <c r="I41" s="10" t="n"/>
      <c r="M41" s="30" t="n"/>
      <c r="N41" s="39" t="inlineStr">
        <is>
          <t>产品</t>
        </is>
      </c>
      <c r="O41" s="39" t="inlineStr">
        <is>
          <t>工厂库存</t>
        </is>
      </c>
      <c r="P41" s="39" t="inlineStr">
        <is>
          <t>本期研发</t>
        </is>
      </c>
      <c r="Q41" s="45" t="n"/>
      <c r="U41" s="53" t="n"/>
      <c r="V41" s="396" t="n"/>
      <c r="W41" s="11" t="n">
        <v>15</v>
      </c>
      <c r="X41" s="469">
        <f>AT23</f>
        <v/>
      </c>
      <c r="Y41" s="513">
        <f>AU23</f>
        <v/>
      </c>
      <c r="Z41" s="514">
        <f>AV23</f>
        <v/>
      </c>
      <c r="AA41" s="120">
        <f>SUM(AB145:AE145)</f>
        <v/>
      </c>
      <c r="AB41" s="121">
        <f>SUM(AL145:AO145)</f>
        <v/>
      </c>
      <c r="AC41" s="121">
        <f>SUM(AB168:AE168)</f>
        <v/>
      </c>
      <c r="AD41" s="122">
        <f>SUM(AL168:AO168)</f>
        <v/>
      </c>
      <c r="AE41" s="123">
        <f>AB41/$AA41</f>
        <v/>
      </c>
      <c r="AF41" s="124">
        <f>AC41/$AA41</f>
        <v/>
      </c>
      <c r="AG41" s="158">
        <f>AD41/$AA41</f>
        <v/>
      </c>
      <c r="AI41" s="11" t="inlineStr">
        <is>
          <t>产品B</t>
        </is>
      </c>
      <c r="AJ41" s="524">
        <f>IF($AM$35=1,CJ71+0.0001,比赛参数!D53)</f>
        <v/>
      </c>
      <c r="AK41" s="524">
        <f>IF($AM$35=2,CK71+0.0001,比赛参数!E53)</f>
        <v/>
      </c>
      <c r="AL41" s="524">
        <f>IF($AM$35=3,CL71+0.0001,比赛参数!F53)</f>
        <v/>
      </c>
      <c r="AM41" s="524">
        <f>IF($AM$35=4,CM71+0.0001,比赛参数!G53)</f>
        <v/>
      </c>
      <c r="AN41" s="524">
        <f>IF($AM$35=5,CN71+0.0001,比赛参数!H53)</f>
        <v/>
      </c>
      <c r="AR41" s="185" t="n">
        <v>9</v>
      </c>
      <c r="AS41" s="186">
        <f>IF(D81="","",D81)</f>
        <v/>
      </c>
      <c r="AT41" s="187">
        <f>IF(E81="","",E81)</f>
        <v/>
      </c>
      <c r="AU41" s="187">
        <f>IF(F81="","",F81)</f>
        <v/>
      </c>
      <c r="AV41" s="188">
        <f>IF(G81="","",G81)</f>
        <v/>
      </c>
      <c r="AW41" s="186">
        <f>IF(H81="","",H81)</f>
        <v/>
      </c>
      <c r="AX41" s="187">
        <f>IF(I81="","",I81)</f>
        <v/>
      </c>
      <c r="AY41" s="187">
        <f>IF(J81="","",J81)</f>
        <v/>
      </c>
      <c r="AZ41" s="188">
        <f>IF(K81="","",K81)</f>
        <v/>
      </c>
      <c r="BA41" s="186">
        <f>IF(L81="","",L81)</f>
        <v/>
      </c>
      <c r="BB41" s="187">
        <f>IF(M81="","",M81)</f>
        <v/>
      </c>
      <c r="BC41" s="187">
        <f>IF(N81="","",N81)</f>
        <v/>
      </c>
      <c r="BD41" s="188">
        <f>IF(O81="","",O81)</f>
        <v/>
      </c>
      <c r="BE41" s="186">
        <f>IF(P81="","",P81)</f>
        <v/>
      </c>
      <c r="BF41" s="187">
        <f>IF(Q81="","",Q81)</f>
        <v/>
      </c>
      <c r="BG41" s="187">
        <f>IF(R81="","",R81)</f>
        <v/>
      </c>
      <c r="BH41" s="188">
        <f>IF(S81="","",S81)</f>
        <v/>
      </c>
      <c r="CA41" s="213" t="n"/>
      <c r="CB41" s="196" t="inlineStr">
        <is>
          <t>市场4</t>
        </is>
      </c>
      <c r="CC41" s="272">
        <f>第十四期!DG59*第十四期!DG53+第十四期!DG67*第十四期!Y91</f>
        <v/>
      </c>
      <c r="CD41" s="272">
        <f>第十四期!DH59*第十四期!DH53+第十四期!DH67*第十四期!Z91</f>
        <v/>
      </c>
      <c r="CE41" s="272">
        <f>第十四期!DI59*第十四期!DI53+第十四期!DI67*第十四期!AA91</f>
        <v/>
      </c>
      <c r="CF41" s="272">
        <f>第十四期!DJ59*第十四期!DJ53+第十四期!DJ67*第十四期!AB91</f>
        <v/>
      </c>
      <c r="CG41" s="272" t="inlineStr">
        <is>
          <t>总运费</t>
        </is>
      </c>
      <c r="CH41" s="498" t="n"/>
      <c r="CI41" s="396" t="n"/>
      <c r="CJ41" s="396" t="n"/>
      <c r="CK41" s="396" t="n"/>
      <c r="CL41" s="396" t="n"/>
      <c r="CM41" s="396" t="n"/>
      <c r="CN41" s="215" t="n"/>
      <c r="CO41" s="239" t="n"/>
      <c r="CR41" s="215" t="inlineStr">
        <is>
          <t>A产品</t>
        </is>
      </c>
      <c r="CS41" s="215">
        <f>比赛参数!D13</f>
        <v/>
      </c>
      <c r="CT41" s="215">
        <f>比赛参数!E13</f>
        <v/>
      </c>
      <c r="CU41" s="215">
        <f>比赛参数!F13</f>
        <v/>
      </c>
      <c r="CV41" s="215">
        <f>比赛参数!G13</f>
        <v/>
      </c>
      <c r="DG41" s="215">
        <f>DG17/CS23</f>
        <v/>
      </c>
      <c r="DH41" s="215">
        <f>DH17/CT23</f>
        <v/>
      </c>
      <c r="DI41" s="215">
        <f>DI17/CU23</f>
        <v/>
      </c>
      <c r="DJ41" s="215">
        <f>DJ17/CV23</f>
        <v/>
      </c>
      <c r="DK41" s="215">
        <f>SUMPRODUCT(DG41:DJ41,BS14:BV14)/SUM(BS14:BV14)</f>
        <v/>
      </c>
    </row>
    <row customHeight="1" ht="15.6" r="42" s="353">
      <c r="B42" s="441" t="n"/>
      <c r="C42" s="388" t="inlineStr">
        <is>
          <t>冰箱</t>
        </is>
      </c>
      <c r="D42" s="9" t="n"/>
      <c r="E42" s="9" t="n"/>
      <c r="F42" s="14" t="n"/>
      <c r="G42" s="9" t="n"/>
      <c r="H42" s="9" t="n"/>
      <c r="I42" s="10" t="n"/>
      <c r="M42" s="30" t="n"/>
      <c r="N42" s="39" t="inlineStr">
        <is>
          <t>A</t>
        </is>
      </c>
      <c r="O42" s="39">
        <f>AO4</f>
        <v/>
      </c>
      <c r="P42" s="39">
        <f>AJ34</f>
        <v/>
      </c>
      <c r="Q42" s="45" t="n"/>
      <c r="U42" s="53" t="n"/>
      <c r="V42" s="396" t="n"/>
      <c r="W42" s="11" t="n">
        <v>16</v>
      </c>
      <c r="X42" s="469">
        <f>AT24</f>
        <v/>
      </c>
      <c r="Y42" s="513">
        <f>AU24</f>
        <v/>
      </c>
      <c r="Z42" s="514">
        <f>AV24</f>
        <v/>
      </c>
      <c r="AA42" s="120">
        <f>SUM(AB146:AE146)</f>
        <v/>
      </c>
      <c r="AB42" s="121">
        <f>SUM(AL146:AO146)</f>
        <v/>
      </c>
      <c r="AC42" s="121">
        <f>SUM(AB169:AE169)</f>
        <v/>
      </c>
      <c r="AD42" s="122">
        <f>SUM(AL169:AO169)</f>
        <v/>
      </c>
      <c r="AE42" s="123">
        <f>AB42/$AA42</f>
        <v/>
      </c>
      <c r="AF42" s="124">
        <f>AC42/$AA42</f>
        <v/>
      </c>
      <c r="AG42" s="158">
        <f>AD42/$AA42</f>
        <v/>
      </c>
      <c r="AI42" s="11" t="inlineStr">
        <is>
          <t>产品C</t>
        </is>
      </c>
      <c r="AJ42" s="524">
        <f>IF($AM$36=1,CJ72+0.0001,比赛参数!D54)</f>
        <v/>
      </c>
      <c r="AK42" s="524">
        <f>IF($AM$36=2,CK72+0.0001,比赛参数!E54)</f>
        <v/>
      </c>
      <c r="AL42" s="524">
        <f>IF($AM$36=3,CL72+0.0001,比赛参数!F54)</f>
        <v/>
      </c>
      <c r="AM42" s="524">
        <f>IF($AM$36=4,CM72+0.0001,比赛参数!G54)</f>
        <v/>
      </c>
      <c r="AN42" s="524">
        <f>IF($AM$36=5,CN72+0.0001,比赛参数!H54)</f>
        <v/>
      </c>
      <c r="AR42" s="185" t="n">
        <v>10</v>
      </c>
      <c r="AS42" s="186">
        <f>IF(D82="","",D82)</f>
        <v/>
      </c>
      <c r="AT42" s="187">
        <f>IF(E82="","",E82)</f>
        <v/>
      </c>
      <c r="AU42" s="187">
        <f>IF(F82="","",F82)</f>
        <v/>
      </c>
      <c r="AV42" s="188">
        <f>IF(G82="","",G82)</f>
        <v/>
      </c>
      <c r="AW42" s="186">
        <f>IF(H82="","",H82)</f>
        <v/>
      </c>
      <c r="AX42" s="187">
        <f>IF(I82="","",I82)</f>
        <v/>
      </c>
      <c r="AY42" s="187">
        <f>IF(J82="","",J82)</f>
        <v/>
      </c>
      <c r="AZ42" s="188">
        <f>IF(K82="","",K82)</f>
        <v/>
      </c>
      <c r="BA42" s="186">
        <f>IF(L82="","",L82)</f>
        <v/>
      </c>
      <c r="BB42" s="187">
        <f>IF(M82="","",M82)</f>
        <v/>
      </c>
      <c r="BC42" s="187">
        <f>IF(N82="","",N82)</f>
        <v/>
      </c>
      <c r="BD42" s="188">
        <f>IF(O82="","",O82)</f>
        <v/>
      </c>
      <c r="BE42" s="186">
        <f>IF(P82="","",P82)</f>
        <v/>
      </c>
      <c r="BF42" s="187">
        <f>IF(Q82="","",Q82)</f>
        <v/>
      </c>
      <c r="BG42" s="187">
        <f>IF(R82="","",R82)</f>
        <v/>
      </c>
      <c r="BH42" s="188">
        <f>IF(S82="","",S82)</f>
        <v/>
      </c>
      <c r="CA42" s="213" t="n"/>
      <c r="CB42" s="98" t="inlineStr">
        <is>
          <t>总计</t>
        </is>
      </c>
      <c r="CC42" s="272">
        <f>SUM(CC38:CC41)</f>
        <v/>
      </c>
      <c r="CD42" s="272">
        <f>SUM(CD38:CD41)</f>
        <v/>
      </c>
      <c r="CE42" s="272">
        <f>SUM(CE38:CE41)</f>
        <v/>
      </c>
      <c r="CF42" s="272">
        <f>SUM(CF38:CF41)</f>
        <v/>
      </c>
      <c r="CG42" s="272">
        <f>SUM(CC42:CF42)</f>
        <v/>
      </c>
      <c r="CH42" s="498" t="n"/>
      <c r="CI42" s="396" t="n"/>
      <c r="CJ42" s="396" t="n"/>
      <c r="CK42" s="396" t="n"/>
      <c r="CL42" s="396" t="n"/>
      <c r="CM42" s="396" t="n"/>
      <c r="CN42" s="215" t="n"/>
      <c r="CO42" s="239" t="n"/>
      <c r="CR42" s="215" t="inlineStr">
        <is>
          <t>B产品</t>
        </is>
      </c>
      <c r="CS42" s="215">
        <f>比赛参数!H13</f>
        <v/>
      </c>
      <c r="CT42" s="215">
        <f>比赛参数!I13</f>
        <v/>
      </c>
      <c r="CU42" s="215">
        <f>比赛参数!J13</f>
        <v/>
      </c>
      <c r="CV42" s="215">
        <f>比赛参数!K13</f>
        <v/>
      </c>
      <c r="DG42" s="215">
        <f>DG18/CS24</f>
        <v/>
      </c>
      <c r="DH42" s="215">
        <f>DH18/CT24</f>
        <v/>
      </c>
      <c r="DI42" s="215">
        <f>DI18/CU24</f>
        <v/>
      </c>
      <c r="DJ42" s="215">
        <f>DJ18/CV24</f>
        <v/>
      </c>
      <c r="DK42" s="215">
        <f>SUMPRODUCT(DG42:DJ42,BS15:BV15)/SUM(BS15:BV15)</f>
        <v/>
      </c>
    </row>
    <row customHeight="1" ht="16.35" r="43" s="353">
      <c r="B43" s="441" t="n"/>
      <c r="C43" s="388" t="inlineStr">
        <is>
          <t>电视</t>
        </is>
      </c>
      <c r="D43" s="9" t="n"/>
      <c r="E43" s="9" t="n"/>
      <c r="F43" s="14" t="n"/>
      <c r="G43" s="9" t="n"/>
      <c r="H43" s="9" t="n"/>
      <c r="I43" s="10" t="n"/>
      <c r="M43" s="30" t="n"/>
      <c r="N43" s="39" t="inlineStr">
        <is>
          <t>B</t>
        </is>
      </c>
      <c r="O43" s="39">
        <f>AO5</f>
        <v/>
      </c>
      <c r="P43" s="39">
        <f>AJ35</f>
        <v/>
      </c>
      <c r="Q43" s="45" t="n"/>
      <c r="U43" s="53" t="n"/>
      <c r="V43" s="396" t="n"/>
      <c r="W43" s="11" t="n">
        <v>17</v>
      </c>
      <c r="X43" s="469">
        <f>AT25</f>
        <v/>
      </c>
      <c r="Y43" s="513">
        <f>AU25</f>
        <v/>
      </c>
      <c r="Z43" s="514">
        <f>AV25</f>
        <v/>
      </c>
      <c r="AA43" s="120">
        <f>SUM(AB147:AE147)</f>
        <v/>
      </c>
      <c r="AB43" s="121">
        <f>SUM(AL147:AO147)</f>
        <v/>
      </c>
      <c r="AC43" s="121">
        <f>SUM(AB170:AE170)</f>
        <v/>
      </c>
      <c r="AD43" s="122">
        <f>SUM(AL170:AO170)</f>
        <v/>
      </c>
      <c r="AE43" s="123">
        <f>AB43/$AA43</f>
        <v/>
      </c>
      <c r="AF43" s="124">
        <f>AC43/$AA43</f>
        <v/>
      </c>
      <c r="AG43" s="158">
        <f>AD43/$AA43</f>
        <v/>
      </c>
      <c r="AI43" s="11" t="inlineStr">
        <is>
          <t>产品D</t>
        </is>
      </c>
      <c r="AJ43" s="524">
        <f>IF($AM$37=1,CJ73+0.0001,比赛参数!D55)</f>
        <v/>
      </c>
      <c r="AK43" s="524">
        <f>IF($AM$37=2,CK73+0.0001,比赛参数!E55)</f>
        <v/>
      </c>
      <c r="AL43" s="524">
        <f>IF($AM$37=3,CL73+0.0001,比赛参数!F55)</f>
        <v/>
      </c>
      <c r="AM43" s="524">
        <f>IF($AM$37=4,CM73+0.0001,比赛参数!G55)</f>
        <v/>
      </c>
      <c r="AN43" s="524">
        <f>IF($AM$37=5,CN73+0.0001,比赛参数!H55)</f>
        <v/>
      </c>
      <c r="AR43" s="185" t="n">
        <v>11</v>
      </c>
      <c r="AS43" s="186">
        <f>IF(D83="","",D83)</f>
        <v/>
      </c>
      <c r="AT43" s="187">
        <f>IF(E83="","",E83)</f>
        <v/>
      </c>
      <c r="AU43" s="187">
        <f>IF(F83="","",F83)</f>
        <v/>
      </c>
      <c r="AV43" s="188">
        <f>IF(G83="","",G83)</f>
        <v/>
      </c>
      <c r="AW43" s="186">
        <f>IF(H83="","",H83)</f>
        <v/>
      </c>
      <c r="AX43" s="187">
        <f>IF(I83="","",I83)</f>
        <v/>
      </c>
      <c r="AY43" s="187">
        <f>IF(J83="","",J83)</f>
        <v/>
      </c>
      <c r="AZ43" s="188">
        <f>IF(K83="","",K83)</f>
        <v/>
      </c>
      <c r="BA43" s="186">
        <f>IF(L83="","",L83)</f>
        <v/>
      </c>
      <c r="BB43" s="187">
        <f>IF(M83="","",M83)</f>
        <v/>
      </c>
      <c r="BC43" s="187">
        <f>IF(N83="","",N83)</f>
        <v/>
      </c>
      <c r="BD43" s="188">
        <f>IF(O83="","",O83)</f>
        <v/>
      </c>
      <c r="BE43" s="186">
        <f>IF(P83="","",P83)</f>
        <v/>
      </c>
      <c r="BF43" s="187">
        <f>IF(Q83="","",Q83)</f>
        <v/>
      </c>
      <c r="BG43" s="187">
        <f>IF(R83="","",R83)</f>
        <v/>
      </c>
      <c r="BH43" s="188">
        <f>IF(S83="","",S83)</f>
        <v/>
      </c>
      <c r="CA43" s="221" t="n"/>
      <c r="CB43" s="222" t="n"/>
      <c r="CC43" s="222" t="n"/>
      <c r="CD43" s="222" t="n"/>
      <c r="CE43" s="222" t="n"/>
      <c r="CF43" s="222" t="n"/>
      <c r="CG43" s="222" t="n"/>
      <c r="CH43" s="222" t="n"/>
      <c r="CI43" s="222" t="n"/>
      <c r="CJ43" s="222" t="n"/>
      <c r="CK43" s="222" t="n"/>
      <c r="CL43" s="222" t="n"/>
      <c r="CM43" s="222" t="n"/>
      <c r="CN43" s="222" t="n"/>
      <c r="CO43" s="240" t="n"/>
      <c r="CR43" s="215" t="inlineStr">
        <is>
          <t>C产品</t>
        </is>
      </c>
      <c r="CS43" s="215">
        <f>比赛参数!D14</f>
        <v/>
      </c>
      <c r="CT43" s="215">
        <f>比赛参数!E14</f>
        <v/>
      </c>
      <c r="CU43" s="215">
        <f>比赛参数!F14</f>
        <v/>
      </c>
      <c r="CV43" s="215">
        <f>比赛参数!G14</f>
        <v/>
      </c>
      <c r="DG43" s="215">
        <f>DG19/CS25</f>
        <v/>
      </c>
      <c r="DH43" s="215">
        <f>DH19/CT25</f>
        <v/>
      </c>
      <c r="DI43" s="215">
        <f>DI19/CU25</f>
        <v/>
      </c>
      <c r="DJ43" s="215">
        <f>DJ19/CV25</f>
        <v/>
      </c>
      <c r="DK43" s="215">
        <f>SUMPRODUCT(DG43:DJ43,BS16:BV16)/SUM(BS16:BV16)</f>
        <v/>
      </c>
    </row>
    <row customHeight="1" ht="16.35" r="44" s="353">
      <c r="B44" s="441" t="n"/>
      <c r="C44" s="388" t="inlineStr">
        <is>
          <t>手机</t>
        </is>
      </c>
      <c r="D44" s="9" t="n"/>
      <c r="E44" s="9" t="n"/>
      <c r="F44" s="9" t="n"/>
      <c r="G44" s="9" t="n"/>
      <c r="H44" s="9" t="n"/>
      <c r="I44" s="10" t="n"/>
      <c r="M44" s="30" t="n"/>
      <c r="N44" s="39" t="inlineStr">
        <is>
          <t>C</t>
        </is>
      </c>
      <c r="O44" s="39">
        <f>AO6</f>
        <v/>
      </c>
      <c r="P44" s="39">
        <f>AJ36</f>
        <v/>
      </c>
      <c r="Q44" s="45" t="n"/>
      <c r="U44" s="53" t="n"/>
      <c r="V44" s="396" t="n"/>
      <c r="W44" s="11" t="n">
        <v>18</v>
      </c>
      <c r="X44" s="469">
        <f>AT26</f>
        <v/>
      </c>
      <c r="Y44" s="513">
        <f>AU26</f>
        <v/>
      </c>
      <c r="Z44" s="514">
        <f>AV26</f>
        <v/>
      </c>
      <c r="AA44" s="125">
        <f>SUM(AB148:AE148)</f>
        <v/>
      </c>
      <c r="AB44" s="121">
        <f>SUM(AL148:AO148)</f>
        <v/>
      </c>
      <c r="AC44" s="121">
        <f>SUM(AB171:AE171)</f>
        <v/>
      </c>
      <c r="AD44" s="122">
        <f>SUM(AL171:AO171)</f>
        <v/>
      </c>
      <c r="AE44" s="123">
        <f>AB44/$AA44</f>
        <v/>
      </c>
      <c r="AF44" s="124">
        <f>AC44/$AA44</f>
        <v/>
      </c>
      <c r="AG44" s="158">
        <f>AD44/$AA44</f>
        <v/>
      </c>
      <c r="AR44" s="185" t="n">
        <v>12</v>
      </c>
      <c r="AS44" s="186">
        <f>IF(D84="","",D84)</f>
        <v/>
      </c>
      <c r="AT44" s="187">
        <f>IF(E84="","",E84)</f>
        <v/>
      </c>
      <c r="AU44" s="187">
        <f>IF(F84="","",F84)</f>
        <v/>
      </c>
      <c r="AV44" s="188">
        <f>IF(G84="","",G84)</f>
        <v/>
      </c>
      <c r="AW44" s="186">
        <f>IF(H84="","",H84)</f>
        <v/>
      </c>
      <c r="AX44" s="187">
        <f>IF(I84="","",I84)</f>
        <v/>
      </c>
      <c r="AY44" s="187">
        <f>IF(J84="","",J84)</f>
        <v/>
      </c>
      <c r="AZ44" s="188">
        <f>IF(K84="","",K84)</f>
        <v/>
      </c>
      <c r="BA44" s="186">
        <f>IF(L84="","",L84)</f>
        <v/>
      </c>
      <c r="BB44" s="187">
        <f>IF(M84="","",M84)</f>
        <v/>
      </c>
      <c r="BC44" s="187">
        <f>IF(N84="","",N84)</f>
        <v/>
      </c>
      <c r="BD44" s="188">
        <f>IF(O84="","",O84)</f>
        <v/>
      </c>
      <c r="BE44" s="186">
        <f>IF(P84="","",P84)</f>
        <v/>
      </c>
      <c r="BF44" s="187">
        <f>IF(Q84="","",Q84)</f>
        <v/>
      </c>
      <c r="BG44" s="187">
        <f>IF(R84="","",R84)</f>
        <v/>
      </c>
      <c r="BH44" s="188">
        <f>IF(S84="","",S84)</f>
        <v/>
      </c>
      <c r="CA44" s="215" t="n"/>
      <c r="CR44" s="215" t="inlineStr">
        <is>
          <t>D产品</t>
        </is>
      </c>
      <c r="CS44" s="215">
        <f>比赛参数!H14</f>
        <v/>
      </c>
      <c r="CT44" s="215">
        <f>比赛参数!I14</f>
        <v/>
      </c>
      <c r="CU44" s="215">
        <f>比赛参数!J14</f>
        <v/>
      </c>
      <c r="CV44" s="215">
        <f>比赛参数!K14</f>
        <v/>
      </c>
      <c r="DG44" s="215">
        <f>DG20/CS26</f>
        <v/>
      </c>
      <c r="DH44" s="215">
        <f>DH20/CT26</f>
        <v/>
      </c>
      <c r="DI44" s="215">
        <f>DI20/CU26</f>
        <v/>
      </c>
      <c r="DJ44" s="215">
        <f>DJ20/CV26</f>
        <v/>
      </c>
      <c r="DK44" s="215">
        <f>SUMPRODUCT(DG44:DJ44,BS17:BV17)/SUM(BS17:BV17)</f>
        <v/>
      </c>
    </row>
    <row customHeight="1" ht="16.35" r="45" s="353">
      <c r="B45" s="441" t="n"/>
      <c r="C45" s="388" t="inlineStr">
        <is>
          <t>计算机</t>
        </is>
      </c>
      <c r="D45" s="9" t="n"/>
      <c r="E45" s="9" t="n"/>
      <c r="F45" s="9" t="n"/>
      <c r="G45" s="9" t="n"/>
      <c r="H45" s="9" t="n"/>
      <c r="I45" s="10" t="n"/>
      <c r="M45" s="30" t="n"/>
      <c r="N45" s="39" t="inlineStr">
        <is>
          <t>D</t>
        </is>
      </c>
      <c r="O45" s="39">
        <f>AO7</f>
        <v/>
      </c>
      <c r="P45" s="39">
        <f>AJ37</f>
        <v/>
      </c>
      <c r="Q45" s="45" t="n"/>
      <c r="U45" s="53" t="n"/>
      <c r="V45" s="396" t="n"/>
      <c r="W45" s="11" t="n">
        <v>19</v>
      </c>
      <c r="X45" s="469">
        <f>AT27</f>
        <v/>
      </c>
      <c r="Y45" s="513">
        <f>AU27</f>
        <v/>
      </c>
      <c r="Z45" s="514">
        <f>AV27</f>
        <v/>
      </c>
      <c r="AA45" s="120">
        <f>SUM(AB149:AE149)</f>
        <v/>
      </c>
      <c r="AB45" s="121">
        <f>SUM(AL149:AO149)</f>
        <v/>
      </c>
      <c r="AC45" s="121">
        <f>SUM(AB172:AE172)</f>
        <v/>
      </c>
      <c r="AD45" s="122">
        <f>SUM(AL172:AO172)</f>
        <v/>
      </c>
      <c r="AE45" s="123">
        <f>AB45/$AA45</f>
        <v/>
      </c>
      <c r="AF45" s="124">
        <f>AC45/$AA45</f>
        <v/>
      </c>
      <c r="AG45" s="158">
        <f>AD45/$AA45</f>
        <v/>
      </c>
      <c r="AR45" s="185" t="n">
        <v>13</v>
      </c>
      <c r="AS45" s="186">
        <f>IF(D85="","",D85)</f>
        <v/>
      </c>
      <c r="AT45" s="187">
        <f>IF(E85="","",E85)</f>
        <v/>
      </c>
      <c r="AU45" s="187">
        <f>IF(F85="","",F85)</f>
        <v/>
      </c>
      <c r="AV45" s="188">
        <f>IF(G85="","",G85)</f>
        <v/>
      </c>
      <c r="AW45" s="186">
        <f>IF(H85="","",H85)</f>
        <v/>
      </c>
      <c r="AX45" s="187">
        <f>IF(I85="","",I85)</f>
        <v/>
      </c>
      <c r="AY45" s="187">
        <f>IF(J85="","",J85)</f>
        <v/>
      </c>
      <c r="AZ45" s="188">
        <f>IF(K85="","",K85)</f>
        <v/>
      </c>
      <c r="BA45" s="186">
        <f>IF(L85="","",L85)</f>
        <v/>
      </c>
      <c r="BB45" s="187">
        <f>IF(M85="","",M85)</f>
        <v/>
      </c>
      <c r="BC45" s="187">
        <f>IF(N85="","",N85)</f>
        <v/>
      </c>
      <c r="BD45" s="188">
        <f>IF(O85="","",O85)</f>
        <v/>
      </c>
      <c r="BE45" s="186">
        <f>IF(P85="","",P85)</f>
        <v/>
      </c>
      <c r="BF45" s="187">
        <f>IF(Q85="","",Q85)</f>
        <v/>
      </c>
      <c r="BG45" s="187">
        <f>IF(R85="","",R85)</f>
        <v/>
      </c>
      <c r="BH45" s="188">
        <f>IF(S85="","",S85)</f>
        <v/>
      </c>
    </row>
    <row customHeight="1" ht="15.6" r="46" s="353">
      <c r="C46" s="15" t="n"/>
      <c r="D46" s="15" t="n"/>
      <c r="E46" s="15" t="n"/>
      <c r="F46" s="15" t="n"/>
      <c r="G46" s="15" t="n"/>
      <c r="H46" s="15" t="n"/>
      <c r="M46" s="30" t="n"/>
      <c r="N46" s="35" t="n"/>
      <c r="O46" s="35" t="n"/>
      <c r="P46" s="35" t="n"/>
      <c r="Q46" s="45" t="n"/>
      <c r="T46" s="460" t="n"/>
      <c r="U46" s="53" t="n"/>
      <c r="V46" s="396" t="n"/>
      <c r="W46" s="11" t="n">
        <v>20</v>
      </c>
      <c r="X46" s="469">
        <f>AT28</f>
        <v/>
      </c>
      <c r="Y46" s="513">
        <f>AU28</f>
        <v/>
      </c>
      <c r="Z46" s="514">
        <f>AV28</f>
        <v/>
      </c>
      <c r="AA46" s="120">
        <f>SUM(AB150:AE150)</f>
        <v/>
      </c>
      <c r="AB46" s="121">
        <f>SUM(AL150:AO150)</f>
        <v/>
      </c>
      <c r="AC46" s="121">
        <f>SUM(AB173:AE173)</f>
        <v/>
      </c>
      <c r="AD46" s="122">
        <f>SUM(AL173:AO173)</f>
        <v/>
      </c>
      <c r="AE46" s="123">
        <f>AB46/$AA46</f>
        <v/>
      </c>
      <c r="AF46" s="124">
        <f>AC46/$AA46</f>
        <v/>
      </c>
      <c r="AG46" s="158">
        <f>AD46/$AA46</f>
        <v/>
      </c>
      <c r="AR46" s="185" t="n">
        <v>14</v>
      </c>
      <c r="AS46" s="186">
        <f>IF(D86="","",D86)</f>
        <v/>
      </c>
      <c r="AT46" s="187">
        <f>IF(E86="","",E86)</f>
        <v/>
      </c>
      <c r="AU46" s="187">
        <f>IF(F86="","",F86)</f>
        <v/>
      </c>
      <c r="AV46" s="188">
        <f>IF(G86="","",G86)</f>
        <v/>
      </c>
      <c r="AW46" s="186">
        <f>IF(H86="","",H86)</f>
        <v/>
      </c>
      <c r="AX46" s="187">
        <f>IF(I86="","",I86)</f>
        <v/>
      </c>
      <c r="AY46" s="187">
        <f>IF(J86="","",J86)</f>
        <v/>
      </c>
      <c r="AZ46" s="188">
        <f>IF(K86="","",K86)</f>
        <v/>
      </c>
      <c r="BA46" s="186">
        <f>IF(L86="","",L86)</f>
        <v/>
      </c>
      <c r="BB46" s="187">
        <f>IF(M86="","",M86)</f>
        <v/>
      </c>
      <c r="BC46" s="187">
        <f>IF(N86="","",N86)</f>
        <v/>
      </c>
      <c r="BD46" s="188">
        <f>IF(O86="","",O86)</f>
        <v/>
      </c>
      <c r="BE46" s="186">
        <f>IF(P86="","",P86)</f>
        <v/>
      </c>
      <c r="BF46" s="187">
        <f>IF(Q86="","",Q86)</f>
        <v/>
      </c>
      <c r="BG46" s="187">
        <f>IF(R86="","",R86)</f>
        <v/>
      </c>
      <c r="BH46" s="188">
        <f>IF(S86="","",S86)</f>
        <v/>
      </c>
    </row>
    <row customHeight="1" ht="16.35" r="47" s="353">
      <c r="M47" s="40" t="n"/>
      <c r="N47" s="41" t="n"/>
      <c r="O47" s="41" t="n"/>
      <c r="P47" s="41" t="n"/>
      <c r="Q47" s="58" t="n"/>
      <c r="R47" s="59" t="inlineStr">
        <is>
          <t>本公司</t>
        </is>
      </c>
      <c r="S47" s="60">
        <f>比赛参数!D4</f>
        <v/>
      </c>
      <c r="AR47" s="185" t="n">
        <v>15</v>
      </c>
      <c r="AS47" s="186">
        <f>IF(D87="","",D87)</f>
        <v/>
      </c>
      <c r="AT47" s="187">
        <f>IF(E87="","",E87)</f>
        <v/>
      </c>
      <c r="AU47" s="187">
        <f>IF(F87="","",F87)</f>
        <v/>
      </c>
      <c r="AV47" s="188">
        <f>IF(G87="","",G87)</f>
        <v/>
      </c>
      <c r="AW47" s="186">
        <f>IF(H87="","",H87)</f>
        <v/>
      </c>
      <c r="AX47" s="187">
        <f>IF(I87="","",I87)</f>
        <v/>
      </c>
      <c r="AY47" s="187">
        <f>IF(J87="","",J87)</f>
        <v/>
      </c>
      <c r="AZ47" s="188">
        <f>IF(K87="","",K87)</f>
        <v/>
      </c>
      <c r="BA47" s="186">
        <f>IF(L87="","",L87)</f>
        <v/>
      </c>
      <c r="BB47" s="187">
        <f>IF(M87="","",M87)</f>
        <v/>
      </c>
      <c r="BC47" s="187">
        <f>IF(N87="","",N87)</f>
        <v/>
      </c>
      <c r="BD47" s="188">
        <f>IF(O87="","",O87)</f>
        <v/>
      </c>
      <c r="BE47" s="186">
        <f>IF(P87="","",P87)</f>
        <v/>
      </c>
      <c r="BF47" s="187">
        <f>IF(Q87="","",Q87)</f>
        <v/>
      </c>
      <c r="BG47" s="187">
        <f>IF(R87="","",R87)</f>
        <v/>
      </c>
      <c r="BH47" s="188">
        <f>IF(S87="","",S87)</f>
        <v/>
      </c>
    </row>
    <row r="48" s="353">
      <c r="C48" s="21" t="n"/>
      <c r="D48" s="22" t="inlineStr">
        <is>
          <t>产品A</t>
        </is>
      </c>
      <c r="E48" s="22" t="n"/>
      <c r="F48" s="22" t="n"/>
      <c r="G48" s="22" t="n"/>
      <c r="H48" s="22" t="inlineStr">
        <is>
          <t>产品B</t>
        </is>
      </c>
      <c r="I48" s="22" t="n"/>
      <c r="J48" s="22" t="n"/>
      <c r="K48" s="22" t="n"/>
      <c r="L48" s="22" t="inlineStr">
        <is>
          <t>产品C</t>
        </is>
      </c>
      <c r="M48" s="22" t="n"/>
      <c r="N48" s="22" t="n"/>
      <c r="O48" s="22" t="n"/>
      <c r="P48" s="22" t="inlineStr">
        <is>
          <t>产品D</t>
        </is>
      </c>
      <c r="Q48" s="22" t="n"/>
      <c r="R48" s="22" t="n"/>
      <c r="S48" s="61" t="n"/>
      <c r="V48" s="4" t="inlineStr">
        <is>
          <t>分      销      ＆      定      价</t>
        </is>
      </c>
      <c r="AR48" s="185" t="n">
        <v>16</v>
      </c>
      <c r="AS48" s="186">
        <f>IF(D88="","",D88)</f>
        <v/>
      </c>
      <c r="AT48" s="187">
        <f>IF(E88="","",E88)</f>
        <v/>
      </c>
      <c r="AU48" s="187">
        <f>IF(F88="","",F88)</f>
        <v/>
      </c>
      <c r="AV48" s="188">
        <f>IF(G88="","",G88)</f>
        <v/>
      </c>
      <c r="AW48" s="186">
        <f>IF(H88="","",H88)</f>
        <v/>
      </c>
      <c r="AX48" s="187">
        <f>IF(I88="","",I88)</f>
        <v/>
      </c>
      <c r="AY48" s="187">
        <f>IF(J88="","",J88)</f>
        <v/>
      </c>
      <c r="AZ48" s="188">
        <f>IF(K88="","",K88)</f>
        <v/>
      </c>
      <c r="BA48" s="186">
        <f>IF(L88="","",L88)</f>
        <v/>
      </c>
      <c r="BB48" s="187">
        <f>IF(M88="","",M88)</f>
        <v/>
      </c>
      <c r="BC48" s="187">
        <f>IF(N88="","",N88)</f>
        <v/>
      </c>
      <c r="BD48" s="188">
        <f>IF(O88="","",O88)</f>
        <v/>
      </c>
      <c r="BE48" s="186">
        <f>IF(P88="","",P88)</f>
        <v/>
      </c>
      <c r="BF48" s="187">
        <f>IF(Q88="","",Q88)</f>
        <v/>
      </c>
      <c r="BG48" s="187">
        <f>IF(R88="","",R88)</f>
        <v/>
      </c>
      <c r="BH48" s="188">
        <f>IF(S88="","",S88)</f>
        <v/>
      </c>
      <c r="BQ48" s="205" t="inlineStr">
        <is>
          <t>会       计       报       表</t>
        </is>
      </c>
      <c r="BR48" s="446" t="n"/>
      <c r="BS48" s="446" t="n"/>
      <c r="BT48" s="446" t="n"/>
      <c r="BU48" s="446" t="n"/>
      <c r="BV48" s="446" t="n"/>
      <c r="BW48" s="446" t="n"/>
      <c r="BX48" s="446" t="n"/>
      <c r="CB48" s="223" t="n"/>
      <c r="CC48" s="223" t="n"/>
      <c r="CD48" s="223" t="n"/>
      <c r="CE48" s="223" t="n"/>
      <c r="CF48" s="223" t="n"/>
      <c r="CG48" s="223" t="n"/>
      <c r="CH48" s="223" t="n"/>
      <c r="CI48" s="223" t="n"/>
      <c r="CJ48" s="223" t="n"/>
      <c r="CK48" s="223" t="n"/>
      <c r="CL48" s="223" t="n"/>
    </row>
    <row r="49" s="353">
      <c r="C49" s="23" t="inlineStr">
        <is>
          <t>公司</t>
        </is>
      </c>
      <c r="D49" s="24" t="inlineStr">
        <is>
          <t>市场1</t>
        </is>
      </c>
      <c r="E49" s="24" t="inlineStr">
        <is>
          <t>市场2</t>
        </is>
      </c>
      <c r="F49" s="24" t="inlineStr">
        <is>
          <t>市场3</t>
        </is>
      </c>
      <c r="G49" s="24" t="inlineStr">
        <is>
          <t>市场4</t>
        </is>
      </c>
      <c r="H49" s="24" t="inlineStr">
        <is>
          <t>市场1</t>
        </is>
      </c>
      <c r="I49" s="24" t="inlineStr">
        <is>
          <t>市场2</t>
        </is>
      </c>
      <c r="J49" s="24" t="inlineStr">
        <is>
          <t>市场3</t>
        </is>
      </c>
      <c r="K49" s="24" t="inlineStr">
        <is>
          <t>市场4</t>
        </is>
      </c>
      <c r="L49" s="24" t="inlineStr">
        <is>
          <t>市场1</t>
        </is>
      </c>
      <c r="M49" s="24" t="inlineStr">
        <is>
          <t>市场2</t>
        </is>
      </c>
      <c r="N49" s="24" t="inlineStr">
        <is>
          <t>市场3</t>
        </is>
      </c>
      <c r="O49" s="24" t="inlineStr">
        <is>
          <t>市场4</t>
        </is>
      </c>
      <c r="P49" s="24" t="inlineStr">
        <is>
          <t>市场1</t>
        </is>
      </c>
      <c r="Q49" s="24" t="inlineStr">
        <is>
          <t>市场2</t>
        </is>
      </c>
      <c r="R49" s="24" t="inlineStr">
        <is>
          <t>市场3</t>
        </is>
      </c>
      <c r="S49" s="62" t="inlineStr">
        <is>
          <t>市场4</t>
        </is>
      </c>
      <c r="AR49" s="185" t="n">
        <v>17</v>
      </c>
      <c r="AS49" s="186">
        <f>IF(D89="","",D89)</f>
        <v/>
      </c>
      <c r="AT49" s="187">
        <f>IF(E89="","",E89)</f>
        <v/>
      </c>
      <c r="AU49" s="187">
        <f>IF(F89="","",F89)</f>
        <v/>
      </c>
      <c r="AV49" s="188">
        <f>IF(G89="","",G89)</f>
        <v/>
      </c>
      <c r="AW49" s="186">
        <f>IF(H89="","",H89)</f>
        <v/>
      </c>
      <c r="AX49" s="187">
        <f>IF(I89="","",I89)</f>
        <v/>
      </c>
      <c r="AY49" s="187">
        <f>IF(J89="","",J89)</f>
        <v/>
      </c>
      <c r="AZ49" s="188">
        <f>IF(K89="","",K89)</f>
        <v/>
      </c>
      <c r="BA49" s="186">
        <f>IF(L89="","",L89)</f>
        <v/>
      </c>
      <c r="BB49" s="187">
        <f>IF(M89="","",M89)</f>
        <v/>
      </c>
      <c r="BC49" s="187">
        <f>IF(N89="","",N89)</f>
        <v/>
      </c>
      <c r="BD49" s="188">
        <f>IF(O89="","",O89)</f>
        <v/>
      </c>
      <c r="BE49" s="186">
        <f>IF(P89="","",P89)</f>
        <v/>
      </c>
      <c r="BF49" s="187">
        <f>IF(Q89="","",Q89)</f>
        <v/>
      </c>
      <c r="BG49" s="187">
        <f>IF(R89="","",R89)</f>
        <v/>
      </c>
      <c r="BH49" s="188">
        <f>IF(S89="","",S89)</f>
        <v/>
      </c>
      <c r="CB49" s="214" t="inlineStr">
        <is>
          <t>收入</t>
        </is>
      </c>
      <c r="CC49" s="195" t="inlineStr">
        <is>
          <t>A产品</t>
        </is>
      </c>
      <c r="CD49" s="195" t="inlineStr">
        <is>
          <t>B产品</t>
        </is>
      </c>
      <c r="CE49" s="195" t="inlineStr">
        <is>
          <t>C产品</t>
        </is>
      </c>
      <c r="CF49" s="195" t="inlineStr">
        <is>
          <t>D产品</t>
        </is>
      </c>
      <c r="CG49" s="396" t="n"/>
      <c r="CH49" s="396" t="n"/>
      <c r="CI49" s="214" t="inlineStr">
        <is>
          <t>废品损失</t>
        </is>
      </c>
      <c r="CJ49" s="195" t="inlineStr">
        <is>
          <t>A产品</t>
        </is>
      </c>
      <c r="CK49" s="195" t="inlineStr">
        <is>
          <t>B产品</t>
        </is>
      </c>
      <c r="CL49" s="195" t="inlineStr">
        <is>
          <t>C产品</t>
        </is>
      </c>
      <c r="CM49" s="195" t="inlineStr">
        <is>
          <t>D产品</t>
        </is>
      </c>
      <c r="CN49" s="396" t="n"/>
      <c r="CO49" s="396" t="n"/>
      <c r="CP49" s="294" t="inlineStr">
        <is>
          <t>各班工资</t>
        </is>
      </c>
      <c r="CQ49" s="294" t="inlineStr">
        <is>
          <t>第一班正班</t>
        </is>
      </c>
      <c r="CR49" s="294" t="inlineStr">
        <is>
          <t>第一班加班</t>
        </is>
      </c>
      <c r="CS49" s="294" t="inlineStr">
        <is>
          <t>第二班正班</t>
        </is>
      </c>
      <c r="CT49" s="294" t="inlineStr">
        <is>
          <t>第二班加班</t>
        </is>
      </c>
      <c r="CU49" s="294" t="inlineStr">
        <is>
          <t>平均工资</t>
        </is>
      </c>
      <c r="CW49" s="63" t="inlineStr">
        <is>
          <t>单位成本</t>
        </is>
      </c>
      <c r="CX49" s="11" t="inlineStr">
        <is>
          <t>市场1</t>
        </is>
      </c>
      <c r="CY49" s="11" t="inlineStr">
        <is>
          <t>市场2</t>
        </is>
      </c>
      <c r="CZ49" s="11" t="inlineStr">
        <is>
          <t>市场3</t>
        </is>
      </c>
      <c r="DA49" s="11" t="inlineStr">
        <is>
          <t>市场4</t>
        </is>
      </c>
      <c r="DB49" s="11" t="inlineStr">
        <is>
          <t>平均</t>
        </is>
      </c>
      <c r="DF49" s="247" t="inlineStr">
        <is>
          <t>是否运出</t>
        </is>
      </c>
      <c r="DG49" s="294" t="inlineStr">
        <is>
          <t>A产品</t>
        </is>
      </c>
      <c r="DH49" s="294" t="inlineStr">
        <is>
          <t>B产品</t>
        </is>
      </c>
      <c r="DI49" s="294" t="inlineStr">
        <is>
          <t>C产品</t>
        </is>
      </c>
      <c r="DJ49" s="294" t="inlineStr">
        <is>
          <t>D产品</t>
        </is>
      </c>
      <c r="DL49" s="247" t="inlineStr">
        <is>
          <t>是否生产</t>
        </is>
      </c>
      <c r="DM49" s="247" t="inlineStr">
        <is>
          <t>第一班</t>
        </is>
      </c>
      <c r="DN49" s="247" t="inlineStr">
        <is>
          <t>第二班</t>
        </is>
      </c>
      <c r="DO49" s="246" t="n"/>
    </row>
    <row r="50" s="353">
      <c r="B50" s="441" t="n"/>
      <c r="C50" s="25" t="n">
        <v>1</v>
      </c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10" t="n"/>
      <c r="AR50" s="185" t="n">
        <v>18</v>
      </c>
      <c r="AS50" s="186">
        <f>IF(D90="","",D90)</f>
        <v/>
      </c>
      <c r="AT50" s="187">
        <f>IF(E90="","",E90)</f>
        <v/>
      </c>
      <c r="AU50" s="187">
        <f>IF(F90="","",F90)</f>
        <v/>
      </c>
      <c r="AV50" s="188">
        <f>IF(G90="","",G90)</f>
        <v/>
      </c>
      <c r="AW50" s="186">
        <f>IF(H90="","",H90)</f>
        <v/>
      </c>
      <c r="AX50" s="187">
        <f>IF(I90="","",I90)</f>
        <v/>
      </c>
      <c r="AY50" s="187">
        <f>IF(J90="","",J90)</f>
        <v/>
      </c>
      <c r="AZ50" s="188">
        <f>IF(K90="","",K90)</f>
        <v/>
      </c>
      <c r="BA50" s="186">
        <f>IF(L90="","",L90)</f>
        <v/>
      </c>
      <c r="BB50" s="187">
        <f>IF(M90="","",M90)</f>
        <v/>
      </c>
      <c r="BC50" s="187">
        <f>IF(N90="","",N90)</f>
        <v/>
      </c>
      <c r="BD50" s="188">
        <f>IF(O90="","",O90)</f>
        <v/>
      </c>
      <c r="BE50" s="186">
        <f>IF(P90="","",P90)</f>
        <v/>
      </c>
      <c r="BF50" s="187">
        <f>IF(Q90="","",Q90)</f>
        <v/>
      </c>
      <c r="BG50" s="187">
        <f>IF(R90="","",R90)</f>
        <v/>
      </c>
      <c r="BH50" s="188">
        <f>IF(S90="","",S90)</f>
        <v/>
      </c>
      <c r="CB50" s="197" t="inlineStr">
        <is>
          <t>市场1</t>
        </is>
      </c>
      <c r="CC50" s="272">
        <f>IF(AF76&gt;AF86,IF((Y88-Y108+Y57)&gt;AF57,(AF64-AF104)*AF76+AF57*AF86,(Y88-Y108+Y57)*AF86),IF((Y88-Y108+Y57)&gt;AF57,(AF64-AF104)*AF76+AF57*AF76,(Y88-Y108+Y57)*AF76))</f>
        <v/>
      </c>
      <c r="CD50" s="272">
        <f>IF(AG76&gt;AG86,IF((Z88-Z108+Z57)&gt;AG57,(AG64-AG104)*AG76+AG57*AG86,(Z88-Z108+Z57)*AG86),IF((Z88-Z108+Z57)&gt;AG57,(AG64-AG104)*AG76+AG57*AG76,(Z88-Z108+Z57)*AG76))</f>
        <v/>
      </c>
      <c r="CE50" s="272">
        <f>IF(AH76&gt;AH86,IF((AA88-AA108+AA57)&gt;AH57,(AH64-AH104)*AH76+AH57*AH86,(AA88-AA108+AA57)*AH86),IF((AA88-AA108+AA57)&gt;AH57,(AH64-AH104)*AH76+AH57*AH76,(AA88-AA108+AA57)*AH76))</f>
        <v/>
      </c>
      <c r="CF50" s="272">
        <f>IF(AI76&gt;AI86,IF((AB88-AB108+AB57)&gt;AI57,(AI64-AI104)*AI76+AI57*AI86,(AB88-AB108+AB57)*AI86),IF((AB88-AB108+AB57)&gt;AI57,(AI64-AI104)*AI76+AI57*AI76,(AB88-AB108+AB57)*AI76))</f>
        <v/>
      </c>
      <c r="CG50" s="396" t="n"/>
      <c r="CH50" s="396" t="n"/>
      <c r="CI50" s="197" t="inlineStr">
        <is>
          <t>市场1</t>
        </is>
      </c>
      <c r="CJ50" s="272">
        <f>Y108*AF76*0.4</f>
        <v/>
      </c>
      <c r="CK50" s="272">
        <f>Z108*AG76*0.4</f>
        <v/>
      </c>
      <c r="CL50" s="272">
        <f>AA108*AH76*0.4</f>
        <v/>
      </c>
      <c r="CM50" s="272">
        <f>AB108*AI76*0.4</f>
        <v/>
      </c>
      <c r="CN50" s="396" t="n"/>
      <c r="CO50" s="396" t="n"/>
      <c r="CP50" s="294" t="inlineStr">
        <is>
          <t>A产品</t>
        </is>
      </c>
      <c r="CQ50" s="294">
        <f>第十四期!Y9*第十四期!CQ62*比赛参数!D65</f>
        <v/>
      </c>
      <c r="CR50" s="294">
        <f>第十四期!Z9*第十四期!CR62*比赛参数!E65</f>
        <v/>
      </c>
      <c r="CS50" s="294">
        <f>第十四期!AA9*第十四期!CS62*比赛参数!F65</f>
        <v/>
      </c>
      <c r="CT50" s="294">
        <f>第十四期!AB9*第十四期!CT62*比赛参数!G65</f>
        <v/>
      </c>
      <c r="CU50" s="294">
        <f>IF(第十四期!AC9&gt;0,SUM(CQ50:CT50)/第十四期!AC9,0)</f>
        <v/>
      </c>
      <c r="CW50" s="11" t="inlineStr">
        <is>
          <t>A产品</t>
        </is>
      </c>
      <c r="CX50" s="525">
        <f>IF(第十四期!$CU$50*第十四期!CQ93&gt;0,第十四期!$CU$50+第十四期!CQ68+第十四期!CQ93+第十四期!CQ74,0)</f>
        <v/>
      </c>
      <c r="CY50" s="525">
        <f>IF(第十四期!$CU$50*第十四期!CR93&gt;0,第十四期!$CU$50+第十四期!CR68+第十四期!CR93+第十四期!CR74,0)</f>
        <v/>
      </c>
      <c r="CZ50" s="525">
        <f>IF(第十四期!$CU$50*第十四期!CS93&gt;0,第十四期!$CU$50+第十四期!CS68+第十四期!CS93+第十四期!CS74,0)</f>
        <v/>
      </c>
      <c r="DA50" s="525">
        <f>IF(第十四期!$CU$50*第十四期!CT93&gt;0,第十四期!$CU$50+第十四期!CT68+第十四期!CT93+第十四期!CT74,0)</f>
        <v/>
      </c>
      <c r="DB50" s="525">
        <f>AVERAGE(CX50:DA50)</f>
        <v/>
      </c>
      <c r="DF50" s="294" t="inlineStr">
        <is>
          <t>市场1</t>
        </is>
      </c>
      <c r="DG50" s="247">
        <f>IF(第十四期!Y88&gt;0,1,0)</f>
        <v/>
      </c>
      <c r="DH50" s="247">
        <f>IF(第十四期!Z88&gt;0,1,0)</f>
        <v/>
      </c>
      <c r="DI50" s="247">
        <f>IF(第十四期!AA88&gt;0,1,0)</f>
        <v/>
      </c>
      <c r="DJ50" s="247">
        <f>IF(第十四期!AB88&gt;0,1,0)</f>
        <v/>
      </c>
      <c r="DL50" s="247" t="inlineStr">
        <is>
          <t>产品A</t>
        </is>
      </c>
      <c r="DM50" s="248">
        <f>IF(第十四期!Y9+第十四期!Z9&gt;0,1,0)</f>
        <v/>
      </c>
      <c r="DN50" s="248">
        <f>IF(第十四期!AA9+第十四期!AB9&gt;0,1,0)</f>
        <v/>
      </c>
      <c r="DO50" s="246" t="n"/>
    </row>
    <row r="51" s="353">
      <c r="B51" s="441" t="n"/>
      <c r="C51" s="25" t="n">
        <v>2</v>
      </c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10" t="n"/>
      <c r="AR51" s="185" t="n">
        <v>19</v>
      </c>
      <c r="AS51" s="186">
        <f>IF(D91="","",D91)</f>
        <v/>
      </c>
      <c r="AT51" s="187">
        <f>IF(E91="","",E91)</f>
        <v/>
      </c>
      <c r="AU51" s="187">
        <f>IF(F91="","",F91)</f>
        <v/>
      </c>
      <c r="AV51" s="188">
        <f>IF(G91="","",G91)</f>
        <v/>
      </c>
      <c r="AW51" s="186">
        <f>IF(H91="","",H91)</f>
        <v/>
      </c>
      <c r="AX51" s="187">
        <f>IF(I91="","",I91)</f>
        <v/>
      </c>
      <c r="AY51" s="187">
        <f>IF(J91="","",J91)</f>
        <v/>
      </c>
      <c r="AZ51" s="188">
        <f>IF(K91="","",K91)</f>
        <v/>
      </c>
      <c r="BA51" s="186">
        <f>IF(L91="","",L91)</f>
        <v/>
      </c>
      <c r="BB51" s="187">
        <f>IF(M91="","",M91)</f>
        <v/>
      </c>
      <c r="BC51" s="187">
        <f>IF(N91="","",N91)</f>
        <v/>
      </c>
      <c r="BD51" s="188">
        <f>IF(O91="","",O91)</f>
        <v/>
      </c>
      <c r="BE51" s="186">
        <f>IF(P91="","",P91)</f>
        <v/>
      </c>
      <c r="BF51" s="187">
        <f>IF(Q91="","",Q91)</f>
        <v/>
      </c>
      <c r="BG51" s="187">
        <f>IF(R91="","",R91)</f>
        <v/>
      </c>
      <c r="BH51" s="188">
        <f>IF(S91="","",S91)</f>
        <v/>
      </c>
      <c r="CB51" s="196" t="inlineStr">
        <is>
          <t>市场2</t>
        </is>
      </c>
      <c r="CC51" s="272">
        <f>IF(AF77&gt;AF87,IF((Y89-Y109+Y58)&gt;AF58,(AF65-AF105)*AF77+AF58*AF87,(Y89-Y109+Y58)*AF87),IF((Y89-Y109+Y58)&gt;AF58,(AF65-AF105)*AF77+AF58*AF77,(Y89-Y109+Y58)*AF77))</f>
        <v/>
      </c>
      <c r="CD51" s="272">
        <f>IF(AG77&gt;AG87,IF((Z89-Z109+Z58)&gt;AG58,(AG65-AG105)*AG77+AG58*AG87,(Z89-Z109+Z58)*AG87),IF((Z89-Z109+Z58)&gt;AG58,(AG65-AG105)*AG77+AG58*AG77,(Z89-Z109+Z58)*AG77))</f>
        <v/>
      </c>
      <c r="CE51" s="272">
        <f>IF(AH77&gt;AH87,IF((AA89-AA109+AA58)&gt;AH58,(AH65-AH105)*AH77+AH58*AH87,(AA89-AA109+AA58)*AH87),IF((AA89-AA109+AA58)&gt;AH58,(AH65-AH105)*AH77+AH58*AH77,(AA89-AA109+AA58)*AH77))</f>
        <v/>
      </c>
      <c r="CF51" s="272">
        <f>IF(AI77&gt;AI87,IF((AB89-AB109+AB58)&gt;AI58,(AI65-AI105)*AI77+AI58*AI87,(AB89-AB109+AB58)*AI87),IF((AB89-AB109+AB58)&gt;AI58,(AI65-AI105)*AI77+AI58*AI77,(AB89-AB109+AB58)*AI77))</f>
        <v/>
      </c>
      <c r="CG51" s="396" t="n"/>
      <c r="CH51" s="396" t="n"/>
      <c r="CI51" s="196" t="inlineStr">
        <is>
          <t>市场2</t>
        </is>
      </c>
      <c r="CJ51" s="272">
        <f>Y109*AF77*0.4</f>
        <v/>
      </c>
      <c r="CK51" s="272">
        <f>Z109*AG77*0.4</f>
        <v/>
      </c>
      <c r="CL51" s="272">
        <f>AA109*AH77*0.4</f>
        <v/>
      </c>
      <c r="CM51" s="272">
        <f>AB109*AI77*0.4</f>
        <v/>
      </c>
      <c r="CN51" s="396" t="n"/>
      <c r="CO51" s="396" t="n"/>
      <c r="CP51" s="294" t="inlineStr">
        <is>
          <t>B产品</t>
        </is>
      </c>
      <c r="CQ51" s="294">
        <f>第十四期!Y10*第十四期!CQ63*比赛参数!D65</f>
        <v/>
      </c>
      <c r="CR51" s="294">
        <f>第十四期!Z10*第十四期!CR63*比赛参数!E65</f>
        <v/>
      </c>
      <c r="CS51" s="294">
        <f>第十四期!AA10*第十四期!CS63*比赛参数!F65</f>
        <v/>
      </c>
      <c r="CT51" s="294">
        <f>第十四期!AB10*第十四期!CT63*比赛参数!G65</f>
        <v/>
      </c>
      <c r="CU51" s="294">
        <f>IF(第十四期!AC10&gt;0,SUM(CQ51:CT51)/第十四期!AC10,0)</f>
        <v/>
      </c>
      <c r="CW51" s="11" t="inlineStr">
        <is>
          <t>B产品</t>
        </is>
      </c>
      <c r="CX51" s="525">
        <f>IF(第十四期!$CU$51*第十四期!CQ94&gt;0,第十四期!$CU$51+第十四期!CQ69+第十四期!CQ94+第十四期!CQ75,0)</f>
        <v/>
      </c>
      <c r="CY51" s="525">
        <f>IF(第十四期!$CU$51*第十四期!CR94&gt;0,第十四期!$CU$51+第十四期!CR69+第十四期!CR94+第十四期!CR75,0)</f>
        <v/>
      </c>
      <c r="CZ51" s="525">
        <f>IF(第十四期!$CU$51*第十四期!CS94&gt;0,第十四期!$CU$51+第十四期!CS69+第十四期!CS94+第十四期!CS75,0)</f>
        <v/>
      </c>
      <c r="DA51" s="525">
        <f>IF(第十四期!$CU$51*第十四期!CT94&gt;0,第十四期!$CU$51+第十四期!CT69+第十四期!CT94+第十四期!CT75,0)</f>
        <v/>
      </c>
      <c r="DB51" s="525">
        <f>AVERAGE(CX51:DA51)</f>
        <v/>
      </c>
      <c r="DF51" s="294" t="inlineStr">
        <is>
          <t>市场2</t>
        </is>
      </c>
      <c r="DG51" s="247">
        <f>IF(第十四期!Y89&gt;0,1,0)</f>
        <v/>
      </c>
      <c r="DH51" s="247">
        <f>IF(第十四期!Z89&gt;0,1,0)</f>
        <v/>
      </c>
      <c r="DI51" s="247">
        <f>IF(第十四期!AA89&gt;0,1,0)</f>
        <v/>
      </c>
      <c r="DJ51" s="247">
        <f>IF(第十四期!AB89&gt;0,1,0)</f>
        <v/>
      </c>
      <c r="DL51" s="247" t="inlineStr">
        <is>
          <t>产品B</t>
        </is>
      </c>
      <c r="DM51" s="248">
        <f>IF(第十四期!Y10+第十四期!Z10&gt;0,1,0)</f>
        <v/>
      </c>
      <c r="DN51" s="248">
        <f>IF(第十四期!AA10+第十四期!AB10&gt;0,1,0)</f>
        <v/>
      </c>
      <c r="DO51" s="246" t="n"/>
    </row>
    <row r="52" s="353">
      <c r="B52" s="441" t="n"/>
      <c r="C52" s="25" t="n">
        <v>3</v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10" t="n"/>
      <c r="AR52" s="185" t="n">
        <v>20</v>
      </c>
      <c r="AS52" s="186">
        <f>IF(D92="","",D92)</f>
        <v/>
      </c>
      <c r="AT52" s="187">
        <f>IF(E92="","",E92)</f>
        <v/>
      </c>
      <c r="AU52" s="187">
        <f>IF(F92="","",F92)</f>
        <v/>
      </c>
      <c r="AV52" s="188">
        <f>IF(G92="","",G92)</f>
        <v/>
      </c>
      <c r="AW52" s="186">
        <f>IF(H92="","",H92)</f>
        <v/>
      </c>
      <c r="AX52" s="187">
        <f>IF(I92="","",I92)</f>
        <v/>
      </c>
      <c r="AY52" s="187">
        <f>IF(J92="","",J92)</f>
        <v/>
      </c>
      <c r="AZ52" s="188">
        <f>IF(K92="","",K92)</f>
        <v/>
      </c>
      <c r="BA52" s="186">
        <f>IF(L92="","",L92)</f>
        <v/>
      </c>
      <c r="BB52" s="187">
        <f>IF(M92="","",M92)</f>
        <v/>
      </c>
      <c r="BC52" s="187">
        <f>IF(N92="","",N92)</f>
        <v/>
      </c>
      <c r="BD52" s="188">
        <f>IF(O92="","",O92)</f>
        <v/>
      </c>
      <c r="BE52" s="186">
        <f>IF(P92="","",P92)</f>
        <v/>
      </c>
      <c r="BF52" s="187">
        <f>IF(Q92="","",Q92)</f>
        <v/>
      </c>
      <c r="BG52" s="187">
        <f>IF(R92="","",R92)</f>
        <v/>
      </c>
      <c r="BH52" s="188">
        <f>IF(S92="","",S92)</f>
        <v/>
      </c>
      <c r="CB52" s="196" t="inlineStr">
        <is>
          <t>市场3</t>
        </is>
      </c>
      <c r="CC52" s="272">
        <f>IF(AF78&gt;AF88,IF((Y90-Y110+Y59)&gt;AF59,(AF66-AF106)*AF78+AF59*AF88,(Y90-Y110+Y59)*AF88),IF((Y90-Y110+Y59)&gt;AF59,(AF66-AF106)*AF78+AF59*AF78,(Y90-Y110+Y59)*AF78))</f>
        <v/>
      </c>
      <c r="CD52" s="272">
        <f>IF(AG78&gt;AG88,IF((Z90-Z110+Z59)&gt;AG59,(AG66-AG106)*AG78+AG59*AG88,(Z90-Z110+Z59)*AG88),IF((Z90-Z110+Z59)&gt;AG59,(AG66-AG106)*AG78+AG59*AG78,(Z90-Z110+Z59)*AG78))</f>
        <v/>
      </c>
      <c r="CE52" s="272">
        <f>IF(AH78&gt;AH88,IF((AA90-AA110+AA59)&gt;AH59,(AH66-AH106)*AH78+AH59*AH88,(AA90-AA110+AA59)*AH88),IF((AA90-AA110+AA59)&gt;AH59,(AH66-AH106)*AH78+AH59*AH78,(AA90-AA110+AA59)*AH78))</f>
        <v/>
      </c>
      <c r="CF52" s="272">
        <f>IF(AI78&gt;AI88,IF((AB90-AB110+AB59)&gt;AI59,(AI66-AI106)*AI78+AI59*AI88,(AB90-AB110+AB59)*AI88),IF((AB90-AB110+AB59)&gt;AI59,(AI66-AI106)*AI78+AI59*AI78,(AB90-AB110+AB59)*AI78))</f>
        <v/>
      </c>
      <c r="CG52" s="272" t="inlineStr">
        <is>
          <t>总计</t>
        </is>
      </c>
      <c r="CH52" s="396" t="n"/>
      <c r="CI52" s="196" t="inlineStr">
        <is>
          <t>市场3</t>
        </is>
      </c>
      <c r="CJ52" s="272">
        <f>Y110*AF78*0.4</f>
        <v/>
      </c>
      <c r="CK52" s="272">
        <f>Z110*AG78*0.4</f>
        <v/>
      </c>
      <c r="CL52" s="272">
        <f>AA110*AH78*0.4</f>
        <v/>
      </c>
      <c r="CM52" s="272">
        <f>AB110*AI78*0.4</f>
        <v/>
      </c>
      <c r="CN52" s="272" t="inlineStr">
        <is>
          <t>总计</t>
        </is>
      </c>
      <c r="CO52" s="396" t="n"/>
      <c r="CP52" s="294" t="inlineStr">
        <is>
          <t>C产品</t>
        </is>
      </c>
      <c r="CQ52" s="294">
        <f>第十四期!Y11*第十四期!CQ64*比赛参数!D65</f>
        <v/>
      </c>
      <c r="CR52" s="294">
        <f>第十四期!Z11*第十四期!CR64*比赛参数!E65</f>
        <v/>
      </c>
      <c r="CS52" s="294">
        <f>第十四期!AA11*第十四期!CS64*比赛参数!F65</f>
        <v/>
      </c>
      <c r="CT52" s="294">
        <f>第十四期!AB11*第十四期!CT64*比赛参数!G65</f>
        <v/>
      </c>
      <c r="CU52" s="294">
        <f>IF(第十四期!AC11&gt;0,SUM(CQ52:CT52)/第十四期!AC11,0)</f>
        <v/>
      </c>
      <c r="CW52" s="11" t="inlineStr">
        <is>
          <t>C产品</t>
        </is>
      </c>
      <c r="CX52" s="525">
        <f>IF(第十四期!$CU$52*第十四期!CQ95&gt;0,第十四期!$CU$52+第十四期!CQ70+第十四期!CQ95+第十四期!CQ76,0)</f>
        <v/>
      </c>
      <c r="CY52" s="525">
        <f>IF(第十四期!$CU$52*第十四期!CR95&gt;0,第十四期!$CU$52+第十四期!CR70+第十四期!CR95+第十四期!CR76,0)</f>
        <v/>
      </c>
      <c r="CZ52" s="525">
        <f>IF(第十四期!$CU$52*第十四期!CS95&gt;0,第十四期!$CU$52+第十四期!CS70+第十四期!CS95+第十四期!CS76,0)</f>
        <v/>
      </c>
      <c r="DA52" s="525">
        <f>IF(第十四期!$CU$52*第十四期!CT95&gt;0,第十四期!$CU$52+第十四期!CT70+第十四期!CT95+第十四期!CT76,0)</f>
        <v/>
      </c>
      <c r="DB52" s="525">
        <f>AVERAGE(CX52:DA52)</f>
        <v/>
      </c>
      <c r="DF52" s="294" t="inlineStr">
        <is>
          <t>市场3</t>
        </is>
      </c>
      <c r="DG52" s="247">
        <f>IF(第十四期!Y90&gt;0,1,0)</f>
        <v/>
      </c>
      <c r="DH52" s="247">
        <f>IF(第十四期!Z90&gt;0,1,0)</f>
        <v/>
      </c>
      <c r="DI52" s="247">
        <f>IF(第十四期!AA90&gt;0,1,0)</f>
        <v/>
      </c>
      <c r="DJ52" s="247">
        <f>IF(第十四期!AB90&gt;0,1,0)</f>
        <v/>
      </c>
      <c r="DL52" s="247" t="inlineStr">
        <is>
          <t>产品C</t>
        </is>
      </c>
      <c r="DM52" s="248">
        <f>IF(第十四期!Y11+第十四期!Z11&gt;0,1,0)</f>
        <v/>
      </c>
      <c r="DN52" s="248">
        <f>IF(第十四期!AA11+第十四期!AB11&gt;0,1,0)</f>
        <v/>
      </c>
      <c r="DO52" s="246" t="n"/>
    </row>
    <row r="53" s="353">
      <c r="B53" s="441" t="n"/>
      <c r="C53" s="25" t="n">
        <v>4</v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10" t="n"/>
      <c r="AK53" s="526">
        <f>Y20</f>
        <v/>
      </c>
      <c r="AL53" s="168" t="n"/>
      <c r="AM53" s="168" t="n"/>
      <c r="AN53" s="169" t="n"/>
      <c r="CB53" s="196" t="inlineStr">
        <is>
          <t>市场4</t>
        </is>
      </c>
      <c r="CC53" s="272">
        <f>IF(AF79&gt;AF89,IF((Y91-Y111+Y60)&gt;AF60,(AF67-AF107)*AF79+AF60*AF89,(Y91-Y111+Y60)*AF89),IF((Y91-Y111+Y60)&gt;AF60,(AF67-AF107)*AF79+AF60*AF79,(Y91-Y111+Y60)*AF79))</f>
        <v/>
      </c>
      <c r="CD53" s="272">
        <f>IF(AG79&gt;AG89,IF((Z91-Z111+Z60)&gt;AG60,(AG67-AG107)*AG79+AG60*AG89,(Z91-Z111+Z60)*AG89),IF((Z91-Z111+Z60)&gt;AG60,(AG67-AG107)*AG79+AG60*AG79,(Z91-Z111+Z60)*AG79))</f>
        <v/>
      </c>
      <c r="CE53" s="272">
        <f>IF(AH79&gt;AH89,IF((AA91-AA111+AA60)&gt;AH60,(AH67-AH107)*AH79+AH60*AH89,(AA91-AA111+AA60)*AH89),IF((AA91-AA111+AA60)&gt;AH60,(AH67-AH107)*AH79+AH60*AH79,(AA91-AA111+AA60)*AH79))</f>
        <v/>
      </c>
      <c r="CF53" s="272">
        <f>IF(AI79&gt;AI89,IF((AB91-AB111+AB60)&gt;AI60,(AI67-AI107)*AI79+AI60*AI89,(AB91-AB111+AB60)*AI89),IF((AB91-AB111+AB60)&gt;AI60,(AI67-AI107)*AI79+AI60*AI79,(AB91-AB111+AB60)*AI79))</f>
        <v/>
      </c>
      <c r="CG53" s="272">
        <f>SUM(CC50:CF53)</f>
        <v/>
      </c>
      <c r="CH53" s="396" t="n"/>
      <c r="CI53" s="196" t="inlineStr">
        <is>
          <t>市场4</t>
        </is>
      </c>
      <c r="CJ53" s="272">
        <f>Y111*AF79*0.4</f>
        <v/>
      </c>
      <c r="CK53" s="272">
        <f>Z111*AG79*0.4</f>
        <v/>
      </c>
      <c r="CL53" s="272">
        <f>AA111*AH79*0.4</f>
        <v/>
      </c>
      <c r="CM53" s="272">
        <f>AB111*AI79*0.4</f>
        <v/>
      </c>
      <c r="CN53" s="272">
        <f>SUM(CJ50:CM53)</f>
        <v/>
      </c>
      <c r="CO53" s="396" t="n"/>
      <c r="CP53" s="294" t="inlineStr">
        <is>
          <t>D产品</t>
        </is>
      </c>
      <c r="CQ53" s="294">
        <f>第十四期!Y12*第十四期!CQ65*比赛参数!D65</f>
        <v/>
      </c>
      <c r="CR53" s="294">
        <f>第十四期!Z12*第十四期!CR65*比赛参数!E65</f>
        <v/>
      </c>
      <c r="CS53" s="294">
        <f>第十四期!AA12*第十四期!CS65*比赛参数!F65</f>
        <v/>
      </c>
      <c r="CT53" s="294">
        <f>第十四期!AB12*第十四期!CT65*比赛参数!G65</f>
        <v/>
      </c>
      <c r="CU53" s="294">
        <f>IF(第十四期!AC12&gt;0,SUM(CQ53:CT53)/第十四期!AC12,0)</f>
        <v/>
      </c>
      <c r="CW53" s="11" t="inlineStr">
        <is>
          <t>D产品</t>
        </is>
      </c>
      <c r="CX53" s="525">
        <f>IF(第十四期!$CU$53*第十四期!CQ96&gt;0,第十四期!$CU$53+第十四期!CQ71+第十四期!CQ96+第十四期!CQ77,0)</f>
        <v/>
      </c>
      <c r="CY53" s="525">
        <f>IF(第十四期!$CU$53*第十四期!CR96&gt;0,第十四期!$CU$53+第十四期!CR71+第十四期!CR96+第十四期!CR77,0)</f>
        <v/>
      </c>
      <c r="CZ53" s="525">
        <f>IF(第十四期!$CU$53*第十四期!CS96&gt;0,第十四期!$CU$53+第十四期!CS71+第十四期!CS96+第十四期!CS77,0)</f>
        <v/>
      </c>
      <c r="DA53" s="525">
        <f>IF(第十四期!$CU$53*第十四期!CT96&gt;0,第十四期!$CU$53+第十四期!CT71+第十四期!CT96+第十四期!CT77,0)</f>
        <v/>
      </c>
      <c r="DB53" s="525">
        <f>AVERAGE(CX53:DA53)</f>
        <v/>
      </c>
      <c r="DF53" s="294" t="inlineStr">
        <is>
          <t>市场4</t>
        </is>
      </c>
      <c r="DG53" s="247">
        <f>IF(第十四期!Y91&gt;0,1,0)</f>
        <v/>
      </c>
      <c r="DH53" s="247">
        <f>IF(第十四期!Z91&gt;0,1,0)</f>
        <v/>
      </c>
      <c r="DI53" s="247">
        <f>IF(第十四期!AA91&gt;0,1,0)</f>
        <v/>
      </c>
      <c r="DJ53" s="247">
        <f>IF(第十四期!AB91&gt;0,1,0)</f>
        <v/>
      </c>
      <c r="DL53" s="247" t="inlineStr">
        <is>
          <t>产品D</t>
        </is>
      </c>
      <c r="DM53" s="248">
        <f>IF(第十四期!Y12+第十四期!Z12&gt;0,1,0)</f>
        <v/>
      </c>
      <c r="DN53" s="248">
        <f>IF(第十四期!AA12+第十四期!AB12&gt;0,1,0)</f>
        <v/>
      </c>
      <c r="DO53" s="246" t="n"/>
    </row>
    <row r="54" s="353">
      <c r="B54" s="441" t="n"/>
      <c r="C54" s="25" t="n">
        <v>5</v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10" t="n"/>
      <c r="AK54" s="126">
        <f>AA20</f>
        <v/>
      </c>
      <c r="AL54" s="215" t="n"/>
      <c r="AM54" s="215" t="n"/>
      <c r="AN54" s="50" t="n"/>
      <c r="AR54" s="215" t="inlineStr">
        <is>
          <t>均值</t>
        </is>
      </c>
      <c r="AS54" s="114">
        <f>SUM(AS33:AS52)/比赛参数!$G$4</f>
        <v/>
      </c>
      <c r="AT54" s="114">
        <f>SUM(AT33:AT52)/比赛参数!$G$4</f>
        <v/>
      </c>
      <c r="AU54" s="114">
        <f>SUM(AU33:AU52)/比赛参数!$G$4</f>
        <v/>
      </c>
      <c r="AV54" s="114">
        <f>SUM(AV33:AV52)/比赛参数!$G$4</f>
        <v/>
      </c>
      <c r="AW54" s="114">
        <f>SUM(AW33:AW52)/比赛参数!$G$4</f>
        <v/>
      </c>
      <c r="AX54" s="114">
        <f>SUM(AX33:AX52)/比赛参数!$G$4</f>
        <v/>
      </c>
      <c r="AY54" s="114">
        <f>SUM(AY33:AY52)/比赛参数!$G$4</f>
        <v/>
      </c>
      <c r="AZ54" s="114">
        <f>SUM(AZ33:AZ52)/比赛参数!$G$4</f>
        <v/>
      </c>
      <c r="BA54" s="114">
        <f>SUM(BA33:BA52)/比赛参数!$G$4</f>
        <v/>
      </c>
      <c r="BB54" s="114">
        <f>SUM(BB33:BB52)/比赛参数!$G$4</f>
        <v/>
      </c>
      <c r="BC54" s="114">
        <f>SUM(BC33:BC52)/比赛参数!$G$4</f>
        <v/>
      </c>
      <c r="BD54" s="114">
        <f>SUM(BD33:BD52)/比赛参数!$G$4</f>
        <v/>
      </c>
      <c r="BE54" s="114">
        <f>SUM(BE33:BE52)/比赛参数!$G$4</f>
        <v/>
      </c>
      <c r="BF54" s="114">
        <f>SUM(BF33:BF52)/比赛参数!$G$4</f>
        <v/>
      </c>
      <c r="BG54" s="114">
        <f>SUM(BG33:BG52)/比赛参数!$G$4</f>
        <v/>
      </c>
      <c r="BH54" s="114">
        <f>SUM(BH33:BH52)/比赛参数!$G$4</f>
        <v/>
      </c>
      <c r="BR54" s="478" t="n"/>
      <c r="BS54" s="527" t="inlineStr">
        <is>
          <t>收支</t>
        </is>
      </c>
      <c r="BT54" s="527" t="inlineStr">
        <is>
          <t>本期收入</t>
        </is>
      </c>
      <c r="BU54" s="527" t="inlineStr">
        <is>
          <t>本期成本</t>
        </is>
      </c>
      <c r="BV54" s="527" t="inlineStr">
        <is>
          <t>现金累计</t>
        </is>
      </c>
      <c r="BW54" s="126" t="n"/>
      <c r="CB54" s="396" t="n"/>
      <c r="CC54" s="396">
        <f>SUM(CC50:CC53)</f>
        <v/>
      </c>
      <c r="CD54" s="396">
        <f>SUM(CD50:CD53)</f>
        <v/>
      </c>
      <c r="CE54" s="396">
        <f>SUM(CE50:CE53)</f>
        <v/>
      </c>
      <c r="CF54" s="396">
        <f>SUM(CF50:CF53)</f>
        <v/>
      </c>
      <c r="CG54" s="396" t="n"/>
      <c r="CH54" s="396" t="n"/>
      <c r="CI54" s="396" t="n"/>
      <c r="CJ54" s="396" t="n"/>
      <c r="CK54" s="396" t="n"/>
      <c r="CL54" s="396" t="n"/>
      <c r="CM54" s="396" t="n"/>
      <c r="CN54" s="396" t="n"/>
      <c r="CO54" s="396" t="n"/>
      <c r="CP54" s="215" t="n"/>
      <c r="CQ54" s="215" t="n"/>
      <c r="CR54" s="215" t="n"/>
      <c r="CS54" s="215" t="n"/>
      <c r="CT54" s="215" t="n"/>
      <c r="CU54" s="215" t="n"/>
      <c r="CW54" s="215" t="n"/>
      <c r="CX54" s="528" t="n"/>
      <c r="CY54" s="528" t="n"/>
      <c r="CZ54" s="528" t="n"/>
      <c r="DA54" s="528" t="n"/>
      <c r="DB54" s="215" t="n"/>
      <c r="DF54" s="246" t="n"/>
      <c r="DG54" s="246" t="n"/>
      <c r="DH54" s="246" t="n"/>
      <c r="DI54" s="246" t="n"/>
      <c r="DJ54" s="246" t="n"/>
      <c r="DL54" s="246" t="n"/>
      <c r="DM54" s="246" t="n"/>
      <c r="DN54" s="246" t="n"/>
      <c r="DO54" s="246" t="n"/>
    </row>
    <row r="55" s="353">
      <c r="B55" s="441" t="n"/>
      <c r="C55" s="25" t="n">
        <v>6</v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10" t="n"/>
      <c r="Y55" s="215">
        <f>SUM(Y57:Y60)</f>
        <v/>
      </c>
      <c r="Z55" s="215">
        <f>SUM(Z57:Z60)</f>
        <v/>
      </c>
      <c r="AA55" s="215">
        <f>SUM(AA57:AA60)</f>
        <v/>
      </c>
      <c r="AB55" s="215">
        <f>SUM(AB57:AB60)</f>
        <v/>
      </c>
      <c r="AF55" s="215">
        <f>SUM(AF57:AF60)</f>
        <v/>
      </c>
      <c r="AG55" s="215">
        <f>SUM(AG57:AG60)</f>
        <v/>
      </c>
      <c r="AH55" s="215">
        <f>SUM(AH57:AH60)</f>
        <v/>
      </c>
      <c r="AI55" s="215">
        <f>SUM(AI57:AI60)</f>
        <v/>
      </c>
      <c r="AK55" s="126" t="n"/>
      <c r="AL55" s="215" t="n"/>
      <c r="AM55" s="215" t="n"/>
      <c r="AN55" s="50" t="n"/>
      <c r="BR55" s="529" t="inlineStr">
        <is>
          <t>期初现金</t>
        </is>
      </c>
      <c r="BS55" s="478" t="n"/>
      <c r="BT55" s="478" t="n"/>
      <c r="BU55" s="478" t="n"/>
      <c r="BV55" s="478">
        <f>第十四期!K11</f>
        <v/>
      </c>
      <c r="BW55" s="126" t="n"/>
      <c r="CB55" s="272" t="n"/>
      <c r="CC55" s="196" t="inlineStr">
        <is>
          <t>A产品</t>
        </is>
      </c>
      <c r="CD55" s="196" t="inlineStr">
        <is>
          <t>B产品</t>
        </is>
      </c>
      <c r="CE55" s="196" t="inlineStr">
        <is>
          <t>C产品</t>
        </is>
      </c>
      <c r="CF55" s="196" t="inlineStr">
        <is>
          <t>D产品</t>
        </is>
      </c>
      <c r="CG55" s="396" t="n"/>
      <c r="CH55" s="396" t="n"/>
      <c r="CI55" s="236" t="inlineStr">
        <is>
          <t>废品基础损失</t>
        </is>
      </c>
      <c r="CJ55" s="195" t="inlineStr">
        <is>
          <t>A产品</t>
        </is>
      </c>
      <c r="CK55" s="195" t="inlineStr">
        <is>
          <t>B产品</t>
        </is>
      </c>
      <c r="CL55" s="195" t="inlineStr">
        <is>
          <t>C产品</t>
        </is>
      </c>
      <c r="CM55" s="195" t="inlineStr">
        <is>
          <t>D产品</t>
        </is>
      </c>
      <c r="CN55" s="396" t="n"/>
      <c r="CO55" s="396" t="n"/>
      <c r="CP55" s="294" t="inlineStr">
        <is>
          <t>机时</t>
        </is>
      </c>
      <c r="CQ55" s="294" t="inlineStr">
        <is>
          <t>第一班正班</t>
        </is>
      </c>
      <c r="CR55" s="294" t="inlineStr">
        <is>
          <t>第一班加班</t>
        </is>
      </c>
      <c r="CS55" s="294" t="inlineStr">
        <is>
          <t>第二班正班</t>
        </is>
      </c>
      <c r="CT55" s="294" t="inlineStr">
        <is>
          <t>第二班加班</t>
        </is>
      </c>
      <c r="CU55" s="215" t="n"/>
      <c r="CW55" s="63" t="inlineStr">
        <is>
          <t>单位利润</t>
        </is>
      </c>
      <c r="CX55" s="530" t="inlineStr">
        <is>
          <t>市场1</t>
        </is>
      </c>
      <c r="CY55" s="530" t="inlineStr">
        <is>
          <t>市场2</t>
        </is>
      </c>
      <c r="CZ55" s="530" t="inlineStr">
        <is>
          <t>市场3</t>
        </is>
      </c>
      <c r="DA55" s="530" t="inlineStr">
        <is>
          <t>市场4</t>
        </is>
      </c>
      <c r="DB55" s="11" t="inlineStr">
        <is>
          <t>平均</t>
        </is>
      </c>
      <c r="DF55" s="247" t="inlineStr">
        <is>
          <t>固定运费</t>
        </is>
      </c>
      <c r="DG55" s="247" t="inlineStr">
        <is>
          <t>产品A</t>
        </is>
      </c>
      <c r="DH55" s="247" t="inlineStr">
        <is>
          <t>产品B</t>
        </is>
      </c>
      <c r="DI55" s="247" t="inlineStr">
        <is>
          <t>产品C</t>
        </is>
      </c>
      <c r="DJ55" s="247" t="inlineStr">
        <is>
          <t>产品D</t>
        </is>
      </c>
      <c r="DL55" s="247" t="inlineStr">
        <is>
          <t>管理费</t>
        </is>
      </c>
      <c r="DM55" s="247" t="inlineStr">
        <is>
          <t>第一班</t>
        </is>
      </c>
      <c r="DN55" s="247" t="inlineStr">
        <is>
          <t>第二班</t>
        </is>
      </c>
      <c r="DO55" s="246" t="n"/>
    </row>
    <row r="56" s="353">
      <c r="B56" s="441" t="n"/>
      <c r="C56" s="25" t="n">
        <v>7</v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10" t="n"/>
      <c r="X56" s="63" t="inlineStr">
        <is>
          <t>上期库存</t>
        </is>
      </c>
      <c r="Y56" s="73" t="inlineStr">
        <is>
          <t>A产品</t>
        </is>
      </c>
      <c r="Z56" s="73" t="inlineStr">
        <is>
          <t>B产品</t>
        </is>
      </c>
      <c r="AA56" s="73" t="inlineStr">
        <is>
          <t>C产品</t>
        </is>
      </c>
      <c r="AB56" s="73" t="inlineStr">
        <is>
          <t>D产品</t>
        </is>
      </c>
      <c r="AC56" s="126" t="n"/>
      <c r="AE56" s="63" t="inlineStr">
        <is>
          <t>上期订货</t>
        </is>
      </c>
      <c r="AF56" s="73" t="inlineStr">
        <is>
          <t>A产品</t>
        </is>
      </c>
      <c r="AG56" s="73" t="inlineStr">
        <is>
          <t>B产品</t>
        </is>
      </c>
      <c r="AH56" s="73" t="inlineStr">
        <is>
          <t>C产品</t>
        </is>
      </c>
      <c r="AI56" s="73" t="inlineStr">
        <is>
          <t>D产品</t>
        </is>
      </c>
      <c r="AJ56" s="215" t="n"/>
      <c r="AK56" s="126">
        <f>Y55</f>
        <v/>
      </c>
      <c r="AL56" s="215">
        <f>Z55</f>
        <v/>
      </c>
      <c r="AM56" s="215">
        <f>AA55</f>
        <v/>
      </c>
      <c r="AN56" s="50">
        <f>AB55</f>
        <v/>
      </c>
      <c r="AO56" s="223" t="n"/>
      <c r="AR56" s="11" t="inlineStr">
        <is>
          <t>公司</t>
        </is>
      </c>
      <c r="BR56" s="529" t="inlineStr">
        <is>
          <t>银行贷款</t>
        </is>
      </c>
      <c r="BS56" s="478">
        <f>第十四期!AH14</f>
        <v/>
      </c>
      <c r="BT56" s="478" t="n"/>
      <c r="BU56" s="478" t="n"/>
      <c r="BV56" s="478">
        <f>BV55+BS56</f>
        <v/>
      </c>
      <c r="BW56" s="126" t="n"/>
      <c r="CB56" s="196" t="inlineStr">
        <is>
          <t>工厂库存</t>
        </is>
      </c>
      <c r="CC56" s="272">
        <f>第十四期!DU26</f>
        <v/>
      </c>
      <c r="CD56" s="272">
        <f>第十四期!DU27</f>
        <v/>
      </c>
      <c r="CE56" s="272">
        <f>第十四期!DU28</f>
        <v/>
      </c>
      <c r="CF56" s="272">
        <f>第十四期!DU29</f>
        <v/>
      </c>
      <c r="CG56" s="396" t="n"/>
      <c r="CH56" s="396" t="n"/>
      <c r="CI56" s="197" t="inlineStr">
        <is>
          <t>市场1</t>
        </is>
      </c>
      <c r="CJ56" s="272">
        <f>Y108*(CJ19+CC27)</f>
        <v/>
      </c>
      <c r="CK56" s="272">
        <f>Z108*(CK19+CD27)</f>
        <v/>
      </c>
      <c r="CL56" s="272">
        <f>AA108*(CL19+CE27)</f>
        <v/>
      </c>
      <c r="CM56" s="272">
        <f>AB108*(CM19+CF27)</f>
        <v/>
      </c>
      <c r="CN56" s="396" t="n"/>
      <c r="CO56" s="396" t="n"/>
      <c r="CP56" s="294" t="inlineStr">
        <is>
          <t>A产品</t>
        </is>
      </c>
      <c r="CQ56" s="294">
        <f>比赛参数!$D$26</f>
        <v/>
      </c>
      <c r="CR56" s="294">
        <f>比赛参数!$D$26</f>
        <v/>
      </c>
      <c r="CS56" s="294">
        <f>比赛参数!$D$26</f>
        <v/>
      </c>
      <c r="CT56" s="294">
        <f>比赛参数!$D$26</f>
        <v/>
      </c>
      <c r="CU56" s="215" t="n"/>
      <c r="CW56" s="11" t="inlineStr">
        <is>
          <t>A产品</t>
        </is>
      </c>
      <c r="CX56" s="525">
        <f>第十四期!BS7-第十四期!CX50</f>
        <v/>
      </c>
      <c r="CY56" s="525">
        <f>第十四期!BT7-第十四期!CY50</f>
        <v/>
      </c>
      <c r="CZ56" s="525">
        <f>第十四期!BU7-第十四期!CZ50</f>
        <v/>
      </c>
      <c r="DA56" s="525">
        <f>第十四期!BV7-第十四期!DA50</f>
        <v/>
      </c>
      <c r="DB56" s="525">
        <f>AVERAGE(CX56:DA56)</f>
        <v/>
      </c>
      <c r="DF56" s="247" t="inlineStr">
        <is>
          <t>市场1</t>
        </is>
      </c>
      <c r="DG56" s="247">
        <f>比赛参数!D9</f>
        <v/>
      </c>
      <c r="DH56" s="247">
        <f>比赛参数!H9</f>
        <v/>
      </c>
      <c r="DI56" s="247">
        <f>比赛参数!D10</f>
        <v/>
      </c>
      <c r="DJ56" s="247">
        <f>比赛参数!H10</f>
        <v/>
      </c>
      <c r="DL56" s="247" t="inlineStr">
        <is>
          <t>产品A</t>
        </is>
      </c>
      <c r="DM56" s="247">
        <f>比赛参数!D44*DM50</f>
        <v/>
      </c>
      <c r="DN56" s="247">
        <f>比赛参数!E44*DN50</f>
        <v/>
      </c>
    </row>
    <row r="57" s="353">
      <c r="B57" s="441" t="n"/>
      <c r="C57" s="25" t="n">
        <v>8</v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10" t="n"/>
      <c r="X57" s="64" t="inlineStr">
        <is>
          <t>市场1</t>
        </is>
      </c>
      <c r="Y57" s="272">
        <f>第十四期!DX6</f>
        <v/>
      </c>
      <c r="Z57" s="272">
        <f>第十四期!DX10</f>
        <v/>
      </c>
      <c r="AA57" s="272">
        <f>第十四期!DX14</f>
        <v/>
      </c>
      <c r="AB57" s="272">
        <f>第十四期!DX18</f>
        <v/>
      </c>
      <c r="AC57" s="234" t="n"/>
      <c r="AE57" s="64" t="inlineStr">
        <is>
          <t>市场1</t>
        </is>
      </c>
      <c r="AF57" s="272">
        <f>第十四期!DW6</f>
        <v/>
      </c>
      <c r="AG57" s="272">
        <f>第十四期!DW10</f>
        <v/>
      </c>
      <c r="AH57" s="272">
        <f>第十四期!DW14</f>
        <v/>
      </c>
      <c r="AI57" s="272">
        <f>第十四期!DW18</f>
        <v/>
      </c>
      <c r="AJ57" s="126" t="n"/>
      <c r="AK57" s="126">
        <f>D42</f>
        <v/>
      </c>
      <c r="AL57" s="215">
        <f>D43</f>
        <v/>
      </c>
      <c r="AM57" s="215">
        <f>D44</f>
        <v/>
      </c>
      <c r="AN57" s="50">
        <f>D45</f>
        <v/>
      </c>
      <c r="AO57" s="396" t="n"/>
      <c r="AR57" s="347" t="n">
        <v>1</v>
      </c>
      <c r="AS57" s="531">
        <f>IF(AS33="","",(AS33-AS$54)^2)</f>
        <v/>
      </c>
      <c r="AT57" s="531">
        <f>IF(AT33="","",(AT33-AT$54)^2)</f>
        <v/>
      </c>
      <c r="AU57" s="531">
        <f>IF(AU33="","",(AU33-AU$54)^2)</f>
        <v/>
      </c>
      <c r="AV57" s="531">
        <f>IF(AV33="","",(AV33-AV$54)^2)</f>
        <v/>
      </c>
      <c r="AW57" s="531">
        <f>IF(AW33="","",(AW33-AW$54)^2)</f>
        <v/>
      </c>
      <c r="AX57" s="531">
        <f>IF(AX33="","",(AX33-AX$54)^2)</f>
        <v/>
      </c>
      <c r="AY57" s="531">
        <f>IF(AY33="","",(AY33-AY$54)^2)</f>
        <v/>
      </c>
      <c r="AZ57" s="531">
        <f>IF(AZ33="","",(AZ33-AZ$54)^2)</f>
        <v/>
      </c>
      <c r="BA57" s="531">
        <f>IF(BA33="","",(BA33-BA$54)^2)</f>
        <v/>
      </c>
      <c r="BB57" s="531">
        <f>IF(BB33="","",(BB33-BB$54)^2)</f>
        <v/>
      </c>
      <c r="BC57" s="531">
        <f>IF(BC33="","",(BC33-BC$54)^2)</f>
        <v/>
      </c>
      <c r="BD57" s="531">
        <f>IF(BD33="","",(BD33-BD$54)^2)</f>
        <v/>
      </c>
      <c r="BE57" s="531">
        <f>IF(BE33="","",(BE33-BE$54)^2)</f>
        <v/>
      </c>
      <c r="BF57" s="531">
        <f>IF(BF33="","",(BF33-BF$54)^2)</f>
        <v/>
      </c>
      <c r="BG57" s="531">
        <f>IF(BG33="","",(BG33-BG$54)^2)</f>
        <v/>
      </c>
      <c r="BH57" s="531">
        <f>IF(BH33="","",(BH33-BH$54)^2)</f>
        <v/>
      </c>
      <c r="BR57" s="529" t="inlineStr">
        <is>
          <t>发债券</t>
        </is>
      </c>
      <c r="BS57" s="478">
        <f>第十四期!AH15</f>
        <v/>
      </c>
      <c r="BT57" s="478" t="n"/>
      <c r="BU57" s="478" t="n"/>
      <c r="BV57" s="478">
        <f>BV56+BS57</f>
        <v/>
      </c>
      <c r="BW57" s="126" t="n"/>
      <c r="CB57" s="196" t="inlineStr">
        <is>
          <t>实际生产量</t>
        </is>
      </c>
      <c r="CC57" s="272">
        <f>AC9</f>
        <v/>
      </c>
      <c r="CD57" s="272">
        <f>AC10</f>
        <v/>
      </c>
      <c r="CE57" s="272">
        <f>AC11</f>
        <v/>
      </c>
      <c r="CF57" s="272">
        <f>AC12</f>
        <v/>
      </c>
      <c r="CG57" s="396" t="n"/>
      <c r="CH57" s="396" t="n"/>
      <c r="CI57" s="196" t="inlineStr">
        <is>
          <t>市场2</t>
        </is>
      </c>
      <c r="CJ57" s="272">
        <f>Y109*(CJ20+CC28)</f>
        <v/>
      </c>
      <c r="CK57" s="272">
        <f>Z109*(CK20+CD28)</f>
        <v/>
      </c>
      <c r="CL57" s="272">
        <f>AA109*(CL20+CE28)</f>
        <v/>
      </c>
      <c r="CM57" s="272">
        <f>AB109*(CM20+CF28)</f>
        <v/>
      </c>
      <c r="CN57" s="396" t="n"/>
      <c r="CO57" s="396" t="n"/>
      <c r="CP57" s="294" t="inlineStr">
        <is>
          <t>B产品</t>
        </is>
      </c>
      <c r="CQ57" s="294">
        <f>比赛参数!$E$26</f>
        <v/>
      </c>
      <c r="CR57" s="294">
        <f>比赛参数!$E$26</f>
        <v/>
      </c>
      <c r="CS57" s="294">
        <f>比赛参数!$E$26</f>
        <v/>
      </c>
      <c r="CT57" s="294">
        <f>比赛参数!$E$26</f>
        <v/>
      </c>
      <c r="CU57" s="215" t="n"/>
      <c r="CW57" s="11" t="inlineStr">
        <is>
          <t>B产品</t>
        </is>
      </c>
      <c r="CX57" s="525">
        <f>第十四期!BS8-第十四期!CX51</f>
        <v/>
      </c>
      <c r="CY57" s="525">
        <f>第十四期!BT8-第十四期!CY51</f>
        <v/>
      </c>
      <c r="CZ57" s="525">
        <f>第十四期!BU8-第十四期!CZ51</f>
        <v/>
      </c>
      <c r="DA57" s="525">
        <f>第十四期!BV8-第十四期!DA51</f>
        <v/>
      </c>
      <c r="DB57" s="525">
        <f>AVERAGE(CX57:DA57)</f>
        <v/>
      </c>
      <c r="DF57" s="247" t="inlineStr">
        <is>
          <t>市场2</t>
        </is>
      </c>
      <c r="DG57" s="247">
        <f>比赛参数!E9</f>
        <v/>
      </c>
      <c r="DH57" s="247">
        <f>比赛参数!I9</f>
        <v/>
      </c>
      <c r="DI57" s="247">
        <f>比赛参数!E10</f>
        <v/>
      </c>
      <c r="DJ57" s="247">
        <f>比赛参数!I10</f>
        <v/>
      </c>
      <c r="DL57" s="247" t="inlineStr">
        <is>
          <t>产品B</t>
        </is>
      </c>
      <c r="DM57" s="247">
        <f>比赛参数!D45*DM51</f>
        <v/>
      </c>
      <c r="DN57" s="247">
        <f>比赛参数!E45*DN51</f>
        <v/>
      </c>
    </row>
    <row r="58" s="353">
      <c r="B58" s="441" t="n"/>
      <c r="C58" s="25" t="n">
        <v>9</v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10" t="n"/>
      <c r="X58" s="11" t="inlineStr">
        <is>
          <t>市场2</t>
        </is>
      </c>
      <c r="Y58" s="272">
        <f>第十四期!DX7</f>
        <v/>
      </c>
      <c r="Z58" s="272">
        <f>第十四期!DX11</f>
        <v/>
      </c>
      <c r="AA58" s="272">
        <f>第十四期!DX15</f>
        <v/>
      </c>
      <c r="AB58" s="272">
        <f>第十四期!DX19</f>
        <v/>
      </c>
      <c r="AC58" s="234" t="n"/>
      <c r="AE58" s="11" t="inlineStr">
        <is>
          <t>市场2</t>
        </is>
      </c>
      <c r="AF58" s="272">
        <f>第十四期!DW7</f>
        <v/>
      </c>
      <c r="AG58" s="272">
        <f>第十四期!DW11</f>
        <v/>
      </c>
      <c r="AH58" s="272">
        <f>第十四期!DW15</f>
        <v/>
      </c>
      <c r="AI58" s="272">
        <f>第十四期!DW19</f>
        <v/>
      </c>
      <c r="AK58" s="126">
        <f>AF55</f>
        <v/>
      </c>
      <c r="AL58" s="215">
        <f>AG55</f>
        <v/>
      </c>
      <c r="AM58" s="215">
        <f>AH55</f>
        <v/>
      </c>
      <c r="AN58" s="50">
        <f>AI55</f>
        <v/>
      </c>
      <c r="AR58" s="347" t="n">
        <v>2</v>
      </c>
      <c r="AS58" s="531">
        <f>IF(AS34="","",(AS34-AS$54)^2)</f>
        <v/>
      </c>
      <c r="AT58" s="531">
        <f>IF(AT34="","",(AT34-AT$54)^2)</f>
        <v/>
      </c>
      <c r="AU58" s="531">
        <f>IF(AU34="","",(AU34-AU$54)^2)</f>
        <v/>
      </c>
      <c r="AV58" s="531">
        <f>IF(AV34="","",(AV34-AV$54)^2)</f>
        <v/>
      </c>
      <c r="AW58" s="531">
        <f>IF(AW34="","",(AW34-AW$54)^2)</f>
        <v/>
      </c>
      <c r="AX58" s="531">
        <f>IF(AX34="","",(AX34-AX$54)^2)</f>
        <v/>
      </c>
      <c r="AY58" s="531">
        <f>IF(AY34="","",(AY34-AY$54)^2)</f>
        <v/>
      </c>
      <c r="AZ58" s="531">
        <f>IF(AZ34="","",(AZ34-AZ$54)^2)</f>
        <v/>
      </c>
      <c r="BA58" s="531">
        <f>IF(BA34="","",(BA34-BA$54)^2)</f>
        <v/>
      </c>
      <c r="BB58" s="531">
        <f>IF(BB34="","",(BB34-BB$54)^2)</f>
        <v/>
      </c>
      <c r="BC58" s="531">
        <f>IF(BC34="","",(BC34-BC$54)^2)</f>
        <v/>
      </c>
      <c r="BD58" s="531">
        <f>IF(BD34="","",(BD34-BD$54)^2)</f>
        <v/>
      </c>
      <c r="BE58" s="531">
        <f>IF(BE34="","",(BE34-BE$54)^2)</f>
        <v/>
      </c>
      <c r="BF58" s="531">
        <f>IF(BF34="","",(BF34-BF$54)^2)</f>
        <v/>
      </c>
      <c r="BG58" s="531">
        <f>IF(BG34="","",(BG34-BG$54)^2)</f>
        <v/>
      </c>
      <c r="BH58" s="531">
        <f>IF(BH34="","",(BH34-BH$54)^2)</f>
        <v/>
      </c>
      <c r="BR58" s="529" t="inlineStr">
        <is>
          <t>还债券本金</t>
        </is>
      </c>
      <c r="BS58" s="478">
        <f>第十四期!H5+第十四期!H4*比赛参数!F71</f>
        <v/>
      </c>
      <c r="BT58" s="478" t="n"/>
      <c r="BU58" s="478" t="n"/>
      <c r="BV58" s="478">
        <f>BV57-BS58</f>
        <v/>
      </c>
      <c r="BW58" s="126" t="n"/>
      <c r="CB58" s="196" t="inlineStr">
        <is>
          <t>供货量总量</t>
        </is>
      </c>
      <c r="CC58" s="272">
        <f>Y92</f>
        <v/>
      </c>
      <c r="CD58" s="272">
        <f>Z92</f>
        <v/>
      </c>
      <c r="CE58" s="272">
        <f>AA92</f>
        <v/>
      </c>
      <c r="CF58" s="272">
        <f>AB92</f>
        <v/>
      </c>
      <c r="CG58" s="396" t="n"/>
      <c r="CH58" s="396" t="n"/>
      <c r="CI58" s="196" t="inlineStr">
        <is>
          <t>市场3</t>
        </is>
      </c>
      <c r="CJ58" s="272">
        <f>Y110*(CJ21+CC29)</f>
        <v/>
      </c>
      <c r="CK58" s="272">
        <f>Z110*(CK21+CD29)</f>
        <v/>
      </c>
      <c r="CL58" s="272">
        <f>AA110*(CL21+CE29)</f>
        <v/>
      </c>
      <c r="CM58" s="272">
        <f>AB110*(CM21+CF29)</f>
        <v/>
      </c>
      <c r="CN58" s="272" t="inlineStr">
        <is>
          <t>总计</t>
        </is>
      </c>
      <c r="CO58" s="396" t="n"/>
      <c r="CP58" s="294" t="inlineStr">
        <is>
          <t>C产品</t>
        </is>
      </c>
      <c r="CQ58" s="294">
        <f>比赛参数!$F$26</f>
        <v/>
      </c>
      <c r="CR58" s="294">
        <f>比赛参数!$F$26</f>
        <v/>
      </c>
      <c r="CS58" s="294">
        <f>比赛参数!$F$26</f>
        <v/>
      </c>
      <c r="CT58" s="294">
        <f>比赛参数!$F$26</f>
        <v/>
      </c>
      <c r="CU58" s="215" t="n"/>
      <c r="CW58" s="11" t="inlineStr">
        <is>
          <t>C产品</t>
        </is>
      </c>
      <c r="CX58" s="525">
        <f>第十四期!BS9-第十四期!CX52</f>
        <v/>
      </c>
      <c r="CY58" s="525">
        <f>第十四期!BT9-第十四期!CY52</f>
        <v/>
      </c>
      <c r="CZ58" s="525">
        <f>第十四期!BU9-第十四期!CZ52</f>
        <v/>
      </c>
      <c r="DA58" s="525">
        <f>第十四期!BV9-第十四期!DA52</f>
        <v/>
      </c>
      <c r="DB58" s="525">
        <f>AVERAGE(CX58:DA58)</f>
        <v/>
      </c>
      <c r="DF58" s="247" t="inlineStr">
        <is>
          <t>市场3</t>
        </is>
      </c>
      <c r="DG58" s="247">
        <f>比赛参数!F9</f>
        <v/>
      </c>
      <c r="DH58" s="247">
        <f>比赛参数!J9</f>
        <v/>
      </c>
      <c r="DI58" s="247">
        <f>比赛参数!F10</f>
        <v/>
      </c>
      <c r="DJ58" s="247">
        <f>比赛参数!J10</f>
        <v/>
      </c>
      <c r="DL58" s="247" t="inlineStr">
        <is>
          <t>产品C</t>
        </is>
      </c>
      <c r="DM58" s="247">
        <f>比赛参数!D46*DM52</f>
        <v/>
      </c>
      <c r="DN58" s="247">
        <f>比赛参数!E46*DN52</f>
        <v/>
      </c>
    </row>
    <row r="59" s="353">
      <c r="B59" s="441" t="n"/>
      <c r="C59" s="25" t="n">
        <v>10</v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10" t="n"/>
      <c r="X59" s="11" t="inlineStr">
        <is>
          <t>市场3</t>
        </is>
      </c>
      <c r="Y59" s="272">
        <f>第十四期!DX8</f>
        <v/>
      </c>
      <c r="Z59" s="272">
        <f>第十四期!DX12</f>
        <v/>
      </c>
      <c r="AA59" s="272">
        <f>第十四期!DX16</f>
        <v/>
      </c>
      <c r="AB59" s="272">
        <f>第十四期!DX20</f>
        <v/>
      </c>
      <c r="AC59" s="235" t="n"/>
      <c r="AE59" s="11" t="inlineStr">
        <is>
          <t>市场3</t>
        </is>
      </c>
      <c r="AF59" s="272">
        <f>第十四期!DW8</f>
        <v/>
      </c>
      <c r="AG59" s="272">
        <f>第十四期!DW12</f>
        <v/>
      </c>
      <c r="AH59" s="272">
        <f>第十四期!DW16</f>
        <v/>
      </c>
      <c r="AI59" s="272">
        <f>第十四期!DW20</f>
        <v/>
      </c>
      <c r="AK59" s="126" t="n"/>
      <c r="AL59" s="215" t="n"/>
      <c r="AM59" s="215" t="n"/>
      <c r="AN59" s="50" t="n"/>
      <c r="AR59" s="347" t="n">
        <v>3</v>
      </c>
      <c r="AS59" s="531">
        <f>IF(AS35="","",(AS35-AS$54)^2)</f>
        <v/>
      </c>
      <c r="AT59" s="531">
        <f>IF(AT35="","",(AT35-AT$54)^2)</f>
        <v/>
      </c>
      <c r="AU59" s="531">
        <f>IF(AU35="","",(AU35-AU$54)^2)</f>
        <v/>
      </c>
      <c r="AV59" s="531">
        <f>IF(AV35="","",(AV35-AV$54)^2)</f>
        <v/>
      </c>
      <c r="AW59" s="531">
        <f>IF(AW35="","",(AW35-AW$54)^2)</f>
        <v/>
      </c>
      <c r="AX59" s="531">
        <f>IF(AX35="","",(AX35-AX$54)^2)</f>
        <v/>
      </c>
      <c r="AY59" s="531">
        <f>IF(AY35="","",(AY35-AY$54)^2)</f>
        <v/>
      </c>
      <c r="AZ59" s="531">
        <f>IF(AZ35="","",(AZ35-AZ$54)^2)</f>
        <v/>
      </c>
      <c r="BA59" s="531">
        <f>IF(BA35="","",(BA35-BA$54)^2)</f>
        <v/>
      </c>
      <c r="BB59" s="531">
        <f>IF(BB35="","",(BB35-BB$54)^2)</f>
        <v/>
      </c>
      <c r="BC59" s="531">
        <f>IF(BC35="","",(BC35-BC$54)^2)</f>
        <v/>
      </c>
      <c r="BD59" s="531">
        <f>IF(BD35="","",(BD35-BD$54)^2)</f>
        <v/>
      </c>
      <c r="BE59" s="531">
        <f>IF(BE35="","",(BE35-BE$54)^2)</f>
        <v/>
      </c>
      <c r="BF59" s="531">
        <f>IF(BF35="","",(BF35-BF$54)^2)</f>
        <v/>
      </c>
      <c r="BG59" s="531">
        <f>IF(BG35="","",(BG35-BG$54)^2)</f>
        <v/>
      </c>
      <c r="BH59" s="531">
        <f>IF(BH35="","",(BH35-BH$54)^2)</f>
        <v/>
      </c>
      <c r="BR59" s="529" t="inlineStr">
        <is>
          <t>还债券利息</t>
        </is>
      </c>
      <c r="BS59" s="478">
        <f>第十四期!K14*比赛参数!D71/4</f>
        <v/>
      </c>
      <c r="BT59" s="478" t="n"/>
      <c r="BU59" s="478">
        <f>BS59</f>
        <v/>
      </c>
      <c r="BV59" s="478">
        <f>BV58-BS59</f>
        <v/>
      </c>
      <c r="BW59" s="126" t="n"/>
      <c r="CB59" s="196" t="inlineStr">
        <is>
          <t>预测市场库存</t>
        </is>
      </c>
      <c r="CC59" s="272">
        <f>AF108</f>
        <v/>
      </c>
      <c r="CD59" s="272">
        <f>AG108</f>
        <v/>
      </c>
      <c r="CE59" s="272">
        <f>AH108</f>
        <v/>
      </c>
      <c r="CF59" s="272">
        <f>AI108</f>
        <v/>
      </c>
      <c r="CG59" s="396" t="n"/>
      <c r="CH59" s="396" t="n"/>
      <c r="CI59" s="196" t="inlineStr">
        <is>
          <t>市场4</t>
        </is>
      </c>
      <c r="CJ59" s="272">
        <f>Y111*(CJ22+CC30)</f>
        <v/>
      </c>
      <c r="CK59" s="272">
        <f>Z111*(CK22+CD30)</f>
        <v/>
      </c>
      <c r="CL59" s="272">
        <f>AA111*(CL22+CE30)</f>
        <v/>
      </c>
      <c r="CM59" s="272">
        <f>AB111*(CM22+CF30)</f>
        <v/>
      </c>
      <c r="CN59" s="272">
        <f>SUM(CJ56:CM59)</f>
        <v/>
      </c>
      <c r="CO59" s="396" t="n"/>
      <c r="CP59" s="294" t="inlineStr">
        <is>
          <t>D产品</t>
        </is>
      </c>
      <c r="CQ59" s="294">
        <f>比赛参数!$G$26</f>
        <v/>
      </c>
      <c r="CR59" s="294">
        <f>比赛参数!$G$26</f>
        <v/>
      </c>
      <c r="CS59" s="294">
        <f>比赛参数!$G$26</f>
        <v/>
      </c>
      <c r="CT59" s="294">
        <f>比赛参数!$G$26</f>
        <v/>
      </c>
      <c r="CU59" s="215" t="n"/>
      <c r="CW59" s="11" t="inlineStr">
        <is>
          <t>D产品</t>
        </is>
      </c>
      <c r="CX59" s="525">
        <f>第十四期!BS10-第十四期!CX53</f>
        <v/>
      </c>
      <c r="CY59" s="525">
        <f>第十四期!BT10-第十四期!CY53</f>
        <v/>
      </c>
      <c r="CZ59" s="525">
        <f>第十四期!BU10-第十四期!CZ53</f>
        <v/>
      </c>
      <c r="DA59" s="525">
        <f>第十四期!BV10-第十四期!DA53</f>
        <v/>
      </c>
      <c r="DB59" s="525">
        <f>AVERAGE(CX59:DA59)</f>
        <v/>
      </c>
      <c r="DF59" s="247" t="inlineStr">
        <is>
          <t>市场4</t>
        </is>
      </c>
      <c r="DG59" s="247">
        <f>比赛参数!G9</f>
        <v/>
      </c>
      <c r="DH59" s="247">
        <f>比赛参数!K9</f>
        <v/>
      </c>
      <c r="DI59" s="247">
        <f>比赛参数!G10</f>
        <v/>
      </c>
      <c r="DJ59" s="247">
        <f>比赛参数!K10</f>
        <v/>
      </c>
      <c r="DL59" s="247" t="inlineStr">
        <is>
          <t>产品D</t>
        </is>
      </c>
      <c r="DM59" s="247">
        <f>比赛参数!D47*DM53</f>
        <v/>
      </c>
      <c r="DN59" s="247">
        <f>比赛参数!E47*DN53</f>
        <v/>
      </c>
    </row>
    <row r="60" s="353">
      <c r="B60" s="441" t="n"/>
      <c r="C60" s="25" t="n">
        <v>11</v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10" t="n"/>
      <c r="X60" s="11" t="inlineStr">
        <is>
          <t>市场4</t>
        </is>
      </c>
      <c r="Y60" s="272">
        <f>第十四期!DX9</f>
        <v/>
      </c>
      <c r="Z60" s="272">
        <f>第十四期!DX13</f>
        <v/>
      </c>
      <c r="AA60" s="272">
        <f>第十四期!DX17</f>
        <v/>
      </c>
      <c r="AB60" s="272">
        <f>第十四期!DX21</f>
        <v/>
      </c>
      <c r="AC60" s="272" t="inlineStr">
        <is>
          <t>总计</t>
        </is>
      </c>
      <c r="AE60" s="11" t="inlineStr">
        <is>
          <t>市场4</t>
        </is>
      </c>
      <c r="AF60" s="272">
        <f>第十四期!DW9</f>
        <v/>
      </c>
      <c r="AG60" s="272">
        <f>第十四期!DW13</f>
        <v/>
      </c>
      <c r="AH60" s="272">
        <f>第十四期!DW17</f>
        <v/>
      </c>
      <c r="AI60" s="272">
        <f>第十四期!DW21</f>
        <v/>
      </c>
      <c r="AK60" s="126">
        <f>AF74</f>
        <v/>
      </c>
      <c r="AL60" s="215">
        <f>AG74</f>
        <v/>
      </c>
      <c r="AM60" s="215">
        <f>AH74</f>
        <v/>
      </c>
      <c r="AN60" s="50">
        <f>AI74</f>
        <v/>
      </c>
      <c r="AR60" s="347" t="n">
        <v>4</v>
      </c>
      <c r="AS60" s="531">
        <f>IF(AS36="","",(AS36-AS$54)^2)</f>
        <v/>
      </c>
      <c r="AT60" s="531">
        <f>IF(AT36="","",(AT36-AT$54)^2)</f>
        <v/>
      </c>
      <c r="AU60" s="531">
        <f>IF(AU36="","",(AU36-AU$54)^2)</f>
        <v/>
      </c>
      <c r="AV60" s="531">
        <f>IF(AV36="","",(AV36-AV$54)^2)</f>
        <v/>
      </c>
      <c r="AW60" s="531">
        <f>IF(AW36="","",(AW36-AW$54)^2)</f>
        <v/>
      </c>
      <c r="AX60" s="531">
        <f>IF(AX36="","",(AX36-AX$54)^2)</f>
        <v/>
      </c>
      <c r="AY60" s="531">
        <f>IF(AY36="","",(AY36-AY$54)^2)</f>
        <v/>
      </c>
      <c r="AZ60" s="531">
        <f>IF(AZ36="","",(AZ36-AZ$54)^2)</f>
        <v/>
      </c>
      <c r="BA60" s="531">
        <f>IF(BA36="","",(BA36-BA$54)^2)</f>
        <v/>
      </c>
      <c r="BB60" s="531">
        <f>IF(BB36="","",(BB36-BB$54)^2)</f>
        <v/>
      </c>
      <c r="BC60" s="531">
        <f>IF(BC36="","",(BC36-BC$54)^2)</f>
        <v/>
      </c>
      <c r="BD60" s="531">
        <f>IF(BD36="","",(BD36-BD$54)^2)</f>
        <v/>
      </c>
      <c r="BE60" s="531">
        <f>IF(BE36="","",(BE36-BE$54)^2)</f>
        <v/>
      </c>
      <c r="BF60" s="531">
        <f>IF(BF36="","",(BF36-BF$54)^2)</f>
        <v/>
      </c>
      <c r="BG60" s="531">
        <f>IF(BG36="","",(BG36-BG$54)^2)</f>
        <v/>
      </c>
      <c r="BH60" s="531">
        <f>IF(BH36="","",(BH36-BH$54)^2)</f>
        <v/>
      </c>
      <c r="BR60" s="529" t="inlineStr">
        <is>
          <t>新工人培训费</t>
        </is>
      </c>
      <c r="BS60" s="478">
        <f>第十四期!Y18*比赛参数!D58</f>
        <v/>
      </c>
      <c r="BT60" s="478" t="n"/>
      <c r="BU60" s="478">
        <f>BU59+BS60</f>
        <v/>
      </c>
      <c r="BV60" s="478">
        <f>BV59-BS60</f>
        <v/>
      </c>
      <c r="BW60" s="126" t="n"/>
      <c r="CB60" s="196" t="inlineStr">
        <is>
          <t>期初库存</t>
        </is>
      </c>
      <c r="CC60" s="272">
        <f>SUM(Y57:Y60)+CC56</f>
        <v/>
      </c>
      <c r="CD60" s="272">
        <f>SUM(Z57:Z60)+CD56</f>
        <v/>
      </c>
      <c r="CE60" s="272">
        <f>SUM(AA57:AA60)+CE56</f>
        <v/>
      </c>
      <c r="CF60" s="272">
        <f>SUM(AB57:AB60)+CF56</f>
        <v/>
      </c>
      <c r="CG60" s="396" t="n"/>
      <c r="CH60" s="396" t="n"/>
      <c r="CI60" s="396" t="n"/>
      <c r="CJ60" s="396" t="n"/>
      <c r="CK60" s="396" t="n"/>
      <c r="CL60" s="396" t="n"/>
      <c r="CM60" s="396" t="n"/>
      <c r="CN60" s="396" t="n"/>
      <c r="CO60" s="396" t="n"/>
      <c r="CP60" s="215" t="n"/>
      <c r="CQ60" s="215" t="n"/>
      <c r="CR60" s="215" t="n"/>
      <c r="CS60" s="215" t="n"/>
      <c r="CT60" s="215" t="n"/>
      <c r="CU60" s="215" t="n"/>
      <c r="CW60" s="215" t="n"/>
      <c r="CX60" s="528" t="n"/>
      <c r="CY60" s="528" t="n"/>
      <c r="CZ60" s="528" t="n"/>
      <c r="DA60" s="528" t="n"/>
      <c r="DB60" s="215" t="n"/>
      <c r="DF60" s="246" t="n"/>
      <c r="DG60" s="246" t="n"/>
      <c r="DH60" s="246" t="n"/>
      <c r="DI60" s="246" t="n"/>
      <c r="DJ60" s="246" t="n"/>
      <c r="DL60" s="246" t="inlineStr">
        <is>
          <t>总计</t>
        </is>
      </c>
      <c r="DM60" s="246">
        <f>SUM(DM56:DN59)</f>
        <v/>
      </c>
      <c r="DN60" s="246" t="n"/>
    </row>
    <row r="61" s="353">
      <c r="B61" s="441" t="n"/>
      <c r="C61" s="25" t="n">
        <v>12</v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10" t="n"/>
      <c r="X61" s="294" t="inlineStr">
        <is>
          <t>库存收入</t>
        </is>
      </c>
      <c r="Y61" s="478">
        <f>Y57*AF86+Y58*AF87+Y59*AF88+Y60*AF89</f>
        <v/>
      </c>
      <c r="Z61" s="478">
        <f>Z57*AG86+Z58*AG87+Z59*AG88+Z60*AG89</f>
        <v/>
      </c>
      <c r="AA61" s="478">
        <f>AA57*AH86+AA58*AH87+AA59*AH88+AA60*AH89</f>
        <v/>
      </c>
      <c r="AB61" s="478">
        <f>AB57*AI86+AB58*AI87+AB59*AI88+AB60*AI89</f>
        <v/>
      </c>
      <c r="AC61" s="478">
        <f>SUM(Y61:AB61)</f>
        <v/>
      </c>
      <c r="AE61" s="215" t="n"/>
      <c r="AF61" s="215" t="n"/>
      <c r="AG61" s="215" t="n"/>
      <c r="AH61" s="215" t="n"/>
      <c r="AI61" s="215" t="n"/>
      <c r="AK61" s="170">
        <f>AF82</f>
        <v/>
      </c>
      <c r="AL61" s="171">
        <f>AG82</f>
        <v/>
      </c>
      <c r="AM61" s="171">
        <f>AH82</f>
        <v/>
      </c>
      <c r="AN61" s="172">
        <f>AI82</f>
        <v/>
      </c>
      <c r="AR61" s="347" t="n">
        <v>5</v>
      </c>
      <c r="AS61" s="531">
        <f>IF(AS37="","",(AS37-AS$54)^2)</f>
        <v/>
      </c>
      <c r="AT61" s="531">
        <f>IF(AT37="","",(AT37-AT$54)^2)</f>
        <v/>
      </c>
      <c r="AU61" s="531">
        <f>IF(AU37="","",(AU37-AU$54)^2)</f>
        <v/>
      </c>
      <c r="AV61" s="531">
        <f>IF(AV37="","",(AV37-AV$54)^2)</f>
        <v/>
      </c>
      <c r="AW61" s="531">
        <f>IF(AW37="","",(AW37-AW$54)^2)</f>
        <v/>
      </c>
      <c r="AX61" s="531">
        <f>IF(AX37="","",(AX37-AX$54)^2)</f>
        <v/>
      </c>
      <c r="AY61" s="531">
        <f>IF(AY37="","",(AY37-AY$54)^2)</f>
        <v/>
      </c>
      <c r="AZ61" s="531">
        <f>IF(AZ37="","",(AZ37-AZ$54)^2)</f>
        <v/>
      </c>
      <c r="BA61" s="531">
        <f>IF(BA37="","",(BA37-BA$54)^2)</f>
        <v/>
      </c>
      <c r="BB61" s="531">
        <f>IF(BB37="","",(BB37-BB$54)^2)</f>
        <v/>
      </c>
      <c r="BC61" s="531">
        <f>IF(BC37="","",(BC37-BC$54)^2)</f>
        <v/>
      </c>
      <c r="BD61" s="531">
        <f>IF(BD37="","",(BD37-BD$54)^2)</f>
        <v/>
      </c>
      <c r="BE61" s="531">
        <f>IF(BE37="","",(BE37-BE$54)^2)</f>
        <v/>
      </c>
      <c r="BF61" s="531">
        <f>IF(BF37="","",(BF37-BF$54)^2)</f>
        <v/>
      </c>
      <c r="BG61" s="531">
        <f>IF(BG37="","",(BG37-BG$54)^2)</f>
        <v/>
      </c>
      <c r="BH61" s="531">
        <f>IF(BH37="","",(BH37-BH$54)^2)</f>
        <v/>
      </c>
      <c r="BR61" s="529" t="inlineStr">
        <is>
          <t>解雇工人安置费</t>
        </is>
      </c>
      <c r="BS61" s="478">
        <f>第十四期!AA18*比赛参数!D62</f>
        <v/>
      </c>
      <c r="BT61" s="478" t="n"/>
      <c r="BU61" s="478">
        <f>BU60+BS61</f>
        <v/>
      </c>
      <c r="BV61" s="478">
        <f>BV60-BS61</f>
        <v/>
      </c>
      <c r="BW61" s="126" t="n"/>
      <c r="CB61" s="196" t="inlineStr">
        <is>
          <t>期末库存</t>
        </is>
      </c>
      <c r="CC61" s="272">
        <f>CC56+CC57-CC58+CC59</f>
        <v/>
      </c>
      <c r="CD61" s="272">
        <f>CD56+CD57-CD58+CD59</f>
        <v/>
      </c>
      <c r="CE61" s="272">
        <f>CE56+CE57-CE58+CE59</f>
        <v/>
      </c>
      <c r="CF61" s="272">
        <f>CF56+CF57-CF58+CF59</f>
        <v/>
      </c>
      <c r="CG61" s="396" t="n"/>
      <c r="CH61" s="396" t="n"/>
      <c r="CI61" s="396" t="n"/>
      <c r="CJ61" s="396" t="n"/>
      <c r="CK61" s="396" t="n"/>
      <c r="CL61" s="396" t="n"/>
      <c r="CM61" s="396" t="n"/>
      <c r="CN61" s="396" t="n"/>
      <c r="CO61" s="396" t="n"/>
      <c r="CP61" s="294" t="inlineStr">
        <is>
          <t>人时</t>
        </is>
      </c>
      <c r="CQ61" s="294" t="inlineStr">
        <is>
          <t>第一班正班</t>
        </is>
      </c>
      <c r="CR61" s="294" t="inlineStr">
        <is>
          <t>第一班加班</t>
        </is>
      </c>
      <c r="CS61" s="294" t="inlineStr">
        <is>
          <t>第二班正班</t>
        </is>
      </c>
      <c r="CT61" s="294" t="inlineStr">
        <is>
          <t>第二班加班</t>
        </is>
      </c>
      <c r="CU61" s="215" t="n"/>
      <c r="CW61" s="63" t="inlineStr">
        <is>
          <t>单位机时贡献</t>
        </is>
      </c>
      <c r="CX61" s="530" t="inlineStr">
        <is>
          <t>市场1</t>
        </is>
      </c>
      <c r="CY61" s="530" t="inlineStr">
        <is>
          <t>市场2</t>
        </is>
      </c>
      <c r="CZ61" s="530" t="inlineStr">
        <is>
          <t>市场3</t>
        </is>
      </c>
      <c r="DA61" s="530" t="inlineStr">
        <is>
          <t>市场4</t>
        </is>
      </c>
      <c r="DB61" s="11" t="inlineStr">
        <is>
          <t>平均</t>
        </is>
      </c>
      <c r="DF61" s="246" t="n"/>
      <c r="DG61" s="246" t="n"/>
      <c r="DH61" s="246" t="n"/>
      <c r="DI61" s="246" t="n"/>
      <c r="DJ61" s="246" t="n"/>
      <c r="DN61" s="246" t="n"/>
    </row>
    <row r="62" s="353">
      <c r="B62" s="441" t="n"/>
      <c r="C62" s="25" t="n">
        <v>13</v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10" t="n"/>
      <c r="AE62" s="215" t="n"/>
      <c r="AF62" s="215" t="n"/>
      <c r="AG62" s="215" t="n"/>
      <c r="AH62" s="215" t="n"/>
      <c r="AI62" s="215" t="n"/>
      <c r="AJ62" s="215" t="n"/>
      <c r="AL62" s="215" t="n"/>
      <c r="AN62" s="396" t="n"/>
      <c r="AO62" s="396" t="n"/>
      <c r="AR62" s="347" t="n">
        <v>6</v>
      </c>
      <c r="AS62" s="531">
        <f>IF(AS38="","",(AS38-AS$54)^2)</f>
        <v/>
      </c>
      <c r="AT62" s="531">
        <f>IF(AT38="","",(AT38-AT$54)^2)</f>
        <v/>
      </c>
      <c r="AU62" s="531">
        <f>IF(AU38="","",(AU38-AU$54)^2)</f>
        <v/>
      </c>
      <c r="AV62" s="531">
        <f>IF(AV38="","",(AV38-AV$54)^2)</f>
        <v/>
      </c>
      <c r="AW62" s="531">
        <f>IF(AW38="","",(AW38-AW$54)^2)</f>
        <v/>
      </c>
      <c r="AX62" s="531">
        <f>IF(AX38="","",(AX38-AX$54)^2)</f>
        <v/>
      </c>
      <c r="AY62" s="531">
        <f>IF(AY38="","",(AY38-AY$54)^2)</f>
        <v/>
      </c>
      <c r="AZ62" s="531">
        <f>IF(AZ38="","",(AZ38-AZ$54)^2)</f>
        <v/>
      </c>
      <c r="BA62" s="531">
        <f>IF(BA38="","",(BA38-BA$54)^2)</f>
        <v/>
      </c>
      <c r="BB62" s="531">
        <f>IF(BB38="","",(BB38-BB$54)^2)</f>
        <v/>
      </c>
      <c r="BC62" s="531">
        <f>IF(BC38="","",(BC38-BC$54)^2)</f>
        <v/>
      </c>
      <c r="BD62" s="531">
        <f>IF(BD38="","",(BD38-BD$54)^2)</f>
        <v/>
      </c>
      <c r="BE62" s="531">
        <f>IF(BE38="","",(BE38-BE$54)^2)</f>
        <v/>
      </c>
      <c r="BF62" s="531">
        <f>IF(BF38="","",(BF38-BF$54)^2)</f>
        <v/>
      </c>
      <c r="BG62" s="531">
        <f>IF(BG38="","",(BG38-BG$54)^2)</f>
        <v/>
      </c>
      <c r="BH62" s="531">
        <f>IF(BH38="","",(BH38-BH$54)^2)</f>
        <v/>
      </c>
      <c r="BR62" s="529" t="inlineStr">
        <is>
          <t>工人基本工资</t>
        </is>
      </c>
      <c r="BS62" s="478">
        <f>((第十四期!K8-第十四期!AA18)*比赛参数!D65+第十四期!Y18*比赛参数!D59*比赛参数!D65)*第十四期!AH18*520</f>
        <v/>
      </c>
      <c r="BT62" s="478" t="n"/>
      <c r="BU62" s="478">
        <f>BU61+BS62</f>
        <v/>
      </c>
      <c r="BV62" s="478">
        <f>BV61-BS62</f>
        <v/>
      </c>
      <c r="BW62" s="126" t="n"/>
      <c r="CB62" s="196" t="inlineStr">
        <is>
          <t>单位成品存储费</t>
        </is>
      </c>
      <c r="CC62" s="272">
        <f>比赛参数!D19</f>
        <v/>
      </c>
      <c r="CD62" s="272">
        <f>比赛参数!D20</f>
        <v/>
      </c>
      <c r="CE62" s="272">
        <f>比赛参数!D21</f>
        <v/>
      </c>
      <c r="CF62" s="272">
        <f>比赛参数!D22</f>
        <v/>
      </c>
      <c r="CG62" s="396" t="n"/>
      <c r="CH62" s="396" t="n"/>
      <c r="CI62" s="396" t="n"/>
      <c r="CJ62" s="396" t="n"/>
      <c r="CK62" s="396" t="n"/>
      <c r="CL62" s="396" t="n"/>
      <c r="CM62" s="396" t="n"/>
      <c r="CN62" s="396" t="n"/>
      <c r="CO62" s="396" t="n"/>
      <c r="CP62" s="294" t="inlineStr">
        <is>
          <t>A产品</t>
        </is>
      </c>
      <c r="CQ62" s="294">
        <f>比赛参数!$D$27</f>
        <v/>
      </c>
      <c r="CR62" s="294">
        <f>比赛参数!$D$27</f>
        <v/>
      </c>
      <c r="CS62" s="294">
        <f>比赛参数!$D$27</f>
        <v/>
      </c>
      <c r="CT62" s="294">
        <f>比赛参数!$D$27</f>
        <v/>
      </c>
      <c r="CU62" s="215" t="n"/>
      <c r="CW62" s="11" t="inlineStr">
        <is>
          <t>A产品</t>
        </is>
      </c>
      <c r="CX62" s="525">
        <f>CX56/第十四期!CQ56</f>
        <v/>
      </c>
      <c r="CY62" s="525">
        <f>CY56/第十四期!CR56</f>
        <v/>
      </c>
      <c r="CZ62" s="525">
        <f>CZ56/第十四期!CS56</f>
        <v/>
      </c>
      <c r="DA62" s="525">
        <f>DA56/第十四期!CT56</f>
        <v/>
      </c>
      <c r="DB62" s="525">
        <f>AVERAGE(CX62:DA62)</f>
        <v/>
      </c>
      <c r="DF62" s="246" t="n"/>
      <c r="DG62" s="246" t="n"/>
      <c r="DH62" s="246" t="n"/>
      <c r="DI62" s="246" t="n"/>
      <c r="DJ62" s="246" t="n"/>
    </row>
    <row r="63" s="353">
      <c r="B63" s="441" t="n"/>
      <c r="C63" s="25" t="n">
        <v>14</v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10" t="n"/>
      <c r="X63" s="63" t="inlineStr">
        <is>
          <t>供需差额</t>
        </is>
      </c>
      <c r="Y63" s="73" t="inlineStr">
        <is>
          <t>A产品</t>
        </is>
      </c>
      <c r="Z63" s="73" t="inlineStr">
        <is>
          <t>B产品</t>
        </is>
      </c>
      <c r="AA63" s="73" t="inlineStr">
        <is>
          <t>C产品</t>
        </is>
      </c>
      <c r="AB63" s="73" t="inlineStr">
        <is>
          <t>D产品</t>
        </is>
      </c>
      <c r="AC63" s="126" t="n"/>
      <c r="AE63" s="63" t="inlineStr">
        <is>
          <t>实际供应</t>
        </is>
      </c>
      <c r="AF63" s="73" t="inlineStr">
        <is>
          <t>A产品</t>
        </is>
      </c>
      <c r="AG63" s="73" t="inlineStr">
        <is>
          <t>B产品</t>
        </is>
      </c>
      <c r="AH63" s="73" t="inlineStr">
        <is>
          <t>C产品</t>
        </is>
      </c>
      <c r="AI63" s="73" t="inlineStr">
        <is>
          <t>D产品</t>
        </is>
      </c>
      <c r="AJ63" s="126" t="n"/>
      <c r="AL63" s="215" t="n"/>
      <c r="AN63" s="396" t="n"/>
      <c r="AO63" s="396" t="n"/>
      <c r="AR63" s="347" t="n">
        <v>7</v>
      </c>
      <c r="AS63" s="531">
        <f>IF(AS39="","",(AS39-AS$54)^2)</f>
        <v/>
      </c>
      <c r="AT63" s="531">
        <f>IF(AT39="","",(AT39-AT$54)^2)</f>
        <v/>
      </c>
      <c r="AU63" s="531">
        <f>IF(AU39="","",(AU39-AU$54)^2)</f>
        <v/>
      </c>
      <c r="AV63" s="531">
        <f>IF(AV39="","",(AV39-AV$54)^2)</f>
        <v/>
      </c>
      <c r="AW63" s="531">
        <f>IF(AW39="","",(AW39-AW$54)^2)</f>
        <v/>
      </c>
      <c r="AX63" s="531">
        <f>IF(AX39="","",(AX39-AX$54)^2)</f>
        <v/>
      </c>
      <c r="AY63" s="531">
        <f>IF(AY39="","",(AY39-AY$54)^2)</f>
        <v/>
      </c>
      <c r="AZ63" s="531">
        <f>IF(AZ39="","",(AZ39-AZ$54)^2)</f>
        <v/>
      </c>
      <c r="BA63" s="531">
        <f>IF(BA39="","",(BA39-BA$54)^2)</f>
        <v/>
      </c>
      <c r="BB63" s="531">
        <f>IF(BB39="","",(BB39-BB$54)^2)</f>
        <v/>
      </c>
      <c r="BC63" s="531">
        <f>IF(BC39="","",(BC39-BC$54)^2)</f>
        <v/>
      </c>
      <c r="BD63" s="531">
        <f>IF(BD39="","",(BD39-BD$54)^2)</f>
        <v/>
      </c>
      <c r="BE63" s="531">
        <f>IF(BE39="","",(BE39-BE$54)^2)</f>
        <v/>
      </c>
      <c r="BF63" s="531">
        <f>IF(BF39="","",(BF39-BF$54)^2)</f>
        <v/>
      </c>
      <c r="BG63" s="531">
        <f>IF(BG39="","",(BG39-BG$54)^2)</f>
        <v/>
      </c>
      <c r="BH63" s="531">
        <f>IF(BH39="","",(BH39-BH$54)^2)</f>
        <v/>
      </c>
      <c r="BR63" s="529" t="inlineStr">
        <is>
          <t>机器维修费</t>
        </is>
      </c>
      <c r="BS63" s="478">
        <f>第十四期!K9*比赛参数!D49</f>
        <v/>
      </c>
      <c r="BT63" s="478" t="n"/>
      <c r="BU63" s="478">
        <f>BU62+BS63</f>
        <v/>
      </c>
      <c r="BV63" s="478">
        <f>BV62-BS63</f>
        <v/>
      </c>
      <c r="BW63" s="126" t="n"/>
      <c r="CB63" s="196" t="inlineStr">
        <is>
          <t>单位成本</t>
        </is>
      </c>
      <c r="CC63" s="510">
        <f>AM26</f>
        <v/>
      </c>
      <c r="CD63" s="272">
        <f>AM27</f>
        <v/>
      </c>
      <c r="CE63" s="272">
        <f>AM28</f>
        <v/>
      </c>
      <c r="CF63" s="272">
        <f>AM29</f>
        <v/>
      </c>
      <c r="CG63" s="396" t="n"/>
      <c r="CH63" s="396" t="n"/>
      <c r="CI63" s="396" t="n"/>
      <c r="CJ63" s="396" t="n"/>
      <c r="CK63" s="396" t="n"/>
      <c r="CL63" s="396" t="n"/>
      <c r="CM63" s="396" t="n"/>
      <c r="CN63" s="396" t="n"/>
      <c r="CO63" s="396" t="n"/>
      <c r="CP63" s="294" t="inlineStr">
        <is>
          <t>B产品</t>
        </is>
      </c>
      <c r="CQ63" s="294">
        <f>比赛参数!$E$27</f>
        <v/>
      </c>
      <c r="CR63" s="294">
        <f>比赛参数!$E$27</f>
        <v/>
      </c>
      <c r="CS63" s="294">
        <f>比赛参数!$E$27</f>
        <v/>
      </c>
      <c r="CT63" s="294">
        <f>比赛参数!$E$27</f>
        <v/>
      </c>
      <c r="CU63" s="215" t="n"/>
      <c r="CW63" s="11" t="inlineStr">
        <is>
          <t>B产品</t>
        </is>
      </c>
      <c r="CX63" s="525">
        <f>CX57/第十四期!CQ57</f>
        <v/>
      </c>
      <c r="CY63" s="525">
        <f>CY57/第十四期!CR57</f>
        <v/>
      </c>
      <c r="CZ63" s="525">
        <f>CZ57/第十四期!CS57</f>
        <v/>
      </c>
      <c r="DA63" s="525">
        <f>DA57/第十四期!CT57</f>
        <v/>
      </c>
      <c r="DB63" s="525">
        <f>AVERAGE(CX63:DA63)</f>
        <v/>
      </c>
      <c r="DF63" s="247" t="inlineStr">
        <is>
          <t>变动运输费</t>
        </is>
      </c>
      <c r="DG63" s="247" t="inlineStr">
        <is>
          <t>产品A</t>
        </is>
      </c>
      <c r="DH63" s="247" t="inlineStr">
        <is>
          <t>产品B</t>
        </is>
      </c>
      <c r="DI63" s="247" t="inlineStr">
        <is>
          <t>产品C</t>
        </is>
      </c>
      <c r="DJ63" s="247" t="inlineStr">
        <is>
          <t>产品D</t>
        </is>
      </c>
    </row>
    <row r="64" s="353">
      <c r="B64" s="441" t="n"/>
      <c r="C64" s="25" t="n">
        <v>15</v>
      </c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10" t="n"/>
      <c r="X64" s="64" t="inlineStr">
        <is>
          <t>市场1</t>
        </is>
      </c>
      <c r="Y64" s="272">
        <f>AF64-AF70</f>
        <v/>
      </c>
      <c r="Z64" s="272">
        <f>AG64-AG70</f>
        <v/>
      </c>
      <c r="AA64" s="272">
        <f>AH64-AH70</f>
        <v/>
      </c>
      <c r="AB64" s="272">
        <f>AI64-AI70</f>
        <v/>
      </c>
      <c r="AC64" s="126" t="n"/>
      <c r="AE64" s="64" t="inlineStr">
        <is>
          <t>市场1</t>
        </is>
      </c>
      <c r="AF64" s="131">
        <f>IF(Y88+Y57-AF57-Y108&gt;0,Y88+Y57-AF57-Y108,0)</f>
        <v/>
      </c>
      <c r="AG64" s="131">
        <f>IF(Z88+Z57-AG57-Z108&gt;0,Z88+Z57-AG57-Z108,0)</f>
        <v/>
      </c>
      <c r="AH64" s="131">
        <f>IF(AA88+AA57-AH57-AA108&gt;0,AA88+AA57-AH57-AA108,0)</f>
        <v/>
      </c>
      <c r="AI64" s="131">
        <f>IF(AB88+AB57-AI57-AB108&gt;0,AB88+AB57-AI57-AB108,0)</f>
        <v/>
      </c>
      <c r="AJ64" s="126" t="n"/>
      <c r="AL64" s="215" t="n"/>
      <c r="AN64" s="396" t="n"/>
      <c r="AO64" s="396" t="n"/>
      <c r="AR64" s="347" t="n">
        <v>8</v>
      </c>
      <c r="AS64" s="531">
        <f>IF(AS40="","",(AS40-AS$54)^2)</f>
        <v/>
      </c>
      <c r="AT64" s="531">
        <f>IF(AT40="","",(AT40-AT$54)^2)</f>
        <v/>
      </c>
      <c r="AU64" s="531">
        <f>IF(AU40="","",(AU40-AU$54)^2)</f>
        <v/>
      </c>
      <c r="AV64" s="531">
        <f>IF(AV40="","",(AV40-AV$54)^2)</f>
        <v/>
      </c>
      <c r="AW64" s="531">
        <f>IF(AW40="","",(AW40-AW$54)^2)</f>
        <v/>
      </c>
      <c r="AX64" s="531">
        <f>IF(AX40="","",(AX40-AX$54)^2)</f>
        <v/>
      </c>
      <c r="AY64" s="531">
        <f>IF(AY40="","",(AY40-AY$54)^2)</f>
        <v/>
      </c>
      <c r="AZ64" s="531">
        <f>IF(AZ40="","",(AZ40-AZ$54)^2)</f>
        <v/>
      </c>
      <c r="BA64" s="531">
        <f>IF(BA40="","",(BA40-BA$54)^2)</f>
        <v/>
      </c>
      <c r="BB64" s="531">
        <f>IF(BB40="","",(BB40-BB$54)^2)</f>
        <v/>
      </c>
      <c r="BC64" s="531">
        <f>IF(BC40="","",(BC40-BC$54)^2)</f>
        <v/>
      </c>
      <c r="BD64" s="531">
        <f>IF(BD40="","",(BD40-BD$54)^2)</f>
        <v/>
      </c>
      <c r="BE64" s="531">
        <f>IF(BE40="","",(BE40-BE$54)^2)</f>
        <v/>
      </c>
      <c r="BF64" s="531">
        <f>IF(BF40="","",(BF40-BF$54)^2)</f>
        <v/>
      </c>
      <c r="BG64" s="531">
        <f>IF(BG40="","",(BG40-BG$54)^2)</f>
        <v/>
      </c>
      <c r="BH64" s="531">
        <f>IF(BH40="","",(BH40-BH$54)^2)</f>
        <v/>
      </c>
      <c r="BR64" s="529" t="inlineStr">
        <is>
          <t>研发费</t>
        </is>
      </c>
      <c r="BS64" s="478">
        <f>第十四期!AL37</f>
        <v/>
      </c>
      <c r="BT64" s="478" t="n"/>
      <c r="BU64" s="478" t="n"/>
      <c r="BV64" s="478">
        <f>BV63-BS64</f>
        <v/>
      </c>
      <c r="BW64" s="126" t="n"/>
      <c r="CB64" s="396" t="n"/>
      <c r="CC64" s="396" t="n"/>
      <c r="CD64" s="396" t="n"/>
      <c r="CE64" s="396" t="n"/>
      <c r="CF64" s="396" t="n"/>
      <c r="CG64" s="396" t="n"/>
      <c r="CH64" s="396" t="n"/>
      <c r="CI64" s="396" t="n"/>
      <c r="CJ64" s="396" t="n"/>
      <c r="CK64" s="396" t="n"/>
      <c r="CL64" s="396" t="n"/>
      <c r="CM64" s="396" t="n"/>
      <c r="CN64" s="396" t="n"/>
      <c r="CO64" s="396" t="n"/>
      <c r="CP64" s="294" t="inlineStr">
        <is>
          <t>C产品</t>
        </is>
      </c>
      <c r="CQ64" s="294">
        <f>比赛参数!$F$27</f>
        <v/>
      </c>
      <c r="CR64" s="294">
        <f>比赛参数!$F$27</f>
        <v/>
      </c>
      <c r="CS64" s="294">
        <f>比赛参数!$F$27</f>
        <v/>
      </c>
      <c r="CT64" s="294">
        <f>比赛参数!$F$27</f>
        <v/>
      </c>
      <c r="CU64" s="215" t="n"/>
      <c r="CW64" s="11" t="inlineStr">
        <is>
          <t>C产品</t>
        </is>
      </c>
      <c r="CX64" s="525">
        <f>CX58/第十四期!CQ58</f>
        <v/>
      </c>
      <c r="CY64" s="525">
        <f>CY58/第十四期!CR58</f>
        <v/>
      </c>
      <c r="CZ64" s="525">
        <f>CZ58/第十四期!CS58</f>
        <v/>
      </c>
      <c r="DA64" s="525">
        <f>DA58/第十四期!CT58</f>
        <v/>
      </c>
      <c r="DB64" s="525">
        <f>AVERAGE(CX64:DA64)</f>
        <v/>
      </c>
      <c r="DF64" s="247" t="inlineStr">
        <is>
          <t>市场1</t>
        </is>
      </c>
      <c r="DG64" s="247">
        <f>比赛参数!D13</f>
        <v/>
      </c>
      <c r="DH64" s="247">
        <f>比赛参数!H13</f>
        <v/>
      </c>
      <c r="DI64" s="247">
        <f>比赛参数!D14</f>
        <v/>
      </c>
      <c r="DJ64" s="247">
        <f>比赛参数!H14</f>
        <v/>
      </c>
    </row>
    <row r="65" s="353">
      <c r="B65" s="441" t="n"/>
      <c r="C65" s="25" t="n">
        <v>16</v>
      </c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10" t="n"/>
      <c r="X65" s="11" t="inlineStr">
        <is>
          <t>市场2</t>
        </is>
      </c>
      <c r="Y65" s="272">
        <f>AF65-AF71</f>
        <v/>
      </c>
      <c r="Z65" s="272">
        <f>AG65-AG71</f>
        <v/>
      </c>
      <c r="AA65" s="272">
        <f>AH65-AH71</f>
        <v/>
      </c>
      <c r="AB65" s="272">
        <f>AI65-AI71</f>
        <v/>
      </c>
      <c r="AC65" s="126" t="n"/>
      <c r="AE65" s="11" t="inlineStr">
        <is>
          <t>市场2</t>
        </is>
      </c>
      <c r="AF65" s="131">
        <f>IF(Y89+Y58-AF58-Y109&gt;0,Y89+Y58-AF58-Y109,0)</f>
        <v/>
      </c>
      <c r="AG65" s="131">
        <f>IF(Z89+Z58-AG58-Z109&gt;0,Z89+Z58-AG58-Z109,0)</f>
        <v/>
      </c>
      <c r="AH65" s="131">
        <f>IF(AA89+AA58-AH58-AA109&gt;0,AA89+AA58-AH58-AA109,0)</f>
        <v/>
      </c>
      <c r="AI65" s="131">
        <f>IF(AB89+AB58-AI58-AB109&gt;0,AB89+AB58-AI58-AB109,0)</f>
        <v/>
      </c>
      <c r="AJ65" s="126" t="n"/>
      <c r="AL65" s="215" t="n"/>
      <c r="AN65" s="396" t="n"/>
      <c r="AO65" s="396" t="n"/>
      <c r="AR65" s="347" t="n">
        <v>9</v>
      </c>
      <c r="AS65" s="531">
        <f>IF(AS41="","",(AS41-AS$54)^2)</f>
        <v/>
      </c>
      <c r="AT65" s="531">
        <f>IF(AT41="","",(AT41-AT$54)^2)</f>
        <v/>
      </c>
      <c r="AU65" s="531">
        <f>IF(AU41="","",(AU41-AU$54)^2)</f>
        <v/>
      </c>
      <c r="AV65" s="531">
        <f>IF(AV41="","",(AV41-AV$54)^2)</f>
        <v/>
      </c>
      <c r="AW65" s="531">
        <f>IF(AW41="","",(AW41-AW$54)^2)</f>
        <v/>
      </c>
      <c r="AX65" s="531">
        <f>IF(AX41="","",(AX41-AX$54)^2)</f>
        <v/>
      </c>
      <c r="AY65" s="531">
        <f>IF(AY41="","",(AY41-AY$54)^2)</f>
        <v/>
      </c>
      <c r="AZ65" s="531">
        <f>IF(AZ41="","",(AZ41-AZ$54)^2)</f>
        <v/>
      </c>
      <c r="BA65" s="531">
        <f>IF(BA41="","",(BA41-BA$54)^2)</f>
        <v/>
      </c>
      <c r="BB65" s="531">
        <f>IF(BB41="","",(BB41-BB$54)^2)</f>
        <v/>
      </c>
      <c r="BC65" s="531">
        <f>IF(BC41="","",(BC41-BC$54)^2)</f>
        <v/>
      </c>
      <c r="BD65" s="531">
        <f>IF(BD41="","",(BD41-BD$54)^2)</f>
        <v/>
      </c>
      <c r="BE65" s="531">
        <f>IF(BE41="","",(BE41-BE$54)^2)</f>
        <v/>
      </c>
      <c r="BF65" s="531">
        <f>IF(BF41="","",(BF41-BF$54)^2)</f>
        <v/>
      </c>
      <c r="BG65" s="531">
        <f>IF(BG41="","",(BG41-BG$54)^2)</f>
        <v/>
      </c>
      <c r="BH65" s="531">
        <f>IF(BH41="","",(BH41-BH$54)^2)</f>
        <v/>
      </c>
      <c r="BR65" s="529" t="inlineStr">
        <is>
          <t>研发费分摊</t>
        </is>
      </c>
      <c r="BS65" s="478">
        <f>0.5*第十四期!AL37+0.5*第十四期!DV23</f>
        <v/>
      </c>
      <c r="BT65" s="478" t="n"/>
      <c r="BU65" s="478">
        <f>BU63+BS65</f>
        <v/>
      </c>
      <c r="BV65" s="478" t="n"/>
      <c r="BW65" s="126" t="n"/>
      <c r="CB65" s="196" t="inlineStr">
        <is>
          <t>库存变化</t>
        </is>
      </c>
      <c r="CC65" s="272">
        <f>(CC60-CC61)*CC63</f>
        <v/>
      </c>
      <c r="CD65" s="272">
        <f>(CD60-CD61)*CD63</f>
        <v/>
      </c>
      <c r="CE65" s="272">
        <f>(CE60-CE61)*CE63</f>
        <v/>
      </c>
      <c r="CF65" s="272">
        <f>(CF60-CF61)*CF63</f>
        <v/>
      </c>
      <c r="CG65" s="272">
        <f>SUM(CC65:CF65)</f>
        <v/>
      </c>
      <c r="CH65" s="396" t="n"/>
      <c r="CI65" s="396" t="n"/>
      <c r="CJ65" s="396" t="n"/>
      <c r="CK65" s="396" t="n"/>
      <c r="CL65" s="396" t="n"/>
      <c r="CM65" s="396" t="n"/>
      <c r="CN65" s="396" t="n"/>
      <c r="CO65" s="396" t="n"/>
      <c r="CP65" s="294" t="inlineStr">
        <is>
          <t>D产品</t>
        </is>
      </c>
      <c r="CQ65" s="294">
        <f>比赛参数!$G$27</f>
        <v/>
      </c>
      <c r="CR65" s="294">
        <f>比赛参数!$G$27</f>
        <v/>
      </c>
      <c r="CS65" s="294">
        <f>比赛参数!$G$27</f>
        <v/>
      </c>
      <c r="CT65" s="294">
        <f>比赛参数!$G$27</f>
        <v/>
      </c>
      <c r="CU65" s="215" t="n"/>
      <c r="CW65" s="11" t="inlineStr">
        <is>
          <t>D产品</t>
        </is>
      </c>
      <c r="CX65" s="525">
        <f>CX59/第十四期!CQ59</f>
        <v/>
      </c>
      <c r="CY65" s="525">
        <f>CY59/第十四期!CR59</f>
        <v/>
      </c>
      <c r="CZ65" s="525">
        <f>CZ59/第十四期!CS59</f>
        <v/>
      </c>
      <c r="DA65" s="525">
        <f>DA59/第十四期!CT59</f>
        <v/>
      </c>
      <c r="DB65" s="525">
        <f>AVERAGE(CX65:DA65)</f>
        <v/>
      </c>
      <c r="DF65" s="247" t="inlineStr">
        <is>
          <t>市场2</t>
        </is>
      </c>
      <c r="DG65" s="247">
        <f>比赛参数!E13</f>
        <v/>
      </c>
      <c r="DH65" s="247">
        <f>比赛参数!I13</f>
        <v/>
      </c>
      <c r="DI65" s="247">
        <f>比赛参数!E14</f>
        <v/>
      </c>
      <c r="DJ65" s="247">
        <f>比赛参数!I14</f>
        <v/>
      </c>
    </row>
    <row r="66" s="353">
      <c r="B66" s="441" t="n"/>
      <c r="C66" s="25" t="n">
        <v>17</v>
      </c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10" t="n"/>
      <c r="V66" s="277" t="n"/>
      <c r="X66" s="11" t="inlineStr">
        <is>
          <t>市场3</t>
        </is>
      </c>
      <c r="Y66" s="272">
        <f>AF66-AF72</f>
        <v/>
      </c>
      <c r="Z66" s="272">
        <f>AG66-AG72</f>
        <v/>
      </c>
      <c r="AA66" s="272">
        <f>AH66-AH72</f>
        <v/>
      </c>
      <c r="AB66" s="272">
        <f>AI66-AI72</f>
        <v/>
      </c>
      <c r="AC66" s="126" t="n"/>
      <c r="AE66" s="11" t="inlineStr">
        <is>
          <t>市场3</t>
        </is>
      </c>
      <c r="AF66" s="131">
        <f>IF(Y90+Y59-AF59-Y110&gt;0,Y90+Y59-AF59-Y110,0)</f>
        <v/>
      </c>
      <c r="AG66" s="131">
        <f>IF(Z90+Z59-AG59-Z110&gt;0,Z90+Z59-AG59-Z110,0)</f>
        <v/>
      </c>
      <c r="AH66" s="131">
        <f>IF(AA90+AA59-AH59-AA110&gt;0,AA90+AA59-AH59-AA110,0)</f>
        <v/>
      </c>
      <c r="AI66" s="131">
        <f>IF(AB90+AB59-AI59-AB110&gt;0,AB90+AB59-AI59-AB110,0)</f>
        <v/>
      </c>
      <c r="AJ66" s="126" t="n"/>
      <c r="AL66" s="215" t="n"/>
      <c r="AR66" s="347" t="n">
        <v>10</v>
      </c>
      <c r="AS66" s="531">
        <f>IF(AS42="","",(AS42-AS$54)^2)</f>
        <v/>
      </c>
      <c r="AT66" s="531">
        <f>IF(AT42="","",(AT42-AT$54)^2)</f>
        <v/>
      </c>
      <c r="AU66" s="531">
        <f>IF(AU42="","",(AU42-AU$54)^2)</f>
        <v/>
      </c>
      <c r="AV66" s="531">
        <f>IF(AV42="","",(AV42-AV$54)^2)</f>
        <v/>
      </c>
      <c r="AW66" s="531">
        <f>IF(AW42="","",(AW42-AW$54)^2)</f>
        <v/>
      </c>
      <c r="AX66" s="531">
        <f>IF(AX42="","",(AX42-AX$54)^2)</f>
        <v/>
      </c>
      <c r="AY66" s="531">
        <f>IF(AY42="","",(AY42-AY$54)^2)</f>
        <v/>
      </c>
      <c r="AZ66" s="531">
        <f>IF(AZ42="","",(AZ42-AZ$54)^2)</f>
        <v/>
      </c>
      <c r="BA66" s="531">
        <f>IF(BA42="","",(BA42-BA$54)^2)</f>
        <v/>
      </c>
      <c r="BB66" s="531">
        <f>IF(BB42="","",(BB42-BB$54)^2)</f>
        <v/>
      </c>
      <c r="BC66" s="531">
        <f>IF(BC42="","",(BC42-BC$54)^2)</f>
        <v/>
      </c>
      <c r="BD66" s="531">
        <f>IF(BD42="","",(BD42-BD$54)^2)</f>
        <v/>
      </c>
      <c r="BE66" s="531">
        <f>IF(BE42="","",(BE42-BE$54)^2)</f>
        <v/>
      </c>
      <c r="BF66" s="531">
        <f>IF(BF42="","",(BF42-BF$54)^2)</f>
        <v/>
      </c>
      <c r="BG66" s="531">
        <f>IF(BG42="","",(BG42-BG$54)^2)</f>
        <v/>
      </c>
      <c r="BH66" s="531">
        <f>IF(BH42="","",(BH42-BH$54)^2)</f>
        <v/>
      </c>
      <c r="BR66" s="529" t="inlineStr">
        <is>
          <t>购原材料</t>
        </is>
      </c>
      <c r="BS66" s="478">
        <f>第十四期!AC18</f>
        <v/>
      </c>
      <c r="BT66" s="478" t="n"/>
      <c r="BU66" s="478" t="n"/>
      <c r="BV66" s="478">
        <f>BV64-BS66</f>
        <v/>
      </c>
      <c r="BW66" s="126" t="n"/>
      <c r="CB66" s="396" t="n"/>
      <c r="CC66" s="396" t="n"/>
      <c r="CD66" s="396" t="n"/>
      <c r="CE66" s="396" t="n"/>
      <c r="CF66" s="396" t="n"/>
      <c r="CG66" s="396" t="n"/>
      <c r="CH66" s="396" t="n"/>
      <c r="CI66" s="396" t="n"/>
      <c r="CJ66" s="396" t="n"/>
      <c r="CK66" s="396" t="n"/>
      <c r="CL66" s="396" t="n"/>
      <c r="CM66" s="396" t="n"/>
      <c r="CN66" s="396" t="n"/>
      <c r="CO66" s="396" t="n"/>
      <c r="CP66" s="215" t="n"/>
      <c r="CQ66" s="215" t="n"/>
      <c r="CR66" s="215" t="n"/>
      <c r="CS66" s="215" t="n"/>
      <c r="CT66" s="215" t="n"/>
      <c r="CU66" s="215" t="n"/>
      <c r="CW66" s="215" t="n"/>
      <c r="CX66" s="528" t="n"/>
      <c r="CY66" s="528" t="n"/>
      <c r="CZ66" s="528" t="n"/>
      <c r="DA66" s="528" t="n"/>
      <c r="DB66" s="215" t="n"/>
      <c r="DF66" s="247" t="inlineStr">
        <is>
          <t>市场3</t>
        </is>
      </c>
      <c r="DG66" s="247">
        <f>比赛参数!F13</f>
        <v/>
      </c>
      <c r="DH66" s="247">
        <f>比赛参数!J13</f>
        <v/>
      </c>
      <c r="DI66" s="247">
        <f>比赛参数!F14</f>
        <v/>
      </c>
      <c r="DJ66" s="247">
        <f>比赛参数!J14</f>
        <v/>
      </c>
    </row>
    <row r="67" s="353">
      <c r="B67" s="441" t="n"/>
      <c r="C67" s="25" t="n">
        <v>18</v>
      </c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10" t="n"/>
      <c r="X67" s="11" t="inlineStr">
        <is>
          <t>市场4</t>
        </is>
      </c>
      <c r="Y67" s="272">
        <f>AF67-AF73</f>
        <v/>
      </c>
      <c r="Z67" s="272">
        <f>AG67-AG73</f>
        <v/>
      </c>
      <c r="AA67" s="272">
        <f>AH67-AH73</f>
        <v/>
      </c>
      <c r="AB67" s="272">
        <f>AI67-AI73</f>
        <v/>
      </c>
      <c r="AC67" s="126" t="n"/>
      <c r="AE67" s="11" t="inlineStr">
        <is>
          <t>市场4</t>
        </is>
      </c>
      <c r="AF67" s="131">
        <f>IF(Y91+Y60-AF60-Y111&gt;0,Y91+Y60-AF60-Y111,0)</f>
        <v/>
      </c>
      <c r="AG67" s="131">
        <f>IF(Z91+Z60-AG60-Z111&gt;0,Z91+Z60-AG60-Z111,0)</f>
        <v/>
      </c>
      <c r="AH67" s="131">
        <f>IF(AA91+AA60-AH60-AA111&gt;0,AA91+AA60-AH60-AA111,0)</f>
        <v/>
      </c>
      <c r="AI67" s="131">
        <f>IF(AB91+AB60-AI60-AB111&gt;0,AB91+AB60-AI60-AB111,0)</f>
        <v/>
      </c>
      <c r="AJ67" s="126" t="n"/>
      <c r="AL67" s="215" t="n"/>
      <c r="AR67" s="347" t="n">
        <v>11</v>
      </c>
      <c r="AS67" s="531">
        <f>IF(AS43="","",(AS43-AS$54)^2)</f>
        <v/>
      </c>
      <c r="AT67" s="531">
        <f>IF(AT43="","",(AT43-AT$54)^2)</f>
        <v/>
      </c>
      <c r="AU67" s="531">
        <f>IF(AU43="","",(AU43-AU$54)^2)</f>
        <v/>
      </c>
      <c r="AV67" s="531">
        <f>IF(AV43="","",(AV43-AV$54)^2)</f>
        <v/>
      </c>
      <c r="AW67" s="531">
        <f>IF(AW43="","",(AW43-AW$54)^2)</f>
        <v/>
      </c>
      <c r="AX67" s="531">
        <f>IF(AX43="","",(AX43-AX$54)^2)</f>
        <v/>
      </c>
      <c r="AY67" s="531">
        <f>IF(AY43="","",(AY43-AY$54)^2)</f>
        <v/>
      </c>
      <c r="AZ67" s="531">
        <f>IF(AZ43="","",(AZ43-AZ$54)^2)</f>
        <v/>
      </c>
      <c r="BA67" s="531">
        <f>IF(BA43="","",(BA43-BA$54)^2)</f>
        <v/>
      </c>
      <c r="BB67" s="531">
        <f>IF(BB43="","",(BB43-BB$54)^2)</f>
        <v/>
      </c>
      <c r="BC67" s="531">
        <f>IF(BC43="","",(BC43-BC$54)^2)</f>
        <v/>
      </c>
      <c r="BD67" s="531">
        <f>IF(BD43="","",(BD43-BD$54)^2)</f>
        <v/>
      </c>
      <c r="BE67" s="531">
        <f>IF(BE43="","",(BE43-BE$54)^2)</f>
        <v/>
      </c>
      <c r="BF67" s="531">
        <f>IF(BF43="","",(BF43-BF$54)^2)</f>
        <v/>
      </c>
      <c r="BG67" s="531">
        <f>IF(BG43="","",(BG43-BG$54)^2)</f>
        <v/>
      </c>
      <c r="BH67" s="531">
        <f>IF(BH43="","",(BH43-BH$54)^2)</f>
        <v/>
      </c>
      <c r="BR67" s="529" t="inlineStr">
        <is>
          <t>购原材料优惠</t>
        </is>
      </c>
      <c r="BS67" s="478">
        <f>IF(第十四期!AC18&gt;=比赛参数!D33,(1-比赛参数!E33)*第十四期!AC18,0)+IF(AND(第十四期!AC18&gt;=比赛参数!D34,第十四期!AC18&lt;比赛参数!D33),(1-比赛参数!E34)*第十四期!AC18,0)+IF(AND(第十四期!AC18&gt;=比赛参数!D35,第十四期!AC18&lt;比赛参数!D34),(1-比赛参数!E35)*第十四期!AC18,0)+IF(AND(第十四期!AC18&gt;=比赛参数!D36,第十四期!AC18&lt;比赛参数!D35),(1-比赛参数!E36)*第十四期!AC18,0)</f>
        <v/>
      </c>
      <c r="BT67" s="478">
        <f>BS67</f>
        <v/>
      </c>
      <c r="BU67" s="478" t="n"/>
      <c r="BV67" s="478">
        <f>BV66+BS67</f>
        <v/>
      </c>
      <c r="BW67" s="126" t="n"/>
      <c r="CB67" s="196" t="inlineStr">
        <is>
          <t>库存费</t>
        </is>
      </c>
      <c r="CC67" s="272">
        <f>(CC60+CC61)/2*CC62</f>
        <v/>
      </c>
      <c r="CD67" s="272">
        <f>(CD60+CD61)/2*CD62</f>
        <v/>
      </c>
      <c r="CE67" s="272">
        <f>(CE60+CE61)/2*CE62</f>
        <v/>
      </c>
      <c r="CF67" s="272">
        <f>(CF60+CF61)/2*CF62</f>
        <v/>
      </c>
      <c r="CG67" s="272">
        <f>SUM(CC67:CF67)</f>
        <v/>
      </c>
      <c r="CH67" s="396" t="n"/>
      <c r="CI67" s="396" t="n"/>
      <c r="CJ67" s="396" t="n"/>
      <c r="CK67" s="396" t="n"/>
      <c r="CL67" s="396" t="n"/>
      <c r="CM67" s="396" t="n"/>
      <c r="CN67" s="396" t="n"/>
      <c r="CO67" s="396" t="n"/>
      <c r="CP67" s="294" t="inlineStr">
        <is>
          <t>原材料</t>
        </is>
      </c>
      <c r="CQ67" s="294" t="inlineStr">
        <is>
          <t>第一班正班</t>
        </is>
      </c>
      <c r="CR67" s="294" t="inlineStr">
        <is>
          <t>第一班加班</t>
        </is>
      </c>
      <c r="CS67" s="294" t="inlineStr">
        <is>
          <t>第二班正班</t>
        </is>
      </c>
      <c r="CT67" s="294" t="inlineStr">
        <is>
          <t>第二班加班</t>
        </is>
      </c>
      <c r="CU67" s="215" t="n"/>
      <c r="CW67" s="63" t="inlineStr">
        <is>
          <t>成本利润率</t>
        </is>
      </c>
      <c r="CX67" s="530" t="inlineStr">
        <is>
          <t>市场1</t>
        </is>
      </c>
      <c r="CY67" s="530" t="inlineStr">
        <is>
          <t>市场2</t>
        </is>
      </c>
      <c r="CZ67" s="530" t="inlineStr">
        <is>
          <t>市场3</t>
        </is>
      </c>
      <c r="DA67" s="530" t="inlineStr">
        <is>
          <t>市场4</t>
        </is>
      </c>
      <c r="DB67" s="11" t="inlineStr">
        <is>
          <t>平均</t>
        </is>
      </c>
      <c r="DF67" s="247" t="inlineStr">
        <is>
          <t>市场4</t>
        </is>
      </c>
      <c r="DG67" s="247">
        <f>比赛参数!G13</f>
        <v/>
      </c>
      <c r="DH67" s="247">
        <f>比赛参数!K13</f>
        <v/>
      </c>
      <c r="DI67" s="247">
        <f>比赛参数!G14</f>
        <v/>
      </c>
      <c r="DJ67" s="247">
        <f>比赛参数!K14</f>
        <v/>
      </c>
    </row>
    <row r="68" s="353">
      <c r="B68" s="441" t="n"/>
      <c r="C68" s="25" t="n">
        <v>19</v>
      </c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10" t="n"/>
      <c r="X68" s="215" t="n"/>
      <c r="Y68" s="215" t="n"/>
      <c r="Z68" s="215" t="n"/>
      <c r="AA68" s="215" t="n"/>
      <c r="AB68" s="215" t="n"/>
      <c r="AC68" s="215" t="n"/>
      <c r="AE68" s="215" t="n"/>
      <c r="AF68" s="215">
        <f>SUM(AF64:AF67)</f>
        <v/>
      </c>
      <c r="AG68" s="215">
        <f>SUM(AG64:AG67)</f>
        <v/>
      </c>
      <c r="AH68" s="215">
        <f>SUM(AH64:AH67)</f>
        <v/>
      </c>
      <c r="AI68" s="215">
        <f>SUM(AI64:AI67)</f>
        <v/>
      </c>
      <c r="AJ68" s="215">
        <f>AF68/4</f>
        <v/>
      </c>
      <c r="AK68" s="215">
        <f>AG68/4</f>
        <v/>
      </c>
      <c r="AL68" s="215">
        <f>AH68/4</f>
        <v/>
      </c>
      <c r="AM68" s="215">
        <f>AI68/4</f>
        <v/>
      </c>
      <c r="AR68" s="347" t="n">
        <v>12</v>
      </c>
      <c r="AS68" s="531">
        <f>IF(AS44="","",(AS44-AS$54)^2)</f>
        <v/>
      </c>
      <c r="AT68" s="531">
        <f>IF(AT44="","",(AT44-AT$54)^2)</f>
        <v/>
      </c>
      <c r="AU68" s="531">
        <f>IF(AU44="","",(AU44-AU$54)^2)</f>
        <v/>
      </c>
      <c r="AV68" s="531">
        <f>IF(AV44="","",(AV44-AV$54)^2)</f>
        <v/>
      </c>
      <c r="AW68" s="531">
        <f>IF(AW44="","",(AW44-AW$54)^2)</f>
        <v/>
      </c>
      <c r="AX68" s="531">
        <f>IF(AX44="","",(AX44-AX$54)^2)</f>
        <v/>
      </c>
      <c r="AY68" s="531">
        <f>IF(AY44="","",(AY44-AY$54)^2)</f>
        <v/>
      </c>
      <c r="AZ68" s="531">
        <f>IF(AZ44="","",(AZ44-AZ$54)^2)</f>
        <v/>
      </c>
      <c r="BA68" s="531">
        <f>IF(BA44="","",(BA44-BA$54)^2)</f>
        <v/>
      </c>
      <c r="BB68" s="531">
        <f>IF(BB44="","",(BB44-BB$54)^2)</f>
        <v/>
      </c>
      <c r="BC68" s="531">
        <f>IF(BC44="","",(BC44-BC$54)^2)</f>
        <v/>
      </c>
      <c r="BD68" s="531">
        <f>IF(BD44="","",(BD44-BD$54)^2)</f>
        <v/>
      </c>
      <c r="BE68" s="531">
        <f>IF(BE44="","",(BE44-BE$54)^2)</f>
        <v/>
      </c>
      <c r="BF68" s="531">
        <f>IF(BF44="","",(BF44-BF$54)^2)</f>
        <v/>
      </c>
      <c r="BG68" s="531">
        <f>IF(BG44="","",(BG44-BG$54)^2)</f>
        <v/>
      </c>
      <c r="BH68" s="531">
        <f>IF(BH44="","",(BH44-BH$54)^2)</f>
        <v/>
      </c>
      <c r="BR68" s="529" t="n"/>
      <c r="BS68" s="478" t="n"/>
      <c r="BT68" s="478" t="n"/>
      <c r="BU68" s="478" t="n"/>
      <c r="BV68" s="478" t="n"/>
      <c r="BW68" s="126" t="n"/>
      <c r="CB68" s="396" t="n"/>
      <c r="CC68" s="396" t="n"/>
      <c r="CD68" s="396" t="n"/>
      <c r="CE68" s="396" t="n"/>
      <c r="CF68" s="396" t="n"/>
      <c r="CG68" s="396" t="n"/>
      <c r="CH68" s="396" t="n"/>
      <c r="CI68" s="396" t="n"/>
      <c r="CJ68" s="396" t="n"/>
      <c r="CK68" s="396" t="n"/>
      <c r="CL68" s="396" t="n"/>
      <c r="CM68" s="396" t="n"/>
      <c r="CN68" s="396" t="n"/>
      <c r="CO68" s="396" t="n"/>
      <c r="CP68" s="294" t="inlineStr">
        <is>
          <t>A产品</t>
        </is>
      </c>
      <c r="CQ68" s="294">
        <f>比赛参数!$D$28</f>
        <v/>
      </c>
      <c r="CR68" s="294">
        <f>比赛参数!$D$28</f>
        <v/>
      </c>
      <c r="CS68" s="294">
        <f>比赛参数!$D$28</f>
        <v/>
      </c>
      <c r="CT68" s="294">
        <f>比赛参数!$D$28</f>
        <v/>
      </c>
      <c r="CU68" s="215" t="n"/>
      <c r="CW68" s="11" t="inlineStr">
        <is>
          <t>A产品</t>
        </is>
      </c>
      <c r="CX68" s="525">
        <f>IF(CX50&gt;0,CX56/CX50,0)</f>
        <v/>
      </c>
      <c r="CY68" s="525">
        <f>IF(CY50&gt;0,CY56/CY50,0)</f>
        <v/>
      </c>
      <c r="CZ68" s="525">
        <f>IF(CZ50&gt;0,CZ56/CZ50,0)</f>
        <v/>
      </c>
      <c r="DA68" s="525">
        <f>IF(DA50&gt;0,DA56/DA50,0)</f>
        <v/>
      </c>
      <c r="DB68" s="525">
        <f>IF(DB50&gt;0,DB56/DB50,0)</f>
        <v/>
      </c>
    </row>
    <row r="69" s="353">
      <c r="B69" s="441" t="n"/>
      <c r="C69" s="25" t="n">
        <v>20</v>
      </c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10" t="n"/>
      <c r="X69" s="63" t="inlineStr">
        <is>
          <t>上期市场份额</t>
        </is>
      </c>
      <c r="Y69" s="73" t="inlineStr">
        <is>
          <t>A产品</t>
        </is>
      </c>
      <c r="Z69" s="73" t="inlineStr">
        <is>
          <t>B产品</t>
        </is>
      </c>
      <c r="AA69" s="73" t="inlineStr">
        <is>
          <t>C产品</t>
        </is>
      </c>
      <c r="AB69" s="73" t="inlineStr">
        <is>
          <t>D产品</t>
        </is>
      </c>
      <c r="AE69" s="63" t="inlineStr">
        <is>
          <t>上期需求</t>
        </is>
      </c>
      <c r="AF69" s="73" t="inlineStr">
        <is>
          <t>A产品</t>
        </is>
      </c>
      <c r="AG69" s="73" t="inlineStr">
        <is>
          <t>B产品</t>
        </is>
      </c>
      <c r="AH69" s="73" t="inlineStr">
        <is>
          <t>C产品</t>
        </is>
      </c>
      <c r="AI69" s="73" t="inlineStr">
        <is>
          <t>D产品</t>
        </is>
      </c>
      <c r="AJ69" s="126" t="n"/>
      <c r="AL69" s="215" t="n"/>
      <c r="AR69" s="347" t="n">
        <v>13</v>
      </c>
      <c r="AS69" s="531">
        <f>IF(AS45="","",(AS45-AS$54)^2)</f>
        <v/>
      </c>
      <c r="AT69" s="531">
        <f>IF(AT45="","",(AT45-AT$54)^2)</f>
        <v/>
      </c>
      <c r="AU69" s="531">
        <f>IF(AU45="","",(AU45-AU$54)^2)</f>
        <v/>
      </c>
      <c r="AV69" s="531">
        <f>IF(AV45="","",(AV45-AV$54)^2)</f>
        <v/>
      </c>
      <c r="AW69" s="531">
        <f>IF(AW45="","",(AW45-AW$54)^2)</f>
        <v/>
      </c>
      <c r="AX69" s="531">
        <f>IF(AX45="","",(AX45-AX$54)^2)</f>
        <v/>
      </c>
      <c r="AY69" s="531">
        <f>IF(AY45="","",(AY45-AY$54)^2)</f>
        <v/>
      </c>
      <c r="AZ69" s="531">
        <f>IF(AZ45="","",(AZ45-AZ$54)^2)</f>
        <v/>
      </c>
      <c r="BA69" s="531">
        <f>IF(BA45="","",(BA45-BA$54)^2)</f>
        <v/>
      </c>
      <c r="BB69" s="531">
        <f>IF(BB45="","",(BB45-BB$54)^2)</f>
        <v/>
      </c>
      <c r="BC69" s="531">
        <f>IF(BC45="","",(BC45-BC$54)^2)</f>
        <v/>
      </c>
      <c r="BD69" s="531">
        <f>IF(BD45="","",(BD45-BD$54)^2)</f>
        <v/>
      </c>
      <c r="BE69" s="531">
        <f>IF(BE45="","",(BE45-BE$54)^2)</f>
        <v/>
      </c>
      <c r="BF69" s="531">
        <f>IF(BF45="","",(BF45-BF$54)^2)</f>
        <v/>
      </c>
      <c r="BG69" s="531">
        <f>IF(BG45="","",(BG45-BG$54)^2)</f>
        <v/>
      </c>
      <c r="BH69" s="531">
        <f>IF(BH45="","",(BH45-BH$54)^2)</f>
        <v/>
      </c>
      <c r="BR69" s="529" t="n"/>
      <c r="BS69" s="478" t="n"/>
      <c r="BT69" s="478" t="n"/>
      <c r="BU69" s="478" t="n"/>
      <c r="BV69" s="478" t="n"/>
      <c r="BW69" s="126" t="n"/>
      <c r="CB69" s="396" t="n"/>
      <c r="CC69" s="196" t="inlineStr">
        <is>
          <t>A产品</t>
        </is>
      </c>
      <c r="CD69" s="196" t="inlineStr">
        <is>
          <t>B产品</t>
        </is>
      </c>
      <c r="CE69" s="196" t="inlineStr">
        <is>
          <t>C产品</t>
        </is>
      </c>
      <c r="CF69" s="196" t="inlineStr">
        <is>
          <t>D产品</t>
        </is>
      </c>
      <c r="CG69" s="396" t="n"/>
      <c r="CH69" s="396" t="n"/>
      <c r="CI69" s="214" t="inlineStr">
        <is>
          <t>研发费用</t>
        </is>
      </c>
      <c r="CJ69" s="233" t="inlineStr">
        <is>
          <t>等级1</t>
        </is>
      </c>
      <c r="CK69" s="233" t="inlineStr">
        <is>
          <t>等级2</t>
        </is>
      </c>
      <c r="CL69" s="233" t="inlineStr">
        <is>
          <t>等级3</t>
        </is>
      </c>
      <c r="CM69" s="233" t="inlineStr">
        <is>
          <t>等级4</t>
        </is>
      </c>
      <c r="CN69" s="233" t="inlineStr">
        <is>
          <t>等级5</t>
        </is>
      </c>
      <c r="CO69" s="396" t="n"/>
      <c r="CP69" s="294" t="inlineStr">
        <is>
          <t>B产品</t>
        </is>
      </c>
      <c r="CQ69" s="294">
        <f>比赛参数!$E$28</f>
        <v/>
      </c>
      <c r="CR69" s="294">
        <f>比赛参数!$E$28</f>
        <v/>
      </c>
      <c r="CS69" s="294">
        <f>比赛参数!$E$28</f>
        <v/>
      </c>
      <c r="CT69" s="294">
        <f>比赛参数!$E$28</f>
        <v/>
      </c>
      <c r="CU69" s="215" t="n"/>
      <c r="CW69" s="11" t="inlineStr">
        <is>
          <t>B产品</t>
        </is>
      </c>
      <c r="CX69" s="525">
        <f>IF(CX51&gt;0,CX57/CX51,0)</f>
        <v/>
      </c>
      <c r="CY69" s="525">
        <f>IF(CY51&gt;0,CY57/CY51,0)</f>
        <v/>
      </c>
      <c r="CZ69" s="525">
        <f>IF(CZ51&gt;0,CZ57/CZ51,0)</f>
        <v/>
      </c>
      <c r="DA69" s="525">
        <f>IF(DA51&gt;0,DA57/DA51,0)</f>
        <v/>
      </c>
      <c r="DB69" s="525">
        <f>IF(DB51&gt;0,DB57/DB51,0)</f>
        <v/>
      </c>
    </row>
    <row r="70" s="353"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278" t="n"/>
      <c r="X70" s="64" t="inlineStr">
        <is>
          <t>市场1</t>
        </is>
      </c>
      <c r="Y70" s="532">
        <f>DS37</f>
        <v/>
      </c>
      <c r="Z70" s="532">
        <f>DW37</f>
        <v/>
      </c>
      <c r="AA70" s="532">
        <f>EA37</f>
        <v/>
      </c>
      <c r="AB70" s="532">
        <f>EE37</f>
        <v/>
      </c>
      <c r="AE70" s="64" t="inlineStr">
        <is>
          <t>市场1</t>
        </is>
      </c>
      <c r="AF70" s="131">
        <f>第十四期!DV6</f>
        <v/>
      </c>
      <c r="AG70" s="131">
        <f>第十四期!DV10</f>
        <v/>
      </c>
      <c r="AH70" s="131">
        <f>第十四期!DV14</f>
        <v/>
      </c>
      <c r="AI70" s="131">
        <f>第十四期!DV18</f>
        <v/>
      </c>
      <c r="AJ70" s="126">
        <f>AF70-Y57+AF57</f>
        <v/>
      </c>
      <c r="AK70" s="126">
        <f>AG70-Z57+AG57</f>
        <v/>
      </c>
      <c r="AL70" s="126">
        <f>AH70-AA57+AH57</f>
        <v/>
      </c>
      <c r="AM70" s="126">
        <f>AI70-AB57+AI57</f>
        <v/>
      </c>
      <c r="AR70" s="347" t="n">
        <v>14</v>
      </c>
      <c r="AS70" s="531">
        <f>IF(AS46="","",(AS46-AS$54)^2)</f>
        <v/>
      </c>
      <c r="AT70" s="531">
        <f>IF(AT46="","",(AT46-AT$54)^2)</f>
        <v/>
      </c>
      <c r="AU70" s="531">
        <f>IF(AU46="","",(AU46-AU$54)^2)</f>
        <v/>
      </c>
      <c r="AV70" s="531">
        <f>IF(AV46="","",(AV46-AV$54)^2)</f>
        <v/>
      </c>
      <c r="AW70" s="531">
        <f>IF(AW46="","",(AW46-AW$54)^2)</f>
        <v/>
      </c>
      <c r="AX70" s="531">
        <f>IF(AX46="","",(AX46-AX$54)^2)</f>
        <v/>
      </c>
      <c r="AY70" s="531">
        <f>IF(AY46="","",(AY46-AY$54)^2)</f>
        <v/>
      </c>
      <c r="AZ70" s="531">
        <f>IF(AZ46="","",(AZ46-AZ$54)^2)</f>
        <v/>
      </c>
      <c r="BA70" s="531">
        <f>IF(BA46="","",(BA46-BA$54)^2)</f>
        <v/>
      </c>
      <c r="BB70" s="531">
        <f>IF(BB46="","",(BB46-BB$54)^2)</f>
        <v/>
      </c>
      <c r="BC70" s="531">
        <f>IF(BC46="","",(BC46-BC$54)^2)</f>
        <v/>
      </c>
      <c r="BD70" s="531">
        <f>IF(BD46="","",(BD46-BD$54)^2)</f>
        <v/>
      </c>
      <c r="BE70" s="531">
        <f>IF(BE46="","",(BE46-BE$54)^2)</f>
        <v/>
      </c>
      <c r="BF70" s="531">
        <f>IF(BF46="","",(BF46-BF$54)^2)</f>
        <v/>
      </c>
      <c r="BG70" s="531">
        <f>IF(BG46="","",(BG46-BG$54)^2)</f>
        <v/>
      </c>
      <c r="BH70" s="531">
        <f>IF(BH46="","",(BH46-BH$54)^2)</f>
        <v/>
      </c>
      <c r="BR70" s="529" t="inlineStr">
        <is>
          <t>购材料运费</t>
        </is>
      </c>
      <c r="BS70" s="478">
        <f>IF(第十四期!AC18&gt;0,第十四期!AC18*比赛参数!E40+比赛参数!E39,0)</f>
        <v/>
      </c>
      <c r="BT70" s="478" t="n"/>
      <c r="BU70" s="478">
        <f>BU65+BS70</f>
        <v/>
      </c>
      <c r="BV70" s="478">
        <f>BV67-BS70</f>
        <v/>
      </c>
      <c r="BW70" s="126" t="n"/>
      <c r="CB70" s="196" t="inlineStr">
        <is>
          <t>单位产品边际贡献</t>
        </is>
      </c>
      <c r="CC70" s="272">
        <f>CC79-CC86</f>
        <v/>
      </c>
      <c r="CD70" s="272">
        <f>CD79-CD86</f>
        <v/>
      </c>
      <c r="CE70" s="272">
        <f>CE79-CE86</f>
        <v/>
      </c>
      <c r="CF70" s="272">
        <f>CF79-CF86</f>
        <v/>
      </c>
      <c r="CG70" s="396" t="n"/>
      <c r="CH70" s="396" t="n"/>
      <c r="CI70" s="197" t="inlineStr">
        <is>
          <t>产品A</t>
        </is>
      </c>
      <c r="CJ70" s="272">
        <f>比赛参数!D52</f>
        <v/>
      </c>
      <c r="CK70" s="272">
        <f>比赛参数!E52</f>
        <v/>
      </c>
      <c r="CL70" s="272">
        <f>比赛参数!F52</f>
        <v/>
      </c>
      <c r="CM70" s="272">
        <f>比赛参数!G52</f>
        <v/>
      </c>
      <c r="CN70" s="272">
        <f>比赛参数!H52</f>
        <v/>
      </c>
      <c r="CO70" s="396" t="n"/>
      <c r="CP70" s="294" t="inlineStr">
        <is>
          <t>C产品</t>
        </is>
      </c>
      <c r="CQ70" s="294">
        <f>比赛参数!$F$28</f>
        <v/>
      </c>
      <c r="CR70" s="294">
        <f>比赛参数!$F$28</f>
        <v/>
      </c>
      <c r="CS70" s="294">
        <f>比赛参数!$F$28</f>
        <v/>
      </c>
      <c r="CT70" s="294">
        <f>比赛参数!$F$28</f>
        <v/>
      </c>
      <c r="CU70" s="215" t="n"/>
      <c r="CW70" s="11" t="inlineStr">
        <is>
          <t>C产品</t>
        </is>
      </c>
      <c r="CX70" s="525">
        <f>IF(CX52&gt;0,CX58/CX52,0)</f>
        <v/>
      </c>
      <c r="CY70" s="525">
        <f>IF(CY52&gt;0,CY58/CY52,0)</f>
        <v/>
      </c>
      <c r="CZ70" s="525">
        <f>IF(CZ52&gt;0,CZ58/CZ52,0)</f>
        <v/>
      </c>
      <c r="DA70" s="525">
        <f>IF(DA52&gt;0,DA58/DA52,0)</f>
        <v/>
      </c>
      <c r="DB70" s="525">
        <f>IF(DB52&gt;0,DB58/DB52,0)</f>
        <v/>
      </c>
    </row>
    <row r="71" s="353">
      <c r="C71" s="21" t="n"/>
      <c r="D71" s="22" t="inlineStr">
        <is>
          <t>产品A</t>
        </is>
      </c>
      <c r="E71" s="22" t="n"/>
      <c r="F71" s="22" t="n"/>
      <c r="G71" s="22" t="n"/>
      <c r="H71" s="22" t="inlineStr">
        <is>
          <t>产品B</t>
        </is>
      </c>
      <c r="I71" s="22" t="n"/>
      <c r="J71" s="22" t="n"/>
      <c r="K71" s="22" t="n"/>
      <c r="L71" s="22" t="inlineStr">
        <is>
          <t>产品C</t>
        </is>
      </c>
      <c r="M71" s="22" t="n"/>
      <c r="N71" s="22" t="n"/>
      <c r="O71" s="22" t="n"/>
      <c r="P71" s="22" t="inlineStr">
        <is>
          <t>产品D</t>
        </is>
      </c>
      <c r="Q71" s="22" t="n"/>
      <c r="R71" s="22" t="n"/>
      <c r="S71" s="61" t="n"/>
      <c r="X71" s="11" t="inlineStr">
        <is>
          <t>市场2</t>
        </is>
      </c>
      <c r="Y71" s="532">
        <f>DT37</f>
        <v/>
      </c>
      <c r="Z71" s="532">
        <f>DX37</f>
        <v/>
      </c>
      <c r="AA71" s="532">
        <f>EB37</f>
        <v/>
      </c>
      <c r="AB71" s="532">
        <f>EF37</f>
        <v/>
      </c>
      <c r="AE71" s="11" t="inlineStr">
        <is>
          <t>市场2</t>
        </is>
      </c>
      <c r="AF71" s="131">
        <f>第十四期!DV7</f>
        <v/>
      </c>
      <c r="AG71" s="131">
        <f>第十四期!DV11</f>
        <v/>
      </c>
      <c r="AH71" s="131">
        <f>第十四期!DV15</f>
        <v/>
      </c>
      <c r="AI71" s="131">
        <f>第十四期!DV19</f>
        <v/>
      </c>
      <c r="AJ71" s="126">
        <f>AF71-Y58+AF58</f>
        <v/>
      </c>
      <c r="AK71" s="126">
        <f>AG71-Z58+AG58</f>
        <v/>
      </c>
      <c r="AL71" s="126">
        <f>AH71-AA58+AH58</f>
        <v/>
      </c>
      <c r="AM71" s="126">
        <f>AI71-AB58+AI58</f>
        <v/>
      </c>
      <c r="AR71" s="347" t="n">
        <v>15</v>
      </c>
      <c r="AS71" s="531">
        <f>IF(AS47="","",(AS47-AS$54)^2)</f>
        <v/>
      </c>
      <c r="AT71" s="531">
        <f>IF(AT47="","",(AT47-AT$54)^2)</f>
        <v/>
      </c>
      <c r="AU71" s="531">
        <f>IF(AU47="","",(AU47-AU$54)^2)</f>
        <v/>
      </c>
      <c r="AV71" s="531">
        <f>IF(AV47="","",(AV47-AV$54)^2)</f>
        <v/>
      </c>
      <c r="AW71" s="531">
        <f>IF(AW47="","",(AW47-AW$54)^2)</f>
        <v/>
      </c>
      <c r="AX71" s="531">
        <f>IF(AX47="","",(AX47-AX$54)^2)</f>
        <v/>
      </c>
      <c r="AY71" s="531">
        <f>IF(AY47="","",(AY47-AY$54)^2)</f>
        <v/>
      </c>
      <c r="AZ71" s="531">
        <f>IF(AZ47="","",(AZ47-AZ$54)^2)</f>
        <v/>
      </c>
      <c r="BA71" s="531">
        <f>IF(BA47="","",(BA47-BA$54)^2)</f>
        <v/>
      </c>
      <c r="BB71" s="531">
        <f>IF(BB47="","",(BB47-BB$54)^2)</f>
        <v/>
      </c>
      <c r="BC71" s="531">
        <f>IF(BC47="","",(BC47-BC$54)^2)</f>
        <v/>
      </c>
      <c r="BD71" s="531">
        <f>IF(BD47="","",(BD47-BD$54)^2)</f>
        <v/>
      </c>
      <c r="BE71" s="531">
        <f>IF(BE47="","",(BE47-BE$54)^2)</f>
        <v/>
      </c>
      <c r="BF71" s="531">
        <f>IF(BF47="","",(BF47-BF$54)^2)</f>
        <v/>
      </c>
      <c r="BG71" s="531">
        <f>IF(BG47="","",(BG47-BG$54)^2)</f>
        <v/>
      </c>
      <c r="BH71" s="531">
        <f>IF(BH47="","",(BH47-BH$54)^2)</f>
        <v/>
      </c>
      <c r="BR71" s="529" t="inlineStr">
        <is>
          <t>特殊班工资</t>
        </is>
      </c>
      <c r="BS71" s="478">
        <f>(第十四期!Z13*比赛参数!E65*260+第十四期!AA13*(比赛参数!F65-比赛参数!D65)*520+第十四期!AB13*比赛参数!G65*260)*第十四期!AH18</f>
        <v/>
      </c>
      <c r="BT71" s="478" t="n"/>
      <c r="BU71" s="478">
        <f>BU70+BS71</f>
        <v/>
      </c>
      <c r="BV71" s="478">
        <f>BV70-BS71</f>
        <v/>
      </c>
      <c r="BW71" s="126" t="n"/>
      <c r="CB71" s="196" t="inlineStr">
        <is>
          <t>单位机时边际贡献</t>
        </is>
      </c>
      <c r="CC71" s="272">
        <f>CC70/比赛参数!D26</f>
        <v/>
      </c>
      <c r="CD71" s="272">
        <f>CD70/比赛参数!E26</f>
        <v/>
      </c>
      <c r="CE71" s="272">
        <f>CE70/比赛参数!F26</f>
        <v/>
      </c>
      <c r="CF71" s="272">
        <f>CF70/比赛参数!G26</f>
        <v/>
      </c>
      <c r="CG71" s="396" t="n"/>
      <c r="CH71" s="396" t="n"/>
      <c r="CI71" s="196" t="inlineStr">
        <is>
          <t>产品B</t>
        </is>
      </c>
      <c r="CJ71" s="272">
        <f>比赛参数!D53</f>
        <v/>
      </c>
      <c r="CK71" s="272">
        <f>比赛参数!E53</f>
        <v/>
      </c>
      <c r="CL71" s="272">
        <f>比赛参数!F53</f>
        <v/>
      </c>
      <c r="CM71" s="272">
        <f>比赛参数!G53</f>
        <v/>
      </c>
      <c r="CN71" s="272">
        <f>比赛参数!H53</f>
        <v/>
      </c>
      <c r="CO71" s="396" t="n"/>
      <c r="CP71" s="294" t="inlineStr">
        <is>
          <t>D产品</t>
        </is>
      </c>
      <c r="CQ71" s="294">
        <f>比赛参数!$G$28</f>
        <v/>
      </c>
      <c r="CR71" s="294">
        <f>比赛参数!$G$28</f>
        <v/>
      </c>
      <c r="CS71" s="294">
        <f>比赛参数!$G$28</f>
        <v/>
      </c>
      <c r="CT71" s="294">
        <f>比赛参数!$G$28</f>
        <v/>
      </c>
      <c r="CU71" s="215" t="n"/>
      <c r="CW71" s="11" t="inlineStr">
        <is>
          <t>D产品</t>
        </is>
      </c>
      <c r="CX71" s="525">
        <f>IF(CX53&gt;0,CX59/CX53,0)</f>
        <v/>
      </c>
      <c r="CY71" s="525">
        <f>IF(CY53&gt;0,CY59/CY53,0)</f>
        <v/>
      </c>
      <c r="CZ71" s="525">
        <f>IF(CZ53&gt;0,CZ59/CZ53,0)</f>
        <v/>
      </c>
      <c r="DA71" s="525">
        <f>IF(DA53&gt;0,DA59/DA53,0)</f>
        <v/>
      </c>
      <c r="DB71" s="525">
        <f>IF(DB53&gt;0,DB59/DB53,0)</f>
        <v/>
      </c>
    </row>
    <row r="72" s="353">
      <c r="C72" s="23" t="inlineStr">
        <is>
          <t>公司</t>
        </is>
      </c>
      <c r="D72" s="24" t="inlineStr">
        <is>
          <t>市场1</t>
        </is>
      </c>
      <c r="E72" s="24" t="inlineStr">
        <is>
          <t>市场2</t>
        </is>
      </c>
      <c r="F72" s="24" t="inlineStr">
        <is>
          <t>市场3</t>
        </is>
      </c>
      <c r="G72" s="24" t="inlineStr">
        <is>
          <t>市场4</t>
        </is>
      </c>
      <c r="H72" s="24" t="inlineStr">
        <is>
          <t>市场1</t>
        </is>
      </c>
      <c r="I72" s="24" t="inlineStr">
        <is>
          <t>市场2</t>
        </is>
      </c>
      <c r="J72" s="24" t="inlineStr">
        <is>
          <t>市场3</t>
        </is>
      </c>
      <c r="K72" s="24" t="inlineStr">
        <is>
          <t>市场4</t>
        </is>
      </c>
      <c r="L72" s="24" t="inlineStr">
        <is>
          <t>市场1</t>
        </is>
      </c>
      <c r="M72" s="24" t="inlineStr">
        <is>
          <t>市场2</t>
        </is>
      </c>
      <c r="N72" s="24" t="inlineStr">
        <is>
          <t>市场3</t>
        </is>
      </c>
      <c r="O72" s="24" t="inlineStr">
        <is>
          <t>市场4</t>
        </is>
      </c>
      <c r="P72" s="24" t="inlineStr">
        <is>
          <t>市场1</t>
        </is>
      </c>
      <c r="Q72" s="24" t="inlineStr">
        <is>
          <t>市场2</t>
        </is>
      </c>
      <c r="R72" s="24" t="inlineStr">
        <is>
          <t>市场3</t>
        </is>
      </c>
      <c r="S72" s="62" t="inlineStr">
        <is>
          <t>市场4</t>
        </is>
      </c>
      <c r="X72" s="11" t="inlineStr">
        <is>
          <t>市场3</t>
        </is>
      </c>
      <c r="Y72" s="532">
        <f>DU37</f>
        <v/>
      </c>
      <c r="Z72" s="532">
        <f>DY37</f>
        <v/>
      </c>
      <c r="AA72" s="532">
        <f>EC37</f>
        <v/>
      </c>
      <c r="AB72" s="532">
        <f>EG37</f>
        <v/>
      </c>
      <c r="AE72" s="11" t="inlineStr">
        <is>
          <t>市场3</t>
        </is>
      </c>
      <c r="AF72" s="131">
        <f>第十四期!DV8</f>
        <v/>
      </c>
      <c r="AG72" s="131">
        <f>第十四期!DV12</f>
        <v/>
      </c>
      <c r="AH72" s="131">
        <f>第十四期!DV16</f>
        <v/>
      </c>
      <c r="AI72" s="131">
        <f>第十四期!DV20</f>
        <v/>
      </c>
      <c r="AJ72" s="126">
        <f>AF72-Y59+AF59</f>
        <v/>
      </c>
      <c r="AK72" s="126">
        <f>AG72-Z59+AG59</f>
        <v/>
      </c>
      <c r="AL72" s="126">
        <f>AH72-AA59+AH59</f>
        <v/>
      </c>
      <c r="AM72" s="126">
        <f>AI72-AB59+AI59</f>
        <v/>
      </c>
      <c r="AR72" s="347" t="n">
        <v>16</v>
      </c>
      <c r="AS72" s="531">
        <f>IF(AS48="","",(AS48-AS$54)^2)</f>
        <v/>
      </c>
      <c r="AT72" s="531">
        <f>IF(AT48="","",(AT48-AT$54)^2)</f>
        <v/>
      </c>
      <c r="AU72" s="531">
        <f>IF(AU48="","",(AU48-AU$54)^2)</f>
        <v/>
      </c>
      <c r="AV72" s="531">
        <f>IF(AV48="","",(AV48-AV$54)^2)</f>
        <v/>
      </c>
      <c r="AW72" s="531">
        <f>IF(AW48="","",(AW48-AW$54)^2)</f>
        <v/>
      </c>
      <c r="AX72" s="531">
        <f>IF(AX48="","",(AX48-AX$54)^2)</f>
        <v/>
      </c>
      <c r="AY72" s="531">
        <f>IF(AY48="","",(AY48-AY$54)^2)</f>
        <v/>
      </c>
      <c r="AZ72" s="531">
        <f>IF(AZ48="","",(AZ48-AZ$54)^2)</f>
        <v/>
      </c>
      <c r="BA72" s="531">
        <f>IF(BA48="","",(BA48-BA$54)^2)</f>
        <v/>
      </c>
      <c r="BB72" s="531">
        <f>IF(BB48="","",(BB48-BB$54)^2)</f>
        <v/>
      </c>
      <c r="BC72" s="531">
        <f>IF(BC48="","",(BC48-BC$54)^2)</f>
        <v/>
      </c>
      <c r="BD72" s="531">
        <f>IF(BD48="","",(BD48-BD$54)^2)</f>
        <v/>
      </c>
      <c r="BE72" s="531">
        <f>IF(BE48="","",(BE48-BE$54)^2)</f>
        <v/>
      </c>
      <c r="BF72" s="531">
        <f>IF(BF48="","",(BF48-BF$54)^2)</f>
        <v/>
      </c>
      <c r="BG72" s="531">
        <f>IF(BG48="","",(BG48-BG$54)^2)</f>
        <v/>
      </c>
      <c r="BH72" s="531">
        <f>IF(BH48="","",(BH48-BH$54)^2)</f>
        <v/>
      </c>
      <c r="BR72" s="529" t="inlineStr">
        <is>
          <t>管理费</t>
        </is>
      </c>
      <c r="BS72" s="478">
        <f>第十四期!DM60</f>
        <v/>
      </c>
      <c r="BT72" s="478" t="n"/>
      <c r="BU72" s="478">
        <f>BU71+BS72</f>
        <v/>
      </c>
      <c r="BV72" s="478">
        <f>BV71-BS72</f>
        <v/>
      </c>
      <c r="BW72" s="126" t="n"/>
      <c r="CB72" s="196" t="inlineStr">
        <is>
          <t>单位产品边际贡献率</t>
        </is>
      </c>
      <c r="CC72" s="272">
        <f>IF(CC79&gt;0,CC70/CC79,0)</f>
        <v/>
      </c>
      <c r="CD72" s="272">
        <f>IF(CD79&gt;0,CD70/CD79,0)</f>
        <v/>
      </c>
      <c r="CE72" s="272">
        <f>IF(CE79&gt;0,CE70/CE79,0)</f>
        <v/>
      </c>
      <c r="CF72" s="272">
        <f>IF(CF79&gt;0,CF70/CF79,0)</f>
        <v/>
      </c>
      <c r="CG72" s="396" t="n"/>
      <c r="CH72" s="396" t="n"/>
      <c r="CI72" s="196" t="inlineStr">
        <is>
          <t>产品C</t>
        </is>
      </c>
      <c r="CJ72" s="272">
        <f>比赛参数!D54</f>
        <v/>
      </c>
      <c r="CK72" s="272">
        <f>比赛参数!E54</f>
        <v/>
      </c>
      <c r="CL72" s="272">
        <f>比赛参数!F54</f>
        <v/>
      </c>
      <c r="CM72" s="272">
        <f>比赛参数!G54</f>
        <v/>
      </c>
      <c r="CN72" s="272">
        <f>比赛参数!H54</f>
        <v/>
      </c>
      <c r="CO72" s="396" t="n"/>
      <c r="CP72" s="215" t="n"/>
      <c r="CQ72" s="215" t="n"/>
      <c r="CR72" s="215" t="n"/>
      <c r="CS72" s="215" t="n"/>
      <c r="CT72" s="215" t="n"/>
      <c r="CU72" s="215" t="n"/>
    </row>
    <row r="73" s="353">
      <c r="B73" s="441" t="n"/>
      <c r="C73" s="25" t="n">
        <v>1</v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0" t="n"/>
      <c r="X73" s="11" t="inlineStr">
        <is>
          <t>市场4</t>
        </is>
      </c>
      <c r="Y73" s="532">
        <f>DV37</f>
        <v/>
      </c>
      <c r="Z73" s="532">
        <f>DZ37</f>
        <v/>
      </c>
      <c r="AA73" s="532">
        <f>ED37</f>
        <v/>
      </c>
      <c r="AB73" s="532">
        <f>EH37</f>
        <v/>
      </c>
      <c r="AE73" s="11" t="inlineStr">
        <is>
          <t>市场4</t>
        </is>
      </c>
      <c r="AF73" s="131">
        <f>第十四期!DV9</f>
        <v/>
      </c>
      <c r="AG73" s="131">
        <f>第十四期!DV13</f>
        <v/>
      </c>
      <c r="AH73" s="131">
        <f>第十四期!DV17</f>
        <v/>
      </c>
      <c r="AI73" s="131">
        <f>第十四期!DV21</f>
        <v/>
      </c>
      <c r="AJ73" s="126">
        <f>AF73-Y60+AF60</f>
        <v/>
      </c>
      <c r="AK73" s="126">
        <f>AG73-Z60+AG60</f>
        <v/>
      </c>
      <c r="AL73" s="126">
        <f>AH73-AA60+AH60</f>
        <v/>
      </c>
      <c r="AM73" s="126">
        <f>AI73-AB60+AI60</f>
        <v/>
      </c>
      <c r="AR73" s="347" t="n">
        <v>17</v>
      </c>
      <c r="AS73" s="531">
        <f>IF(AS49="","",(AS49-AS$54)^2)</f>
        <v/>
      </c>
      <c r="AT73" s="531">
        <f>IF(AT49="","",(AT49-AT$54)^2)</f>
        <v/>
      </c>
      <c r="AU73" s="531">
        <f>IF(AU49="","",(AU49-AU$54)^2)</f>
        <v/>
      </c>
      <c r="AV73" s="531">
        <f>IF(AV49="","",(AV49-AV$54)^2)</f>
        <v/>
      </c>
      <c r="AW73" s="531">
        <f>IF(AW49="","",(AW49-AW$54)^2)</f>
        <v/>
      </c>
      <c r="AX73" s="531">
        <f>IF(AX49="","",(AX49-AX$54)^2)</f>
        <v/>
      </c>
      <c r="AY73" s="531">
        <f>IF(AY49="","",(AY49-AY$54)^2)</f>
        <v/>
      </c>
      <c r="AZ73" s="531">
        <f>IF(AZ49="","",(AZ49-AZ$54)^2)</f>
        <v/>
      </c>
      <c r="BA73" s="531">
        <f>IF(BA49="","",(BA49-BA$54)^2)</f>
        <v/>
      </c>
      <c r="BB73" s="531">
        <f>IF(BB49="","",(BB49-BB$54)^2)</f>
        <v/>
      </c>
      <c r="BC73" s="531">
        <f>IF(BC49="","",(BC49-BC$54)^2)</f>
        <v/>
      </c>
      <c r="BD73" s="531">
        <f>IF(BD49="","",(BD49-BD$54)^2)</f>
        <v/>
      </c>
      <c r="BE73" s="531">
        <f>IF(BE49="","",(BE49-BE$54)^2)</f>
        <v/>
      </c>
      <c r="BF73" s="531">
        <f>IF(BF49="","",(BF49-BF$54)^2)</f>
        <v/>
      </c>
      <c r="BG73" s="531">
        <f>IF(BG49="","",(BG49-BG$54)^2)</f>
        <v/>
      </c>
      <c r="BH73" s="531">
        <f>IF(BH49="","",(BH49-BH$54)^2)</f>
        <v/>
      </c>
      <c r="BR73" s="529" t="inlineStr">
        <is>
          <t>使用材料费</t>
        </is>
      </c>
      <c r="BS73" s="478">
        <f>第十四期!AC21</f>
        <v/>
      </c>
      <c r="BT73" s="478" t="n"/>
      <c r="BU73" s="478">
        <f>BU72+BS73</f>
        <v/>
      </c>
      <c r="BV73" s="478" t="n"/>
      <c r="BW73" s="126" t="n"/>
      <c r="CB73" s="396" t="n"/>
      <c r="CC73" s="396" t="n"/>
      <c r="CD73" s="396" t="n"/>
      <c r="CE73" s="396" t="n"/>
      <c r="CF73" s="396" t="n"/>
      <c r="CG73" s="396" t="n"/>
      <c r="CH73" s="396" t="n"/>
      <c r="CI73" s="196" t="inlineStr">
        <is>
          <t>产品D</t>
        </is>
      </c>
      <c r="CJ73" s="272">
        <f>比赛参数!D55</f>
        <v/>
      </c>
      <c r="CK73" s="272">
        <f>比赛参数!E55</f>
        <v/>
      </c>
      <c r="CL73" s="272">
        <f>比赛参数!F55</f>
        <v/>
      </c>
      <c r="CM73" s="272">
        <f>比赛参数!G55</f>
        <v/>
      </c>
      <c r="CN73" s="272">
        <f>比赛参数!H55</f>
        <v/>
      </c>
      <c r="CO73" s="396" t="n"/>
      <c r="CP73" s="294" t="inlineStr">
        <is>
          <t>变动运输成本</t>
        </is>
      </c>
      <c r="CQ73" s="294" t="inlineStr">
        <is>
          <t>市场1</t>
        </is>
      </c>
      <c r="CR73" s="294" t="inlineStr">
        <is>
          <t>市场2</t>
        </is>
      </c>
      <c r="CS73" s="294" t="inlineStr">
        <is>
          <t>市场3</t>
        </is>
      </c>
      <c r="CT73" s="294" t="inlineStr">
        <is>
          <t>市场4</t>
        </is>
      </c>
      <c r="CU73" s="215" t="n"/>
    </row>
    <row r="74" s="353">
      <c r="B74" s="441" t="n"/>
      <c r="C74" s="25" t="n">
        <v>2</v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0" t="n"/>
      <c r="AE74" s="215" t="n"/>
      <c r="AF74" s="215">
        <f>AVERAGE(AF70:AF73)</f>
        <v/>
      </c>
      <c r="AG74" s="215">
        <f>AVERAGE(AG70:AG73)</f>
        <v/>
      </c>
      <c r="AH74" s="215">
        <f>AVERAGE(AH70:AH73)</f>
        <v/>
      </c>
      <c r="AI74" s="215">
        <f>AVERAGE(AI70:AI73)</f>
        <v/>
      </c>
      <c r="AJ74" s="215" t="n"/>
      <c r="AL74" s="215" t="n"/>
      <c r="AR74" s="347" t="n">
        <v>18</v>
      </c>
      <c r="AS74" s="531">
        <f>IF(AS50="","",(AS50-AS$54)^2)</f>
        <v/>
      </c>
      <c r="AT74" s="531">
        <f>IF(AT50="","",(AT50-AT$54)^2)</f>
        <v/>
      </c>
      <c r="AU74" s="531">
        <f>IF(AU50="","",(AU50-AU$54)^2)</f>
        <v/>
      </c>
      <c r="AV74" s="531">
        <f>IF(AV50="","",(AV50-AV$54)^2)</f>
        <v/>
      </c>
      <c r="AW74" s="531">
        <f>IF(AW50="","",(AW50-AW$54)^2)</f>
        <v/>
      </c>
      <c r="AX74" s="531">
        <f>IF(AX50="","",(AX50-AX$54)^2)</f>
        <v/>
      </c>
      <c r="AY74" s="531">
        <f>IF(AY50="","",(AY50-AY$54)^2)</f>
        <v/>
      </c>
      <c r="AZ74" s="531">
        <f>IF(AZ50="","",(AZ50-AZ$54)^2)</f>
        <v/>
      </c>
      <c r="BA74" s="531">
        <f>IF(BA50="","",(BA50-BA$54)^2)</f>
        <v/>
      </c>
      <c r="BB74" s="531">
        <f>IF(BB50="","",(BB50-BB$54)^2)</f>
        <v/>
      </c>
      <c r="BC74" s="531">
        <f>IF(BC50="","",(BC50-BC$54)^2)</f>
        <v/>
      </c>
      <c r="BD74" s="531">
        <f>IF(BD50="","",(BD50-BD$54)^2)</f>
        <v/>
      </c>
      <c r="BE74" s="531">
        <f>IF(BE50="","",(BE50-BE$54)^2)</f>
        <v/>
      </c>
      <c r="BF74" s="531">
        <f>IF(BF50="","",(BF50-BF$54)^2)</f>
        <v/>
      </c>
      <c r="BG74" s="531">
        <f>IF(BG50="","",(BG50-BG$54)^2)</f>
        <v/>
      </c>
      <c r="BH74" s="531">
        <f>IF(BH50="","",(BH50-BH$54)^2)</f>
        <v/>
      </c>
      <c r="BR74" s="529" t="inlineStr">
        <is>
          <t>成品运输费</t>
        </is>
      </c>
      <c r="BS74" s="478">
        <f>第十四期!CG42</f>
        <v/>
      </c>
      <c r="BT74" s="478" t="n"/>
      <c r="BU74" s="478">
        <f>BU73+BS74</f>
        <v/>
      </c>
      <c r="BV74" s="478">
        <f>BV72-BS74</f>
        <v/>
      </c>
      <c r="BW74" s="126" t="n"/>
      <c r="CB74" s="396" t="n"/>
      <c r="CC74" s="396">
        <f>AF64*AF76</f>
        <v/>
      </c>
      <c r="CD74" s="396">
        <f>AG64*AG76</f>
        <v/>
      </c>
      <c r="CE74" s="396">
        <f>AH64*AH76</f>
        <v/>
      </c>
      <c r="CF74" s="396">
        <f>AI64*AI76</f>
        <v/>
      </c>
      <c r="CG74" s="396" t="n"/>
      <c r="CH74" s="396" t="n"/>
      <c r="CI74" s="396" t="n"/>
      <c r="CJ74" s="396" t="n"/>
      <c r="CK74" s="396" t="n"/>
      <c r="CL74" s="396" t="n"/>
      <c r="CM74" s="396" t="n"/>
      <c r="CN74" s="396" t="n"/>
      <c r="CO74" s="396" t="n"/>
      <c r="CP74" s="294" t="inlineStr">
        <is>
          <t>A产品</t>
        </is>
      </c>
      <c r="CQ74" s="294">
        <f>比赛参数!D13</f>
        <v/>
      </c>
      <c r="CR74" s="294">
        <f>比赛参数!E13</f>
        <v/>
      </c>
      <c r="CS74" s="294">
        <f>比赛参数!F13</f>
        <v/>
      </c>
      <c r="CT74" s="294">
        <f>比赛参数!G13</f>
        <v/>
      </c>
      <c r="CU74" s="215" t="n"/>
    </row>
    <row r="75" s="353">
      <c r="B75" s="441" t="n"/>
      <c r="C75" s="25" t="n">
        <v>3</v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0" t="n"/>
      <c r="X75" s="63" t="inlineStr">
        <is>
          <t>参照市场份额</t>
        </is>
      </c>
      <c r="Y75" s="73" t="inlineStr">
        <is>
          <t>A产品</t>
        </is>
      </c>
      <c r="Z75" s="73" t="inlineStr">
        <is>
          <t>B产品</t>
        </is>
      </c>
      <c r="AA75" s="73" t="inlineStr">
        <is>
          <t>C产品</t>
        </is>
      </c>
      <c r="AB75" s="73" t="inlineStr">
        <is>
          <t>D产品</t>
        </is>
      </c>
      <c r="AC75" s="126" t="n"/>
      <c r="AE75" s="63" t="inlineStr">
        <is>
          <t>本期价格</t>
        </is>
      </c>
      <c r="AF75" s="59" t="inlineStr">
        <is>
          <t>A产品</t>
        </is>
      </c>
      <c r="AG75" s="59" t="inlineStr">
        <is>
          <t>B产品</t>
        </is>
      </c>
      <c r="AH75" s="59" t="inlineStr">
        <is>
          <t>C产品</t>
        </is>
      </c>
      <c r="AI75" s="59" t="inlineStr">
        <is>
          <t>D产品</t>
        </is>
      </c>
      <c r="AJ75" s="148" t="inlineStr">
        <is>
          <t>促销</t>
        </is>
      </c>
      <c r="AK75" s="148" t="inlineStr">
        <is>
          <t>促销分摊</t>
        </is>
      </c>
      <c r="AR75" s="347" t="n">
        <v>19</v>
      </c>
      <c r="AS75" s="531">
        <f>IF(AS51="","",(AS51-AS$54)^2)</f>
        <v/>
      </c>
      <c r="AT75" s="531">
        <f>IF(AT51="","",(AT51-AT$54)^2)</f>
        <v/>
      </c>
      <c r="AU75" s="531">
        <f>IF(AU51="","",(AU51-AU$54)^2)</f>
        <v/>
      </c>
      <c r="AV75" s="531">
        <f>IF(AV51="","",(AV51-AV$54)^2)</f>
        <v/>
      </c>
      <c r="AW75" s="531">
        <f>IF(AW51="","",(AW51-AW$54)^2)</f>
        <v/>
      </c>
      <c r="AX75" s="531">
        <f>IF(AX51="","",(AX51-AX$54)^2)</f>
        <v/>
      </c>
      <c r="AY75" s="531">
        <f>IF(AY51="","",(AY51-AY$54)^2)</f>
        <v/>
      </c>
      <c r="AZ75" s="531">
        <f>IF(AZ51="","",(AZ51-AZ$54)^2)</f>
        <v/>
      </c>
      <c r="BA75" s="531">
        <f>IF(BA51="","",(BA51-BA$54)^2)</f>
        <v/>
      </c>
      <c r="BB75" s="531">
        <f>IF(BB51="","",(BB51-BB$54)^2)</f>
        <v/>
      </c>
      <c r="BC75" s="531">
        <f>IF(BC51="","",(BC51-BC$54)^2)</f>
        <v/>
      </c>
      <c r="BD75" s="531">
        <f>IF(BD51="","",(BD51-BD$54)^2)</f>
        <v/>
      </c>
      <c r="BE75" s="531">
        <f>IF(BE51="","",(BE51-BE$54)^2)</f>
        <v/>
      </c>
      <c r="BF75" s="531">
        <f>IF(BF51="","",(BF51-BF$54)^2)</f>
        <v/>
      </c>
      <c r="BG75" s="531">
        <f>IF(BG51="","",(BG51-BG$54)^2)</f>
        <v/>
      </c>
      <c r="BH75" s="531">
        <f>IF(BH51="","",(BH51-BH$54)^2)</f>
        <v/>
      </c>
      <c r="BR75" s="529" t="inlineStr">
        <is>
          <t>广告费</t>
        </is>
      </c>
      <c r="BS75" s="478">
        <f>SUM(第十四期!AF80:AI80)</f>
        <v/>
      </c>
      <c r="BT75" s="478" t="n"/>
      <c r="BU75" s="478">
        <f>BU74+BS75</f>
        <v/>
      </c>
      <c r="BV75" s="478">
        <f>BV74-BS75</f>
        <v/>
      </c>
      <c r="BW75" s="126" t="n"/>
      <c r="CB75" s="396" t="n"/>
      <c r="CC75" s="396">
        <f>AF65*AF77</f>
        <v/>
      </c>
      <c r="CD75" s="396">
        <f>AG65*AG77</f>
        <v/>
      </c>
      <c r="CE75" s="396">
        <f>AH65*AH77</f>
        <v/>
      </c>
      <c r="CF75" s="396">
        <f>AI65*AI77</f>
        <v/>
      </c>
      <c r="CG75" s="396" t="n"/>
      <c r="CH75" s="396" t="n"/>
      <c r="CI75" s="396" t="n"/>
      <c r="CJ75" s="396" t="n"/>
      <c r="CK75" s="396" t="n"/>
      <c r="CL75" s="396" t="n"/>
      <c r="CM75" s="396" t="n"/>
      <c r="CN75" s="396" t="n"/>
      <c r="CO75" s="396" t="n"/>
      <c r="CP75" s="294" t="inlineStr">
        <is>
          <t>B产品</t>
        </is>
      </c>
      <c r="CQ75" s="294">
        <f>比赛参数!H13</f>
        <v/>
      </c>
      <c r="CR75" s="294">
        <f>比赛参数!I13</f>
        <v/>
      </c>
      <c r="CS75" s="294">
        <f>比赛参数!J13</f>
        <v/>
      </c>
      <c r="CT75" s="294">
        <f>比赛参数!K13</f>
        <v/>
      </c>
      <c r="CU75" s="215" t="n"/>
    </row>
    <row r="76" s="353">
      <c r="B76" s="441" t="n"/>
      <c r="C76" s="25" t="n">
        <v>4</v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0" t="n"/>
      <c r="X76" s="64" t="inlineStr">
        <is>
          <t>市场1</t>
        </is>
      </c>
      <c r="Y76" s="532">
        <f>AB130/Y232</f>
        <v/>
      </c>
      <c r="Z76" s="532">
        <f>AL130/AC232</f>
        <v/>
      </c>
      <c r="AA76" s="532">
        <f>AB153/AG232</f>
        <v/>
      </c>
      <c r="AB76" s="532">
        <f>AL153/AK232</f>
        <v/>
      </c>
      <c r="AC76" s="126" t="n"/>
      <c r="AE76" s="47" t="inlineStr">
        <is>
          <t>市场1</t>
        </is>
      </c>
      <c r="AF76" s="101" t="n"/>
      <c r="AG76" s="101" t="n"/>
      <c r="AH76" s="101" t="n"/>
      <c r="AI76" s="101" t="n"/>
      <c r="AJ76" s="300" t="n"/>
      <c r="AK76" s="533">
        <f>AJ76/SUM(AF64:AI64)</f>
        <v/>
      </c>
      <c r="AL76" s="114">
        <f>AJ76/SUMPRODUCT(AF76:AI76,AF64:AI64)</f>
        <v/>
      </c>
      <c r="AM76" s="215" t="n">
        <v>8200</v>
      </c>
      <c r="AN76" s="215" t="n">
        <v>12000</v>
      </c>
      <c r="AO76" s="215" t="n">
        <v>13300</v>
      </c>
      <c r="AR76" s="347" t="n">
        <v>20</v>
      </c>
      <c r="AS76" s="531">
        <f>IF(AS52="","",(AS52-AS$54)^2)</f>
        <v/>
      </c>
      <c r="AT76" s="531">
        <f>IF(AT52="","",(AT52-AT$54)^2)</f>
        <v/>
      </c>
      <c r="AU76" s="531">
        <f>IF(AU52="","",(AU52-AU$54)^2)</f>
        <v/>
      </c>
      <c r="AV76" s="531">
        <f>IF(AV52="","",(AV52-AV$54)^2)</f>
        <v/>
      </c>
      <c r="AW76" s="531">
        <f>IF(AW52="","",(AW52-AW$54)^2)</f>
        <v/>
      </c>
      <c r="AX76" s="531">
        <f>IF(AX52="","",(AX52-AX$54)^2)</f>
        <v/>
      </c>
      <c r="AY76" s="531">
        <f>IF(AY52="","",(AY52-AY$54)^2)</f>
        <v/>
      </c>
      <c r="AZ76" s="531">
        <f>IF(AZ52="","",(AZ52-AZ$54)^2)</f>
        <v/>
      </c>
      <c r="BA76" s="531">
        <f>IF(BA52="","",(BA52-BA$54)^2)</f>
        <v/>
      </c>
      <c r="BB76" s="531">
        <f>IF(BB52="","",(BB52-BB$54)^2)</f>
        <v/>
      </c>
      <c r="BC76" s="531">
        <f>IF(BC52="","",(BC52-BC$54)^2)</f>
        <v/>
      </c>
      <c r="BD76" s="531">
        <f>IF(BD52="","",(BD52-BD$54)^2)</f>
        <v/>
      </c>
      <c r="BE76" s="531">
        <f>IF(BE52="","",(BE52-BE$54)^2)</f>
        <v/>
      </c>
      <c r="BF76" s="531">
        <f>IF(BF52="","",(BF52-BF$54)^2)</f>
        <v/>
      </c>
      <c r="BG76" s="531">
        <f>IF(BG52="","",(BG52-BG$54)^2)</f>
        <v/>
      </c>
      <c r="BH76" s="531">
        <f>IF(BH52="","",(BH52-BH$54)^2)</f>
        <v/>
      </c>
      <c r="BR76" s="534" t="inlineStr">
        <is>
          <t>促销费</t>
        </is>
      </c>
      <c r="BS76" s="535">
        <f>SUM(第十四期!AJ76:AJ79)</f>
        <v/>
      </c>
      <c r="BT76" s="535" t="n"/>
      <c r="BU76" s="535">
        <f>BU75+BS76</f>
        <v/>
      </c>
      <c r="BV76" s="535">
        <f>BV75-BS76</f>
        <v/>
      </c>
      <c r="BW76" s="536">
        <f>IF(BV76&gt;=0,"YES","NO")</f>
        <v/>
      </c>
      <c r="CB76" s="396" t="n"/>
      <c r="CC76" s="396">
        <f>AF66*AF78</f>
        <v/>
      </c>
      <c r="CD76" s="396">
        <f>AG66*AG78</f>
        <v/>
      </c>
      <c r="CE76" s="396">
        <f>AH66*AH78</f>
        <v/>
      </c>
      <c r="CF76" s="396">
        <f>AI66*AI78</f>
        <v/>
      </c>
      <c r="CG76" s="396" t="n"/>
      <c r="CH76" s="396" t="n"/>
      <c r="CI76" s="396" t="n"/>
      <c r="CJ76" s="396" t="n"/>
      <c r="CK76" s="396" t="n"/>
      <c r="CL76" s="396" t="n"/>
      <c r="CM76" s="396" t="n"/>
      <c r="CN76" s="396" t="n"/>
      <c r="CO76" s="396" t="n"/>
      <c r="CP76" s="294" t="inlineStr">
        <is>
          <t>C产品</t>
        </is>
      </c>
      <c r="CQ76" s="294">
        <f>比赛参数!D14</f>
        <v/>
      </c>
      <c r="CR76" s="294">
        <f>比赛参数!E14</f>
        <v/>
      </c>
      <c r="CS76" s="294">
        <f>比赛参数!F14</f>
        <v/>
      </c>
      <c r="CT76" s="294">
        <f>比赛参数!G14</f>
        <v/>
      </c>
      <c r="CU76" s="215" t="n"/>
    </row>
    <row r="77" s="353">
      <c r="B77" s="441" t="n"/>
      <c r="C77" s="25" t="n">
        <v>5</v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0" t="n"/>
      <c r="X77" s="11" t="inlineStr">
        <is>
          <t>市场2</t>
        </is>
      </c>
      <c r="Y77" s="532">
        <f>AC130/Z232</f>
        <v/>
      </c>
      <c r="Z77" s="532">
        <f>AM130/AD232</f>
        <v/>
      </c>
      <c r="AA77" s="532">
        <f>AC153/AH232</f>
        <v/>
      </c>
      <c r="AB77" s="532">
        <f>AM153/AL232</f>
        <v/>
      </c>
      <c r="AC77" s="126" t="n"/>
      <c r="AE77" s="11" t="inlineStr">
        <is>
          <t>市场2</t>
        </is>
      </c>
      <c r="AF77" s="101" t="n"/>
      <c r="AG77" s="101" t="n"/>
      <c r="AH77" s="101" t="n"/>
      <c r="AI77" s="101" t="n"/>
      <c r="AJ77" s="300" t="n"/>
      <c r="AK77" s="533">
        <f>AJ77/SUM(AF65:AI65)</f>
        <v/>
      </c>
      <c r="AL77" s="114">
        <f>AJ77/SUMPRODUCT(AF77:AI77,AF65:AI65)</f>
        <v/>
      </c>
      <c r="AM77" s="215" t="n">
        <v>8200</v>
      </c>
      <c r="AN77" s="215" t="n">
        <v>12000</v>
      </c>
      <c r="AO77" s="215" t="n">
        <v>13300</v>
      </c>
      <c r="BR77" s="529" t="inlineStr">
        <is>
          <t>销售收入</t>
        </is>
      </c>
      <c r="BS77" s="537">
        <f>第十四期!CG53</f>
        <v/>
      </c>
      <c r="BT77" s="537">
        <f>BT67+BS77</f>
        <v/>
      </c>
      <c r="BU77" s="537" t="n"/>
      <c r="BV77" s="537">
        <f>BV76+BS77</f>
        <v/>
      </c>
      <c r="BW77" s="126" t="n"/>
      <c r="CB77" s="396" t="n"/>
      <c r="CC77" s="396">
        <f>AF67*AF79</f>
        <v/>
      </c>
      <c r="CD77" s="396">
        <f>AG67*AG79</f>
        <v/>
      </c>
      <c r="CE77" s="396">
        <f>AH67*AH79</f>
        <v/>
      </c>
      <c r="CF77" s="396">
        <f>AI67*AI79</f>
        <v/>
      </c>
      <c r="CG77" s="396" t="n"/>
      <c r="CH77" s="396" t="n"/>
      <c r="CI77" s="396" t="n"/>
      <c r="CJ77" s="396" t="n"/>
      <c r="CK77" s="396" t="n"/>
      <c r="CL77" s="396" t="n"/>
      <c r="CM77" s="396" t="n"/>
      <c r="CN77" s="396" t="n"/>
      <c r="CO77" s="396" t="n"/>
      <c r="CP77" s="294" t="inlineStr">
        <is>
          <t>D产品</t>
        </is>
      </c>
      <c r="CQ77" s="294">
        <f>比赛参数!H14</f>
        <v/>
      </c>
      <c r="CR77" s="294">
        <f>比赛参数!I14</f>
        <v/>
      </c>
      <c r="CS77" s="294">
        <f>比赛参数!J14</f>
        <v/>
      </c>
      <c r="CT77" s="294">
        <f>比赛参数!K14</f>
        <v/>
      </c>
      <c r="CU77" s="215" t="n"/>
    </row>
    <row r="78" s="353">
      <c r="B78" s="441" t="n"/>
      <c r="C78" s="25" t="n">
        <v>6</v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19" t="n"/>
      <c r="M78" s="19" t="n"/>
      <c r="N78" s="19" t="n"/>
      <c r="O78" s="19" t="n"/>
      <c r="P78" s="19" t="n"/>
      <c r="Q78" s="19" t="n"/>
      <c r="R78" s="19" t="n"/>
      <c r="S78" s="19" t="n"/>
      <c r="T78" s="10" t="n"/>
      <c r="X78" s="11" t="inlineStr">
        <is>
          <t>市场3</t>
        </is>
      </c>
      <c r="Y78" s="532">
        <f>AD130/AA232</f>
        <v/>
      </c>
      <c r="Z78" s="532">
        <f>AN130/AE232</f>
        <v/>
      </c>
      <c r="AA78" s="532">
        <f>AD153/AI232</f>
        <v/>
      </c>
      <c r="AB78" s="532">
        <f>AN153/AM232</f>
        <v/>
      </c>
      <c r="AC78" s="126" t="n"/>
      <c r="AE78" s="11" t="inlineStr">
        <is>
          <t>市场3</t>
        </is>
      </c>
      <c r="AF78" s="101" t="n"/>
      <c r="AG78" s="101" t="n"/>
      <c r="AH78" s="101" t="n"/>
      <c r="AI78" s="101" t="n"/>
      <c r="AJ78" s="300" t="n"/>
      <c r="AK78" s="533">
        <f>AJ78/SUM(AF66:AI66)</f>
        <v/>
      </c>
      <c r="AL78" s="114">
        <f>AJ78/SUMPRODUCT(AF78:AI78,AF66:AI66)</f>
        <v/>
      </c>
      <c r="AM78" s="215" t="n">
        <v>8500</v>
      </c>
      <c r="AN78" s="215" t="n">
        <v>12300</v>
      </c>
      <c r="AO78" s="215" t="n">
        <v>14000</v>
      </c>
      <c r="AR78" s="294" t="inlineStr">
        <is>
          <t>标准差</t>
        </is>
      </c>
      <c r="AS78" s="538">
        <f>AVERAGE(AS57:AS76)^0.5</f>
        <v/>
      </c>
      <c r="AT78" s="538">
        <f>AVERAGE(AT57:AT76)^0.5</f>
        <v/>
      </c>
      <c r="AU78" s="538">
        <f>AVERAGE(AU57:AU76)^0.5</f>
        <v/>
      </c>
      <c r="AV78" s="538">
        <f>AVERAGE(AV57:AV76)^0.5</f>
        <v/>
      </c>
      <c r="AW78" s="538">
        <f>AVERAGE(AW57:AW76)^0.5</f>
        <v/>
      </c>
      <c r="AX78" s="538">
        <f>AVERAGE(AX57:AX76)^0.5</f>
        <v/>
      </c>
      <c r="AY78" s="538">
        <f>AVERAGE(AY57:AY76)^0.5</f>
        <v/>
      </c>
      <c r="AZ78" s="538">
        <f>AVERAGE(AZ57:AZ76)^0.5</f>
        <v/>
      </c>
      <c r="BA78" s="538">
        <f>AVERAGE(BA57:BA76)^0.5</f>
        <v/>
      </c>
      <c r="BB78" s="538">
        <f>AVERAGE(BB57:BB76)^0.5</f>
        <v/>
      </c>
      <c r="BC78" s="538">
        <f>AVERAGE(BC57:BC76)^0.5</f>
        <v/>
      </c>
      <c r="BD78" s="538">
        <f>AVERAGE(BD57:BD76)^0.5</f>
        <v/>
      </c>
      <c r="BE78" s="538">
        <f>AVERAGE(BE57:BE76)^0.5</f>
        <v/>
      </c>
      <c r="BF78" s="538">
        <f>AVERAGE(BF57:BF76)^0.5</f>
        <v/>
      </c>
      <c r="BG78" s="538">
        <f>AVERAGE(BG57:BG76)^0.5</f>
        <v/>
      </c>
      <c r="BH78" s="538">
        <f>AVERAGE(BH57:BH76)^0.5</f>
        <v/>
      </c>
      <c r="BR78" s="529" t="inlineStr">
        <is>
          <t>废品损失</t>
        </is>
      </c>
      <c r="BS78" s="478">
        <f>第十四期!CN53</f>
        <v/>
      </c>
      <c r="BT78" s="478" t="n"/>
      <c r="BU78" s="478">
        <f>BU76+BS78</f>
        <v/>
      </c>
      <c r="BV78" s="478">
        <f>BV77-BS78</f>
        <v/>
      </c>
      <c r="BW78" s="126" t="n"/>
      <c r="CB78" s="396" t="n"/>
      <c r="CC78" s="396" t="n"/>
      <c r="CD78" s="396" t="n"/>
      <c r="CE78" s="396" t="n"/>
      <c r="CF78" s="396" t="n"/>
      <c r="CG78" s="396" t="n"/>
      <c r="CH78" s="396" t="n"/>
      <c r="CI78" s="396" t="n"/>
      <c r="CJ78" s="396" t="n"/>
      <c r="CK78" s="396" t="n"/>
      <c r="CL78" s="396" t="n"/>
      <c r="CM78" s="396" t="n"/>
      <c r="CN78" s="396" t="n"/>
      <c r="CO78" s="396" t="n"/>
      <c r="CP78" s="215" t="n"/>
      <c r="CQ78" s="215" t="n"/>
      <c r="CR78" s="215" t="n"/>
      <c r="CS78" s="215" t="n"/>
      <c r="CT78" s="215" t="n"/>
      <c r="CU78" s="215" t="n"/>
    </row>
    <row r="79" s="353">
      <c r="B79" s="441" t="n"/>
      <c r="C79" s="25" t="n">
        <v>7</v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19" t="n"/>
      <c r="M79" s="19" t="n"/>
      <c r="N79" s="19" t="n"/>
      <c r="O79" s="19" t="n"/>
      <c r="P79" s="19" t="n"/>
      <c r="Q79" s="19" t="n"/>
      <c r="R79" s="19" t="n"/>
      <c r="S79" s="19" t="n"/>
      <c r="T79" s="10" t="n"/>
      <c r="X79" s="11" t="inlineStr">
        <is>
          <t>市场4</t>
        </is>
      </c>
      <c r="Y79" s="532">
        <f>AE130/AB232</f>
        <v/>
      </c>
      <c r="Z79" s="532">
        <f>AO130/AF232</f>
        <v/>
      </c>
      <c r="AA79" s="532">
        <f>AE153/AJ232</f>
        <v/>
      </c>
      <c r="AB79" s="532">
        <f>AO153/AN232</f>
        <v/>
      </c>
      <c r="AC79" s="126" t="n"/>
      <c r="AE79" s="11" t="inlineStr">
        <is>
          <t>市场4</t>
        </is>
      </c>
      <c r="AF79" s="101" t="n"/>
      <c r="AG79" s="101" t="n"/>
      <c r="AH79" s="101" t="n"/>
      <c r="AI79" s="101" t="n"/>
      <c r="AJ79" s="300" t="n"/>
      <c r="AK79" s="533">
        <f>AJ79/SUM(AF67:AI67)</f>
        <v/>
      </c>
      <c r="AL79" s="114">
        <f>AJ79/SUMPRODUCT(AF79:AI79,AF67:AI67)</f>
        <v/>
      </c>
      <c r="AM79" s="215" t="n">
        <v>8500</v>
      </c>
      <c r="AN79" s="215" t="n">
        <v>12300</v>
      </c>
      <c r="AO79" s="215" t="n">
        <v>14000</v>
      </c>
      <c r="BR79" s="529" t="inlineStr">
        <is>
          <t>折旧费</t>
        </is>
      </c>
      <c r="BS79" s="478">
        <f>第十四期!K9*比赛参数!D30*比赛参数!F30</f>
        <v/>
      </c>
      <c r="BT79" s="478" t="n"/>
      <c r="BU79" s="478">
        <f>BU78+BS79</f>
        <v/>
      </c>
      <c r="BV79" s="478" t="n"/>
      <c r="BW79" s="126" t="n"/>
      <c r="CB79" s="196" t="inlineStr">
        <is>
          <t>加权平均单价</t>
        </is>
      </c>
      <c r="CC79" s="272">
        <f>IF(SUM(AF64:AF67)&gt;0,SUM(CC74:CC77)/SUM(AF64:AF67),0)</f>
        <v/>
      </c>
      <c r="CD79" s="272">
        <f>IF(SUM(AG64:AG67)&gt;0,SUM(CD74:CD77)/SUM(AG64:AG67),0)</f>
        <v/>
      </c>
      <c r="CE79" s="272">
        <f>IF(SUM(AH64:AH67)&gt;0,SUM(CE74:CE77)/SUM(AH64:AH67),0)</f>
        <v/>
      </c>
      <c r="CF79" s="272">
        <f>IF(SUM(AI64:AI67)&gt;0,SUM(CF74:CF77)/SUM(AI64:AI67),0)</f>
        <v/>
      </c>
      <c r="CG79" s="396" t="n"/>
      <c r="CH79" s="396" t="n"/>
      <c r="CM79" s="396" t="n"/>
      <c r="CN79" s="396" t="n"/>
      <c r="CO79" s="396" t="n"/>
      <c r="CP79" s="294" t="inlineStr">
        <is>
          <t>各班机时</t>
        </is>
      </c>
      <c r="CQ79" s="294" t="inlineStr">
        <is>
          <t>第一班正班</t>
        </is>
      </c>
      <c r="CR79" s="294" t="inlineStr">
        <is>
          <t>第一班加班</t>
        </is>
      </c>
      <c r="CS79" s="294" t="inlineStr">
        <is>
          <t>第二班正班</t>
        </is>
      </c>
      <c r="CT79" s="294" t="inlineStr">
        <is>
          <t>第二班加班</t>
        </is>
      </c>
      <c r="CU79" s="294" t="inlineStr">
        <is>
          <t>总计</t>
        </is>
      </c>
    </row>
    <row r="80" s="353">
      <c r="B80" s="441" t="n"/>
      <c r="C80" s="25" t="n">
        <v>8</v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19" t="n"/>
      <c r="M80" s="19" t="n"/>
      <c r="N80" s="19" t="n"/>
      <c r="O80" s="19" t="n"/>
      <c r="P80" s="19" t="n"/>
      <c r="Q80" s="19" t="n"/>
      <c r="R80" s="19" t="n"/>
      <c r="S80" s="19" t="n"/>
      <c r="T80" s="10" t="n"/>
      <c r="AC80" s="215" t="n"/>
      <c r="AE80" s="148" t="inlineStr">
        <is>
          <t>广告</t>
        </is>
      </c>
      <c r="AF80" s="284" t="n"/>
      <c r="AG80" s="284" t="n"/>
      <c r="AH80" s="284" t="n"/>
      <c r="AI80" s="284" t="n"/>
      <c r="AJ80" s="148" t="inlineStr">
        <is>
          <t>广告比</t>
        </is>
      </c>
      <c r="AK80" s="302">
        <f>BS75/BS77</f>
        <v/>
      </c>
      <c r="AR80" s="92" t="n"/>
      <c r="AS80" s="180" t="inlineStr">
        <is>
          <t>产品A</t>
        </is>
      </c>
      <c r="AT80" s="181" t="n"/>
      <c r="AU80" s="181" t="n"/>
      <c r="AV80" s="182" t="n"/>
      <c r="AW80" s="180" t="inlineStr">
        <is>
          <t>产品B</t>
        </is>
      </c>
      <c r="AX80" s="181" t="n"/>
      <c r="AY80" s="181" t="n"/>
      <c r="AZ80" s="182" t="n"/>
      <c r="BA80" s="180" t="inlineStr">
        <is>
          <t>产品C</t>
        </is>
      </c>
      <c r="BB80" s="181" t="n"/>
      <c r="BC80" s="181" t="n"/>
      <c r="BD80" s="182" t="n"/>
      <c r="BE80" s="180" t="inlineStr">
        <is>
          <t>产品D</t>
        </is>
      </c>
      <c r="BF80" s="181" t="n"/>
      <c r="BG80" s="181" t="n"/>
      <c r="BH80" s="182" t="n"/>
      <c r="BR80" s="529" t="inlineStr">
        <is>
          <t>产品库存变化</t>
        </is>
      </c>
      <c r="BS80" s="478">
        <f>第十四期!CG65</f>
        <v/>
      </c>
      <c r="BT80" s="478" t="n"/>
      <c r="BU80" s="478">
        <f>BU79+BS80</f>
        <v/>
      </c>
      <c r="BV80" s="478" t="n"/>
      <c r="BW80" s="126" t="n"/>
      <c r="CB80" s="396" t="n"/>
      <c r="CC80" s="396" t="n"/>
      <c r="CD80" s="396" t="n"/>
      <c r="CE80" s="396" t="n"/>
      <c r="CF80" s="396" t="n"/>
      <c r="CG80" s="396" t="n"/>
      <c r="CH80" s="396" t="n"/>
      <c r="CI80" s="396" t="n"/>
      <c r="CJ80" s="396" t="n"/>
      <c r="CK80" s="396" t="n"/>
      <c r="CL80" s="396" t="n"/>
      <c r="CM80" s="396" t="n"/>
      <c r="CN80" s="396" t="n"/>
      <c r="CO80" s="396" t="n"/>
      <c r="CP80" s="294" t="inlineStr">
        <is>
          <t>A产品</t>
        </is>
      </c>
      <c r="CQ80" s="294">
        <f>第十四期!Y9*第十四期!CQ56</f>
        <v/>
      </c>
      <c r="CR80" s="294">
        <f>第十四期!Z9*第十四期!CR56</f>
        <v/>
      </c>
      <c r="CS80" s="294">
        <f>第十四期!AA9*第十四期!CS56</f>
        <v/>
      </c>
      <c r="CT80" s="294">
        <f>第十四期!AB9*第十四期!CT56</f>
        <v/>
      </c>
      <c r="CU80" s="294">
        <f>SUM(CQ80:CT80)</f>
        <v/>
      </c>
    </row>
    <row r="81" s="353">
      <c r="B81" s="441" t="n"/>
      <c r="C81" s="25" t="n">
        <v>9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0" t="n"/>
      <c r="X81" s="63" t="inlineStr">
        <is>
          <t>参照评分贡献</t>
        </is>
      </c>
      <c r="Y81" s="73" t="inlineStr">
        <is>
          <t>A产品</t>
        </is>
      </c>
      <c r="Z81" s="73" t="inlineStr">
        <is>
          <t>B产品</t>
        </is>
      </c>
      <c r="AA81" s="73" t="inlineStr">
        <is>
          <t>C产品</t>
        </is>
      </c>
      <c r="AB81" s="73" t="inlineStr">
        <is>
          <t>D产品</t>
        </is>
      </c>
      <c r="AE81" s="148" t="inlineStr">
        <is>
          <t>广告分摊</t>
        </is>
      </c>
      <c r="AF81" s="539">
        <f>IF(SUM(AF64:AF67)&gt;0,AF80/SUM(AF64:AF67),0)</f>
        <v/>
      </c>
      <c r="AG81" s="539">
        <f>IF(SUM(AG64:AG67)&gt;0,AG80/SUM(AG64:AG67),0)</f>
        <v/>
      </c>
      <c r="AH81" s="539">
        <f>IF(SUM(AH64:AH67)&gt;0,AH80/SUM(AH64:AH67),0)</f>
        <v/>
      </c>
      <c r="AI81" s="540">
        <f>IF(SUM(AI64:AI67)&gt;0,AI80/SUM(AI64:AI67),0)</f>
        <v/>
      </c>
      <c r="AJ81" s="148" t="inlineStr">
        <is>
          <t>促销比</t>
        </is>
      </c>
      <c r="AK81" s="302">
        <f>BS76/BS77</f>
        <v/>
      </c>
      <c r="AR81" s="92" t="inlineStr">
        <is>
          <t>公司</t>
        </is>
      </c>
      <c r="AS81" s="183" t="inlineStr">
        <is>
          <t>市场1</t>
        </is>
      </c>
      <c r="AT81" s="11" t="inlineStr">
        <is>
          <t>市场2</t>
        </is>
      </c>
      <c r="AU81" s="11" t="inlineStr">
        <is>
          <t>市场3</t>
        </is>
      </c>
      <c r="AV81" s="184" t="inlineStr">
        <is>
          <t>市场4</t>
        </is>
      </c>
      <c r="AW81" s="183" t="inlineStr">
        <is>
          <t>市场1</t>
        </is>
      </c>
      <c r="AX81" s="11" t="inlineStr">
        <is>
          <t>市场2</t>
        </is>
      </c>
      <c r="AY81" s="11" t="inlineStr">
        <is>
          <t>市场3</t>
        </is>
      </c>
      <c r="AZ81" s="184" t="inlineStr">
        <is>
          <t>市场4</t>
        </is>
      </c>
      <c r="BA81" s="183" t="inlineStr">
        <is>
          <t>市场1</t>
        </is>
      </c>
      <c r="BB81" s="11" t="inlineStr">
        <is>
          <t>市场2</t>
        </is>
      </c>
      <c r="BC81" s="11" t="inlineStr">
        <is>
          <t>市场3</t>
        </is>
      </c>
      <c r="BD81" s="184" t="inlineStr">
        <is>
          <t>市场4</t>
        </is>
      </c>
      <c r="BE81" s="183" t="inlineStr">
        <is>
          <t>市场1</t>
        </is>
      </c>
      <c r="BF81" s="11" t="inlineStr">
        <is>
          <t>市场2</t>
        </is>
      </c>
      <c r="BG81" s="11" t="inlineStr">
        <is>
          <t>市场3</t>
        </is>
      </c>
      <c r="BH81" s="184" t="inlineStr">
        <is>
          <t>市场4</t>
        </is>
      </c>
      <c r="BI81" s="215" t="inlineStr">
        <is>
          <t>市场均值</t>
        </is>
      </c>
      <c r="BR81" s="529" t="inlineStr">
        <is>
          <t>原材料存储费</t>
        </is>
      </c>
      <c r="BS81" s="478">
        <f>(第十四期!K10+(第十四期!AC18+第十四期!K10-第十四期!AC21))/2*比赛参数!D16</f>
        <v/>
      </c>
      <c r="BT81" s="478" t="n"/>
      <c r="BU81" s="478">
        <f>BU80+BS81</f>
        <v/>
      </c>
      <c r="BV81" s="478">
        <f>BV78-BS81</f>
        <v/>
      </c>
      <c r="BW81" s="126" t="n"/>
      <c r="CB81" s="396" t="n"/>
      <c r="CC81" s="396">
        <f>CJ19*AF64</f>
        <v/>
      </c>
      <c r="CD81" s="396">
        <f>CK19*AG64</f>
        <v/>
      </c>
      <c r="CE81" s="396">
        <f>CL19*AH64</f>
        <v/>
      </c>
      <c r="CF81" s="396">
        <f>CM19*AI64</f>
        <v/>
      </c>
      <c r="CG81" s="396" t="n"/>
      <c r="CH81" s="396" t="n"/>
      <c r="CI81" s="396" t="n"/>
      <c r="CJ81" s="396" t="n"/>
      <c r="CK81" s="396" t="n"/>
      <c r="CL81" s="396" t="n"/>
      <c r="CM81" s="396" t="n"/>
      <c r="CN81" s="396" t="n"/>
      <c r="CO81" s="396" t="n"/>
      <c r="CP81" s="294" t="inlineStr">
        <is>
          <t>B产品</t>
        </is>
      </c>
      <c r="CQ81" s="294">
        <f>第十四期!Y10*第十四期!CQ57</f>
        <v/>
      </c>
      <c r="CR81" s="294">
        <f>第十四期!Z10*第十四期!CR57</f>
        <v/>
      </c>
      <c r="CS81" s="294">
        <f>第十四期!AA10*第十四期!CS57</f>
        <v/>
      </c>
      <c r="CT81" s="294">
        <f>第十四期!AB10*第十四期!CT57</f>
        <v/>
      </c>
      <c r="CU81" s="294">
        <f>SUM(CQ81:CT81)</f>
        <v/>
      </c>
    </row>
    <row customHeight="1" ht="18.75" r="82" s="353">
      <c r="B82" s="441" t="n"/>
      <c r="C82" s="25" t="n">
        <v>10</v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0" t="n"/>
      <c r="X82" s="64" t="inlineStr">
        <is>
          <t>市场1</t>
        </is>
      </c>
      <c r="Y82" s="286">
        <f>(Y76-AS54)/AS78</f>
        <v/>
      </c>
      <c r="Z82" s="286">
        <f>(Z76-AW54)/AW78</f>
        <v/>
      </c>
      <c r="AA82" s="286">
        <f>(AA76-BA54)/BA78</f>
        <v/>
      </c>
      <c r="AB82" s="286">
        <f>(AB76-BE54)/BE78</f>
        <v/>
      </c>
      <c r="AF82" s="215">
        <f>SUMPRODUCT(AF70:AF73,AF86:AF89)/SUM(AF70:AF73)</f>
        <v/>
      </c>
      <c r="AG82" s="215">
        <f>SUMPRODUCT(AG70:AG73,AG86:AG89)/SUM(AG70:AG73)</f>
        <v/>
      </c>
      <c r="AH82" s="215">
        <f>SUMPRODUCT(AH70:AH73,AH86:AH89)/SUM(AH70:AH73)</f>
        <v/>
      </c>
      <c r="AI82" s="215">
        <f>SUMPRODUCT(AI70:AI73,AI86:AI89)/SUM(AI70:AI73)</f>
        <v/>
      </c>
      <c r="AJ82" s="148" t="inlineStr">
        <is>
          <t>本期利润</t>
        </is>
      </c>
      <c r="AK82" s="475">
        <f>AF14</f>
        <v/>
      </c>
      <c r="AR82" s="185" t="n">
        <v>1</v>
      </c>
      <c r="AS82" s="541">
        <f>IF(AS33="","",(AS33-AS$54)/AS$78)</f>
        <v/>
      </c>
      <c r="AT82" s="542">
        <f>IF(AT33="","",(AT33-AT$54)/AT$78)</f>
        <v/>
      </c>
      <c r="AU82" s="542">
        <f>IF(AU33="","",(AU33-AU$54)/AU$78)</f>
        <v/>
      </c>
      <c r="AV82" s="543">
        <f>IF(AV33="","",(AV33-AV$54)/AV$78)</f>
        <v/>
      </c>
      <c r="AW82" s="541">
        <f>IF(AW33="","",(AW33-AW$54)/AW$78)</f>
        <v/>
      </c>
      <c r="AX82" s="542">
        <f>IF(AX33="","",(AX33-AX$54)/AX$78)</f>
        <v/>
      </c>
      <c r="AY82" s="542">
        <f>IF(AY33="","",(AY33-AY$54)/AY$78)</f>
        <v/>
      </c>
      <c r="AZ82" s="543">
        <f>IF(AZ33="","",(AZ33-AZ$54)/AZ$78)</f>
        <v/>
      </c>
      <c r="BA82" s="541">
        <f>IF(BA33="","",(BA33-BA$54)/BA$78)</f>
        <v/>
      </c>
      <c r="BB82" s="542">
        <f>IF(BB33="","",(BB33-BB$54)/BB$78)</f>
        <v/>
      </c>
      <c r="BC82" s="542">
        <f>IF(BC33="","",(BC33-BC$54)/BC$78)</f>
        <v/>
      </c>
      <c r="BD82" s="543">
        <f>IF(BD33="","",(BD33-BD$54)/BD$78)</f>
        <v/>
      </c>
      <c r="BE82" s="541">
        <f>IF(BE33="","",(BE33-BE$54)/BE$78)</f>
        <v/>
      </c>
      <c r="BF82" s="542">
        <f>IF(BF33="","",(BF33-BF$54)/BF$78)</f>
        <v/>
      </c>
      <c r="BG82" s="542">
        <f>IF(BG33="","",(BG33-BG$54)/BG$78)</f>
        <v/>
      </c>
      <c r="BH82" s="543">
        <f>IF(BH33="","",(BH33-BH$54)/BH$78)</f>
        <v/>
      </c>
      <c r="BI82" s="544">
        <f>IF(AS82="","",AVERAGE(AS82:BH82))</f>
        <v/>
      </c>
      <c r="BR82" s="529" t="inlineStr">
        <is>
          <t>成品存储费</t>
        </is>
      </c>
      <c r="BS82" s="478">
        <f>第十四期!CG67</f>
        <v/>
      </c>
      <c r="BT82" s="478" t="n"/>
      <c r="BU82" s="478">
        <f>BU81+BS82</f>
        <v/>
      </c>
      <c r="BV82" s="478">
        <f>BV81-BS82</f>
        <v/>
      </c>
      <c r="BW82" s="126" t="n"/>
      <c r="CB82" s="396" t="n"/>
      <c r="CC82" s="396">
        <f>CJ20*AF65</f>
        <v/>
      </c>
      <c r="CD82" s="396">
        <f>CK20*AG65</f>
        <v/>
      </c>
      <c r="CE82" s="396">
        <f>CL20*AH65</f>
        <v/>
      </c>
      <c r="CF82" s="396">
        <f>CM20*AI65</f>
        <v/>
      </c>
      <c r="CG82" s="396" t="n"/>
      <c r="CH82" s="396" t="n"/>
      <c r="CI82" s="396" t="n"/>
      <c r="CJ82" s="396" t="n"/>
      <c r="CK82" s="396" t="n"/>
      <c r="CL82" s="396" t="n"/>
      <c r="CM82" s="396" t="n"/>
      <c r="CN82" s="396" t="n"/>
      <c r="CO82" s="396" t="n"/>
      <c r="CP82" s="294" t="inlineStr">
        <is>
          <t>C产品</t>
        </is>
      </c>
      <c r="CQ82" s="294">
        <f>第十四期!Y11*第十四期!CQ58</f>
        <v/>
      </c>
      <c r="CR82" s="294">
        <f>第十四期!Z11*第十四期!CR58</f>
        <v/>
      </c>
      <c r="CS82" s="294">
        <f>第十四期!AA11*第十四期!CS58</f>
        <v/>
      </c>
      <c r="CT82" s="294">
        <f>第十四期!AB11*第十四期!CT58</f>
        <v/>
      </c>
      <c r="CU82" s="294">
        <f>SUM(CQ82:CT82)</f>
        <v/>
      </c>
    </row>
    <row customHeight="1" ht="18.75" r="83" s="353">
      <c r="B83" s="441" t="n"/>
      <c r="C83" s="25" t="n">
        <v>11</v>
      </c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0" t="n"/>
      <c r="X83" s="11" t="inlineStr">
        <is>
          <t>市场2</t>
        </is>
      </c>
      <c r="Y83" s="286">
        <f>(Y77-AT54)/AT78</f>
        <v/>
      </c>
      <c r="Z83" s="286">
        <f>(Z77-AX54)/AX78</f>
        <v/>
      </c>
      <c r="AA83" s="286">
        <f>(AA77-BB54)/BB78</f>
        <v/>
      </c>
      <c r="AB83" s="286">
        <f>(AB77-BF54)/BF78</f>
        <v/>
      </c>
      <c r="AE83" s="148" t="inlineStr">
        <is>
          <t>加权机时贡献</t>
        </is>
      </c>
      <c r="AF83" s="539">
        <f>SUMPRODUCT(Y96:Y99,AF64:AF67)/SUM(AF64:AF67)</f>
        <v/>
      </c>
      <c r="AG83" s="539">
        <f>SUMPRODUCT(Z96:Z99,AG64:AG67)/SUM(AG64:AG67)</f>
        <v/>
      </c>
      <c r="AH83" s="539">
        <f>SUMPRODUCT(AA96:AA99,AH64:AH67)/SUM(AH64:AH67)</f>
        <v/>
      </c>
      <c r="AI83" s="539">
        <f>SUMPRODUCT(AB96:AB99,AI64:AI67)/SUM(AI64:AI67)</f>
        <v/>
      </c>
      <c r="AR83" s="185" t="n">
        <v>2</v>
      </c>
      <c r="AS83" s="541">
        <f>IF(AS34="","",(AS34-AS$54)/AS$78)</f>
        <v/>
      </c>
      <c r="AT83" s="542">
        <f>IF(AT34="","",(AT34-AT$54)/AT$78)</f>
        <v/>
      </c>
      <c r="AU83" s="542">
        <f>IF(AU34="","",(AU34-AU$54)/AU$78)</f>
        <v/>
      </c>
      <c r="AV83" s="543">
        <f>IF(AV34="","",(AV34-AV$54)/AV$78)</f>
        <v/>
      </c>
      <c r="AW83" s="541">
        <f>IF(AW34="","",(AW34-AW$54)/AW$78)</f>
        <v/>
      </c>
      <c r="AX83" s="542">
        <f>IF(AX34="","",(AX34-AX$54)/AX$78)</f>
        <v/>
      </c>
      <c r="AY83" s="542">
        <f>IF(AY34="","",(AY34-AY$54)/AY$78)</f>
        <v/>
      </c>
      <c r="AZ83" s="543">
        <f>IF(AZ34="","",(AZ34-AZ$54)/AZ$78)</f>
        <v/>
      </c>
      <c r="BA83" s="541">
        <f>IF(BA34="","",(BA34-BA$54)/BA$78)</f>
        <v/>
      </c>
      <c r="BB83" s="542">
        <f>IF(BB34="","",(BB34-BB$54)/BB$78)</f>
        <v/>
      </c>
      <c r="BC83" s="542">
        <f>IF(BC34="","",(BC34-BC$54)/BC$78)</f>
        <v/>
      </c>
      <c r="BD83" s="543">
        <f>IF(BD34="","",(BD34-BD$54)/BD$78)</f>
        <v/>
      </c>
      <c r="BE83" s="541">
        <f>IF(BE34="","",(BE34-BE$54)/BE$78)</f>
        <v/>
      </c>
      <c r="BF83" s="542">
        <f>IF(BF34="","",(BF34-BF$54)/BF$78)</f>
        <v/>
      </c>
      <c r="BG83" s="542">
        <f>IF(BG34="","",(BG34-BG$54)/BG$78)</f>
        <v/>
      </c>
      <c r="BH83" s="543">
        <f>IF(BH34="","",(BH34-BH$54)/BH$78)</f>
        <v/>
      </c>
      <c r="BI83" s="544">
        <f>IF(AS83="","",AVERAGE(AS83:BH83))</f>
        <v/>
      </c>
      <c r="BR83" s="529" t="inlineStr">
        <is>
          <t>上期国债返回</t>
        </is>
      </c>
      <c r="BS83" s="478">
        <f>第十四期!K13</f>
        <v/>
      </c>
      <c r="BT83" s="478" t="n"/>
      <c r="BU83" s="478" t="n"/>
      <c r="BV83" s="478">
        <f>BV82+BS83</f>
        <v/>
      </c>
      <c r="BW83" s="126" t="n"/>
      <c r="CB83" s="396" t="n"/>
      <c r="CC83" s="396">
        <f>CJ21*AF66</f>
        <v/>
      </c>
      <c r="CD83" s="396">
        <f>CK21*AG66</f>
        <v/>
      </c>
      <c r="CE83" s="396">
        <f>CL21*AH66</f>
        <v/>
      </c>
      <c r="CF83" s="396">
        <f>CM21*AI66</f>
        <v/>
      </c>
      <c r="CG83" s="396" t="n"/>
      <c r="CH83" s="396" t="n"/>
      <c r="CI83" s="396" t="n"/>
      <c r="CJ83" s="396" t="n"/>
      <c r="CK83" s="396" t="n"/>
      <c r="CL83" s="396" t="n"/>
      <c r="CM83" s="396" t="n"/>
      <c r="CN83" s="396" t="n"/>
      <c r="CO83" s="396" t="n"/>
      <c r="CP83" s="294" t="inlineStr">
        <is>
          <t>D产品</t>
        </is>
      </c>
      <c r="CQ83" s="294">
        <f>第十四期!Y12*第十四期!CQ59</f>
        <v/>
      </c>
      <c r="CR83" s="294">
        <f>第十四期!Z12*第十四期!CR59</f>
        <v/>
      </c>
      <c r="CS83" s="294">
        <f>第十四期!AA12*第十四期!CS59</f>
        <v/>
      </c>
      <c r="CT83" s="294">
        <f>第十四期!AB12*第十四期!CT59</f>
        <v/>
      </c>
      <c r="CU83" s="294">
        <f>SUM(CQ83:CT83)</f>
        <v/>
      </c>
    </row>
    <row customHeight="1" ht="18.75" r="84" s="353">
      <c r="B84" s="441" t="n"/>
      <c r="C84" s="25" t="n">
        <v>12</v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0" t="n"/>
      <c r="X84" s="11" t="inlineStr">
        <is>
          <t>市场3</t>
        </is>
      </c>
      <c r="Y84" s="286">
        <f>(Y78-AU54)/AU78</f>
        <v/>
      </c>
      <c r="Z84" s="286">
        <f>(Z78-AY54)/AY78</f>
        <v/>
      </c>
      <c r="AA84" s="286">
        <f>(AA78-BC54)/BC78</f>
        <v/>
      </c>
      <c r="AB84" s="286">
        <f>(AB78-BG54)/BG78</f>
        <v/>
      </c>
      <c r="AF84" s="114">
        <f>AF80/SUMPRODUCT(AF76:AF79,AF64:AF67)</f>
        <v/>
      </c>
      <c r="AG84" s="114">
        <f>AG80/SUMPRODUCT(AG76:AG79,AG64:AG67)</f>
        <v/>
      </c>
      <c r="AH84" s="114">
        <f>AH80/SUMPRODUCT(AH76:AH79,AH64:AH67)</f>
        <v/>
      </c>
      <c r="AI84" s="114">
        <f>AI80/SUMPRODUCT(AI76:AI79,AI64:AI67)</f>
        <v/>
      </c>
      <c r="AJ84" s="215" t="n"/>
      <c r="AK84" s="215" t="inlineStr">
        <is>
          <t xml:space="preserve"> </t>
        </is>
      </c>
      <c r="AL84" s="215" t="n"/>
      <c r="AR84" s="185" t="n">
        <v>3</v>
      </c>
      <c r="AS84" s="541">
        <f>IF(AS35="","",(AS35-AS$54)/AS$78)</f>
        <v/>
      </c>
      <c r="AT84" s="542">
        <f>IF(AT35="","",(AT35-AT$54)/AT$78)</f>
        <v/>
      </c>
      <c r="AU84" s="542">
        <f>IF(AU35="","",(AU35-AU$54)/AU$78)</f>
        <v/>
      </c>
      <c r="AV84" s="543">
        <f>IF(AV35="","",(AV35-AV$54)/AV$78)</f>
        <v/>
      </c>
      <c r="AW84" s="541">
        <f>IF(AW35="","",(AW35-AW$54)/AW$78)</f>
        <v/>
      </c>
      <c r="AX84" s="542">
        <f>IF(AX35="","",(AX35-AX$54)/AX$78)</f>
        <v/>
      </c>
      <c r="AY84" s="542">
        <f>IF(AY35="","",(AY35-AY$54)/AY$78)</f>
        <v/>
      </c>
      <c r="AZ84" s="543">
        <f>IF(AZ35="","",(AZ35-AZ$54)/AZ$78)</f>
        <v/>
      </c>
      <c r="BA84" s="541">
        <f>IF(BA35="","",(BA35-BA$54)/BA$78)</f>
        <v/>
      </c>
      <c r="BB84" s="542">
        <f>IF(BB35="","",(BB35-BB$54)/BB$78)</f>
        <v/>
      </c>
      <c r="BC84" s="542">
        <f>IF(BC35="","",(BC35-BC$54)/BC$78)</f>
        <v/>
      </c>
      <c r="BD84" s="543">
        <f>IF(BD35="","",(BD35-BD$54)/BD$78)</f>
        <v/>
      </c>
      <c r="BE84" s="541">
        <f>IF(BE35="","",(BE35-BE$54)/BE$78)</f>
        <v/>
      </c>
      <c r="BF84" s="542">
        <f>IF(BF35="","",(BF35-BF$54)/BF$78)</f>
        <v/>
      </c>
      <c r="BG84" s="542">
        <f>IF(BG35="","",(BG35-BG$54)/BG$78)</f>
        <v/>
      </c>
      <c r="BH84" s="543">
        <f>IF(BH35="","",(BH35-BH$54)/BH$78)</f>
        <v/>
      </c>
      <c r="BI84" s="544">
        <f>IF(AS84="","",AVERAGE(AS84:BH84))</f>
        <v/>
      </c>
      <c r="BR84" s="529" t="inlineStr">
        <is>
          <t>国债利息</t>
        </is>
      </c>
      <c r="BS84" s="478">
        <f>第十四期!K13*比赛参数!D70/4</f>
        <v/>
      </c>
      <c r="BT84" s="545">
        <f>BT77+BS84</f>
        <v/>
      </c>
      <c r="BU84" s="478" t="n"/>
      <c r="BV84" s="478">
        <f>BV83+BS84</f>
        <v/>
      </c>
      <c r="BW84" s="126" t="n"/>
      <c r="CB84" s="396" t="n"/>
      <c r="CC84" s="396">
        <f>CJ22*AF67</f>
        <v/>
      </c>
      <c r="CD84" s="396">
        <f>CK22*AG67</f>
        <v/>
      </c>
      <c r="CE84" s="396">
        <f>CL22*AH67</f>
        <v/>
      </c>
      <c r="CF84" s="396">
        <f>CM22*AI67</f>
        <v/>
      </c>
      <c r="CG84" s="396" t="n"/>
      <c r="CH84" s="396" t="n"/>
      <c r="CI84" s="396" t="n"/>
      <c r="CJ84" s="396" t="n"/>
      <c r="CK84" s="396" t="n"/>
      <c r="CL84" s="396" t="n"/>
      <c r="CM84" s="396" t="n"/>
      <c r="CN84" s="396" t="n"/>
      <c r="CO84" s="396" t="n"/>
      <c r="CP84" s="294" t="inlineStr">
        <is>
          <t>总计</t>
        </is>
      </c>
      <c r="CQ84" s="294">
        <f>SUM(CQ80:CQ83)</f>
        <v/>
      </c>
      <c r="CR84" s="294">
        <f>SUM(CR80:CR83)</f>
        <v/>
      </c>
      <c r="CS84" s="294">
        <f>SUM(CS80:CS83)</f>
        <v/>
      </c>
      <c r="CT84" s="294">
        <f>SUM(CT80:CT83)</f>
        <v/>
      </c>
      <c r="CU84" s="294">
        <f>SUM(CU80:CU83)</f>
        <v/>
      </c>
    </row>
    <row customHeight="1" ht="18.75" r="85" s="353">
      <c r="B85" s="441" t="n"/>
      <c r="C85" s="25" t="n">
        <v>13</v>
      </c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0" t="n"/>
      <c r="X85" s="11" t="inlineStr">
        <is>
          <t>市场4</t>
        </is>
      </c>
      <c r="Y85" s="286">
        <f>(Y79-AV54)/AV78</f>
        <v/>
      </c>
      <c r="Z85" s="286">
        <f>(Z79-AZ54)/AZ78</f>
        <v/>
      </c>
      <c r="AA85" s="286">
        <f>(AA79-BD54)/BD78</f>
        <v/>
      </c>
      <c r="AB85" s="286">
        <f>(AB79-BH54)/BH78</f>
        <v/>
      </c>
      <c r="AE85" s="63" t="inlineStr">
        <is>
          <t>上期价格</t>
        </is>
      </c>
      <c r="AF85" s="59" t="inlineStr">
        <is>
          <t>A产品</t>
        </is>
      </c>
      <c r="AG85" s="59" t="inlineStr">
        <is>
          <t>B产品</t>
        </is>
      </c>
      <c r="AH85" s="59" t="inlineStr">
        <is>
          <t>C产品</t>
        </is>
      </c>
      <c r="AI85" s="59" t="inlineStr">
        <is>
          <t>D产品</t>
        </is>
      </c>
      <c r="AJ85" s="63" t="inlineStr">
        <is>
          <t>价格增量</t>
        </is>
      </c>
      <c r="AK85" s="73" t="inlineStr">
        <is>
          <t>A产品</t>
        </is>
      </c>
      <c r="AL85" s="73" t="inlineStr">
        <is>
          <t>B产品</t>
        </is>
      </c>
      <c r="AM85" s="73" t="inlineStr">
        <is>
          <t>C产品</t>
        </is>
      </c>
      <c r="AN85" s="73" t="inlineStr">
        <is>
          <t>D产品</t>
        </is>
      </c>
      <c r="AR85" s="185" t="n">
        <v>4</v>
      </c>
      <c r="AS85" s="541">
        <f>IF(AS36="","",(AS36-AS$54)/AS$78)</f>
        <v/>
      </c>
      <c r="AT85" s="542">
        <f>IF(AT36="","",(AT36-AT$54)/AT$78)</f>
        <v/>
      </c>
      <c r="AU85" s="542">
        <f>IF(AU36="","",(AU36-AU$54)/AU$78)</f>
        <v/>
      </c>
      <c r="AV85" s="543">
        <f>IF(AV36="","",(AV36-AV$54)/AV$78)</f>
        <v/>
      </c>
      <c r="AW85" s="541">
        <f>IF(AW36="","",(AW36-AW$54)/AW$78)</f>
        <v/>
      </c>
      <c r="AX85" s="542">
        <f>IF(AX36="","",(AX36-AX$54)/AX$78)</f>
        <v/>
      </c>
      <c r="AY85" s="542">
        <f>IF(AY36="","",(AY36-AY$54)/AY$78)</f>
        <v/>
      </c>
      <c r="AZ85" s="543">
        <f>IF(AZ36="","",(AZ36-AZ$54)/AZ$78)</f>
        <v/>
      </c>
      <c r="BA85" s="541">
        <f>IF(BA36="","",(BA36-BA$54)/BA$78)</f>
        <v/>
      </c>
      <c r="BB85" s="542">
        <f>IF(BB36="","",(BB36-BB$54)/BB$78)</f>
        <v/>
      </c>
      <c r="BC85" s="542">
        <f>IF(BC36="","",(BC36-BC$54)/BC$78)</f>
        <v/>
      </c>
      <c r="BD85" s="543">
        <f>IF(BD36="","",(BD36-BD$54)/BD$78)</f>
        <v/>
      </c>
      <c r="BE85" s="541">
        <f>IF(BE36="","",(BE36-BE$54)/BE$78)</f>
        <v/>
      </c>
      <c r="BF85" s="542">
        <f>IF(BF36="","",(BF36-BF$54)/BF$78)</f>
        <v/>
      </c>
      <c r="BG85" s="542">
        <f>IF(BG36="","",(BG36-BG$54)/BG$78)</f>
        <v/>
      </c>
      <c r="BH85" s="543">
        <f>IF(BH36="","",(BH36-BH$54)/BH$78)</f>
        <v/>
      </c>
      <c r="BI85" s="544">
        <f>IF(AS85="","",AVERAGE(AS85:BH85))</f>
        <v/>
      </c>
      <c r="BR85" s="529" t="inlineStr">
        <is>
          <t>付银行贷款</t>
        </is>
      </c>
      <c r="BS85" s="478">
        <f>第十四期!AH14</f>
        <v/>
      </c>
      <c r="BT85" s="478" t="n"/>
      <c r="BU85" s="478" t="n"/>
      <c r="BV85" s="478">
        <f>BV84-BS85</f>
        <v/>
      </c>
      <c r="BW85" s="126" t="n"/>
      <c r="CB85" s="396" t="n"/>
      <c r="CC85" s="396" t="n"/>
      <c r="CD85" s="396" t="n"/>
      <c r="CE85" s="396" t="n"/>
      <c r="CF85" s="396" t="n"/>
      <c r="CG85" s="396" t="n"/>
      <c r="CH85" s="396" t="n"/>
      <c r="CI85" s="396" t="n"/>
      <c r="CJ85" s="396" t="n"/>
      <c r="CK85" s="396" t="n"/>
      <c r="CL85" s="396" t="n"/>
      <c r="CM85" s="396" t="n"/>
      <c r="CN85" s="396" t="n"/>
      <c r="CO85" s="396" t="n"/>
      <c r="CP85" s="215" t="n"/>
      <c r="CQ85" s="215" t="n"/>
      <c r="CR85" s="215" t="n"/>
      <c r="CS85" s="215" t="n"/>
      <c r="CT85" s="215" t="n"/>
      <c r="CU85" s="215" t="n"/>
    </row>
    <row customHeight="1" ht="18.75" r="86" s="353">
      <c r="B86" s="441" t="n"/>
      <c r="C86" s="25" t="n">
        <v>14</v>
      </c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0" t="n"/>
      <c r="Y86" s="215">
        <f>AVERAGE(Y82:Y85)</f>
        <v/>
      </c>
      <c r="Z86" s="215">
        <f>AVERAGE(Z82:Z85)</f>
        <v/>
      </c>
      <c r="AA86" s="215">
        <f>AVERAGE(AA82:AA85)</f>
        <v/>
      </c>
      <c r="AB86" s="215">
        <f>AVERAGE(AB82:AB85)</f>
        <v/>
      </c>
      <c r="AE86" s="47" t="inlineStr">
        <is>
          <t>市场1</t>
        </is>
      </c>
      <c r="AF86" s="131">
        <f>第十四期!DS33</f>
        <v/>
      </c>
      <c r="AG86" s="131">
        <f>第十四期!DW33</f>
        <v/>
      </c>
      <c r="AH86" s="131">
        <f>第十四期!EA33</f>
        <v/>
      </c>
      <c r="AI86" s="131">
        <f>第十四期!EE33</f>
        <v/>
      </c>
      <c r="AJ86" s="64" t="inlineStr">
        <is>
          <t>市场1</t>
        </is>
      </c>
      <c r="AK86" s="272">
        <f>AF76-AF86</f>
        <v/>
      </c>
      <c r="AL86" s="272">
        <f>AG76-AG86</f>
        <v/>
      </c>
      <c r="AM86" s="272">
        <f>AH76-AH86</f>
        <v/>
      </c>
      <c r="AN86" s="272">
        <f>AI76-AI86</f>
        <v/>
      </c>
      <c r="AR86" s="185" t="n">
        <v>5</v>
      </c>
      <c r="AS86" s="541">
        <f>IF(AS37="","",(AS37-AS$54)/AS$78)</f>
        <v/>
      </c>
      <c r="AT86" s="542">
        <f>IF(AT37="","",(AT37-AT$54)/AT$78)</f>
        <v/>
      </c>
      <c r="AU86" s="542">
        <f>IF(AU37="","",(AU37-AU$54)/AU$78)</f>
        <v/>
      </c>
      <c r="AV86" s="543">
        <f>IF(AV37="","",(AV37-AV$54)/AV$78)</f>
        <v/>
      </c>
      <c r="AW86" s="541">
        <f>IF(AW37="","",(AW37-AW$54)/AW$78)</f>
        <v/>
      </c>
      <c r="AX86" s="542">
        <f>IF(AX37="","",(AX37-AX$54)/AX$78)</f>
        <v/>
      </c>
      <c r="AY86" s="542">
        <f>IF(AY37="","",(AY37-AY$54)/AY$78)</f>
        <v/>
      </c>
      <c r="AZ86" s="543">
        <f>IF(AZ37="","",(AZ37-AZ$54)/AZ$78)</f>
        <v/>
      </c>
      <c r="BA86" s="541">
        <f>IF(BA37="","",(BA37-BA$54)/BA$78)</f>
        <v/>
      </c>
      <c r="BB86" s="542">
        <f>IF(BB37="","",(BB37-BB$54)/BB$78)</f>
        <v/>
      </c>
      <c r="BC86" s="542">
        <f>IF(BC37="","",(BC37-BC$54)/BC$78)</f>
        <v/>
      </c>
      <c r="BD86" s="543">
        <f>IF(BD37="","",(BD37-BD$54)/BD$78)</f>
        <v/>
      </c>
      <c r="BE86" s="541">
        <f>IF(BE37="","",(BE37-BE$54)/BE$78)</f>
        <v/>
      </c>
      <c r="BF86" s="542">
        <f>IF(BF37="","",(BF37-BF$54)/BF$78)</f>
        <v/>
      </c>
      <c r="BG86" s="542">
        <f>IF(BG37="","",(BG37-BG$54)/BG$78)</f>
        <v/>
      </c>
      <c r="BH86" s="543">
        <f>IF(BH37="","",(BH37-BH$54)/BH$78)</f>
        <v/>
      </c>
      <c r="BI86" s="544">
        <f>IF(AS86="","",AVERAGE(AS86:BH86))</f>
        <v/>
      </c>
      <c r="BR86" s="529" t="inlineStr">
        <is>
          <t>付银行利息</t>
        </is>
      </c>
      <c r="BS86" s="478">
        <f>第十四期!AH14*比赛参数!D69/4</f>
        <v/>
      </c>
      <c r="BT86" s="478" t="n"/>
      <c r="BU86" s="545">
        <f>BU82+BS86</f>
        <v/>
      </c>
      <c r="BV86" s="478">
        <f>BV85-BS86</f>
        <v/>
      </c>
      <c r="BW86" s="126" t="n"/>
      <c r="CB86" s="196" t="inlineStr">
        <is>
          <t>加权平均成本</t>
        </is>
      </c>
      <c r="CC86" s="272">
        <f>IF(SUM(AF64:AF67)&gt;0,SUM(CC81:CC84)/SUM(AF64:AF67),0)</f>
        <v/>
      </c>
      <c r="CD86" s="272">
        <f>IF(SUM(AG64:AG67)&gt;0,SUM(CD81:CD84)/SUM(AG64:AG67),0)</f>
        <v/>
      </c>
      <c r="CE86" s="272">
        <f>IF(SUM(AH64:AH67)&gt;0,SUM(CE81:CE84)/SUM(AH64:AH67),0)</f>
        <v/>
      </c>
      <c r="CF86" s="272">
        <f>IF(SUM(AI64:AI67)&gt;0,SUM(CF81:CF84)/SUM(AI64:AI67),0)</f>
        <v/>
      </c>
      <c r="CG86" s="396" t="n"/>
      <c r="CH86" s="396" t="n"/>
      <c r="CI86" s="396" t="n"/>
      <c r="CJ86" s="396" t="n"/>
      <c r="CK86" s="396" t="n"/>
      <c r="CL86" s="396" t="n"/>
      <c r="CM86" s="396" t="n"/>
      <c r="CN86" s="396" t="n"/>
      <c r="CO86" s="396" t="n"/>
      <c r="CP86" s="294" t="inlineStr">
        <is>
          <t>各班几时占用率</t>
        </is>
      </c>
      <c r="CQ86" s="294" t="inlineStr">
        <is>
          <t>第一班正班</t>
        </is>
      </c>
      <c r="CR86" s="294" t="inlineStr">
        <is>
          <t>第一班加班</t>
        </is>
      </c>
      <c r="CS86" s="294" t="inlineStr">
        <is>
          <t>第二班正班</t>
        </is>
      </c>
      <c r="CT86" s="294" t="inlineStr">
        <is>
          <t>第二班加班</t>
        </is>
      </c>
      <c r="CU86" s="294" t="n"/>
    </row>
    <row customHeight="1" ht="18.75" r="87" s="353">
      <c r="B87" s="441" t="n"/>
      <c r="C87" s="25" t="n">
        <v>15</v>
      </c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0" t="n"/>
      <c r="X87" s="63" t="inlineStr">
        <is>
          <t>本期产品分配</t>
        </is>
      </c>
      <c r="Y87" s="73" t="inlineStr">
        <is>
          <t>A产品</t>
        </is>
      </c>
      <c r="Z87" s="73" t="inlineStr">
        <is>
          <t>B产品</t>
        </is>
      </c>
      <c r="AA87" s="73" t="inlineStr">
        <is>
          <t>C产品</t>
        </is>
      </c>
      <c r="AB87" s="135" t="inlineStr">
        <is>
          <t>D产品</t>
        </is>
      </c>
      <c r="AC87" s="287" t="inlineStr">
        <is>
          <t>分配原则</t>
        </is>
      </c>
      <c r="AE87" s="11" t="inlineStr">
        <is>
          <t>市场2</t>
        </is>
      </c>
      <c r="AF87" s="131">
        <f>第十四期!DT33</f>
        <v/>
      </c>
      <c r="AG87" s="131">
        <f>第十四期!DX33</f>
        <v/>
      </c>
      <c r="AH87" s="131">
        <f>第十四期!EB33</f>
        <v/>
      </c>
      <c r="AI87" s="131">
        <f>第十四期!EF33</f>
        <v/>
      </c>
      <c r="AJ87" s="11" t="inlineStr">
        <is>
          <t>市场2</t>
        </is>
      </c>
      <c r="AK87" s="272">
        <f>AF77-AF87</f>
        <v/>
      </c>
      <c r="AL87" s="272">
        <f>AG77-AG87</f>
        <v/>
      </c>
      <c r="AM87" s="272">
        <f>AH77-AH87</f>
        <v/>
      </c>
      <c r="AN87" s="272">
        <f>AI77-AI87</f>
        <v/>
      </c>
      <c r="AR87" s="185" t="n">
        <v>6</v>
      </c>
      <c r="AS87" s="541">
        <f>IF(AS38="","",(AS38-AS$54)/AS$78)</f>
        <v/>
      </c>
      <c r="AT87" s="542">
        <f>IF(AT38="","",(AT38-AT$54)/AT$78)</f>
        <v/>
      </c>
      <c r="AU87" s="542">
        <f>IF(AU38="","",(AU38-AU$54)/AU$78)</f>
        <v/>
      </c>
      <c r="AV87" s="543">
        <f>IF(AV38="","",(AV38-AV$54)/AV$78)</f>
        <v/>
      </c>
      <c r="AW87" s="541">
        <f>IF(AW38="","",(AW38-AW$54)/AW$78)</f>
        <v/>
      </c>
      <c r="AX87" s="542">
        <f>IF(AX38="","",(AX38-AX$54)/AX$78)</f>
        <v/>
      </c>
      <c r="AY87" s="542">
        <f>IF(AY38="","",(AY38-AY$54)/AY$78)</f>
        <v/>
      </c>
      <c r="AZ87" s="543">
        <f>IF(AZ38="","",(AZ38-AZ$54)/AZ$78)</f>
        <v/>
      </c>
      <c r="BA87" s="541">
        <f>IF(BA38="","",(BA38-BA$54)/BA$78)</f>
        <v/>
      </c>
      <c r="BB87" s="542">
        <f>IF(BB38="","",(BB38-BB$54)/BB$78)</f>
        <v/>
      </c>
      <c r="BC87" s="542">
        <f>IF(BC38="","",(BC38-BC$54)/BC$78)</f>
        <v/>
      </c>
      <c r="BD87" s="543">
        <f>IF(BD38="","",(BD38-BD$54)/BD$78)</f>
        <v/>
      </c>
      <c r="BE87" s="541">
        <f>IF(BE38="","",(BE38-BE$54)/BE$78)</f>
        <v/>
      </c>
      <c r="BF87" s="542">
        <f>IF(BF38="","",(BF38-BF$54)/BF$78)</f>
        <v/>
      </c>
      <c r="BG87" s="542">
        <f>IF(BG38="","",(BG38-BG$54)/BG$78)</f>
        <v/>
      </c>
      <c r="BH87" s="543">
        <f>IF(BH38="","",(BH38-BH$54)/BH$78)</f>
        <v/>
      </c>
      <c r="BI87" s="544">
        <f>IF(AS87="","",AVERAGE(AS87:BH87))</f>
        <v/>
      </c>
      <c r="BR87" s="529" t="inlineStr">
        <is>
          <t>本期纳税</t>
        </is>
      </c>
      <c r="BS87" s="478">
        <f>IF(第十四期!BW92&gt;0,IF((第十四期!K15+第十四期!BW92*比赛参数!D72)&gt;0,第十四期!K15+第十四期!BW92*比赛参数!D72,0))</f>
        <v/>
      </c>
      <c r="BT87" s="478" t="n"/>
      <c r="BU87" s="478" t="n"/>
      <c r="BV87" s="478">
        <f>BV86-BS87</f>
        <v/>
      </c>
      <c r="BW87" s="126" t="n"/>
      <c r="CB87" s="396" t="n"/>
      <c r="CC87" s="396" t="n"/>
      <c r="CD87" s="396" t="n"/>
      <c r="CE87" s="396" t="n"/>
      <c r="CF87" s="396" t="n"/>
      <c r="CG87" s="396" t="n"/>
      <c r="CH87" s="396" t="n"/>
      <c r="CI87" s="396" t="n"/>
      <c r="CJ87" s="396" t="n"/>
      <c r="CK87" s="396" t="n"/>
      <c r="CL87" s="396" t="n"/>
      <c r="CM87" s="396" t="n"/>
      <c r="CN87" s="396" t="n"/>
      <c r="CO87" s="396" t="n"/>
      <c r="CP87" s="294" t="inlineStr">
        <is>
          <t>A产品</t>
        </is>
      </c>
      <c r="CQ87" s="294">
        <f>CQ80/$CQ$84</f>
        <v/>
      </c>
      <c r="CR87" s="294">
        <f>CR80/$CR$84</f>
        <v/>
      </c>
      <c r="CS87" s="294">
        <f>CS80/$CS$84</f>
        <v/>
      </c>
      <c r="CT87" s="294">
        <f>CT80/$CT$84</f>
        <v/>
      </c>
      <c r="CU87" s="294">
        <f>CU80/$CU$84</f>
        <v/>
      </c>
    </row>
    <row customHeight="1" ht="18.75" r="88" s="353">
      <c r="B88" s="441" t="n"/>
      <c r="C88" s="25" t="n">
        <v>16</v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0" t="n"/>
      <c r="X88" s="64" t="inlineStr">
        <is>
          <t>市场1</t>
        </is>
      </c>
      <c r="Y88" s="101" t="n"/>
      <c r="Z88" s="101" t="n"/>
      <c r="AA88" s="101" t="n"/>
      <c r="AB88" s="101" t="n"/>
      <c r="AC88" s="288" t="inlineStr">
        <is>
          <t>机时贡献相等</t>
        </is>
      </c>
      <c r="AE88" s="11" t="inlineStr">
        <is>
          <t>市场3</t>
        </is>
      </c>
      <c r="AF88" s="131">
        <f>第十四期!DU33</f>
        <v/>
      </c>
      <c r="AG88" s="131">
        <f>第十四期!DY33</f>
        <v/>
      </c>
      <c r="AH88" s="131">
        <f>第十四期!EC33</f>
        <v/>
      </c>
      <c r="AI88" s="131">
        <f>第十四期!EG33</f>
        <v/>
      </c>
      <c r="AJ88" s="11" t="inlineStr">
        <is>
          <t>市场3</t>
        </is>
      </c>
      <c r="AK88" s="272">
        <f>AF78-AF88</f>
        <v/>
      </c>
      <c r="AL88" s="272">
        <f>AG78-AG88</f>
        <v/>
      </c>
      <c r="AM88" s="272">
        <f>AH78-AH88</f>
        <v/>
      </c>
      <c r="AN88" s="272">
        <f>AI78-AI88</f>
        <v/>
      </c>
      <c r="AR88" s="185" t="n">
        <v>7</v>
      </c>
      <c r="AS88" s="541">
        <f>IF(AS39="","",(AS39-AS$54)/AS$78)</f>
        <v/>
      </c>
      <c r="AT88" s="542">
        <f>IF(AT39="","",(AT39-AT$54)/AT$78)</f>
        <v/>
      </c>
      <c r="AU88" s="542">
        <f>IF(AU39="","",(AU39-AU$54)/AU$78)</f>
        <v/>
      </c>
      <c r="AV88" s="543">
        <f>IF(AV39="","",(AV39-AV$54)/AV$78)</f>
        <v/>
      </c>
      <c r="AW88" s="541">
        <f>IF(AW39="","",(AW39-AW$54)/AW$78)</f>
        <v/>
      </c>
      <c r="AX88" s="542">
        <f>IF(AX39="","",(AX39-AX$54)/AX$78)</f>
        <v/>
      </c>
      <c r="AY88" s="542">
        <f>IF(AY39="","",(AY39-AY$54)/AY$78)</f>
        <v/>
      </c>
      <c r="AZ88" s="543">
        <f>IF(AZ39="","",(AZ39-AZ$54)/AZ$78)</f>
        <v/>
      </c>
      <c r="BA88" s="541">
        <f>IF(BA39="","",(BA39-BA$54)/BA$78)</f>
        <v/>
      </c>
      <c r="BB88" s="542">
        <f>IF(BB39="","",(BB39-BB$54)/BB$78)</f>
        <v/>
      </c>
      <c r="BC88" s="542">
        <f>IF(BC39="","",(BC39-BC$54)/BC$78)</f>
        <v/>
      </c>
      <c r="BD88" s="543">
        <f>IF(BD39="","",(BD39-BD$54)/BD$78)</f>
        <v/>
      </c>
      <c r="BE88" s="541">
        <f>IF(BE39="","",(BE39-BE$54)/BE$78)</f>
        <v/>
      </c>
      <c r="BF88" s="542">
        <f>IF(BF39="","",(BF39-BF$54)/BF$78)</f>
        <v/>
      </c>
      <c r="BG88" s="542">
        <f>IF(BG39="","",(BG39-BG$54)/BG$78)</f>
        <v/>
      </c>
      <c r="BH88" s="543">
        <f>IF(BH39="","",(BH39-BH$54)/BH$78)</f>
        <v/>
      </c>
      <c r="BI88" s="544">
        <f>IF(AS88="","",AVERAGE(AS88:BH88))</f>
        <v/>
      </c>
      <c r="BR88" s="529" t="inlineStr">
        <is>
          <t>买机器</t>
        </is>
      </c>
      <c r="BS88" s="478">
        <f>第十四期!AF18*比赛参数!D30</f>
        <v/>
      </c>
      <c r="BT88" s="478" t="n"/>
      <c r="BU88" s="478" t="n"/>
      <c r="BV88" s="478">
        <f>BV87-BS88</f>
        <v/>
      </c>
      <c r="BW88" s="126" t="n"/>
      <c r="CB88" s="396" t="n"/>
      <c r="CC88" s="396" t="n"/>
      <c r="CD88" s="396" t="n"/>
      <c r="CE88" s="396" t="n"/>
      <c r="CF88" s="396" t="n"/>
      <c r="CG88" s="396" t="n"/>
      <c r="CH88" s="396" t="n"/>
      <c r="CI88" s="396" t="n"/>
      <c r="CJ88" s="396" t="n"/>
      <c r="CK88" s="396" t="n"/>
      <c r="CL88" s="396" t="n"/>
      <c r="CM88" s="396" t="n"/>
      <c r="CN88" s="396" t="n"/>
      <c r="CO88" s="396" t="n"/>
      <c r="CP88" s="294" t="inlineStr">
        <is>
          <t>B产品</t>
        </is>
      </c>
      <c r="CQ88" s="294">
        <f>CQ81/$CQ$84</f>
        <v/>
      </c>
      <c r="CR88" s="294">
        <f>CR81/$CR$84</f>
        <v/>
      </c>
      <c r="CS88" s="294">
        <f>CS81/$CS$84</f>
        <v/>
      </c>
      <c r="CT88" s="294">
        <f>CT81/$CT$84</f>
        <v/>
      </c>
      <c r="CU88" s="294">
        <f>CU81/$CU$84</f>
        <v/>
      </c>
    </row>
    <row customHeight="1" ht="18.75" r="89" s="353">
      <c r="B89" s="441" t="n"/>
      <c r="C89" s="25" t="n">
        <v>17</v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0" t="n"/>
      <c r="X89" s="11" t="inlineStr">
        <is>
          <t>市场2</t>
        </is>
      </c>
      <c r="Y89" s="101" t="n"/>
      <c r="Z89" s="101" t="n"/>
      <c r="AA89" s="101" t="n"/>
      <c r="AB89" s="101" t="n"/>
      <c r="AC89" s="288" t="inlineStr">
        <is>
          <t>市场份额相等</t>
        </is>
      </c>
      <c r="AE89" s="11" t="inlineStr">
        <is>
          <t>市场4</t>
        </is>
      </c>
      <c r="AF89" s="131">
        <f>第十四期!DV33</f>
        <v/>
      </c>
      <c r="AG89" s="131">
        <f>第十四期!DZ33</f>
        <v/>
      </c>
      <c r="AH89" s="131">
        <f>第十四期!ED33</f>
        <v/>
      </c>
      <c r="AI89" s="131">
        <f>第十四期!EH33</f>
        <v/>
      </c>
      <c r="AJ89" s="11" t="inlineStr">
        <is>
          <t>市场4</t>
        </is>
      </c>
      <c r="AK89" s="272">
        <f>AF79-AF89</f>
        <v/>
      </c>
      <c r="AL89" s="272">
        <f>AG79-AG89</f>
        <v/>
      </c>
      <c r="AM89" s="272">
        <f>AH79-AH89</f>
        <v/>
      </c>
      <c r="AN89" s="272">
        <f>AI79-AI89</f>
        <v/>
      </c>
      <c r="AR89" s="185" t="n">
        <v>8</v>
      </c>
      <c r="AS89" s="541">
        <f>IF(AS40="","",(AS40-AS$54)/AS$78)</f>
        <v/>
      </c>
      <c r="AT89" s="542">
        <f>IF(AT40="","",(AT40-AT$54)/AT$78)</f>
        <v/>
      </c>
      <c r="AU89" s="542">
        <f>IF(AU40="","",(AU40-AU$54)/AU$78)</f>
        <v/>
      </c>
      <c r="AV89" s="543">
        <f>IF(AV40="","",(AV40-AV$54)/AV$78)</f>
        <v/>
      </c>
      <c r="AW89" s="541">
        <f>IF(AW40="","",(AW40-AW$54)/AW$78)</f>
        <v/>
      </c>
      <c r="AX89" s="542">
        <f>IF(AX40="","",(AX40-AX$54)/AX$78)</f>
        <v/>
      </c>
      <c r="AY89" s="542">
        <f>IF(AY40="","",(AY40-AY$54)/AY$78)</f>
        <v/>
      </c>
      <c r="AZ89" s="543">
        <f>IF(AZ40="","",(AZ40-AZ$54)/AZ$78)</f>
        <v/>
      </c>
      <c r="BA89" s="541">
        <f>IF(BA40="","",(BA40-BA$54)/BA$78)</f>
        <v/>
      </c>
      <c r="BB89" s="542">
        <f>IF(BB40="","",(BB40-BB$54)/BB$78)</f>
        <v/>
      </c>
      <c r="BC89" s="542">
        <f>IF(BC40="","",(BC40-BC$54)/BC$78)</f>
        <v/>
      </c>
      <c r="BD89" s="543">
        <f>IF(BD40="","",(BD40-BD$54)/BD$78)</f>
        <v/>
      </c>
      <c r="BE89" s="541">
        <f>IF(BE40="","",(BE40-BE$54)/BE$78)</f>
        <v/>
      </c>
      <c r="BF89" s="542">
        <f>IF(BF40="","",(BF40-BF$54)/BF$78)</f>
        <v/>
      </c>
      <c r="BG89" s="542">
        <f>IF(BG40="","",(BG40-BG$54)/BG$78)</f>
        <v/>
      </c>
      <c r="BH89" s="543">
        <f>IF(BH40="","",(BH40-BH$54)/BH$78)</f>
        <v/>
      </c>
      <c r="BI89" s="544">
        <f>IF(AS89="","",AVERAGE(AS89:BH89))</f>
        <v/>
      </c>
      <c r="BR89" s="529" t="inlineStr">
        <is>
          <t>分红</t>
        </is>
      </c>
      <c r="BS89" s="478">
        <f>第十四期!AJ18</f>
        <v/>
      </c>
      <c r="BT89" s="478" t="n"/>
      <c r="BU89" s="478" t="n"/>
      <c r="BV89" s="478">
        <f>BV88-BS89</f>
        <v/>
      </c>
      <c r="BW89" s="126" t="n"/>
      <c r="CB89" s="396" t="n"/>
      <c r="CC89" s="396" t="n"/>
      <c r="CD89" s="396" t="n"/>
      <c r="CE89" s="396" t="n"/>
      <c r="CF89" s="396" t="n"/>
      <c r="CG89" s="396" t="n"/>
      <c r="CH89" s="396" t="n"/>
      <c r="CI89" s="396" t="n"/>
      <c r="CJ89" s="396" t="n"/>
      <c r="CK89" s="396" t="n"/>
      <c r="CL89" s="396" t="n"/>
      <c r="CM89" s="396" t="n"/>
      <c r="CN89" s="396" t="n"/>
      <c r="CO89" s="396" t="n"/>
      <c r="CP89" s="294" t="inlineStr">
        <is>
          <t>C产品</t>
        </is>
      </c>
      <c r="CQ89" s="294">
        <f>CQ82/$CQ$84</f>
        <v/>
      </c>
      <c r="CR89" s="294">
        <f>CR82/$CR$84</f>
        <v/>
      </c>
      <c r="CS89" s="294">
        <f>CS82/$CS$84</f>
        <v/>
      </c>
      <c r="CT89" s="294">
        <f>CT82/$CT$84</f>
        <v/>
      </c>
      <c r="CU89" s="294">
        <f>CU82/$CU$84</f>
        <v/>
      </c>
    </row>
    <row customHeight="1" ht="18.75" r="90" s="353">
      <c r="B90" s="441" t="n"/>
      <c r="C90" s="25" t="n">
        <v>18</v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0" t="n"/>
      <c r="X90" s="11" t="inlineStr">
        <is>
          <t>市场3</t>
        </is>
      </c>
      <c r="Y90" s="101" t="n"/>
      <c r="Z90" s="101" t="n"/>
      <c r="AA90" s="101" t="n"/>
      <c r="AB90" s="101" t="n"/>
      <c r="AC90" s="288" t="inlineStr">
        <is>
          <t>边际贡献相等</t>
        </is>
      </c>
      <c r="AF90" s="215">
        <f>SUMPRODUCT(AF64:AF67,AF76:AF79)/SUM(AF64:AF67)</f>
        <v/>
      </c>
      <c r="AG90" s="215">
        <f>SUMPRODUCT(AG64:AG67,AG76:AG79)/SUM(AG64:AG67)</f>
        <v/>
      </c>
      <c r="AH90" s="215">
        <f>SUMPRODUCT(AH64:AH67,AH76:AH79)/SUM(AH64:AH67)</f>
        <v/>
      </c>
      <c r="AI90" s="215">
        <f>SUMPRODUCT(AI64:AI67,AI76:AI79)/SUM(AI64:AI67)</f>
        <v/>
      </c>
      <c r="AR90" s="185" t="n">
        <v>9</v>
      </c>
      <c r="AS90" s="541">
        <f>IF(AS41="","",(AS41-AS$54)/AS$78)</f>
        <v/>
      </c>
      <c r="AT90" s="542">
        <f>IF(AT41="","",(AT41-AT$54)/AT$78)</f>
        <v/>
      </c>
      <c r="AU90" s="542">
        <f>IF(AU41="","",(AU41-AU$54)/AU$78)</f>
        <v/>
      </c>
      <c r="AV90" s="543">
        <f>IF(AV41="","",(AV41-AV$54)/AV$78)</f>
        <v/>
      </c>
      <c r="AW90" s="541">
        <f>IF(AW41="","",(AW41-AW$54)/AW$78)</f>
        <v/>
      </c>
      <c r="AX90" s="542">
        <f>IF(AX41="","",(AX41-AX$54)/AX$78)</f>
        <v/>
      </c>
      <c r="AY90" s="542">
        <f>IF(AY41="","",(AY41-AY$54)/AY$78)</f>
        <v/>
      </c>
      <c r="AZ90" s="543">
        <f>IF(AZ41="","",(AZ41-AZ$54)/AZ$78)</f>
        <v/>
      </c>
      <c r="BA90" s="541">
        <f>IF(BA41="","",(BA41-BA$54)/BA$78)</f>
        <v/>
      </c>
      <c r="BB90" s="542">
        <f>IF(BB41="","",(BB41-BB$54)/BB$78)</f>
        <v/>
      </c>
      <c r="BC90" s="542">
        <f>IF(BC41="","",(BC41-BC$54)/BC$78)</f>
        <v/>
      </c>
      <c r="BD90" s="543">
        <f>IF(BD41="","",(BD41-BD$54)/BD$78)</f>
        <v/>
      </c>
      <c r="BE90" s="541">
        <f>IF(BE41="","",(BE41-BE$54)/BE$78)</f>
        <v/>
      </c>
      <c r="BF90" s="542">
        <f>IF(BF41="","",(BF41-BF$54)/BF$78)</f>
        <v/>
      </c>
      <c r="BG90" s="542">
        <f>IF(BG41="","",(BG41-BG$54)/BG$78)</f>
        <v/>
      </c>
      <c r="BH90" s="543">
        <f>IF(BH41="","",(BH41-BH$54)/BH$78)</f>
        <v/>
      </c>
      <c r="BI90" s="544">
        <f>IF(AS90="","",AVERAGE(AS90:BH90))</f>
        <v/>
      </c>
      <c r="BR90" s="529" t="inlineStr">
        <is>
          <t>买国债</t>
        </is>
      </c>
      <c r="BS90" s="478">
        <f>第十四期!AF20</f>
        <v/>
      </c>
      <c r="BT90" s="478" t="n"/>
      <c r="BU90" s="478" t="n"/>
      <c r="BV90" s="545">
        <f>BV89-BS90</f>
        <v/>
      </c>
      <c r="BW90" s="126" t="n"/>
      <c r="CB90" s="396" t="n"/>
      <c r="CC90" s="396" t="n"/>
      <c r="CD90" s="396" t="n"/>
      <c r="CE90" s="396" t="n"/>
      <c r="CF90" s="396" t="n"/>
      <c r="CG90" s="396" t="n"/>
      <c r="CH90" s="396" t="n"/>
      <c r="CI90" s="396" t="n"/>
      <c r="CJ90" s="396" t="n"/>
      <c r="CK90" s="396" t="n"/>
      <c r="CL90" s="396" t="n"/>
      <c r="CM90" s="396" t="n"/>
      <c r="CN90" s="396" t="n"/>
      <c r="CO90" s="396" t="n"/>
      <c r="CP90" s="294" t="inlineStr">
        <is>
          <t>D产品</t>
        </is>
      </c>
      <c r="CQ90" s="294">
        <f>CQ83/$CQ$84</f>
        <v/>
      </c>
      <c r="CR90" s="294">
        <f>CR83/$CR$84</f>
        <v/>
      </c>
      <c r="CS90" s="294">
        <f>CS83/$CS$84</f>
        <v/>
      </c>
      <c r="CT90" s="294">
        <f>CT83/$CT$84</f>
        <v/>
      </c>
      <c r="CU90" s="294">
        <f>CU83/$CU$84</f>
        <v/>
      </c>
    </row>
    <row customHeight="1" ht="18.75" r="91" s="353">
      <c r="B91" s="441" t="n"/>
      <c r="C91" s="25" t="n">
        <v>19</v>
      </c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0" t="n"/>
      <c r="X91" s="11" t="inlineStr">
        <is>
          <t>市场4</t>
        </is>
      </c>
      <c r="Y91" s="101" t="n"/>
      <c r="Z91" s="101" t="n"/>
      <c r="AA91" s="101" t="n"/>
      <c r="AB91" s="101" t="n"/>
      <c r="AC91" s="288" t="inlineStr">
        <is>
          <t>市场1、2无差别</t>
        </is>
      </c>
      <c r="AE91" s="63" t="inlineStr">
        <is>
          <t>外部定价</t>
        </is>
      </c>
      <c r="AF91" s="59" t="inlineStr">
        <is>
          <t>A产品</t>
        </is>
      </c>
      <c r="AG91" s="59" t="inlineStr">
        <is>
          <t>B产品</t>
        </is>
      </c>
      <c r="AH91" s="59" t="inlineStr">
        <is>
          <t>C产品</t>
        </is>
      </c>
      <c r="AI91" s="59" t="inlineStr">
        <is>
          <t>D产品</t>
        </is>
      </c>
      <c r="AJ91" s="63" t="inlineStr">
        <is>
          <t>上期与均价差</t>
        </is>
      </c>
      <c r="AK91" s="59" t="inlineStr">
        <is>
          <t>A产品</t>
        </is>
      </c>
      <c r="AL91" s="59" t="inlineStr">
        <is>
          <t>B产品</t>
        </is>
      </c>
      <c r="AM91" s="59" t="inlineStr">
        <is>
          <t>C产品</t>
        </is>
      </c>
      <c r="AN91" s="59" t="inlineStr">
        <is>
          <t>D产品</t>
        </is>
      </c>
      <c r="AR91" s="185" t="n">
        <v>10</v>
      </c>
      <c r="AS91" s="541">
        <f>IF(AS42="","",(AS42-AS$54)/AS$78)</f>
        <v/>
      </c>
      <c r="AT91" s="542">
        <f>IF(AT42="","",(AT42-AT$54)/AT$78)</f>
        <v/>
      </c>
      <c r="AU91" s="542">
        <f>IF(AU42="","",(AU42-AU$54)/AU$78)</f>
        <v/>
      </c>
      <c r="AV91" s="543">
        <f>IF(AV42="","",(AV42-AV$54)/AV$78)</f>
        <v/>
      </c>
      <c r="AW91" s="541">
        <f>IF(AW42="","",(AW42-AW$54)/AW$78)</f>
        <v/>
      </c>
      <c r="AX91" s="542">
        <f>IF(AX42="","",(AX42-AX$54)/AX$78)</f>
        <v/>
      </c>
      <c r="AY91" s="542">
        <f>IF(AY42="","",(AY42-AY$54)/AY$78)</f>
        <v/>
      </c>
      <c r="AZ91" s="543">
        <f>IF(AZ42="","",(AZ42-AZ$54)/AZ$78)</f>
        <v/>
      </c>
      <c r="BA91" s="541">
        <f>IF(BA42="","",(BA42-BA$54)/BA$78)</f>
        <v/>
      </c>
      <c r="BB91" s="542">
        <f>IF(BB42="","",(BB42-BB$54)/BB$78)</f>
        <v/>
      </c>
      <c r="BC91" s="542">
        <f>IF(BC42="","",(BC42-BC$54)/BC$78)</f>
        <v/>
      </c>
      <c r="BD91" s="543">
        <f>IF(BD42="","",(BD42-BD$54)/BD$78)</f>
        <v/>
      </c>
      <c r="BE91" s="541">
        <f>IF(BE42="","",(BE42-BE$54)/BE$78)</f>
        <v/>
      </c>
      <c r="BF91" s="542">
        <f>IF(BF42="","",(BF42-BF$54)/BF$78)</f>
        <v/>
      </c>
      <c r="BG91" s="542">
        <f>IF(BG42="","",(BG42-BG$54)/BG$78)</f>
        <v/>
      </c>
      <c r="BH91" s="543">
        <f>IF(BH42="","",(BH42-BH$54)/BH$78)</f>
        <v/>
      </c>
      <c r="BI91" s="544">
        <f>IF(AS91="","",AVERAGE(AS91:BH91))</f>
        <v/>
      </c>
      <c r="BR91" s="215" t="n"/>
      <c r="BS91" s="215" t="n"/>
      <c r="BT91" s="215" t="n"/>
      <c r="BU91" s="215" t="n"/>
      <c r="BV91" s="215" t="n"/>
      <c r="BW91" s="215" t="n"/>
      <c r="CB91" s="396" t="n"/>
      <c r="CC91" s="396" t="n"/>
      <c r="CD91" s="396" t="n"/>
      <c r="CE91" s="396" t="n"/>
      <c r="CF91" s="396" t="n"/>
      <c r="CG91" s="396" t="n"/>
      <c r="CH91" s="396" t="n"/>
      <c r="CI91" s="396" t="n"/>
      <c r="CJ91" s="396" t="n"/>
      <c r="CK91" s="396" t="n"/>
      <c r="CL91" s="396" t="n"/>
      <c r="CM91" s="396" t="n"/>
      <c r="CN91" s="396" t="n"/>
      <c r="CO91" s="396" t="n"/>
      <c r="CP91" s="215" t="n"/>
      <c r="CQ91" s="215" t="n"/>
      <c r="CR91" s="215" t="n"/>
      <c r="CS91" s="215" t="n"/>
      <c r="CT91" s="215" t="n"/>
      <c r="CU91" s="215" t="n"/>
    </row>
    <row customHeight="1" ht="18.75" r="92" s="353">
      <c r="B92" s="441" t="n"/>
      <c r="C92" s="25" t="n">
        <v>20</v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0" t="n"/>
      <c r="X92" s="148" t="inlineStr">
        <is>
          <t>本期合计供货</t>
        </is>
      </c>
      <c r="Y92" s="76">
        <f>SUM(Y88:Y91)</f>
        <v/>
      </c>
      <c r="Z92" s="76">
        <f>SUM(Z88:Z91)</f>
        <v/>
      </c>
      <c r="AA92" s="76">
        <f>SUM(AA88:AA91)</f>
        <v/>
      </c>
      <c r="AB92" s="289">
        <f>SUM(AB88:AB91)</f>
        <v/>
      </c>
      <c r="AC92" s="290">
        <f>IF(Y92&lt;=Y93,IF(Z92&lt;=Z93,IF(AA92&lt;=AA93,IF(AB92&lt;=AB93,"YES","NO"),"NO"),"NO"),"NO")</f>
        <v/>
      </c>
      <c r="AE92" s="47" t="inlineStr">
        <is>
          <t>市场1</t>
        </is>
      </c>
      <c r="AF92" s="291">
        <f>X130</f>
        <v/>
      </c>
      <c r="AG92" s="291">
        <f>AH130</f>
        <v/>
      </c>
      <c r="AH92" s="291">
        <f>X153</f>
        <v/>
      </c>
      <c r="AI92" s="291">
        <f>AH153</f>
        <v/>
      </c>
      <c r="AJ92" s="47" t="inlineStr">
        <is>
          <t>市场1</t>
        </is>
      </c>
      <c r="AK92" s="493">
        <f>AF86-AF98</f>
        <v/>
      </c>
      <c r="AL92" s="493">
        <f>AG86-AG98</f>
        <v/>
      </c>
      <c r="AM92" s="493">
        <f>AH86-AH98</f>
        <v/>
      </c>
      <c r="AN92" s="493">
        <f>AI86-AI98</f>
        <v/>
      </c>
      <c r="AR92" s="185" t="n">
        <v>11</v>
      </c>
      <c r="AS92" s="541">
        <f>IF(AS43="","",(AS43-AS$54)/AS$78)</f>
        <v/>
      </c>
      <c r="AT92" s="542">
        <f>IF(AT43="","",(AT43-AT$54)/AT$78)</f>
        <v/>
      </c>
      <c r="AU92" s="542">
        <f>IF(AU43="","",(AU43-AU$54)/AU$78)</f>
        <v/>
      </c>
      <c r="AV92" s="543">
        <f>IF(AV43="","",(AV43-AV$54)/AV$78)</f>
        <v/>
      </c>
      <c r="AW92" s="541">
        <f>IF(AW43="","",(AW43-AW$54)/AW$78)</f>
        <v/>
      </c>
      <c r="AX92" s="542">
        <f>IF(AX43="","",(AX43-AX$54)/AX$78)</f>
        <v/>
      </c>
      <c r="AY92" s="542">
        <f>IF(AY43="","",(AY43-AY$54)/AY$78)</f>
        <v/>
      </c>
      <c r="AZ92" s="543">
        <f>IF(AZ43="","",(AZ43-AZ$54)/AZ$78)</f>
        <v/>
      </c>
      <c r="BA92" s="541">
        <f>IF(BA43="","",(BA43-BA$54)/BA$78)</f>
        <v/>
      </c>
      <c r="BB92" s="542">
        <f>IF(BB43="","",(BB43-BB$54)/BB$78)</f>
        <v/>
      </c>
      <c r="BC92" s="542">
        <f>IF(BC43="","",(BC43-BC$54)/BC$78)</f>
        <v/>
      </c>
      <c r="BD92" s="543">
        <f>IF(BD43="","",(BD43-BD$54)/BD$78)</f>
        <v/>
      </c>
      <c r="BE92" s="541">
        <f>IF(BE43="","",(BE43-BE$54)/BE$78)</f>
        <v/>
      </c>
      <c r="BF92" s="542">
        <f>IF(BF43="","",(BF43-BF$54)/BF$78)</f>
        <v/>
      </c>
      <c r="BG92" s="542">
        <f>IF(BG43="","",(BG43-BG$54)/BG$78)</f>
        <v/>
      </c>
      <c r="BH92" s="543">
        <f>IF(BH43="","",(BH43-BH$54)/BH$78)</f>
        <v/>
      </c>
      <c r="BI92" s="544">
        <f>IF(AS92="","",AVERAGE(AS92:BH92))</f>
        <v/>
      </c>
      <c r="BR92" s="546" t="inlineStr">
        <is>
          <t>本期收入</t>
        </is>
      </c>
      <c r="BS92" s="478">
        <f>第十四期!BT84</f>
        <v/>
      </c>
      <c r="BT92" s="546" t="inlineStr">
        <is>
          <t>本期成本</t>
        </is>
      </c>
      <c r="BU92" s="478">
        <f>第十四期!BU86</f>
        <v/>
      </c>
      <c r="BV92" s="547" t="inlineStr">
        <is>
          <t>本期利润</t>
        </is>
      </c>
      <c r="BW92" s="548">
        <f>第十四期!BT84-第十四期!BU86</f>
        <v/>
      </c>
      <c r="CB92" s="396" t="n"/>
      <c r="CC92" s="396" t="n"/>
      <c r="CD92" s="396" t="n"/>
      <c r="CE92" s="396" t="n"/>
      <c r="CF92" s="396" t="n"/>
      <c r="CG92" s="396" t="n"/>
      <c r="CH92" s="396" t="n"/>
      <c r="CI92" s="396" t="n"/>
      <c r="CJ92" s="396" t="n"/>
      <c r="CK92" s="396" t="n"/>
      <c r="CL92" s="396" t="n"/>
      <c r="CM92" s="396" t="n"/>
      <c r="CN92" s="396" t="n"/>
      <c r="CO92" s="396" t="n"/>
      <c r="CP92" s="294" t="inlineStr">
        <is>
          <t>折旧分摊</t>
        </is>
      </c>
      <c r="CQ92" s="294" t="inlineStr">
        <is>
          <t>市场1</t>
        </is>
      </c>
      <c r="CR92" s="294" t="inlineStr">
        <is>
          <t>市场2</t>
        </is>
      </c>
      <c r="CS92" s="294" t="inlineStr">
        <is>
          <t>市场3</t>
        </is>
      </c>
      <c r="CT92" s="294" t="inlineStr">
        <is>
          <t>市场4</t>
        </is>
      </c>
      <c r="CU92" s="215" t="n"/>
    </row>
    <row customHeight="1" ht="18.75" r="93" s="353"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278" t="n"/>
      <c r="X93" s="148" t="inlineStr">
        <is>
          <t>可运出产品数量</t>
        </is>
      </c>
      <c r="Y93" s="37">
        <f>AC9*比赛参数!D6+第十四期!DU26</f>
        <v/>
      </c>
      <c r="Z93" s="37">
        <f>AC10*比赛参数!D6+第十四期!DU27</f>
        <v/>
      </c>
      <c r="AA93" s="37">
        <f>AC11*比赛参数!D6+第十四期!DU28</f>
        <v/>
      </c>
      <c r="AB93" s="37">
        <f>AC12*比赛参数!D6+第十四期!DU29</f>
        <v/>
      </c>
      <c r="AC93" s="215" t="n"/>
      <c r="AE93" s="11" t="inlineStr">
        <is>
          <t>市场2</t>
        </is>
      </c>
      <c r="AF93" s="291">
        <f>Y130</f>
        <v/>
      </c>
      <c r="AG93" s="291">
        <f>AI130</f>
        <v/>
      </c>
      <c r="AH93" s="291">
        <f>Y153</f>
        <v/>
      </c>
      <c r="AI93" s="291">
        <f>AI153</f>
        <v/>
      </c>
      <c r="AJ93" s="11" t="inlineStr">
        <is>
          <t>市场2</t>
        </is>
      </c>
      <c r="AK93" s="493">
        <f>AF87-AF99</f>
        <v/>
      </c>
      <c r="AL93" s="493">
        <f>AG87-AG99</f>
        <v/>
      </c>
      <c r="AM93" s="493">
        <f>AH87-AH99</f>
        <v/>
      </c>
      <c r="AN93" s="493">
        <f>AI87-AI99</f>
        <v/>
      </c>
      <c r="AR93" s="185" t="n">
        <v>12</v>
      </c>
      <c r="AS93" s="541">
        <f>IF(AS44="","",(AS44-AS$54)/AS$78)</f>
        <v/>
      </c>
      <c r="AT93" s="542">
        <f>IF(AT44="","",(AT44-AT$54)/AT$78)</f>
        <v/>
      </c>
      <c r="AU93" s="542">
        <f>IF(AU44="","",(AU44-AU$54)/AU$78)</f>
        <v/>
      </c>
      <c r="AV93" s="543">
        <f>IF(AV44="","",(AV44-AV$54)/AV$78)</f>
        <v/>
      </c>
      <c r="AW93" s="541">
        <f>IF(AW44="","",(AW44-AW$54)/AW$78)</f>
        <v/>
      </c>
      <c r="AX93" s="542">
        <f>IF(AX44="","",(AX44-AX$54)/AX$78)</f>
        <v/>
      </c>
      <c r="AY93" s="542">
        <f>IF(AY44="","",(AY44-AY$54)/AY$78)</f>
        <v/>
      </c>
      <c r="AZ93" s="543">
        <f>IF(AZ44="","",(AZ44-AZ$54)/AZ$78)</f>
        <v/>
      </c>
      <c r="BA93" s="541">
        <f>IF(BA44="","",(BA44-BA$54)/BA$78)</f>
        <v/>
      </c>
      <c r="BB93" s="542">
        <f>IF(BB44="","",(BB44-BB$54)/BB$78)</f>
        <v/>
      </c>
      <c r="BC93" s="542">
        <f>IF(BC44="","",(BC44-BC$54)/BC$78)</f>
        <v/>
      </c>
      <c r="BD93" s="543">
        <f>IF(BD44="","",(BD44-BD$54)/BD$78)</f>
        <v/>
      </c>
      <c r="BE93" s="541">
        <f>IF(BE44="","",(BE44-BE$54)/BE$78)</f>
        <v/>
      </c>
      <c r="BF93" s="542">
        <f>IF(BF44="","",(BF44-BF$54)/BF$78)</f>
        <v/>
      </c>
      <c r="BG93" s="542">
        <f>IF(BG44="","",(BG44-BG$54)/BG$78)</f>
        <v/>
      </c>
      <c r="BH93" s="543">
        <f>IF(BH44="","",(BH44-BH$54)/BH$78)</f>
        <v/>
      </c>
      <c r="BI93" s="544">
        <f>IF(AS93="","",AVERAGE(AS93:BH93))</f>
        <v/>
      </c>
      <c r="CB93" s="396" t="n"/>
      <c r="CC93" s="396" t="n"/>
      <c r="CD93" s="396" t="n"/>
      <c r="CE93" s="396" t="n"/>
      <c r="CF93" s="396" t="n"/>
      <c r="CG93" s="396" t="n"/>
      <c r="CH93" s="396" t="n"/>
      <c r="CI93" s="396" t="n"/>
      <c r="CJ93" s="396" t="n"/>
      <c r="CK93" s="396" t="n"/>
      <c r="CL93" s="396" t="n"/>
      <c r="CM93" s="396" t="n"/>
      <c r="CN93" s="396" t="n"/>
      <c r="CO93" s="396" t="n"/>
      <c r="CP93" s="294" t="inlineStr">
        <is>
          <t>A产品</t>
        </is>
      </c>
      <c r="CQ93" s="294">
        <f>IF(第十四期!$AC$9&gt;0,第十四期!$K$9*比赛参数!$D$30*比赛参数!$F$30*$CU$87/第十四期!$AC$9,0)</f>
        <v/>
      </c>
      <c r="CR93" s="294">
        <f>IF(第十四期!$AC$9&gt;0,第十四期!$K$9*比赛参数!$D$30*比赛参数!$F$30*$CU$87/第十四期!$AC$9,0)</f>
        <v/>
      </c>
      <c r="CS93" s="294">
        <f>IF(第十四期!$AC$9&gt;0,第十四期!$K$9*比赛参数!$D$30*比赛参数!$F$30*$CU$87/第十四期!$AC$9,0)</f>
        <v/>
      </c>
      <c r="CT93" s="294">
        <f>IF(第十四期!$AC$9&gt;0,第十四期!$K$9*比赛参数!$D$30*比赛参数!$F$30*$CU$87/第十四期!$AC$9,0)</f>
        <v/>
      </c>
      <c r="CU93" s="215" t="n"/>
    </row>
    <row customHeight="1" ht="18.75" r="94" s="353">
      <c r="C94" s="16" t="inlineStr">
        <is>
          <t>公司</t>
        </is>
      </c>
      <c r="D94" s="275" t="inlineStr">
        <is>
          <t>本期收入</t>
        </is>
      </c>
      <c r="E94" s="275" t="inlineStr">
        <is>
          <t>本期成本</t>
        </is>
      </c>
      <c r="F94" s="275" t="inlineStr">
        <is>
          <t>本期利润</t>
        </is>
      </c>
      <c r="G94" s="275" t="inlineStr">
        <is>
          <t>累计纳税</t>
        </is>
      </c>
      <c r="H94" s="275" t="inlineStr">
        <is>
          <t>累计分红</t>
        </is>
      </c>
      <c r="I94" s="275" t="inlineStr">
        <is>
          <t>期末现金</t>
        </is>
      </c>
      <c r="J94" s="275" t="inlineStr">
        <is>
          <t>净资产</t>
        </is>
      </c>
      <c r="K94" s="276" t="inlineStr">
        <is>
          <t>综合分</t>
        </is>
      </c>
      <c r="AC94" s="215" t="n"/>
      <c r="AE94" s="11" t="inlineStr">
        <is>
          <t>市场3</t>
        </is>
      </c>
      <c r="AF94" s="291">
        <f>Z130</f>
        <v/>
      </c>
      <c r="AG94" s="291">
        <f>AJ130</f>
        <v/>
      </c>
      <c r="AH94" s="291">
        <f>Z153</f>
        <v/>
      </c>
      <c r="AI94" s="291">
        <f>AJ153</f>
        <v/>
      </c>
      <c r="AJ94" s="11" t="inlineStr">
        <is>
          <t>市场3</t>
        </is>
      </c>
      <c r="AK94" s="493">
        <f>AF88-AF100</f>
        <v/>
      </c>
      <c r="AL94" s="493">
        <f>AG88-AG100</f>
        <v/>
      </c>
      <c r="AM94" s="493">
        <f>AH88-AH100</f>
        <v/>
      </c>
      <c r="AN94" s="493">
        <f>AI88-AI100</f>
        <v/>
      </c>
      <c r="AR94" s="185" t="n">
        <v>13</v>
      </c>
      <c r="AS94" s="541">
        <f>IF(AS45="","",(AS45-AS$54)/AS$78)</f>
        <v/>
      </c>
      <c r="AT94" s="542">
        <f>IF(AT45="","",(AT45-AT$54)/AT$78)</f>
        <v/>
      </c>
      <c r="AU94" s="542">
        <f>IF(AU45="","",(AU45-AU$54)/AU$78)</f>
        <v/>
      </c>
      <c r="AV94" s="543">
        <f>IF(AV45="","",(AV45-AV$54)/AV$78)</f>
        <v/>
      </c>
      <c r="AW94" s="541">
        <f>IF(AW45="","",(AW45-AW$54)/AW$78)</f>
        <v/>
      </c>
      <c r="AX94" s="542">
        <f>IF(AX45="","",(AX45-AX$54)/AX$78)</f>
        <v/>
      </c>
      <c r="AY94" s="542">
        <f>IF(AY45="","",(AY45-AY$54)/AY$78)</f>
        <v/>
      </c>
      <c r="AZ94" s="543">
        <f>IF(AZ45="","",(AZ45-AZ$54)/AZ$78)</f>
        <v/>
      </c>
      <c r="BA94" s="541">
        <f>IF(BA45="","",(BA45-BA$54)/BA$78)</f>
        <v/>
      </c>
      <c r="BB94" s="542">
        <f>IF(BB45="","",(BB45-BB$54)/BB$78)</f>
        <v/>
      </c>
      <c r="BC94" s="542">
        <f>IF(BC45="","",(BC45-BC$54)/BC$78)</f>
        <v/>
      </c>
      <c r="BD94" s="543">
        <f>IF(BD45="","",(BD45-BD$54)/BD$78)</f>
        <v/>
      </c>
      <c r="BE94" s="541">
        <f>IF(BE45="","",(BE45-BE$54)/BE$78)</f>
        <v/>
      </c>
      <c r="BF94" s="542">
        <f>IF(BF45="","",(BF45-BF$54)/BF$78)</f>
        <v/>
      </c>
      <c r="BG94" s="542">
        <f>IF(BG45="","",(BG45-BG$54)/BG$78)</f>
        <v/>
      </c>
      <c r="BH94" s="543">
        <f>IF(BH45="","",(BH45-BH$54)/BH$78)</f>
        <v/>
      </c>
      <c r="BI94" s="544">
        <f>IF(AS94="","",AVERAGE(AS94:BH94))</f>
        <v/>
      </c>
      <c r="CB94" s="396" t="n"/>
      <c r="CC94" s="396" t="n"/>
      <c r="CD94" s="396" t="n"/>
      <c r="CE94" s="396" t="n"/>
      <c r="CF94" s="396" t="n"/>
      <c r="CG94" s="396" t="n"/>
      <c r="CH94" s="396" t="n"/>
      <c r="CI94" s="396" t="n"/>
      <c r="CJ94" s="396" t="n"/>
      <c r="CK94" s="396" t="n"/>
      <c r="CL94" s="396" t="n"/>
      <c r="CM94" s="396" t="n"/>
      <c r="CN94" s="396" t="n"/>
      <c r="CO94" s="396" t="n"/>
      <c r="CP94" s="294" t="inlineStr">
        <is>
          <t>B产品</t>
        </is>
      </c>
      <c r="CQ94" s="294">
        <f>IF(第十四期!$AC$10&gt;0,第十四期!$K$9*比赛参数!$D$30*比赛参数!$F$30*$CU$88/第十四期!$AC$10,0)</f>
        <v/>
      </c>
      <c r="CR94" s="294">
        <f>IF(第十四期!$AC$10&gt;0,第十四期!$K$9*比赛参数!$D$30*比赛参数!$F$30*$CU$88/第十四期!$AC$10,0)</f>
        <v/>
      </c>
      <c r="CS94" s="294">
        <f>IF(第十四期!$AC$10&gt;0,第十四期!$K$9*比赛参数!$D$30*比赛参数!$F$30*$CU$88/第十四期!$AC$10,0)</f>
        <v/>
      </c>
      <c r="CT94" s="294">
        <f>IF(第十四期!$AC$10&gt;0,第十四期!$K$9*比赛参数!$D$30*比赛参数!$F$30*$CU$88/第十四期!$AC$10,0)</f>
        <v/>
      </c>
      <c r="CU94" s="215" t="n"/>
    </row>
    <row customHeight="1" ht="18.75" r="95" s="353">
      <c r="B95" s="441" t="n"/>
      <c r="C95" s="25" t="n">
        <v>1</v>
      </c>
      <c r="D95" s="14" t="n"/>
      <c r="E95" s="14" t="n"/>
      <c r="F95" s="14" t="n"/>
      <c r="G95" s="9" t="n"/>
      <c r="H95" s="9" t="n"/>
      <c r="I95" s="14" t="n"/>
      <c r="J95" s="14" t="n"/>
      <c r="K95" s="9" t="n"/>
      <c r="L95" s="10" t="n"/>
      <c r="X95" s="63" t="inlineStr">
        <is>
          <t>单位机时贡献</t>
        </is>
      </c>
      <c r="Y95" s="73" t="inlineStr">
        <is>
          <t>A产品</t>
        </is>
      </c>
      <c r="Z95" s="73" t="inlineStr">
        <is>
          <t>B产品</t>
        </is>
      </c>
      <c r="AA95" s="73" t="inlineStr">
        <is>
          <t>C产品</t>
        </is>
      </c>
      <c r="AB95" s="73" t="inlineStr">
        <is>
          <t>D产品</t>
        </is>
      </c>
      <c r="AC95" s="215" t="n"/>
      <c r="AE95" s="11" t="inlineStr">
        <is>
          <t>市场4</t>
        </is>
      </c>
      <c r="AF95" s="291">
        <f>AA130</f>
        <v/>
      </c>
      <c r="AG95" s="291">
        <f>AK130</f>
        <v/>
      </c>
      <c r="AH95" s="291">
        <f>AA153</f>
        <v/>
      </c>
      <c r="AI95" s="291">
        <f>AK153</f>
        <v/>
      </c>
      <c r="AJ95" s="11" t="inlineStr">
        <is>
          <t>市场4</t>
        </is>
      </c>
      <c r="AK95" s="493">
        <f>AF89-AF101</f>
        <v/>
      </c>
      <c r="AL95" s="493">
        <f>AG89-AG101</f>
        <v/>
      </c>
      <c r="AM95" s="493">
        <f>AH89-AH101</f>
        <v/>
      </c>
      <c r="AN95" s="493">
        <f>AI89-AI101</f>
        <v/>
      </c>
      <c r="AR95" s="185" t="n">
        <v>14</v>
      </c>
      <c r="AS95" s="541">
        <f>IF(AS46="","",(AS46-AS$54)/AS$78)</f>
        <v/>
      </c>
      <c r="AT95" s="542">
        <f>IF(AT46="","",(AT46-AT$54)/AT$78)</f>
        <v/>
      </c>
      <c r="AU95" s="542">
        <f>IF(AU46="","",(AU46-AU$54)/AU$78)</f>
        <v/>
      </c>
      <c r="AV95" s="543">
        <f>IF(AV46="","",(AV46-AV$54)/AV$78)</f>
        <v/>
      </c>
      <c r="AW95" s="541">
        <f>IF(AW46="","",(AW46-AW$54)/AW$78)</f>
        <v/>
      </c>
      <c r="AX95" s="542">
        <f>IF(AX46="","",(AX46-AX$54)/AX$78)</f>
        <v/>
      </c>
      <c r="AY95" s="542">
        <f>IF(AY46="","",(AY46-AY$54)/AY$78)</f>
        <v/>
      </c>
      <c r="AZ95" s="543">
        <f>IF(AZ46="","",(AZ46-AZ$54)/AZ$78)</f>
        <v/>
      </c>
      <c r="BA95" s="541">
        <f>IF(BA46="","",(BA46-BA$54)/BA$78)</f>
        <v/>
      </c>
      <c r="BB95" s="542">
        <f>IF(BB46="","",(BB46-BB$54)/BB$78)</f>
        <v/>
      </c>
      <c r="BC95" s="542">
        <f>IF(BC46="","",(BC46-BC$54)/BC$78)</f>
        <v/>
      </c>
      <c r="BD95" s="543">
        <f>IF(BD46="","",(BD46-BD$54)/BD$78)</f>
        <v/>
      </c>
      <c r="BE95" s="541">
        <f>IF(BE46="","",(BE46-BE$54)/BE$78)</f>
        <v/>
      </c>
      <c r="BF95" s="542">
        <f>IF(BF46="","",(BF46-BF$54)/BF$78)</f>
        <v/>
      </c>
      <c r="BG95" s="542">
        <f>IF(BG46="","",(BG46-BG$54)/BG$78)</f>
        <v/>
      </c>
      <c r="BH95" s="543">
        <f>IF(BH46="","",(BH46-BH$54)/BH$78)</f>
        <v/>
      </c>
      <c r="BI95" s="544">
        <f>IF(AS95="","",AVERAGE(AS95:BH95))</f>
        <v/>
      </c>
      <c r="CB95" s="396" t="n"/>
      <c r="CC95" s="396" t="n"/>
      <c r="CD95" s="396" t="n"/>
      <c r="CE95" s="396" t="n"/>
      <c r="CF95" s="396" t="n"/>
      <c r="CG95" s="396" t="n"/>
      <c r="CH95" s="396" t="n"/>
      <c r="CI95" s="396" t="n"/>
      <c r="CJ95" s="396" t="n"/>
      <c r="CK95" s="396" t="n"/>
      <c r="CL95" s="396" t="n"/>
      <c r="CM95" s="396" t="n"/>
      <c r="CN95" s="396" t="n"/>
      <c r="CO95" s="396" t="n"/>
      <c r="CP95" s="294" t="inlineStr">
        <is>
          <t>C产品</t>
        </is>
      </c>
      <c r="CQ95" s="294">
        <f>IF(第十四期!$AC$11&gt;0,第十四期!$K$9*比赛参数!$D$30*比赛参数!$F$30*$CU$89/第十四期!$AC$11,0)</f>
        <v/>
      </c>
      <c r="CR95" s="294">
        <f>IF(第十四期!$AC$11&gt;0,第十四期!$K$9*比赛参数!$D$30*比赛参数!$F$30*$CU$89/第十四期!$AC$11,0)</f>
        <v/>
      </c>
      <c r="CS95" s="294">
        <f>IF(第十四期!$AC$11&gt;0,第十四期!$K$9*比赛参数!$D$30*比赛参数!$F$30*$CU$89/第十四期!$AC$11,0)</f>
        <v/>
      </c>
      <c r="CT95" s="294">
        <f>IF(第十四期!$AC$11&gt;0,第十四期!$K$9*比赛参数!$D$30*比赛参数!$F$30*$CU$89/第十四期!$AC$11,0)</f>
        <v/>
      </c>
      <c r="CU95" s="215" t="n"/>
    </row>
    <row customHeight="1" ht="18.75" r="96" s="353">
      <c r="B96" s="441" t="n"/>
      <c r="C96" s="25" t="n">
        <v>2</v>
      </c>
      <c r="D96" s="14" t="n"/>
      <c r="E96" s="14" t="n"/>
      <c r="F96" s="14" t="n"/>
      <c r="G96" s="9" t="n"/>
      <c r="H96" s="9" t="n"/>
      <c r="I96" s="14" t="n"/>
      <c r="J96" s="14" t="n"/>
      <c r="K96" s="9" t="n"/>
      <c r="L96" s="10" t="n"/>
      <c r="X96" s="64" t="inlineStr">
        <is>
          <t>市场1</t>
        </is>
      </c>
      <c r="Y96" s="486">
        <f>第十四期!CX62</f>
        <v/>
      </c>
      <c r="Z96" s="486">
        <f>第十四期!CX63</f>
        <v/>
      </c>
      <c r="AA96" s="486">
        <f>第十四期!CX64</f>
        <v/>
      </c>
      <c r="AB96" s="486">
        <f>第十四期!CX65</f>
        <v/>
      </c>
      <c r="AC96" s="215" t="n"/>
      <c r="AR96" s="185" t="n">
        <v>15</v>
      </c>
      <c r="AS96" s="541">
        <f>IF(AS47="","",(AS47-AS$54)/AS$78)</f>
        <v/>
      </c>
      <c r="AT96" s="542">
        <f>IF(AT47="","",(AT47-AT$54)/AT$78)</f>
        <v/>
      </c>
      <c r="AU96" s="542">
        <f>IF(AU47="","",(AU47-AU$54)/AU$78)</f>
        <v/>
      </c>
      <c r="AV96" s="543">
        <f>IF(AV47="","",(AV47-AV$54)/AV$78)</f>
        <v/>
      </c>
      <c r="AW96" s="541">
        <f>IF(AW47="","",(AW47-AW$54)/AW$78)</f>
        <v/>
      </c>
      <c r="AX96" s="542">
        <f>IF(AX47="","",(AX47-AX$54)/AX$78)</f>
        <v/>
      </c>
      <c r="AY96" s="542">
        <f>IF(AY47="","",(AY47-AY$54)/AY$78)</f>
        <v/>
      </c>
      <c r="AZ96" s="543">
        <f>IF(AZ47="","",(AZ47-AZ$54)/AZ$78)</f>
        <v/>
      </c>
      <c r="BA96" s="541">
        <f>IF(BA47="","",(BA47-BA$54)/BA$78)</f>
        <v/>
      </c>
      <c r="BB96" s="542">
        <f>IF(BB47="","",(BB47-BB$54)/BB$78)</f>
        <v/>
      </c>
      <c r="BC96" s="542">
        <f>IF(BC47="","",(BC47-BC$54)/BC$78)</f>
        <v/>
      </c>
      <c r="BD96" s="543">
        <f>IF(BD47="","",(BD47-BD$54)/BD$78)</f>
        <v/>
      </c>
      <c r="BE96" s="541">
        <f>IF(BE47="","",(BE47-BE$54)/BE$78)</f>
        <v/>
      </c>
      <c r="BF96" s="542">
        <f>IF(BF47="","",(BF47-BF$54)/BF$78)</f>
        <v/>
      </c>
      <c r="BG96" s="542">
        <f>IF(BG47="","",(BG47-BG$54)/BG$78)</f>
        <v/>
      </c>
      <c r="BH96" s="543">
        <f>IF(BH47="","",(BH47-BH$54)/BH$78)</f>
        <v/>
      </c>
      <c r="BI96" s="544">
        <f>IF(AS96="","",AVERAGE(AS96:BH96))</f>
        <v/>
      </c>
      <c r="CB96" s="396" t="n"/>
      <c r="CC96" s="396" t="n"/>
      <c r="CD96" s="396" t="n"/>
      <c r="CE96" s="396" t="n"/>
      <c r="CF96" s="396" t="n"/>
      <c r="CG96" s="396" t="n"/>
      <c r="CH96" s="396" t="n"/>
      <c r="CI96" s="396" t="n"/>
      <c r="CJ96" s="396" t="n"/>
      <c r="CK96" s="396" t="n"/>
      <c r="CL96" s="396" t="n"/>
      <c r="CM96" s="396" t="n"/>
      <c r="CN96" s="396" t="n"/>
      <c r="CO96" s="396" t="n"/>
      <c r="CP96" s="294" t="inlineStr">
        <is>
          <t>D产品</t>
        </is>
      </c>
      <c r="CQ96" s="294">
        <f>IF(第十四期!$AC$12&gt;0,第十四期!$K$9*比赛参数!$D$30*比赛参数!$F$30*$CU$90/第十四期!$AC$12,0)</f>
        <v/>
      </c>
      <c r="CR96" s="294">
        <f>IF(第十四期!$AC$12&gt;0,第十四期!$K$9*比赛参数!$D$30*比赛参数!$F$30*$CU$90/第十四期!$AC$12,0)</f>
        <v/>
      </c>
      <c r="CS96" s="294">
        <f>IF(第十四期!$AC$12&gt;0,第十四期!$K$9*比赛参数!$D$30*比赛参数!$F$30*$CU$90/第十四期!$AC$12,0)</f>
        <v/>
      </c>
      <c r="CT96" s="294">
        <f>IF(第十四期!$AC$12&gt;0,第十四期!$K$9*比赛参数!$D$30*比赛参数!$F$30*$CU$90/第十四期!$AC$12,0)</f>
        <v/>
      </c>
      <c r="CU96" s="215" t="n"/>
    </row>
    <row customHeight="1" ht="18.75" r="97" s="353">
      <c r="B97" s="441" t="n"/>
      <c r="C97" s="25" t="n">
        <v>3</v>
      </c>
      <c r="D97" s="14" t="n"/>
      <c r="E97" s="14" t="n"/>
      <c r="F97" s="14" t="n"/>
      <c r="G97" s="9" t="n"/>
      <c r="H97" s="9" t="n"/>
      <c r="I97" s="14" t="n"/>
      <c r="J97" s="14" t="n"/>
      <c r="K97" s="9" t="n"/>
      <c r="L97" s="10" t="n"/>
      <c r="X97" s="11" t="inlineStr">
        <is>
          <t>市场2</t>
        </is>
      </c>
      <c r="Y97" s="486">
        <f>第十四期!CY62</f>
        <v/>
      </c>
      <c r="Z97" s="486">
        <f>第十四期!CY63</f>
        <v/>
      </c>
      <c r="AA97" s="486">
        <f>第十四期!CY64</f>
        <v/>
      </c>
      <c r="AB97" s="486">
        <f>第十四期!CY65</f>
        <v/>
      </c>
      <c r="AC97" s="126" t="n"/>
      <c r="AE97" s="63" t="inlineStr">
        <is>
          <t>上期加权均价</t>
        </is>
      </c>
      <c r="AF97" s="59" t="inlineStr">
        <is>
          <t>A产品</t>
        </is>
      </c>
      <c r="AG97" s="59" t="inlineStr">
        <is>
          <t>B产品</t>
        </is>
      </c>
      <c r="AH97" s="59" t="inlineStr">
        <is>
          <t>C产品</t>
        </is>
      </c>
      <c r="AI97" s="59" t="inlineStr">
        <is>
          <t>D产品</t>
        </is>
      </c>
      <c r="AJ97" s="63" t="inlineStr">
        <is>
          <t>本期与均价差</t>
        </is>
      </c>
      <c r="AK97" s="59" t="inlineStr">
        <is>
          <t>A产品</t>
        </is>
      </c>
      <c r="AL97" s="59" t="inlineStr">
        <is>
          <t>B产品</t>
        </is>
      </c>
      <c r="AM97" s="59" t="inlineStr">
        <is>
          <t>C产品</t>
        </is>
      </c>
      <c r="AN97" s="59" t="inlineStr">
        <is>
          <t>D产品</t>
        </is>
      </c>
      <c r="AR97" s="185" t="n">
        <v>16</v>
      </c>
      <c r="AS97" s="541">
        <f>IF(AS48="","",(AS48-AS$54)/AS$78)</f>
        <v/>
      </c>
      <c r="AT97" s="542">
        <f>IF(AT48="","",(AT48-AT$54)/AT$78)</f>
        <v/>
      </c>
      <c r="AU97" s="542">
        <f>IF(AU48="","",(AU48-AU$54)/AU$78)</f>
        <v/>
      </c>
      <c r="AV97" s="543">
        <f>IF(AV48="","",(AV48-AV$54)/AV$78)</f>
        <v/>
      </c>
      <c r="AW97" s="541">
        <f>IF(AW48="","",(AW48-AW$54)/AW$78)</f>
        <v/>
      </c>
      <c r="AX97" s="542">
        <f>IF(AX48="","",(AX48-AX$54)/AX$78)</f>
        <v/>
      </c>
      <c r="AY97" s="542">
        <f>IF(AY48="","",(AY48-AY$54)/AY$78)</f>
        <v/>
      </c>
      <c r="AZ97" s="543">
        <f>IF(AZ48="","",(AZ48-AZ$54)/AZ$78)</f>
        <v/>
      </c>
      <c r="BA97" s="541">
        <f>IF(BA48="","",(BA48-BA$54)/BA$78)</f>
        <v/>
      </c>
      <c r="BB97" s="542">
        <f>IF(BB48="","",(BB48-BB$54)/BB$78)</f>
        <v/>
      </c>
      <c r="BC97" s="542">
        <f>IF(BC48="","",(BC48-BC$54)/BC$78)</f>
        <v/>
      </c>
      <c r="BD97" s="543">
        <f>IF(BD48="","",(BD48-BD$54)/BD$78)</f>
        <v/>
      </c>
      <c r="BE97" s="541">
        <f>IF(BE48="","",(BE48-BE$54)/BE$78)</f>
        <v/>
      </c>
      <c r="BF97" s="542">
        <f>IF(BF48="","",(BF48-BF$54)/BF$78)</f>
        <v/>
      </c>
      <c r="BG97" s="542">
        <f>IF(BG48="","",(BG48-BG$54)/BG$78)</f>
        <v/>
      </c>
      <c r="BH97" s="543">
        <f>IF(BH48="","",(BH48-BH$54)/BH$78)</f>
        <v/>
      </c>
      <c r="BI97" s="544">
        <f>IF(AS97="","",AVERAGE(AS97:BH97))</f>
        <v/>
      </c>
      <c r="CB97" s="396" t="n"/>
      <c r="CC97" s="396" t="n"/>
      <c r="CD97" s="396" t="n"/>
      <c r="CE97" s="396" t="n"/>
      <c r="CF97" s="396" t="n"/>
      <c r="CG97" s="396" t="n"/>
      <c r="CH97" s="396" t="n"/>
      <c r="CI97" s="396" t="n"/>
      <c r="CJ97" s="396" t="n"/>
      <c r="CK97" s="396" t="n"/>
      <c r="CL97" s="396" t="n"/>
      <c r="CM97" s="396" t="n"/>
      <c r="CN97" s="396" t="n"/>
      <c r="CO97" s="396" t="n"/>
    </row>
    <row customHeight="1" ht="18.75" r="98" s="353">
      <c r="B98" s="441" t="n"/>
      <c r="C98" s="25" t="n">
        <v>4</v>
      </c>
      <c r="D98" s="14" t="n"/>
      <c r="E98" s="14" t="n"/>
      <c r="F98" s="14" t="n"/>
      <c r="G98" s="9" t="n"/>
      <c r="H98" s="9" t="n"/>
      <c r="I98" s="14" t="n"/>
      <c r="J98" s="14" t="n"/>
      <c r="K98" s="9" t="n"/>
      <c r="L98" s="10" t="n"/>
      <c r="X98" s="11" t="inlineStr">
        <is>
          <t>市场3</t>
        </is>
      </c>
      <c r="Y98" s="486">
        <f>第十四期!CZ62</f>
        <v/>
      </c>
      <c r="Z98" s="486">
        <f>第十四期!CZ63</f>
        <v/>
      </c>
      <c r="AA98" s="486">
        <f>第十四期!CZ64</f>
        <v/>
      </c>
      <c r="AB98" s="486">
        <f>第十四期!CZ65</f>
        <v/>
      </c>
      <c r="AC98" s="126" t="inlineStr">
        <is>
          <t xml:space="preserve"> </t>
        </is>
      </c>
      <c r="AE98" s="47" t="inlineStr">
        <is>
          <t>市场1</t>
        </is>
      </c>
      <c r="AF98" s="549">
        <f>Y234</f>
        <v/>
      </c>
      <c r="AG98" s="549">
        <f>AC234</f>
        <v/>
      </c>
      <c r="AH98" s="549">
        <f>AG234</f>
        <v/>
      </c>
      <c r="AI98" s="549">
        <f>AK234</f>
        <v/>
      </c>
      <c r="AJ98" s="47" t="inlineStr">
        <is>
          <t>市场1</t>
        </is>
      </c>
      <c r="AK98" s="493">
        <f>AF76-AF98</f>
        <v/>
      </c>
      <c r="AL98" s="493">
        <f>AG76-AG98</f>
        <v/>
      </c>
      <c r="AM98" s="493">
        <f>AH76-AH98</f>
        <v/>
      </c>
      <c r="AN98" s="493">
        <f>AI76-AI98</f>
        <v/>
      </c>
      <c r="AR98" s="185" t="n">
        <v>17</v>
      </c>
      <c r="AS98" s="541">
        <f>IF(AS49="","",(AS49-AS$54)/AS$78)</f>
        <v/>
      </c>
      <c r="AT98" s="542">
        <f>IF(AT49="","",(AT49-AT$54)/AT$78)</f>
        <v/>
      </c>
      <c r="AU98" s="542">
        <f>IF(AU49="","",(AU49-AU$54)/AU$78)</f>
        <v/>
      </c>
      <c r="AV98" s="543">
        <f>IF(AV49="","",(AV49-AV$54)/AV$78)</f>
        <v/>
      </c>
      <c r="AW98" s="541">
        <f>IF(AW49="","",(AW49-AW$54)/AW$78)</f>
        <v/>
      </c>
      <c r="AX98" s="542">
        <f>IF(AX49="","",(AX49-AX$54)/AX$78)</f>
        <v/>
      </c>
      <c r="AY98" s="542">
        <f>IF(AY49="","",(AY49-AY$54)/AY$78)</f>
        <v/>
      </c>
      <c r="AZ98" s="543">
        <f>IF(AZ49="","",(AZ49-AZ$54)/AZ$78)</f>
        <v/>
      </c>
      <c r="BA98" s="541">
        <f>IF(BA49="","",(BA49-BA$54)/BA$78)</f>
        <v/>
      </c>
      <c r="BB98" s="542">
        <f>IF(BB49="","",(BB49-BB$54)/BB$78)</f>
        <v/>
      </c>
      <c r="BC98" s="542">
        <f>IF(BC49="","",(BC49-BC$54)/BC$78)</f>
        <v/>
      </c>
      <c r="BD98" s="543">
        <f>IF(BD49="","",(BD49-BD$54)/BD$78)</f>
        <v/>
      </c>
      <c r="BE98" s="541">
        <f>IF(BE49="","",(BE49-BE$54)/BE$78)</f>
        <v/>
      </c>
      <c r="BF98" s="542">
        <f>IF(BF49="","",(BF49-BF$54)/BF$78)</f>
        <v/>
      </c>
      <c r="BG98" s="542">
        <f>IF(BG49="","",(BG49-BG$54)/BG$78)</f>
        <v/>
      </c>
      <c r="BH98" s="543">
        <f>IF(BH49="","",(BH49-BH$54)/BH$78)</f>
        <v/>
      </c>
      <c r="BI98" s="544">
        <f>IF(AS98="","",AVERAGE(AS98:BH98))</f>
        <v/>
      </c>
    </row>
    <row customHeight="1" ht="18.75" r="99" s="353">
      <c r="B99" s="441" t="n"/>
      <c r="C99" s="25" t="n">
        <v>5</v>
      </c>
      <c r="D99" s="14" t="n"/>
      <c r="E99" s="14" t="n"/>
      <c r="F99" s="14" t="n"/>
      <c r="G99" s="9" t="n"/>
      <c r="H99" s="9" t="n"/>
      <c r="I99" s="14" t="n"/>
      <c r="J99" s="14" t="n"/>
      <c r="K99" s="9" t="n"/>
      <c r="L99" s="10" t="n"/>
      <c r="X99" s="11" t="inlineStr">
        <is>
          <t>市场4</t>
        </is>
      </c>
      <c r="Y99" s="486">
        <f>第十四期!DA62</f>
        <v/>
      </c>
      <c r="Z99" s="486">
        <f>第十四期!DA63</f>
        <v/>
      </c>
      <c r="AA99" s="486">
        <f>第十四期!DA64</f>
        <v/>
      </c>
      <c r="AB99" s="486">
        <f>第十四期!DA65</f>
        <v/>
      </c>
      <c r="AC99" s="126" t="n"/>
      <c r="AE99" s="11" t="inlineStr">
        <is>
          <t>市场2</t>
        </is>
      </c>
      <c r="AF99" s="549">
        <f>Z234</f>
        <v/>
      </c>
      <c r="AG99" s="549">
        <f>AD234</f>
        <v/>
      </c>
      <c r="AH99" s="549">
        <f>AH234</f>
        <v/>
      </c>
      <c r="AI99" s="549">
        <f>AL234</f>
        <v/>
      </c>
      <c r="AJ99" s="11" t="inlineStr">
        <is>
          <t>市场2</t>
        </is>
      </c>
      <c r="AK99" s="493">
        <f>AF77-AF99</f>
        <v/>
      </c>
      <c r="AL99" s="493">
        <f>AG77-AG99</f>
        <v/>
      </c>
      <c r="AM99" s="493">
        <f>AH77-AH99</f>
        <v/>
      </c>
      <c r="AN99" s="493">
        <f>AI77-AI99</f>
        <v/>
      </c>
      <c r="AR99" s="185" t="n">
        <v>18</v>
      </c>
      <c r="AS99" s="541">
        <f>IF(AS50="","",(AS50-AS$54)/AS$78)</f>
        <v/>
      </c>
      <c r="AT99" s="542">
        <f>IF(AT50="","",(AT50-AT$54)/AT$78)</f>
        <v/>
      </c>
      <c r="AU99" s="542">
        <f>IF(AU50="","",(AU50-AU$54)/AU$78)</f>
        <v/>
      </c>
      <c r="AV99" s="543">
        <f>IF(AV50="","",(AV50-AV$54)/AV$78)</f>
        <v/>
      </c>
      <c r="AW99" s="541">
        <f>IF(AW50="","",(AW50-AW$54)/AW$78)</f>
        <v/>
      </c>
      <c r="AX99" s="542">
        <f>IF(AX50="","",(AX50-AX$54)/AX$78)</f>
        <v/>
      </c>
      <c r="AY99" s="542">
        <f>IF(AY50="","",(AY50-AY$54)/AY$78)</f>
        <v/>
      </c>
      <c r="AZ99" s="543">
        <f>IF(AZ50="","",(AZ50-AZ$54)/AZ$78)</f>
        <v/>
      </c>
      <c r="BA99" s="541">
        <f>IF(BA50="","",(BA50-BA$54)/BA$78)</f>
        <v/>
      </c>
      <c r="BB99" s="542">
        <f>IF(BB50="","",(BB50-BB$54)/BB$78)</f>
        <v/>
      </c>
      <c r="BC99" s="542">
        <f>IF(BC50="","",(BC50-BC$54)/BC$78)</f>
        <v/>
      </c>
      <c r="BD99" s="543">
        <f>IF(BD50="","",(BD50-BD$54)/BD$78)</f>
        <v/>
      </c>
      <c r="BE99" s="541">
        <f>IF(BE50="","",(BE50-BE$54)/BE$78)</f>
        <v/>
      </c>
      <c r="BF99" s="542">
        <f>IF(BF50="","",(BF50-BF$54)/BF$78)</f>
        <v/>
      </c>
      <c r="BG99" s="542">
        <f>IF(BG50="","",(BG50-BG$54)/BG$78)</f>
        <v/>
      </c>
      <c r="BH99" s="543">
        <f>IF(BH50="","",(BH50-BH$54)/BH$78)</f>
        <v/>
      </c>
      <c r="BI99" s="544">
        <f>IF(AS99="","",AVERAGE(AS99:BH99))</f>
        <v/>
      </c>
    </row>
    <row customHeight="1" ht="18.75" r="100" s="353">
      <c r="B100" s="441" t="n"/>
      <c r="C100" s="25" t="n">
        <v>6</v>
      </c>
      <c r="D100" s="14" t="n"/>
      <c r="E100" s="14" t="n"/>
      <c r="F100" s="14" t="n"/>
      <c r="G100" s="9" t="n"/>
      <c r="H100" s="9" t="n"/>
      <c r="I100" s="14" t="n"/>
      <c r="J100" s="14" t="n"/>
      <c r="K100" s="9" t="n"/>
      <c r="L100" s="10" t="n"/>
      <c r="AE100" s="11" t="inlineStr">
        <is>
          <t>市场3</t>
        </is>
      </c>
      <c r="AF100" s="549">
        <f>AA234</f>
        <v/>
      </c>
      <c r="AG100" s="549">
        <f>AE234</f>
        <v/>
      </c>
      <c r="AH100" s="549">
        <f>AI234</f>
        <v/>
      </c>
      <c r="AI100" s="549">
        <f>AM234</f>
        <v/>
      </c>
      <c r="AJ100" s="11" t="inlineStr">
        <is>
          <t>市场3</t>
        </is>
      </c>
      <c r="AK100" s="493">
        <f>AF78-AF100</f>
        <v/>
      </c>
      <c r="AL100" s="493">
        <f>AG78-AG100</f>
        <v/>
      </c>
      <c r="AM100" s="493">
        <f>AH78-AH100</f>
        <v/>
      </c>
      <c r="AN100" s="493">
        <f>AI78-AI100</f>
        <v/>
      </c>
      <c r="AR100" s="185" t="n">
        <v>19</v>
      </c>
      <c r="AS100" s="541">
        <f>IF(AS51="","",(AS51-AS$54)/AS$78)</f>
        <v/>
      </c>
      <c r="AT100" s="542">
        <f>IF(AT51="","",(AT51-AT$54)/AT$78)</f>
        <v/>
      </c>
      <c r="AU100" s="542">
        <f>IF(AU51="","",(AU51-AU$54)/AU$78)</f>
        <v/>
      </c>
      <c r="AV100" s="543">
        <f>IF(AV51="","",(AV51-AV$54)/AV$78)</f>
        <v/>
      </c>
      <c r="AW100" s="541">
        <f>IF(AW51="","",(AW51-AW$54)/AW$78)</f>
        <v/>
      </c>
      <c r="AX100" s="542">
        <f>IF(AX51="","",(AX51-AX$54)/AX$78)</f>
        <v/>
      </c>
      <c r="AY100" s="542">
        <f>IF(AY51="","",(AY51-AY$54)/AY$78)</f>
        <v/>
      </c>
      <c r="AZ100" s="543">
        <f>IF(AZ51="","",(AZ51-AZ$54)/AZ$78)</f>
        <v/>
      </c>
      <c r="BA100" s="541">
        <f>IF(BA51="","",(BA51-BA$54)/BA$78)</f>
        <v/>
      </c>
      <c r="BB100" s="542">
        <f>IF(BB51="","",(BB51-BB$54)/BB$78)</f>
        <v/>
      </c>
      <c r="BC100" s="542">
        <f>IF(BC51="","",(BC51-BC$54)/BC$78)</f>
        <v/>
      </c>
      <c r="BD100" s="543">
        <f>IF(BD51="","",(BD51-BD$54)/BD$78)</f>
        <v/>
      </c>
      <c r="BE100" s="541">
        <f>IF(BE51="","",(BE51-BE$54)/BE$78)</f>
        <v/>
      </c>
      <c r="BF100" s="542">
        <f>IF(BF51="","",(BF51-BF$54)/BF$78)</f>
        <v/>
      </c>
      <c r="BG100" s="542">
        <f>IF(BG51="","",(BG51-BG$54)/BG$78)</f>
        <v/>
      </c>
      <c r="BH100" s="543">
        <f>IF(BH51="","",(BH51-BH$54)/BH$78)</f>
        <v/>
      </c>
      <c r="BI100" s="544">
        <f>IF(AS100="","",AVERAGE(AS100:BH100))</f>
        <v/>
      </c>
    </row>
    <row customHeight="1" ht="18.75" r="101" s="353">
      <c r="B101" s="441" t="n"/>
      <c r="C101" s="25" t="n">
        <v>7</v>
      </c>
      <c r="D101" s="14" t="n"/>
      <c r="E101" s="14" t="n"/>
      <c r="F101" s="14" t="n"/>
      <c r="G101" s="9" t="n"/>
      <c r="H101" s="9" t="n"/>
      <c r="I101" s="14" t="n"/>
      <c r="J101" s="14" t="n"/>
      <c r="K101" s="9" t="n"/>
      <c r="L101" s="10" t="n"/>
      <c r="X101" s="550" t="inlineStr">
        <is>
          <t>边际贡献率</t>
        </is>
      </c>
      <c r="Y101" s="551" t="inlineStr">
        <is>
          <t>A产品</t>
        </is>
      </c>
      <c r="Z101" s="551" t="inlineStr">
        <is>
          <t>B产品</t>
        </is>
      </c>
      <c r="AA101" s="551" t="inlineStr">
        <is>
          <t>C产品</t>
        </is>
      </c>
      <c r="AB101" s="551" t="inlineStr">
        <is>
          <t>D产品</t>
        </is>
      </c>
      <c r="AC101" s="126" t="n"/>
      <c r="AE101" s="11" t="inlineStr">
        <is>
          <t>市场4</t>
        </is>
      </c>
      <c r="AF101" s="549">
        <f>AB234</f>
        <v/>
      </c>
      <c r="AG101" s="549">
        <f>AF234</f>
        <v/>
      </c>
      <c r="AH101" s="549">
        <f>AJ234</f>
        <v/>
      </c>
      <c r="AI101" s="549">
        <f>AN234</f>
        <v/>
      </c>
      <c r="AJ101" s="11" t="inlineStr">
        <is>
          <t>市场4</t>
        </is>
      </c>
      <c r="AK101" s="493">
        <f>AF79-AF101</f>
        <v/>
      </c>
      <c r="AL101" s="493">
        <f>AG79-AG101</f>
        <v/>
      </c>
      <c r="AM101" s="493">
        <f>AH79-AH101</f>
        <v/>
      </c>
      <c r="AN101" s="493">
        <f>AI79-AI101</f>
        <v/>
      </c>
      <c r="AR101" s="185" t="n">
        <v>20</v>
      </c>
      <c r="AS101" s="541">
        <f>IF(AS52="","",(AS52-AS$54)/AS$78)</f>
        <v/>
      </c>
      <c r="AT101" s="542">
        <f>IF(AT52="","",(AT52-AT$54)/AT$78)</f>
        <v/>
      </c>
      <c r="AU101" s="542">
        <f>IF(AU52="","",(AU52-AU$54)/AU$78)</f>
        <v/>
      </c>
      <c r="AV101" s="543">
        <f>IF(AV52="","",(AV52-AV$54)/AV$78)</f>
        <v/>
      </c>
      <c r="AW101" s="541">
        <f>IF(AW52="","",(AW52-AW$54)/AW$78)</f>
        <v/>
      </c>
      <c r="AX101" s="542">
        <f>IF(AX52="","",(AX52-AX$54)/AX$78)</f>
        <v/>
      </c>
      <c r="AY101" s="542">
        <f>IF(AY52="","",(AY52-AY$54)/AY$78)</f>
        <v/>
      </c>
      <c r="AZ101" s="543">
        <f>IF(AZ52="","",(AZ52-AZ$54)/AZ$78)</f>
        <v/>
      </c>
      <c r="BA101" s="541">
        <f>IF(BA52="","",(BA52-BA$54)/BA$78)</f>
        <v/>
      </c>
      <c r="BB101" s="542">
        <f>IF(BB52="","",(BB52-BB$54)/BB$78)</f>
        <v/>
      </c>
      <c r="BC101" s="542">
        <f>IF(BC52="","",(BC52-BC$54)/BC$78)</f>
        <v/>
      </c>
      <c r="BD101" s="543">
        <f>IF(BD52="","",(BD52-BD$54)/BD$78)</f>
        <v/>
      </c>
      <c r="BE101" s="541">
        <f>IF(BE52="","",(BE52-BE$54)/BE$78)</f>
        <v/>
      </c>
      <c r="BF101" s="542">
        <f>IF(BF52="","",(BF52-BF$54)/BF$78)</f>
        <v/>
      </c>
      <c r="BG101" s="542">
        <f>IF(BG52="","",(BG52-BG$54)/BG$78)</f>
        <v/>
      </c>
      <c r="BH101" s="543">
        <f>IF(BH52="","",(BH52-BH$54)/BH$78)</f>
        <v/>
      </c>
      <c r="BI101" s="544">
        <f>IF(AS101="","",AVERAGE(AS101:BH101))</f>
        <v/>
      </c>
    </row>
    <row customHeight="1" ht="18.75" r="102" s="353">
      <c r="B102" s="441" t="n"/>
      <c r="C102" s="25" t="n">
        <v>8</v>
      </c>
      <c r="D102" s="14" t="n"/>
      <c r="E102" s="14" t="n"/>
      <c r="F102" s="14" t="n"/>
      <c r="G102" s="9" t="n"/>
      <c r="H102" s="9" t="n"/>
      <c r="I102" s="14" t="n"/>
      <c r="J102" s="14" t="n"/>
      <c r="K102" s="9" t="n"/>
      <c r="L102" s="10" t="n"/>
      <c r="X102" s="552" t="inlineStr">
        <is>
          <t>市场1</t>
        </is>
      </c>
      <c r="Y102" s="486">
        <f>(AF76-CJ19)/AF76</f>
        <v/>
      </c>
      <c r="Z102" s="486">
        <f>(AG76-CK19)/AG76</f>
        <v/>
      </c>
      <c r="AA102" s="486">
        <f>(AH76-CL19)/AH76</f>
        <v/>
      </c>
      <c r="AB102" s="486">
        <f>(AI76-CM19)/AI76</f>
        <v/>
      </c>
    </row>
    <row customHeight="1" ht="18.75" r="103" s="353">
      <c r="B103" s="441" t="n"/>
      <c r="C103" s="25" t="n">
        <v>9</v>
      </c>
      <c r="D103" s="14" t="n"/>
      <c r="E103" s="14" t="n"/>
      <c r="F103" s="14" t="n"/>
      <c r="G103" s="9" t="n"/>
      <c r="H103" s="9" t="n"/>
      <c r="I103" s="14" t="n"/>
      <c r="J103" s="14" t="n"/>
      <c r="K103" s="9" t="n"/>
      <c r="L103" s="10" t="n"/>
      <c r="X103" s="553" t="inlineStr">
        <is>
          <t>市场2</t>
        </is>
      </c>
      <c r="Y103" s="486">
        <f>(AF77-CJ20)/AF77</f>
        <v/>
      </c>
      <c r="Z103" s="486">
        <f>(AG77-CK20)/AG77</f>
        <v/>
      </c>
      <c r="AA103" s="486">
        <f>(AH77-CL20)/AH77</f>
        <v/>
      </c>
      <c r="AB103" s="486">
        <f>(AI77-CM20)/AI77</f>
        <v/>
      </c>
      <c r="AC103" s="126" t="n"/>
      <c r="AE103" s="63" t="inlineStr">
        <is>
          <t>库存预测</t>
        </is>
      </c>
      <c r="AF103" s="73" t="inlineStr">
        <is>
          <t>A产品</t>
        </is>
      </c>
      <c r="AG103" s="73" t="inlineStr">
        <is>
          <t>B产品</t>
        </is>
      </c>
      <c r="AH103" s="73" t="inlineStr">
        <is>
          <t>C产品</t>
        </is>
      </c>
      <c r="AI103" s="73" t="inlineStr">
        <is>
          <t>D产品</t>
        </is>
      </c>
      <c r="AJ103" s="305" t="inlineStr">
        <is>
          <t>本期利润</t>
        </is>
      </c>
    </row>
    <row customHeight="1" ht="18.75" r="104" s="353">
      <c r="B104" s="441" t="n"/>
      <c r="C104" s="25" t="n">
        <v>10</v>
      </c>
      <c r="D104" s="14" t="n"/>
      <c r="E104" s="14" t="n"/>
      <c r="F104" s="14" t="n"/>
      <c r="G104" s="9" t="n"/>
      <c r="H104" s="9" t="n"/>
      <c r="I104" s="14" t="n"/>
      <c r="J104" s="14" t="n"/>
      <c r="K104" s="9" t="n"/>
      <c r="L104" s="10" t="n"/>
      <c r="X104" s="553" t="inlineStr">
        <is>
          <t>市场3</t>
        </is>
      </c>
      <c r="Y104" s="486">
        <f>(AF78-CJ21)/AF78</f>
        <v/>
      </c>
      <c r="Z104" s="486">
        <f>(AG78-CK21)/AG78</f>
        <v/>
      </c>
      <c r="AA104" s="486">
        <f>(AH78-CL21)/AH78</f>
        <v/>
      </c>
      <c r="AB104" s="486">
        <f>(AI78-CM21)/AI78</f>
        <v/>
      </c>
      <c r="AC104" s="126" t="n"/>
      <c r="AE104" s="47" t="inlineStr">
        <is>
          <t>市场1</t>
        </is>
      </c>
      <c r="AF104" s="101" t="n"/>
      <c r="AG104" s="101" t="n"/>
      <c r="AH104" s="101" t="n"/>
      <c r="AI104" s="101" t="n"/>
      <c r="AJ104" s="475">
        <f>AF14</f>
        <v/>
      </c>
      <c r="AR104" s="311" t="n"/>
      <c r="AS104" s="312" t="n"/>
      <c r="AT104" s="312" t="n"/>
      <c r="AU104" s="312" t="n"/>
      <c r="AV104" s="312" t="n"/>
      <c r="AW104" s="312" t="n"/>
      <c r="AX104" s="312" t="n"/>
      <c r="AY104" s="312" t="n"/>
      <c r="AZ104" s="312" t="n"/>
      <c r="BA104" s="312" t="n"/>
      <c r="BB104" s="312" t="n"/>
      <c r="BC104" s="312" t="n"/>
      <c r="BD104" s="312" t="n"/>
      <c r="BE104" s="312" t="n"/>
      <c r="BF104" s="312" t="n"/>
      <c r="BG104" s="312" t="n"/>
      <c r="BH104" s="312" t="n"/>
      <c r="BI104" s="312" t="n"/>
      <c r="BJ104" s="312" t="n"/>
      <c r="BK104" s="320" t="n"/>
    </row>
    <row customHeight="1" ht="18.75" r="105" s="353">
      <c r="B105" s="441" t="n"/>
      <c r="C105" s="25" t="n">
        <v>11</v>
      </c>
      <c r="D105" s="14" t="n"/>
      <c r="E105" s="14" t="n"/>
      <c r="F105" s="14" t="n"/>
      <c r="G105" s="9" t="n"/>
      <c r="H105" s="9" t="n"/>
      <c r="I105" s="14" t="n"/>
      <c r="J105" s="14" t="n"/>
      <c r="K105" s="9" t="n"/>
      <c r="L105" s="10" t="n"/>
      <c r="X105" s="553" t="inlineStr">
        <is>
          <t>市场4</t>
        </is>
      </c>
      <c r="Y105" s="486">
        <f>(AF79-CJ22)/AF79</f>
        <v/>
      </c>
      <c r="Z105" s="486">
        <f>(AG79-CK22)/AG79</f>
        <v/>
      </c>
      <c r="AA105" s="486">
        <f>(AH79-CL22)/AH79</f>
        <v/>
      </c>
      <c r="AB105" s="486">
        <f>(AI79-CM22)/AI79</f>
        <v/>
      </c>
      <c r="AC105" s="126" t="n"/>
      <c r="AE105" s="11" t="inlineStr">
        <is>
          <t>市场2</t>
        </is>
      </c>
      <c r="AF105" s="101" t="n"/>
      <c r="AG105" s="101" t="n"/>
      <c r="AH105" s="101" t="n"/>
      <c r="AI105" s="101" t="n"/>
      <c r="AJ105" s="148" t="inlineStr">
        <is>
          <t>期末现金</t>
        </is>
      </c>
      <c r="AR105" s="313" t="n"/>
      <c r="AS105" s="11" t="inlineStr">
        <is>
          <t>评分</t>
        </is>
      </c>
      <c r="AT105" s="11" t="inlineStr">
        <is>
          <t>市场份额</t>
        </is>
      </c>
      <c r="AU105" s="92">
        <f>AR130</f>
        <v/>
      </c>
      <c r="AV105" s="135" t="n"/>
      <c r="AW105" s="73" t="n"/>
      <c r="AX105" s="317" t="n"/>
      <c r="AY105" s="11">
        <f>AR130</f>
        <v/>
      </c>
      <c r="AZ105" s="11">
        <f>AS181</f>
        <v/>
      </c>
      <c r="BA105" s="11">
        <f>AT181</f>
        <v/>
      </c>
      <c r="BB105" s="11">
        <f>AU181</f>
        <v/>
      </c>
      <c r="BC105" s="11">
        <f>AV181</f>
        <v/>
      </c>
      <c r="BD105" s="11">
        <f>AS130</f>
        <v/>
      </c>
      <c r="BE105" s="11">
        <f>AV130</f>
        <v/>
      </c>
      <c r="BF105" s="317" t="n"/>
      <c r="BG105" s="317" t="n"/>
      <c r="BH105" s="317" t="n"/>
      <c r="BI105" s="317" t="n"/>
      <c r="BJ105" s="317" t="n"/>
      <c r="BK105" s="321" t="n"/>
    </row>
    <row customHeight="1" ht="18.75" r="106" s="353">
      <c r="B106" s="441" t="n"/>
      <c r="C106" s="25" t="n">
        <v>12</v>
      </c>
      <c r="D106" s="14" t="n"/>
      <c r="E106" s="14" t="n"/>
      <c r="F106" s="14" t="n"/>
      <c r="G106" s="9" t="n"/>
      <c r="H106" s="9" t="n"/>
      <c r="I106" s="14" t="n"/>
      <c r="J106" s="14" t="n"/>
      <c r="K106" s="9" t="n"/>
      <c r="L106" s="10" t="n"/>
      <c r="X106" s="215" t="n"/>
      <c r="Y106" s="215" t="n"/>
      <c r="Z106" s="215" t="n"/>
      <c r="AA106" s="215" t="n"/>
      <c r="AB106" s="215" t="n"/>
      <c r="AC106" s="215" t="n"/>
      <c r="AE106" s="11" t="inlineStr">
        <is>
          <t>市场3</t>
        </is>
      </c>
      <c r="AF106" s="101" t="n"/>
      <c r="AG106" s="101" t="n"/>
      <c r="AH106" s="101" t="n"/>
      <c r="AI106" s="101" t="n"/>
      <c r="AJ106" s="478">
        <f>AJ20</f>
        <v/>
      </c>
      <c r="AR106" s="313" t="n"/>
      <c r="AS106" s="11" t="inlineStr">
        <is>
          <t>公司</t>
        </is>
      </c>
      <c r="AT106" s="11" t="inlineStr">
        <is>
          <t>A产品</t>
        </is>
      </c>
      <c r="AU106" s="11" t="inlineStr">
        <is>
          <t>B产品</t>
        </is>
      </c>
      <c r="AV106" s="11" t="inlineStr">
        <is>
          <t>C产品</t>
        </is>
      </c>
      <c r="AW106" s="11" t="inlineStr">
        <is>
          <t>D产品</t>
        </is>
      </c>
      <c r="AX106" s="11" t="inlineStr">
        <is>
          <t>公司</t>
        </is>
      </c>
      <c r="AY106" s="11" t="inlineStr">
        <is>
          <t>市场份额</t>
        </is>
      </c>
      <c r="AZ106" s="11" t="inlineStr">
        <is>
          <t>本期利润</t>
        </is>
      </c>
      <c r="BA106" s="11" t="inlineStr">
        <is>
          <t>累计纳税</t>
        </is>
      </c>
      <c r="BB106" s="11" t="inlineStr">
        <is>
          <t>累计分红</t>
        </is>
      </c>
      <c r="BC106" s="11" t="inlineStr">
        <is>
          <t>净资产</t>
        </is>
      </c>
      <c r="BD106" s="11" t="inlineStr">
        <is>
          <t>人均利润率</t>
        </is>
      </c>
      <c r="BE106" s="11" t="inlineStr">
        <is>
          <t>资本利润率</t>
        </is>
      </c>
      <c r="BF106" s="294" t="inlineStr">
        <is>
          <t>利润率贡献</t>
        </is>
      </c>
      <c r="BG106" s="294" t="inlineStr">
        <is>
          <t>本期贡献</t>
        </is>
      </c>
      <c r="BH106" s="294" t="inlineStr">
        <is>
          <t>上上期分数</t>
        </is>
      </c>
      <c r="BI106" s="294" t="inlineStr">
        <is>
          <t>理论分数</t>
        </is>
      </c>
      <c r="BJ106" s="322" t="inlineStr">
        <is>
          <t>综合分</t>
        </is>
      </c>
      <c r="BK106" s="321" t="n"/>
    </row>
    <row customHeight="1" ht="18.75" r="107" s="353">
      <c r="B107" s="441" t="n"/>
      <c r="C107" s="25" t="n">
        <v>13</v>
      </c>
      <c r="D107" s="14" t="n"/>
      <c r="E107" s="14" t="n"/>
      <c r="F107" s="14" t="n"/>
      <c r="G107" s="9" t="n"/>
      <c r="H107" s="9" t="n"/>
      <c r="I107" s="14" t="n"/>
      <c r="J107" s="14" t="n"/>
      <c r="K107" s="9" t="n"/>
      <c r="L107" s="10" t="n"/>
      <c r="X107" s="63" t="inlineStr">
        <is>
          <t>预计废品数</t>
        </is>
      </c>
      <c r="Y107" s="59" t="inlineStr">
        <is>
          <t>A产品</t>
        </is>
      </c>
      <c r="Z107" s="59" t="inlineStr">
        <is>
          <t>B产品</t>
        </is>
      </c>
      <c r="AA107" s="73" t="inlineStr">
        <is>
          <t>C产品</t>
        </is>
      </c>
      <c r="AB107" s="73" t="inlineStr">
        <is>
          <t>D产品</t>
        </is>
      </c>
      <c r="AC107" s="126" t="n"/>
      <c r="AE107" s="11" t="inlineStr">
        <is>
          <t>市场4</t>
        </is>
      </c>
      <c r="AF107" s="101" t="n"/>
      <c r="AG107" s="101" t="n"/>
      <c r="AH107" s="101" t="n"/>
      <c r="AI107" s="101" t="n"/>
      <c r="AJ107" s="148" t="inlineStr">
        <is>
          <t>库存金额</t>
        </is>
      </c>
      <c r="AR107" s="313" t="n"/>
      <c r="AS107" s="347" t="n">
        <v>1</v>
      </c>
      <c r="AT107" s="554">
        <f>IF(AS82="","",AVERAGE(AS82:AV82)*$AR$130)</f>
        <v/>
      </c>
      <c r="AU107" s="554">
        <f>IF(AW82="","",AVERAGE(AW82:AZ82)*$AR$130)</f>
        <v/>
      </c>
      <c r="AV107" s="554">
        <f>IF(BA82="","",AVERAGE(BA82:BD82)*$AR$130)</f>
        <v/>
      </c>
      <c r="AW107" s="554">
        <f>IF(BE82="","",AVERAGE(BE82:BH82)*$AR$130)</f>
        <v/>
      </c>
      <c r="AX107" s="347" t="n">
        <v>1</v>
      </c>
      <c r="AY107" s="554">
        <f>IF(BI82="","",BI82*$AR$130)</f>
        <v/>
      </c>
      <c r="AZ107" s="554">
        <f>AS183</f>
        <v/>
      </c>
      <c r="BA107" s="554">
        <f>AT183</f>
        <v/>
      </c>
      <c r="BB107" s="554">
        <f>AU183</f>
        <v/>
      </c>
      <c r="BC107" s="554">
        <f>AV183</f>
        <v/>
      </c>
      <c r="BD107" s="318" t="n"/>
      <c r="BE107" s="318" t="n"/>
      <c r="BF107" s="554">
        <f>(BJ107-BL107-BI107)/0.607</f>
        <v/>
      </c>
      <c r="BG107" s="554">
        <f>SUM(AY107:BC107)</f>
        <v/>
      </c>
      <c r="BH107" s="101" t="n"/>
      <c r="BI107" s="554">
        <f>(BG107+0.5*BH107)*0.607</f>
        <v/>
      </c>
      <c r="BJ107" s="323">
        <f>K95</f>
        <v/>
      </c>
      <c r="BK107" s="324" t="n"/>
      <c r="BL107" s="215">
        <f>IF(I95&lt;E95,-0.1,0)</f>
        <v/>
      </c>
    </row>
    <row customHeight="1" ht="18.75" r="108" s="353">
      <c r="B108" s="441" t="n"/>
      <c r="C108" s="25" t="n">
        <v>14</v>
      </c>
      <c r="D108" s="14" t="n"/>
      <c r="E108" s="14" t="n"/>
      <c r="F108" s="14" t="n"/>
      <c r="G108" s="9" t="n"/>
      <c r="H108" s="9" t="n"/>
      <c r="I108" s="14" t="n"/>
      <c r="J108" s="14" t="n"/>
      <c r="K108" s="9" t="n"/>
      <c r="L108" s="10" t="n"/>
      <c r="X108" s="47" t="inlineStr">
        <is>
          <t>市场1</t>
        </is>
      </c>
      <c r="Y108" s="294">
        <f>IF(Y88*$Y$113-INT(Y88*$Y$113)&lt;0.5,INT(Y88*$Y$113),INT(Y88*$Y$113)+1)</f>
        <v/>
      </c>
      <c r="Z108" s="294">
        <f>IF(Z88*$Z$113-INT(Z88*$Z$113)&lt;0.5,INT(Z88*$Z$113),INT(Z88*$Z$113)+1)</f>
        <v/>
      </c>
      <c r="AA108" s="294">
        <f>IF(AA88*$AA$113-INT(AA88*$AA$113)&lt;0.5,INT(AA88*$AA$113),INT(AA88*$AA$113)+1)</f>
        <v/>
      </c>
      <c r="AB108" s="294">
        <f>IF(AB88*$AB$113-INT(AB88*$AB$113)&lt;0.5,INT(AB88*$AB$113),INT(AB88*$AB$113)+1)</f>
        <v/>
      </c>
      <c r="AE108" s="11" t="inlineStr">
        <is>
          <t>总计</t>
        </is>
      </c>
      <c r="AF108" s="294">
        <f>SUM(AF104:AF107)</f>
        <v/>
      </c>
      <c r="AG108" s="294">
        <f>SUM(AG104:AG107)</f>
        <v/>
      </c>
      <c r="AH108" s="294">
        <f>SUM(AH104:AH107)</f>
        <v/>
      </c>
      <c r="AI108" s="294">
        <f>SUM(AI104:AI107)</f>
        <v/>
      </c>
      <c r="AJ108" s="294">
        <f>SUMPRODUCT(AF104:AI107,AF76:AI79)</f>
        <v/>
      </c>
      <c r="AR108" s="313" t="n"/>
      <c r="AS108" s="347" t="n">
        <v>2</v>
      </c>
      <c r="AT108" s="554">
        <f>IF(AS83="","",AVERAGE(AS83:AV83)*$AR$130)</f>
        <v/>
      </c>
      <c r="AU108" s="554">
        <f>IF(AW83="","",AVERAGE(AW83:AZ83)*$AR$130)</f>
        <v/>
      </c>
      <c r="AV108" s="554">
        <f>IF(BA83="","",AVERAGE(BA83:BD83)*$AR$130)</f>
        <v/>
      </c>
      <c r="AW108" s="554">
        <f>IF(BE83="","",AVERAGE(BE83:BH83)*$AR$130)</f>
        <v/>
      </c>
      <c r="AX108" s="347" t="n">
        <v>2</v>
      </c>
      <c r="AY108" s="554">
        <f>IF(BI83="","",BI83*$AR$130)</f>
        <v/>
      </c>
      <c r="AZ108" s="554">
        <f>AS184</f>
        <v/>
      </c>
      <c r="BA108" s="554">
        <f>AT184</f>
        <v/>
      </c>
      <c r="BB108" s="554">
        <f>AU184</f>
        <v/>
      </c>
      <c r="BC108" s="554">
        <f>AV184</f>
        <v/>
      </c>
      <c r="BD108" s="318" t="n"/>
      <c r="BE108" s="318" t="n"/>
      <c r="BF108" s="554">
        <f>(BJ108-BL108-BI108)/0.607</f>
        <v/>
      </c>
      <c r="BG108" s="554">
        <f>SUM(AY108:BC108)</f>
        <v/>
      </c>
      <c r="BH108" s="101" t="n"/>
      <c r="BI108" s="554">
        <f>(BG108+0.5*BH108)*0.607</f>
        <v/>
      </c>
      <c r="BJ108" s="323">
        <f>K96</f>
        <v/>
      </c>
      <c r="BK108" s="324" t="n"/>
      <c r="BL108" s="215">
        <f>IF(I96&lt;E96,-0.1,0)</f>
        <v/>
      </c>
    </row>
    <row customHeight="1" ht="18.75" r="109" s="353">
      <c r="B109" s="441" t="n"/>
      <c r="C109" s="25" t="n">
        <v>15</v>
      </c>
      <c r="D109" s="14" t="n"/>
      <c r="E109" s="14" t="n"/>
      <c r="F109" s="14" t="n"/>
      <c r="G109" s="9" t="n"/>
      <c r="H109" s="9" t="n"/>
      <c r="I109" s="14" t="n"/>
      <c r="J109" s="14" t="n"/>
      <c r="K109" s="9" t="n"/>
      <c r="L109" s="10" t="n"/>
      <c r="X109" s="11" t="inlineStr">
        <is>
          <t>市场2</t>
        </is>
      </c>
      <c r="Y109" s="294">
        <f>IF(Y89*$Y$113-INT(Y89*$Y$113)&lt;0.5,INT(Y89*$Y$113),INT(Y89*$Y$113)+1)</f>
        <v/>
      </c>
      <c r="Z109" s="294">
        <f>IF(Z89*$Z$113-INT(Z89*$Z$113)&lt;0.5,INT(Z89*$Z$113),INT(Z89*$Z$113)+1)</f>
        <v/>
      </c>
      <c r="AA109" s="294">
        <f>IF(AA89*$AA$113-INT(AA89*$AA$113)&lt;0.5,INT(AA89*$AA$113),INT(AA89*$AA$113)+1)</f>
        <v/>
      </c>
      <c r="AB109" s="294">
        <f>IF(AB89*$AB$113-INT(AB89*$AB$113)&lt;0.5,INT(AB89*$AB$113),INT(AB89*$AB$113)+1)</f>
        <v/>
      </c>
      <c r="AC109" s="215" t="n"/>
      <c r="AK109" s="148" t="inlineStr">
        <is>
          <t>现有机器数</t>
        </is>
      </c>
      <c r="AL109" s="493">
        <f>AA20</f>
        <v/>
      </c>
      <c r="AR109" s="313" t="n"/>
      <c r="AS109" s="347" t="n">
        <v>3</v>
      </c>
      <c r="AT109" s="554">
        <f>IF(AS84="","",AVERAGE(AS84:AV84)*$AR$130)</f>
        <v/>
      </c>
      <c r="AU109" s="554">
        <f>IF(AW84="","",AVERAGE(AW84:AZ84)*$AR$130)</f>
        <v/>
      </c>
      <c r="AV109" s="554">
        <f>IF(BA84="","",AVERAGE(BA84:BD84)*$AR$130)</f>
        <v/>
      </c>
      <c r="AW109" s="554">
        <f>IF(BE84="","",AVERAGE(BE84:BH84)*$AR$130)</f>
        <v/>
      </c>
      <c r="AX109" s="347" t="n">
        <v>3</v>
      </c>
      <c r="AY109" s="554">
        <f>IF(BI84="","",BI84*$AR$130)</f>
        <v/>
      </c>
      <c r="AZ109" s="554">
        <f>AS185</f>
        <v/>
      </c>
      <c r="BA109" s="554">
        <f>AT185</f>
        <v/>
      </c>
      <c r="BB109" s="554">
        <f>AU185</f>
        <v/>
      </c>
      <c r="BC109" s="554">
        <f>AV185</f>
        <v/>
      </c>
      <c r="BD109" s="318" t="n"/>
      <c r="BE109" s="318" t="n"/>
      <c r="BF109" s="554">
        <f>(BJ109-BL109-BI109)/0.607</f>
        <v/>
      </c>
      <c r="BG109" s="554">
        <f>SUM(AY109:BC109)</f>
        <v/>
      </c>
      <c r="BH109" s="101" t="n"/>
      <c r="BI109" s="554">
        <f>(BG109+0.5*BH109)*0.607</f>
        <v/>
      </c>
      <c r="BJ109" s="323">
        <f>K97</f>
        <v/>
      </c>
      <c r="BK109" s="324" t="n"/>
      <c r="BL109" s="215">
        <f>IF(I97&lt;E97,-0.1,0)</f>
        <v/>
      </c>
    </row>
    <row customHeight="1" ht="18.75" r="110" s="353">
      <c r="B110" s="441" t="n"/>
      <c r="C110" s="25" t="n">
        <v>16</v>
      </c>
      <c r="D110" s="14" t="n"/>
      <c r="E110" s="14" t="n"/>
      <c r="F110" s="14" t="n"/>
      <c r="G110" s="9" t="n"/>
      <c r="H110" s="9" t="n"/>
      <c r="I110" s="14" t="n"/>
      <c r="J110" s="14" t="n"/>
      <c r="K110" s="9" t="n"/>
      <c r="L110" s="10" t="n"/>
      <c r="X110" s="11" t="inlineStr">
        <is>
          <t>市场3</t>
        </is>
      </c>
      <c r="Y110" s="294">
        <f>IF(Y90*$Y$113-INT(Y90*$Y$113)&lt;0.5,INT(Y90*$Y$113),INT(Y90*$Y$113)+1)</f>
        <v/>
      </c>
      <c r="Z110" s="294">
        <f>IF(Z90*$Z$113-INT(Z90*$Z$113)&lt;0.5,INT(Z90*$Z$113),INT(Z90*$Z$113)+1)</f>
        <v/>
      </c>
      <c r="AA110" s="294">
        <f>IF(AA90*$AA$113-INT(AA90*$AA$113)&lt;0.5,INT(AA90*$AA$113),INT(AA90*$AA$113)+1)</f>
        <v/>
      </c>
      <c r="AB110" s="294">
        <f>IF(AB90*$AB$113-INT(AB90*$AB$113)&lt;0.5,INT(AB90*$AB$113),INT(AB90*$AB$113)+1)</f>
        <v/>
      </c>
      <c r="AC110" s="215" t="n"/>
      <c r="AE110" s="148" t="inlineStr">
        <is>
          <t>供应机器数</t>
        </is>
      </c>
      <c r="AF110" s="294">
        <f>SUM(AF64:AF67)*比赛参数!D26/1300</f>
        <v/>
      </c>
      <c r="AG110" s="294">
        <f>SUM(AG64:AG67)*比赛参数!E26/1300</f>
        <v/>
      </c>
      <c r="AH110" s="294">
        <f>SUM(AH64:AH67)*比赛参数!F26/1300</f>
        <v/>
      </c>
      <c r="AI110" s="294">
        <f>SUM(AI64:AI67)*比赛参数!G26/1300</f>
        <v/>
      </c>
      <c r="AJ110" s="294">
        <f>SUM(AF110:AI110)</f>
        <v/>
      </c>
      <c r="AK110" s="148" t="inlineStr">
        <is>
          <t>供应机器数</t>
        </is>
      </c>
      <c r="AL110" s="493">
        <f>SUM(AF110:AI110)</f>
        <v/>
      </c>
      <c r="AR110" s="313" t="n"/>
      <c r="AS110" s="347" t="n">
        <v>4</v>
      </c>
      <c r="AT110" s="554">
        <f>IF(AS85="","",AVERAGE(AS85:AV85)*$AR$130)</f>
        <v/>
      </c>
      <c r="AU110" s="554">
        <f>IF(AW85="","",AVERAGE(AW85:AZ85)*$AR$130)</f>
        <v/>
      </c>
      <c r="AV110" s="554">
        <f>IF(BA85="","",AVERAGE(BA85:BD85)*$AR$130)</f>
        <v/>
      </c>
      <c r="AW110" s="554">
        <f>IF(BE85="","",AVERAGE(BE85:BH85)*$AR$130)</f>
        <v/>
      </c>
      <c r="AX110" s="347" t="n">
        <v>4</v>
      </c>
      <c r="AY110" s="554">
        <f>IF(BI85="","",BI85*$AR$130)</f>
        <v/>
      </c>
      <c r="AZ110" s="554">
        <f>AS186</f>
        <v/>
      </c>
      <c r="BA110" s="554">
        <f>AT186</f>
        <v/>
      </c>
      <c r="BB110" s="554">
        <f>AU186</f>
        <v/>
      </c>
      <c r="BC110" s="554">
        <f>AV186</f>
        <v/>
      </c>
      <c r="BD110" s="318" t="n"/>
      <c r="BE110" s="318" t="n"/>
      <c r="BF110" s="554">
        <f>(BJ110-BL110-BI110)/0.607</f>
        <v/>
      </c>
      <c r="BG110" s="554">
        <f>SUM(AY110:BC110)</f>
        <v/>
      </c>
      <c r="BH110" s="101" t="n"/>
      <c r="BI110" s="554">
        <f>(BG110+0.5*BH110)*0.607</f>
        <v/>
      </c>
      <c r="BJ110" s="323">
        <f>K98</f>
        <v/>
      </c>
      <c r="BK110" s="324" t="n"/>
      <c r="BL110" s="215">
        <f>IF(I98&lt;E98,-0.1,0)</f>
        <v/>
      </c>
    </row>
    <row customHeight="1" ht="18.75" r="111" s="353">
      <c r="B111" s="441" t="n"/>
      <c r="C111" s="25" t="n">
        <v>17</v>
      </c>
      <c r="D111" s="14" t="n"/>
      <c r="E111" s="14" t="n"/>
      <c r="F111" s="14" t="n"/>
      <c r="G111" s="9" t="n"/>
      <c r="H111" s="9" t="n"/>
      <c r="I111" s="14" t="n"/>
      <c r="J111" s="14" t="n"/>
      <c r="K111" s="9" t="n"/>
      <c r="L111" s="10" t="n"/>
      <c r="X111" s="11" t="inlineStr">
        <is>
          <t>市场4</t>
        </is>
      </c>
      <c r="Y111" s="294">
        <f>IF(Y91*$Y$113-INT(Y91*$Y$113)&lt;0.5,INT(Y91*$Y$113),INT(Y91*$Y$113)+1)</f>
        <v/>
      </c>
      <c r="Z111" s="294">
        <f>IF(Z91*$Z$113-INT(Z91*$Z$113)&lt;0.5,INT(Z91*$Z$113),INT(Z91*$Z$113)+1)</f>
        <v/>
      </c>
      <c r="AA111" s="294">
        <f>IF(AA91*$AA$113-INT(AA91*$AA$113)&lt;0.5,INT(AA91*$AA$113),INT(AA91*$AA$113)+1)</f>
        <v/>
      </c>
      <c r="AB111" s="294">
        <f>IF(AB91*$AB$113-INT(AB91*$AB$113)&lt;0.5,INT(AB91*$AB$113),INT(AB91*$AB$113)+1)</f>
        <v/>
      </c>
      <c r="AC111" s="215" t="n"/>
      <c r="AE111" s="148" t="inlineStr">
        <is>
          <t>销售机器数</t>
        </is>
      </c>
      <c r="AF111" s="294">
        <f>(SUM(AF64:AF67)-SUM(AF104:AF107))*比赛参数!D26/1300</f>
        <v/>
      </c>
      <c r="AG111" s="294">
        <f>(SUM(AG64:AG67)-SUM(AG104:AG107))*比赛参数!E26/1300</f>
        <v/>
      </c>
      <c r="AH111" s="294">
        <f>(SUM(AH64:AH67)-SUM(AH104:AH107))*比赛参数!F26/1300</f>
        <v/>
      </c>
      <c r="AI111" s="294">
        <f>(SUM(AI64:AI67)-SUM(AI104:AI107))*比赛参数!G26/1300</f>
        <v/>
      </c>
      <c r="AJ111" s="294">
        <f>SUM(AF111:AI111)</f>
        <v/>
      </c>
      <c r="AK111" s="148" t="inlineStr">
        <is>
          <t>销售机器数</t>
        </is>
      </c>
      <c r="AL111" s="493">
        <f>AJ111</f>
        <v/>
      </c>
      <c r="AR111" s="313" t="n"/>
      <c r="AS111" s="347" t="n">
        <v>5</v>
      </c>
      <c r="AT111" s="554">
        <f>IF(AS86="","",AVERAGE(AS86:AV86)*$AR$130)</f>
        <v/>
      </c>
      <c r="AU111" s="554">
        <f>IF(AW86="","",AVERAGE(AW86:AZ86)*$AR$130)</f>
        <v/>
      </c>
      <c r="AV111" s="554">
        <f>IF(BA86="","",AVERAGE(BA86:BD86)*$AR$130)</f>
        <v/>
      </c>
      <c r="AW111" s="554">
        <f>IF(BE86="","",AVERAGE(BE86:BH86)*$AR$130)</f>
        <v/>
      </c>
      <c r="AX111" s="347" t="n">
        <v>5</v>
      </c>
      <c r="AY111" s="554">
        <f>IF(BI86="","",BI86*$AR$130)</f>
        <v/>
      </c>
      <c r="AZ111" s="554">
        <f>AS187</f>
        <v/>
      </c>
      <c r="BA111" s="554">
        <f>AT187</f>
        <v/>
      </c>
      <c r="BB111" s="554">
        <f>AU187</f>
        <v/>
      </c>
      <c r="BC111" s="554">
        <f>AV187</f>
        <v/>
      </c>
      <c r="BD111" s="318" t="n"/>
      <c r="BE111" s="318" t="n"/>
      <c r="BF111" s="554">
        <f>(BJ111-BL111-BI111)/0.607</f>
        <v/>
      </c>
      <c r="BG111" s="554">
        <f>SUM(AY111:BC111)</f>
        <v/>
      </c>
      <c r="BH111" s="101" t="n"/>
      <c r="BI111" s="554">
        <f>(BG111+0.5*BH111)*0.607</f>
        <v/>
      </c>
      <c r="BJ111" s="323">
        <f>K99</f>
        <v/>
      </c>
      <c r="BK111" s="324" t="n"/>
      <c r="BL111" s="215">
        <f>IF(I99&lt;E99,-0.1,0)</f>
        <v/>
      </c>
    </row>
    <row customHeight="1" ht="18.75" r="112" s="353">
      <c r="B112" s="441" t="n"/>
      <c r="C112" s="25" t="n">
        <v>18</v>
      </c>
      <c r="D112" s="14" t="n"/>
      <c r="E112" s="14" t="n"/>
      <c r="F112" s="14" t="n"/>
      <c r="G112" s="9" t="n"/>
      <c r="H112" s="9" t="n"/>
      <c r="I112" s="14" t="n"/>
      <c r="J112" s="14" t="n"/>
      <c r="K112" s="9" t="n"/>
      <c r="L112" s="10" t="n"/>
      <c r="X112" s="215" t="n"/>
      <c r="Y112" s="215" t="n"/>
      <c r="Z112" s="215" t="n"/>
      <c r="AA112" s="215" t="n"/>
      <c r="AB112" s="215" t="n"/>
      <c r="AC112" s="215" t="n"/>
      <c r="AE112" s="148" t="inlineStr">
        <is>
          <t>百分比</t>
        </is>
      </c>
      <c r="AF112" s="142">
        <f>AF111/AF110</f>
        <v/>
      </c>
      <c r="AG112" s="142">
        <f>AG111/AG110</f>
        <v/>
      </c>
      <c r="AH112" s="142">
        <f>AH111/AH110</f>
        <v/>
      </c>
      <c r="AI112" s="142">
        <f>AI111/AI110</f>
        <v/>
      </c>
      <c r="AJ112" s="142">
        <f>AJ111/AJ110</f>
        <v/>
      </c>
      <c r="AK112" s="148" t="inlineStr">
        <is>
          <t>销售比例</t>
        </is>
      </c>
      <c r="AL112" s="306">
        <f>AL111/AL110</f>
        <v/>
      </c>
      <c r="AR112" s="313" t="n"/>
      <c r="AS112" s="347" t="n">
        <v>6</v>
      </c>
      <c r="AT112" s="554">
        <f>IF(AS87="","",AVERAGE(AS87:AV87)*$AR$130)</f>
        <v/>
      </c>
      <c r="AU112" s="554">
        <f>IF(AW87="","",AVERAGE(AW87:AZ87)*$AR$130)</f>
        <v/>
      </c>
      <c r="AV112" s="554">
        <f>IF(BA87="","",AVERAGE(BA87:BD87)*$AR$130)</f>
        <v/>
      </c>
      <c r="AW112" s="554">
        <f>IF(BE87="","",AVERAGE(BE87:BH87)*$AR$130)</f>
        <v/>
      </c>
      <c r="AX112" s="347" t="n">
        <v>6</v>
      </c>
      <c r="AY112" s="554">
        <f>IF(BI87="","",BI87*$AR$130)</f>
        <v/>
      </c>
      <c r="AZ112" s="554">
        <f>AS188</f>
        <v/>
      </c>
      <c r="BA112" s="554">
        <f>AT188</f>
        <v/>
      </c>
      <c r="BB112" s="554">
        <f>AU188</f>
        <v/>
      </c>
      <c r="BC112" s="554">
        <f>AV188</f>
        <v/>
      </c>
      <c r="BD112" s="318" t="n"/>
      <c r="BE112" s="318" t="n"/>
      <c r="BF112" s="554">
        <f>(BJ112-BL112-BI112)/0.607</f>
        <v/>
      </c>
      <c r="BG112" s="554">
        <f>SUM(AY112:BC112)</f>
        <v/>
      </c>
      <c r="BH112" s="101" t="n"/>
      <c r="BI112" s="554">
        <f>(BG112+0.5*BH112)*0.607</f>
        <v/>
      </c>
      <c r="BJ112" s="323">
        <f>K100</f>
        <v/>
      </c>
      <c r="BK112" s="324" t="n"/>
      <c r="BL112" s="215">
        <f>IF(I100&lt;E100,-0.1,0)</f>
        <v/>
      </c>
    </row>
    <row customHeight="1" ht="18.75" r="113" s="353">
      <c r="B113" s="441" t="n"/>
      <c r="C113" s="25" t="n">
        <v>19</v>
      </c>
      <c r="D113" s="14" t="n"/>
      <c r="E113" s="14" t="n"/>
      <c r="F113" s="14" t="n"/>
      <c r="G113" s="9" t="n"/>
      <c r="H113" s="9" t="n"/>
      <c r="I113" s="14" t="n"/>
      <c r="J113" s="14" t="n"/>
      <c r="K113" s="9" t="n"/>
      <c r="L113" s="10" t="n"/>
      <c r="X113" s="63" t="inlineStr">
        <is>
          <t>废品系数</t>
        </is>
      </c>
      <c r="Y113" s="555">
        <f>Y122</f>
        <v/>
      </c>
      <c r="Z113" s="555">
        <f>Z122</f>
        <v/>
      </c>
      <c r="AA113" s="555">
        <f>AA122</f>
        <v/>
      </c>
      <c r="AB113" s="555">
        <f>AB122</f>
        <v/>
      </c>
      <c r="AC113" s="215" t="n"/>
      <c r="AR113" s="313" t="n"/>
      <c r="AS113" s="347" t="n">
        <v>7</v>
      </c>
      <c r="AT113" s="554">
        <f>IF(AS88="","",AVERAGE(AS88:AV88)*$AR$130)</f>
        <v/>
      </c>
      <c r="AU113" s="554">
        <f>IF(AW88="","",AVERAGE(AW88:AZ88)*$AR$130)</f>
        <v/>
      </c>
      <c r="AV113" s="554">
        <f>IF(BA88="","",AVERAGE(BA88:BD88)*$AR$130)</f>
        <v/>
      </c>
      <c r="AW113" s="554">
        <f>IF(BE88="","",AVERAGE(BE88:BH88)*$AR$130)</f>
        <v/>
      </c>
      <c r="AX113" s="347" t="n">
        <v>7</v>
      </c>
      <c r="AY113" s="554">
        <f>IF(BI88="","",BI88*$AR$130)</f>
        <v/>
      </c>
      <c r="AZ113" s="554">
        <f>AS189</f>
        <v/>
      </c>
      <c r="BA113" s="554">
        <f>AT189</f>
        <v/>
      </c>
      <c r="BB113" s="554">
        <f>AU189</f>
        <v/>
      </c>
      <c r="BC113" s="554">
        <f>AV189</f>
        <v/>
      </c>
      <c r="BD113" s="318" t="n"/>
      <c r="BE113" s="318" t="n"/>
      <c r="BF113" s="554">
        <f>(BJ113-BL113-BI113)/0.607</f>
        <v/>
      </c>
      <c r="BG113" s="554">
        <f>SUM(AY113:BC113)</f>
        <v/>
      </c>
      <c r="BH113" s="101" t="n"/>
      <c r="BI113" s="554">
        <f>(BG113+0.5*BH113)*0.607</f>
        <v/>
      </c>
      <c r="BJ113" s="323">
        <f>K101</f>
        <v/>
      </c>
      <c r="BK113" s="324" t="n"/>
      <c r="BL113" s="215">
        <f>IF(I101&lt;E101,-0.1,0)</f>
        <v/>
      </c>
    </row>
    <row customHeight="1" ht="20.1" r="114" s="353">
      <c r="B114" s="441" t="n"/>
      <c r="C114" s="25" t="n">
        <v>20</v>
      </c>
      <c r="D114" s="14" t="n"/>
      <c r="E114" s="14" t="n"/>
      <c r="F114" s="14" t="n"/>
      <c r="G114" s="9" t="n"/>
      <c r="H114" s="9" t="n"/>
      <c r="I114" s="14" t="n"/>
      <c r="J114" s="14" t="n"/>
      <c r="K114" s="9" t="n"/>
      <c r="L114" s="10" t="n"/>
      <c r="X114" s="215" t="n"/>
      <c r="Y114" s="215" t="n"/>
      <c r="Z114" s="215" t="n"/>
      <c r="AA114" s="215" t="n"/>
      <c r="AB114" s="215" t="n"/>
      <c r="AC114" s="215" t="n"/>
      <c r="AR114" s="313" t="n"/>
      <c r="AS114" s="347" t="n">
        <v>8</v>
      </c>
      <c r="AT114" s="554">
        <f>IF(AS89="","",AVERAGE(AS89:AV89)*$AR$130)</f>
        <v/>
      </c>
      <c r="AU114" s="554">
        <f>IF(AW89="","",AVERAGE(AW89:AZ89)*$AR$130)</f>
        <v/>
      </c>
      <c r="AV114" s="554">
        <f>IF(BA89="","",AVERAGE(BA89:BD89)*$AR$130)</f>
        <v/>
      </c>
      <c r="AW114" s="554">
        <f>IF(BE89="","",AVERAGE(BE89:BH89)*$AR$130)</f>
        <v/>
      </c>
      <c r="AX114" s="347" t="n">
        <v>8</v>
      </c>
      <c r="AY114" s="554">
        <f>IF(BI89="","",BI89*$AR$130)</f>
        <v/>
      </c>
      <c r="AZ114" s="554">
        <f>AS190</f>
        <v/>
      </c>
      <c r="BA114" s="554">
        <f>AT190</f>
        <v/>
      </c>
      <c r="BB114" s="554">
        <f>AU190</f>
        <v/>
      </c>
      <c r="BC114" s="554">
        <f>AV190</f>
        <v/>
      </c>
      <c r="BD114" s="318" t="n"/>
      <c r="BE114" s="318" t="n"/>
      <c r="BF114" s="554">
        <f>(BJ114-BL114-BI114)/0.607</f>
        <v/>
      </c>
      <c r="BG114" s="554">
        <f>SUM(AY114:BC114)</f>
        <v/>
      </c>
      <c r="BH114" s="101" t="n"/>
      <c r="BI114" s="554">
        <f>(BG114+0.5*BH114)*0.607</f>
        <v/>
      </c>
      <c r="BJ114" s="323">
        <f>K102</f>
        <v/>
      </c>
      <c r="BK114" s="324" t="n"/>
      <c r="BL114" s="215">
        <f>IF(I102&lt;E102,-0.1,0)</f>
        <v/>
      </c>
    </row>
    <row customHeight="1" ht="20.1" r="115" s="353"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X115" s="63" t="inlineStr">
        <is>
          <t>进一步毛利率</t>
        </is>
      </c>
      <c r="Y115" s="73" t="inlineStr">
        <is>
          <t>A产品</t>
        </is>
      </c>
      <c r="Z115" s="73" t="inlineStr">
        <is>
          <t>B产品</t>
        </is>
      </c>
      <c r="AA115" s="73" t="inlineStr">
        <is>
          <t>C产品</t>
        </is>
      </c>
      <c r="AB115" s="73" t="inlineStr">
        <is>
          <t>D产品</t>
        </is>
      </c>
      <c r="AR115" s="313" t="n"/>
      <c r="AS115" s="347" t="n">
        <v>9</v>
      </c>
      <c r="AT115" s="554">
        <f>IF(AS90="","",AVERAGE(AS90:AV90)*$AR$130)</f>
        <v/>
      </c>
      <c r="AU115" s="554">
        <f>IF(AW90="","",AVERAGE(AW90:AZ90)*$AR$130)</f>
        <v/>
      </c>
      <c r="AV115" s="554">
        <f>IF(BA90="","",AVERAGE(BA90:BD90)*$AR$130)</f>
        <v/>
      </c>
      <c r="AW115" s="554">
        <f>IF(BE90="","",AVERAGE(BE90:BH90)*$AR$130)</f>
        <v/>
      </c>
      <c r="AX115" s="347" t="n">
        <v>9</v>
      </c>
      <c r="AY115" s="554">
        <f>IF(BI90="","",BI90*$AR$130)</f>
        <v/>
      </c>
      <c r="AZ115" s="554">
        <f>AS191</f>
        <v/>
      </c>
      <c r="BA115" s="554">
        <f>AT191</f>
        <v/>
      </c>
      <c r="BB115" s="554">
        <f>AU191</f>
        <v/>
      </c>
      <c r="BC115" s="554">
        <f>AV191</f>
        <v/>
      </c>
      <c r="BD115" s="318" t="n"/>
      <c r="BE115" s="318" t="n"/>
      <c r="BF115" s="554">
        <f>(BJ115-BL115-BI115)/0.607</f>
        <v/>
      </c>
      <c r="BG115" s="554">
        <f>SUM(AY115:BC115)</f>
        <v/>
      </c>
      <c r="BH115" s="101" t="n"/>
      <c r="BI115" s="554">
        <f>(BG115+0.5*BH115)*0.607</f>
        <v/>
      </c>
      <c r="BJ115" s="323">
        <f>K103</f>
        <v/>
      </c>
      <c r="BK115" s="324" t="n"/>
      <c r="BL115" s="215">
        <f>IF(I103&lt;E103,-0.1,0)</f>
        <v/>
      </c>
    </row>
    <row customHeight="1" ht="20.1" r="116" s="353">
      <c r="X116" s="47" t="inlineStr">
        <is>
          <t>市场1</t>
        </is>
      </c>
      <c r="Y116" s="539">
        <f>(AF76-CJ27-$AF$81-AK76)/(CJ27+$AF$81+AK76)</f>
        <v/>
      </c>
      <c r="Z116" s="539">
        <f>(AG76-CK27-$AG$81-AK76)/(CK27+$AG$81+AK76)</f>
        <v/>
      </c>
      <c r="AA116" s="539">
        <f>(AH76-CL27-$AH$81-AK76)/(CL27+$AH$81+AK76)</f>
        <v/>
      </c>
      <c r="AB116" s="539">
        <f>(AI76-CM27-$AI$81-AK76)/(CM27+$AI$81+AK76)</f>
        <v/>
      </c>
      <c r="AC116" s="215" t="n"/>
      <c r="AR116" s="313" t="n"/>
      <c r="AS116" s="347" t="n">
        <v>10</v>
      </c>
      <c r="AT116" s="554">
        <f>IF(AS91="","",AVERAGE(AS91:AV91)*$AR$130)</f>
        <v/>
      </c>
      <c r="AU116" s="554">
        <f>IF(AW91="","",AVERAGE(AW91:AZ91)*$AR$130)</f>
        <v/>
      </c>
      <c r="AV116" s="554">
        <f>IF(BA91="","",AVERAGE(BA91:BD91)*$AR$130)</f>
        <v/>
      </c>
      <c r="AW116" s="554">
        <f>IF(BE91="","",AVERAGE(BE91:BH91)*$AR$130)</f>
        <v/>
      </c>
      <c r="AX116" s="347" t="n">
        <v>10</v>
      </c>
      <c r="AY116" s="554">
        <f>IF(BI91="","",BI91*$AR$130)</f>
        <v/>
      </c>
      <c r="AZ116" s="554">
        <f>AS192</f>
        <v/>
      </c>
      <c r="BA116" s="554">
        <f>AT192</f>
        <v/>
      </c>
      <c r="BB116" s="554">
        <f>AU192</f>
        <v/>
      </c>
      <c r="BC116" s="554">
        <f>AV192</f>
        <v/>
      </c>
      <c r="BD116" s="318" t="n"/>
      <c r="BE116" s="318" t="n"/>
      <c r="BF116" s="554">
        <f>(BJ116-BL116-BI116)/0.607</f>
        <v/>
      </c>
      <c r="BG116" s="554">
        <f>SUM(AY116:BC116)</f>
        <v/>
      </c>
      <c r="BH116" s="101" t="n"/>
      <c r="BI116" s="554">
        <f>(BG116+0.5*BH116)*0.607</f>
        <v/>
      </c>
      <c r="BJ116" s="323">
        <f>K104</f>
        <v/>
      </c>
      <c r="BK116" s="324" t="n"/>
      <c r="BL116" s="215">
        <f>IF(I104&lt;E104,-0.1,0)</f>
        <v/>
      </c>
    </row>
    <row customHeight="1" ht="20.1" r="117" s="353">
      <c r="X117" s="11" t="inlineStr">
        <is>
          <t>市场2</t>
        </is>
      </c>
      <c r="Y117" s="539">
        <f>(AF77-CJ28-$AF$81-AK77)/(CJ28+$AF$81+AK77)</f>
        <v/>
      </c>
      <c r="Z117" s="539">
        <f>(AG77-CK28-$AG$81-AK77)/(CK28+$AG$81+AK77)</f>
        <v/>
      </c>
      <c r="AA117" s="539">
        <f>(AH77-CL28-$AH$81-AK77)/(CL28+$AH$81+AK77)</f>
        <v/>
      </c>
      <c r="AB117" s="539">
        <f>(AI77-CM28-$AI$81-AK77)/(CM28+$AI$81+AK77)</f>
        <v/>
      </c>
      <c r="AC117" s="215" t="n"/>
      <c r="AR117" s="313" t="n"/>
      <c r="AS117" s="347" t="n">
        <v>11</v>
      </c>
      <c r="AT117" s="554">
        <f>IF(AS92="","",AVERAGE(AS92:AV92)*$AR$130)</f>
        <v/>
      </c>
      <c r="AU117" s="554">
        <f>IF(AW92="","",AVERAGE(AW92:AZ92)*$AR$130)</f>
        <v/>
      </c>
      <c r="AV117" s="554">
        <f>IF(BA92="","",AVERAGE(BA92:BD92)*$AR$130)</f>
        <v/>
      </c>
      <c r="AW117" s="554">
        <f>IF(BE92="","",AVERAGE(BE92:BH92)*$AR$130)</f>
        <v/>
      </c>
      <c r="AX117" s="347" t="n">
        <v>11</v>
      </c>
      <c r="AY117" s="554">
        <f>IF(BI92="","",BI92*$AR$130)</f>
        <v/>
      </c>
      <c r="AZ117" s="554">
        <f>AS193</f>
        <v/>
      </c>
      <c r="BA117" s="554">
        <f>AT193</f>
        <v/>
      </c>
      <c r="BB117" s="554">
        <f>AU193</f>
        <v/>
      </c>
      <c r="BC117" s="554">
        <f>AV193</f>
        <v/>
      </c>
      <c r="BD117" s="318" t="n"/>
      <c r="BE117" s="318" t="n"/>
      <c r="BF117" s="554">
        <f>(BJ117-BL117-BI117)/0.607</f>
        <v/>
      </c>
      <c r="BG117" s="554">
        <f>SUM(AY117:BC117)</f>
        <v/>
      </c>
      <c r="BH117" s="101" t="n"/>
      <c r="BI117" s="554">
        <f>(BG117+0.5*BH117)*0.607</f>
        <v/>
      </c>
      <c r="BJ117" s="323">
        <f>K105</f>
        <v/>
      </c>
      <c r="BK117" s="324" t="n"/>
      <c r="BL117" s="215">
        <f>IF(I105&lt;E105,-0.1,0)</f>
        <v/>
      </c>
    </row>
    <row customHeight="1" ht="20.1" r="118" s="353">
      <c r="X118" s="11" t="inlineStr">
        <is>
          <t>市场3</t>
        </is>
      </c>
      <c r="Y118" s="539">
        <f>(AF78-CJ29-$AF$81-AK78)/(CJ29+$AF$81+AK78)</f>
        <v/>
      </c>
      <c r="Z118" s="539">
        <f>(AG78-CK29-$AG$81-AK78)/(CK29+$AG$81+AK78)</f>
        <v/>
      </c>
      <c r="AA118" s="539">
        <f>(AH78-CL29-$AH$81-AK78)/(CL29+$AH$81+AK78)</f>
        <v/>
      </c>
      <c r="AB118" s="539">
        <f>(AI78-CM29-$AI$81-AK78)/(CM29+$AI$81+AK78)</f>
        <v/>
      </c>
      <c r="AC118" s="215" t="n"/>
      <c r="AR118" s="313" t="n"/>
      <c r="AS118" s="347" t="n">
        <v>12</v>
      </c>
      <c r="AT118" s="554">
        <f>IF(AS93="","",AVERAGE(AS93:AV93)*$AR$130)</f>
        <v/>
      </c>
      <c r="AU118" s="554">
        <f>IF(AW93="","",AVERAGE(AW93:AZ93)*$AR$130)</f>
        <v/>
      </c>
      <c r="AV118" s="554">
        <f>IF(BA93="","",AVERAGE(BA93:BD93)*$AR$130)</f>
        <v/>
      </c>
      <c r="AW118" s="554">
        <f>IF(BE93="","",AVERAGE(BE93:BH93)*$AR$130)</f>
        <v/>
      </c>
      <c r="AX118" s="347" t="n">
        <v>12</v>
      </c>
      <c r="AY118" s="554">
        <f>IF(BI93="","",BI93*$AR$130)</f>
        <v/>
      </c>
      <c r="AZ118" s="554">
        <f>AS194</f>
        <v/>
      </c>
      <c r="BA118" s="554">
        <f>AT194</f>
        <v/>
      </c>
      <c r="BB118" s="554">
        <f>AU194</f>
        <v/>
      </c>
      <c r="BC118" s="554">
        <f>AV194</f>
        <v/>
      </c>
      <c r="BD118" s="318" t="n"/>
      <c r="BE118" s="318" t="n"/>
      <c r="BF118" s="554">
        <f>(BJ118-BL118-BI118)/0.607</f>
        <v/>
      </c>
      <c r="BG118" s="554">
        <f>SUM(AY118:BC118)</f>
        <v/>
      </c>
      <c r="BH118" s="101" t="n"/>
      <c r="BI118" s="554">
        <f>(BG118+0.5*BH118)*0.607</f>
        <v/>
      </c>
      <c r="BJ118" s="323">
        <f>K106</f>
        <v/>
      </c>
      <c r="BK118" s="324" t="n"/>
      <c r="BL118" s="215">
        <f>IF(I106&lt;E106,-0.1,0)</f>
        <v/>
      </c>
    </row>
    <row customHeight="1" ht="20.1" r="119" s="353">
      <c r="X119" s="11" t="inlineStr">
        <is>
          <t>市场4</t>
        </is>
      </c>
      <c r="Y119" s="539">
        <f>(AF79-CJ30-$AF$81-AK79)/(CJ30+$AF$81+AK79)</f>
        <v/>
      </c>
      <c r="Z119" s="539">
        <f>(AG79-CK30-$AG$81-AK79)/(CK30+$AG$81+AK79)</f>
        <v/>
      </c>
      <c r="AA119" s="539">
        <f>(AH79-CL30-$AH$81-AK79)/(CL30+$AH$81+AK79)</f>
        <v/>
      </c>
      <c r="AB119" s="539">
        <f>(AI79-CM30-$AI$81-AK79)/(CM30+$AI$81+AK79)</f>
        <v/>
      </c>
      <c r="AC119" s="297" t="n"/>
      <c r="AR119" s="313" t="n"/>
      <c r="AS119" s="347" t="n">
        <v>13</v>
      </c>
      <c r="AT119" s="554">
        <f>IF(AS94="","",AVERAGE(AS94:AV94)*$AR$130)</f>
        <v/>
      </c>
      <c r="AU119" s="554">
        <f>IF(AW94="","",AVERAGE(AW94:AZ94)*$AR$130)</f>
        <v/>
      </c>
      <c r="AV119" s="554">
        <f>IF(BA94="","",AVERAGE(BA94:BD94)*$AR$130)</f>
        <v/>
      </c>
      <c r="AW119" s="554">
        <f>IF(BE94="","",AVERAGE(BE94:BH94)*$AR$130)</f>
        <v/>
      </c>
      <c r="AX119" s="347" t="n">
        <v>13</v>
      </c>
      <c r="AY119" s="554">
        <f>IF(BI94="","",BI94*$AR$130)</f>
        <v/>
      </c>
      <c r="AZ119" s="554">
        <f>AS195</f>
        <v/>
      </c>
      <c r="BA119" s="554">
        <f>AT195</f>
        <v/>
      </c>
      <c r="BB119" s="554">
        <f>AU195</f>
        <v/>
      </c>
      <c r="BC119" s="554">
        <f>AV195</f>
        <v/>
      </c>
      <c r="BD119" s="318" t="n"/>
      <c r="BE119" s="318" t="n"/>
      <c r="BF119" s="554">
        <f>(BJ119-BL119-BI119)/0.607</f>
        <v/>
      </c>
      <c r="BG119" s="554">
        <f>SUM(AY119:BC119)</f>
        <v/>
      </c>
      <c r="BH119" s="101" t="n"/>
      <c r="BI119" s="554">
        <f>(BG119+0.5*BH119)*0.607</f>
        <v/>
      </c>
      <c r="BJ119" s="323">
        <f>K107</f>
        <v/>
      </c>
      <c r="BK119" s="324" t="n"/>
      <c r="BL119" s="215">
        <f>IF(I107&lt;E107,-0.1,0)</f>
        <v/>
      </c>
    </row>
    <row customHeight="1" ht="20.1" r="120" s="353">
      <c r="AR120" s="313" t="n"/>
      <c r="AS120" s="347" t="n">
        <v>14</v>
      </c>
      <c r="AT120" s="554">
        <f>IF(AS95="","",AVERAGE(AS95:AV95)*$AR$130)</f>
        <v/>
      </c>
      <c r="AU120" s="554">
        <f>IF(AW95="","",AVERAGE(AW95:AZ95)*$AR$130)</f>
        <v/>
      </c>
      <c r="AV120" s="554">
        <f>IF(BA95="","",AVERAGE(BA95:BD95)*$AR$130)</f>
        <v/>
      </c>
      <c r="AW120" s="554">
        <f>IF(BE95="","",AVERAGE(BE95:BH95)*$AR$130)</f>
        <v/>
      </c>
      <c r="AX120" s="347" t="n">
        <v>14</v>
      </c>
      <c r="AY120" s="554">
        <f>IF(BI95="","",BI95*$AR$130)</f>
        <v/>
      </c>
      <c r="AZ120" s="554">
        <f>AS196</f>
        <v/>
      </c>
      <c r="BA120" s="554">
        <f>AT196</f>
        <v/>
      </c>
      <c r="BB120" s="554">
        <f>AU196</f>
        <v/>
      </c>
      <c r="BC120" s="554">
        <f>AV196</f>
        <v/>
      </c>
      <c r="BD120" s="318" t="n"/>
      <c r="BE120" s="318" t="n"/>
      <c r="BF120" s="554">
        <f>(BJ120-BL120-BI120)/0.607</f>
        <v/>
      </c>
      <c r="BG120" s="554">
        <f>SUM(AY120:BC120)</f>
        <v/>
      </c>
      <c r="BH120" s="101" t="n"/>
      <c r="BI120" s="554">
        <f>(BG120+0.5*BH120)*0.607</f>
        <v/>
      </c>
      <c r="BJ120" s="323">
        <f>K108</f>
        <v/>
      </c>
      <c r="BK120" s="324" t="n"/>
      <c r="BL120" s="215">
        <f>IF(I108&lt;E108,-0.1,0)</f>
        <v/>
      </c>
    </row>
    <row customHeight="1" ht="20.1" r="121" s="353">
      <c r="X121" s="63" t="inlineStr">
        <is>
          <t>废品系数</t>
        </is>
      </c>
      <c r="Y121" s="298" t="inlineStr">
        <is>
          <t>A产品</t>
        </is>
      </c>
      <c r="Z121" s="298" t="inlineStr">
        <is>
          <t>B产品</t>
        </is>
      </c>
      <c r="AA121" s="298" t="inlineStr">
        <is>
          <t>C产品</t>
        </is>
      </c>
      <c r="AB121" s="298" t="inlineStr">
        <is>
          <t>D产品</t>
        </is>
      </c>
      <c r="AR121" s="313" t="n"/>
      <c r="AS121" s="347" t="n">
        <v>15</v>
      </c>
      <c r="AT121" s="554">
        <f>IF(AS96="","",AVERAGE(AS96:AV96)*$AR$130)</f>
        <v/>
      </c>
      <c r="AU121" s="554">
        <f>IF(AW96="","",AVERAGE(AW96:AZ96)*$AR$130)</f>
        <v/>
      </c>
      <c r="AV121" s="554">
        <f>IF(BA96="","",AVERAGE(BA96:BD96)*$AR$130)</f>
        <v/>
      </c>
      <c r="AW121" s="554">
        <f>IF(BE96="","",AVERAGE(BE96:BH96)*$AR$130)</f>
        <v/>
      </c>
      <c r="AX121" s="347" t="n">
        <v>15</v>
      </c>
      <c r="AY121" s="554">
        <f>IF(BI96="","",BI96*$AR$130)</f>
        <v/>
      </c>
      <c r="AZ121" s="554">
        <f>AS197</f>
        <v/>
      </c>
      <c r="BA121" s="554">
        <f>AT197</f>
        <v/>
      </c>
      <c r="BB121" s="554">
        <f>AU197</f>
        <v/>
      </c>
      <c r="BC121" s="554">
        <f>AV197</f>
        <v/>
      </c>
      <c r="BD121" s="318" t="n"/>
      <c r="BE121" s="318" t="n"/>
      <c r="BF121" s="554">
        <f>(BJ121-BL121-BI121)/0.607</f>
        <v/>
      </c>
      <c r="BG121" s="554">
        <f>SUM(AY121:BC121)</f>
        <v/>
      </c>
      <c r="BH121" s="101" t="n"/>
      <c r="BI121" s="554">
        <f>(BG121+0.5*BH121)*0.607</f>
        <v/>
      </c>
      <c r="BJ121" s="323">
        <f>K109</f>
        <v/>
      </c>
      <c r="BK121" s="324" t="n"/>
      <c r="BL121" s="215">
        <f>IF(I109&lt;E109,-0.1,0)</f>
        <v/>
      </c>
    </row>
    <row customHeight="1" ht="20.1" r="122" s="353">
      <c r="X122" s="282" t="inlineStr">
        <is>
          <t>考虑上期影响（选用）</t>
        </is>
      </c>
      <c r="Y122" s="299">
        <f>IF(1-(($AH$18-1)*Y125/10+0.95+(H42-0.95)*Y124)&gt;0,1-(($AH$18-1)*Y125/10+0.95+(H42-0.95)*Y124),0)</f>
        <v/>
      </c>
      <c r="Z122" s="299">
        <f>IF(1-(($AH$18-1)*Z125/10+0.95+(H43-0.95)*Z124)&gt;0,1-(($AH$18-1)*Z125/10+0.95+(H43-0.95)*Z124),0)</f>
        <v/>
      </c>
      <c r="AA122" s="299">
        <f>1-(($AH$18-1)*AA125/10+0.95+(H44-0.95)*AA124)</f>
        <v/>
      </c>
      <c r="AB122" s="299">
        <f>1-(($AH$18-1)*AB125/10+0.95+(H45-0.95)*AB124)</f>
        <v/>
      </c>
      <c r="AR122" s="313" t="n"/>
      <c r="AS122" s="347" t="n">
        <v>16</v>
      </c>
      <c r="AT122" s="554">
        <f>IF(AS97="","",AVERAGE(AS97:AV97)*$AR$130)</f>
        <v/>
      </c>
      <c r="AU122" s="554">
        <f>IF(AW97="","",AVERAGE(AW97:AZ97)*$AR$130)</f>
        <v/>
      </c>
      <c r="AV122" s="554">
        <f>IF(BA97="","",AVERAGE(BA97:BD97)*$AR$130)</f>
        <v/>
      </c>
      <c r="AW122" s="554">
        <f>IF(BE97="","",AVERAGE(BE97:BH97)*$AR$130)</f>
        <v/>
      </c>
      <c r="AX122" s="347" t="n">
        <v>16</v>
      </c>
      <c r="AY122" s="554">
        <f>IF(BI97="","",BI97*$AR$130)</f>
        <v/>
      </c>
      <c r="AZ122" s="554">
        <f>AS198</f>
        <v/>
      </c>
      <c r="BA122" s="554">
        <f>AT198</f>
        <v/>
      </c>
      <c r="BB122" s="554">
        <f>AU198</f>
        <v/>
      </c>
      <c r="BC122" s="554">
        <f>AV198</f>
        <v/>
      </c>
      <c r="BD122" s="318" t="n"/>
      <c r="BE122" s="318" t="n"/>
      <c r="BF122" s="554">
        <f>(BJ122-BL122-BI122)/0.607</f>
        <v/>
      </c>
      <c r="BG122" s="554">
        <f>SUM(AY122:BC122)</f>
        <v/>
      </c>
      <c r="BH122" s="101" t="n"/>
      <c r="BI122" s="554">
        <f>(BG122+0.5*BH122)*0.607</f>
        <v/>
      </c>
      <c r="BJ122" s="323">
        <f>K110</f>
        <v/>
      </c>
      <c r="BK122" s="324" t="n"/>
      <c r="BL122" s="215">
        <f>IF(I110&lt;E110,-0.1,0)</f>
        <v/>
      </c>
    </row>
    <row customHeight="1" ht="20.1" r="123" s="353">
      <c r="X123" s="282" t="inlineStr">
        <is>
          <t>正品率</t>
        </is>
      </c>
      <c r="Y123" s="299">
        <f>1-Y122</f>
        <v/>
      </c>
      <c r="Z123" s="299">
        <f>1-Z122</f>
        <v/>
      </c>
      <c r="AA123" s="299">
        <f>1-AA122</f>
        <v/>
      </c>
      <c r="AB123" s="299">
        <f>1-AB122</f>
        <v/>
      </c>
      <c r="AR123" s="313" t="n"/>
      <c r="AS123" s="347" t="n">
        <v>17</v>
      </c>
      <c r="AT123" s="554">
        <f>IF(AS98="","",AVERAGE(AS98:AV98)*$AR$130)</f>
        <v/>
      </c>
      <c r="AU123" s="554">
        <f>IF(AW98="","",AVERAGE(AW98:AZ98)*$AR$130)</f>
        <v/>
      </c>
      <c r="AV123" s="554">
        <f>IF(BA98="","",AVERAGE(BA98:BD98)*$AR$130)</f>
        <v/>
      </c>
      <c r="AW123" s="554">
        <f>IF(BE98="","",AVERAGE(BE98:BH98)*$AR$130)</f>
        <v/>
      </c>
      <c r="AX123" s="347" t="n">
        <v>17</v>
      </c>
      <c r="AY123" s="554">
        <f>IF(BI98="","",BI98*$AR$130)</f>
        <v/>
      </c>
      <c r="AZ123" s="554">
        <f>AS199</f>
        <v/>
      </c>
      <c r="BA123" s="554">
        <f>AT199</f>
        <v/>
      </c>
      <c r="BB123" s="554">
        <f>AU199</f>
        <v/>
      </c>
      <c r="BC123" s="554">
        <f>AV199</f>
        <v/>
      </c>
      <c r="BD123" s="318" t="n"/>
      <c r="BE123" s="318" t="n"/>
      <c r="BF123" s="554">
        <f>(BJ123-BL123-BI123)/0.607</f>
        <v/>
      </c>
      <c r="BG123" s="554">
        <f>SUM(AY123:BC123)</f>
        <v/>
      </c>
      <c r="BH123" s="101" t="n"/>
      <c r="BI123" s="554">
        <f>(BG123+0.5*BH123)*0.607</f>
        <v/>
      </c>
      <c r="BJ123" s="323">
        <f>K111</f>
        <v/>
      </c>
      <c r="BK123" s="324" t="n"/>
      <c r="BL123" s="215">
        <f>IF(I111&lt;E111,-0.1,0)</f>
        <v/>
      </c>
    </row>
    <row customHeight="1" ht="20.1" r="124" s="353">
      <c r="X124" s="282" t="inlineStr">
        <is>
          <t>影响因子</t>
        </is>
      </c>
      <c r="Y124" s="101" t="n">
        <v>0.3</v>
      </c>
      <c r="Z124" s="101" t="n">
        <v>0.3</v>
      </c>
      <c r="AA124" s="101" t="n">
        <v>0.3</v>
      </c>
      <c r="AB124" s="101" t="n">
        <v>0.3</v>
      </c>
      <c r="AR124" s="313" t="n"/>
      <c r="AS124" s="347" t="n">
        <v>18</v>
      </c>
      <c r="AT124" s="554">
        <f>IF(AS99="","",AVERAGE(AS99:AV99)*$AR$130)</f>
        <v/>
      </c>
      <c r="AU124" s="554">
        <f>IF(AW99="","",AVERAGE(AW99:AZ99)*$AR$130)</f>
        <v/>
      </c>
      <c r="AV124" s="554">
        <f>IF(BA99="","",AVERAGE(BA99:BD99)*$AR$130)</f>
        <v/>
      </c>
      <c r="AW124" s="554">
        <f>IF(BE99="","",AVERAGE(BE99:BH99)*$AR$130)</f>
        <v/>
      </c>
      <c r="AX124" s="347" t="n">
        <v>18</v>
      </c>
      <c r="AY124" s="554">
        <f>IF(BI99="","",BI99*$AR$130)</f>
        <v/>
      </c>
      <c r="AZ124" s="554">
        <f>AS200</f>
        <v/>
      </c>
      <c r="BA124" s="554">
        <f>AT200</f>
        <v/>
      </c>
      <c r="BB124" s="554">
        <f>AU200</f>
        <v/>
      </c>
      <c r="BC124" s="554">
        <f>AV200</f>
        <v/>
      </c>
      <c r="BD124" s="318" t="n"/>
      <c r="BE124" s="318" t="n"/>
      <c r="BF124" s="554">
        <f>(BJ124-BL124-BI124)/0.607</f>
        <v/>
      </c>
      <c r="BG124" s="554">
        <f>SUM(AY124:BC124)</f>
        <v/>
      </c>
      <c r="BH124" s="101" t="n"/>
      <c r="BI124" s="554">
        <f>(BG124+0.5*BH124)*0.607</f>
        <v/>
      </c>
      <c r="BJ124" s="323">
        <f>K112</f>
        <v/>
      </c>
      <c r="BK124" s="324" t="n"/>
      <c r="BL124" s="215">
        <f>IF(I112&lt;E112,-0.1,0)</f>
        <v/>
      </c>
    </row>
    <row customHeight="1" ht="20.1" r="125" s="353">
      <c r="X125" s="215" t="inlineStr">
        <is>
          <t>系数</t>
        </is>
      </c>
      <c r="Y125" s="101" t="n">
        <v>0.7</v>
      </c>
      <c r="Z125" s="101" t="n">
        <v>0.7</v>
      </c>
      <c r="AA125" s="101" t="n">
        <v>0.7</v>
      </c>
      <c r="AB125" s="101" t="n">
        <v>0.7</v>
      </c>
      <c r="AR125" s="313" t="n"/>
      <c r="AS125" s="347" t="n">
        <v>19</v>
      </c>
      <c r="AT125" s="554">
        <f>IF(AS100="","",AVERAGE(AS100:AV100)*$AR$130)</f>
        <v/>
      </c>
      <c r="AU125" s="554">
        <f>IF(AW100="","",AVERAGE(AW100:AZ100)*$AR$130)</f>
        <v/>
      </c>
      <c r="AV125" s="554">
        <f>IF(BA100="","",AVERAGE(BA100:BD100)*$AR$130)</f>
        <v/>
      </c>
      <c r="AW125" s="554">
        <f>IF(BE100="","",AVERAGE(BE100:BH100)*$AR$130)</f>
        <v/>
      </c>
      <c r="AX125" s="347" t="n">
        <v>19</v>
      </c>
      <c r="AY125" s="554">
        <f>IF(BI100="","",BI100*$AR$130)</f>
        <v/>
      </c>
      <c r="AZ125" s="554">
        <f>AS201</f>
        <v/>
      </c>
      <c r="BA125" s="554">
        <f>AT201</f>
        <v/>
      </c>
      <c r="BB125" s="554">
        <f>AU201</f>
        <v/>
      </c>
      <c r="BC125" s="554">
        <f>AV201</f>
        <v/>
      </c>
      <c r="BD125" s="318" t="n"/>
      <c r="BE125" s="318" t="n"/>
      <c r="BF125" s="554">
        <f>(BJ125-BL125-BI125)/0.607</f>
        <v/>
      </c>
      <c r="BG125" s="554">
        <f>SUM(AY125:BC125)</f>
        <v/>
      </c>
      <c r="BH125" s="101" t="n"/>
      <c r="BI125" s="554">
        <f>(BG125+0.5*BH125)*0.607</f>
        <v/>
      </c>
      <c r="BJ125" s="323">
        <f>K113</f>
        <v/>
      </c>
      <c r="BK125" s="324" t="n"/>
      <c r="BL125" s="215">
        <f>IF(I113&lt;E113,-0.1,0)</f>
        <v/>
      </c>
    </row>
    <row customHeight="1" ht="20.1" r="126" s="353">
      <c r="AR126" s="313" t="n"/>
      <c r="AS126" s="347" t="n">
        <v>20</v>
      </c>
      <c r="AT126" s="554">
        <f>IF(AS101="","",AVERAGE(AS101:AV101)*$AR$130)</f>
        <v/>
      </c>
      <c r="AU126" s="554">
        <f>IF(AW101="","",AVERAGE(AW101:AZ101)*$AR$130)</f>
        <v/>
      </c>
      <c r="AV126" s="554">
        <f>IF(BA101="","",AVERAGE(BA101:BD101)*$AR$130)</f>
        <v/>
      </c>
      <c r="AW126" s="554">
        <f>IF(BE101="","",AVERAGE(BE101:BH101)*$AR$130)</f>
        <v/>
      </c>
      <c r="AX126" s="347" t="n">
        <v>20</v>
      </c>
      <c r="AY126" s="554">
        <f>IF(BI101="","",BI101*$AR$130)</f>
        <v/>
      </c>
      <c r="AZ126" s="554">
        <f>AS202</f>
        <v/>
      </c>
      <c r="BA126" s="554">
        <f>AT202</f>
        <v/>
      </c>
      <c r="BB126" s="554">
        <f>AU202</f>
        <v/>
      </c>
      <c r="BC126" s="554">
        <f>AV202</f>
        <v/>
      </c>
      <c r="BD126" s="318" t="n"/>
      <c r="BE126" s="318" t="n"/>
      <c r="BF126" s="554">
        <f>(BJ126-BL126-BI126)/0.607</f>
        <v/>
      </c>
      <c r="BG126" s="554">
        <f>SUM(AY126:BC126)</f>
        <v/>
      </c>
      <c r="BH126" s="101" t="n"/>
      <c r="BI126" s="554">
        <f>(BG126+0.5*BH126)*0.607</f>
        <v/>
      </c>
      <c r="BJ126" s="323">
        <f>K114</f>
        <v/>
      </c>
      <c r="BK126" s="324" t="n"/>
      <c r="BL126" s="215">
        <f>IF(I114&lt;E114,-0.1,0)</f>
        <v/>
      </c>
    </row>
    <row customHeight="1" ht="20.1" r="127" s="353">
      <c r="AR127" s="315" t="n"/>
      <c r="AS127" s="316" t="n"/>
      <c r="AT127" s="316" t="n"/>
      <c r="AU127" s="316" t="n"/>
      <c r="AV127" s="316" t="n"/>
      <c r="AW127" s="316" t="n"/>
      <c r="AX127" s="316" t="n"/>
      <c r="AY127" s="316" t="n"/>
      <c r="AZ127" s="316" t="n"/>
      <c r="BA127" s="316" t="n"/>
      <c r="BB127" s="316" t="n"/>
      <c r="BC127" s="316" t="n"/>
      <c r="BD127" s="316" t="n"/>
      <c r="BE127" s="316" t="n"/>
      <c r="BF127" s="316" t="n"/>
      <c r="BG127" s="316" t="n"/>
      <c r="BH127" s="316" t="n"/>
      <c r="BI127" s="316" t="n"/>
      <c r="BJ127" s="316" t="n"/>
      <c r="BK127" s="325" t="n"/>
      <c r="BL127" s="215">
        <f>IF(I105&lt;E105,-0.1,0)</f>
        <v/>
      </c>
    </row>
    <row customHeight="1" ht="20.1" r="128" s="353"/>
    <row customHeight="1" ht="20.1" r="129" s="353">
      <c r="AR129" s="247" t="inlineStr">
        <is>
          <t>市场份额</t>
        </is>
      </c>
      <c r="AS129" s="247" t="inlineStr">
        <is>
          <t>人均利润率</t>
        </is>
      </c>
      <c r="AV129" s="342" t="inlineStr">
        <is>
          <t>资本利润率</t>
        </is>
      </c>
      <c r="BB129" s="247" t="inlineStr">
        <is>
          <t>累计分红</t>
        </is>
      </c>
      <c r="BC129" s="247" t="inlineStr">
        <is>
          <t>净资产</t>
        </is>
      </c>
    </row>
    <row customHeight="1" ht="20.1" r="130" s="353">
      <c r="V130" s="11" t="inlineStr">
        <is>
          <t>本公司号</t>
        </is>
      </c>
      <c r="W130" s="76">
        <f>比赛参数!D4</f>
        <v/>
      </c>
      <c r="X130" s="101" t="n"/>
      <c r="Y130" s="101" t="n"/>
      <c r="Z130" s="101" t="n"/>
      <c r="AA130" s="101" t="n"/>
      <c r="AB130" s="338">
        <f>AF64</f>
        <v/>
      </c>
      <c r="AC130" s="338">
        <f>AF65</f>
        <v/>
      </c>
      <c r="AD130" s="338">
        <f>AF66</f>
        <v/>
      </c>
      <c r="AE130" s="338">
        <f>AF67</f>
        <v/>
      </c>
      <c r="AH130" s="101" t="n"/>
      <c r="AI130" s="101" t="n"/>
      <c r="AJ130" s="101" t="n"/>
      <c r="AK130" s="101" t="n"/>
      <c r="AL130" s="338">
        <f>AG64</f>
        <v/>
      </c>
      <c r="AM130" s="338">
        <f>AG65</f>
        <v/>
      </c>
      <c r="AN130" s="338">
        <f>AG66</f>
        <v/>
      </c>
      <c r="AO130" s="338">
        <f>AG67</f>
        <v/>
      </c>
      <c r="AR130" s="343">
        <f>比赛参数!E75</f>
        <v/>
      </c>
      <c r="AS130" s="343">
        <f>比赛参数!I75</f>
        <v/>
      </c>
      <c r="AV130" s="343">
        <f>比赛参数!J75</f>
        <v/>
      </c>
      <c r="BB130" s="247">
        <f>AU181</f>
        <v/>
      </c>
      <c r="BC130" s="247">
        <f>AV181</f>
        <v/>
      </c>
    </row>
    <row customHeight="1" ht="20.1" r="131" s="353">
      <c r="V131" s="556" t="inlineStr">
        <is>
          <t>产品A</t>
        </is>
      </c>
      <c r="W131" s="11" t="n">
        <v>1</v>
      </c>
      <c r="X131" s="335">
        <f>D50</f>
        <v/>
      </c>
      <c r="Y131" s="335">
        <f>E50</f>
        <v/>
      </c>
      <c r="Z131" s="335">
        <f>F50</f>
        <v/>
      </c>
      <c r="AA131" s="335">
        <f>G50</f>
        <v/>
      </c>
      <c r="AB131" s="339">
        <f>INT(Y$232*D73+0.5)</f>
        <v/>
      </c>
      <c r="AC131" s="339">
        <f>INT(Z$232*E73+0.5)</f>
        <v/>
      </c>
      <c r="AD131" s="339">
        <f>INT(AA$232*F73+0.5)</f>
        <v/>
      </c>
      <c r="AE131" s="339">
        <f>INT(AB$232*G73+0.5)</f>
        <v/>
      </c>
      <c r="AF131" s="556" t="inlineStr">
        <is>
          <t>产品B</t>
        </is>
      </c>
      <c r="AG131" s="11" t="n">
        <v>1</v>
      </c>
      <c r="AH131" s="340">
        <f>H50</f>
        <v/>
      </c>
      <c r="AI131" s="340">
        <f>I50</f>
        <v/>
      </c>
      <c r="AJ131" s="340">
        <f>J50</f>
        <v/>
      </c>
      <c r="AK131" s="340">
        <f>K50</f>
        <v/>
      </c>
      <c r="AL131" s="341">
        <f>INT(AC$232*H73+0.5)</f>
        <v/>
      </c>
      <c r="AM131" s="341">
        <f>INT(AD$232*I73+0.5)</f>
        <v/>
      </c>
      <c r="AN131" s="341">
        <f>INT(AE$232*J73+0.5)</f>
        <v/>
      </c>
      <c r="AO131" s="341">
        <f>INT(AF$232*K73+0.5)</f>
        <v/>
      </c>
      <c r="AR131" s="11" t="inlineStr">
        <is>
          <t>公司</t>
        </is>
      </c>
      <c r="AS131" s="344" t="inlineStr">
        <is>
          <t>本期利润</t>
        </is>
      </c>
      <c r="AT131" s="344" t="inlineStr">
        <is>
          <t>累计纳税</t>
        </is>
      </c>
      <c r="AU131" s="344" t="inlineStr">
        <is>
          <t>累计分红</t>
        </is>
      </c>
      <c r="AV131" s="344" t="inlineStr">
        <is>
          <t>净资产</t>
        </is>
      </c>
      <c r="AX131" s="215" t="inlineStr">
        <is>
          <t>分红</t>
        </is>
      </c>
      <c r="BA131" s="11" t="inlineStr">
        <is>
          <t>公司</t>
        </is>
      </c>
      <c r="BB131" s="348" t="inlineStr">
        <is>
          <t>累计分红</t>
        </is>
      </c>
      <c r="BC131" s="349" t="inlineStr">
        <is>
          <t>净资产</t>
        </is>
      </c>
      <c r="BD131" s="215" t="inlineStr">
        <is>
          <t>和</t>
        </is>
      </c>
    </row>
    <row customHeight="1" ht="20.1" r="132" s="353">
      <c r="V132" s="557" t="n"/>
      <c r="W132" s="11" t="n">
        <v>2</v>
      </c>
      <c r="X132" s="335">
        <f>D51</f>
        <v/>
      </c>
      <c r="Y132" s="335">
        <f>E51</f>
        <v/>
      </c>
      <c r="Z132" s="335">
        <f>F51</f>
        <v/>
      </c>
      <c r="AA132" s="335">
        <f>G51</f>
        <v/>
      </c>
      <c r="AB132" s="339">
        <f>INT(Y$232*D74+0.5)</f>
        <v/>
      </c>
      <c r="AC132" s="339">
        <f>INT(Z$232*E74+0.5)</f>
        <v/>
      </c>
      <c r="AD132" s="339">
        <f>INT(AA$232*F74+0.5)</f>
        <v/>
      </c>
      <c r="AE132" s="339">
        <f>INT(AB$232*G74+0.5)</f>
        <v/>
      </c>
      <c r="AF132" s="557" t="n"/>
      <c r="AG132" s="11" t="n">
        <v>2</v>
      </c>
      <c r="AH132" s="340">
        <f>H51</f>
        <v/>
      </c>
      <c r="AI132" s="340">
        <f>I51</f>
        <v/>
      </c>
      <c r="AJ132" s="340">
        <f>J51</f>
        <v/>
      </c>
      <c r="AK132" s="340">
        <f>K51</f>
        <v/>
      </c>
      <c r="AL132" s="341">
        <f>INT(AC$232*H74+0.5)</f>
        <v/>
      </c>
      <c r="AM132" s="341">
        <f>INT(AD$232*I74+0.5)</f>
        <v/>
      </c>
      <c r="AN132" s="341">
        <f>INT(AE$232*J74+0.5)</f>
        <v/>
      </c>
      <c r="AO132" s="341">
        <f>INT(AF$232*K74+0.5)</f>
        <v/>
      </c>
      <c r="AR132" s="347" t="n">
        <v>1</v>
      </c>
      <c r="AS132" s="345">
        <f>IF(F95="","",F95)</f>
        <v/>
      </c>
      <c r="AT132" s="346">
        <f>IF(G95="","",G95)</f>
        <v/>
      </c>
      <c r="AU132" s="346">
        <f>IF(H95="","",H95)</f>
        <v/>
      </c>
      <c r="AV132" s="346">
        <f>IF(J95="","",J95)</f>
        <v/>
      </c>
      <c r="AW132" s="558" t="n"/>
      <c r="AX132" s="155" t="n"/>
      <c r="AY132" s="346">
        <f>IF(AU132="","",AU132+AX132)</f>
        <v/>
      </c>
      <c r="AZ132" s="346">
        <f>IF(AV132="","",AV132-AX132)</f>
        <v/>
      </c>
      <c r="BA132" s="347" t="n">
        <v>1</v>
      </c>
      <c r="BB132" s="351">
        <f>(AY132-AY$153)/AY$178*BB$130</f>
        <v/>
      </c>
      <c r="BC132" s="318">
        <f>(AZ132-AZ$153)/AZ$178*BC$130</f>
        <v/>
      </c>
      <c r="BD132" s="559">
        <f>BB132+BC132</f>
        <v/>
      </c>
      <c r="BE132" s="531" t="n"/>
      <c r="BF132" s="531" t="n"/>
      <c r="BG132" s="531" t="n"/>
      <c r="BH132" s="531" t="n"/>
    </row>
    <row customHeight="1" ht="20.1" r="133" s="353">
      <c r="V133" s="557" t="n"/>
      <c r="W133" s="11" t="n">
        <v>3</v>
      </c>
      <c r="X133" s="335">
        <f>D52</f>
        <v/>
      </c>
      <c r="Y133" s="335">
        <f>E52</f>
        <v/>
      </c>
      <c r="Z133" s="335">
        <f>F52</f>
        <v/>
      </c>
      <c r="AA133" s="335">
        <f>G52</f>
        <v/>
      </c>
      <c r="AB133" s="339">
        <f>INT(Y$232*D75+0.5)</f>
        <v/>
      </c>
      <c r="AC133" s="339">
        <f>INT(Z$232*E75+0.5)</f>
        <v/>
      </c>
      <c r="AD133" s="339">
        <f>INT(AA$232*F75+0.5)</f>
        <v/>
      </c>
      <c r="AE133" s="339">
        <f>INT(AB$232*G75+0.5)</f>
        <v/>
      </c>
      <c r="AF133" s="557" t="n"/>
      <c r="AG133" s="11" t="n">
        <v>3</v>
      </c>
      <c r="AH133" s="340">
        <f>H52</f>
        <v/>
      </c>
      <c r="AI133" s="340">
        <f>I52</f>
        <v/>
      </c>
      <c r="AJ133" s="340">
        <f>J52</f>
        <v/>
      </c>
      <c r="AK133" s="340">
        <f>K52</f>
        <v/>
      </c>
      <c r="AL133" s="341">
        <f>INT(AC$232*H75+0.5)</f>
        <v/>
      </c>
      <c r="AM133" s="341">
        <f>INT(AD$232*I75+0.5)</f>
        <v/>
      </c>
      <c r="AN133" s="341">
        <f>INT(AE$232*J75+0.5)</f>
        <v/>
      </c>
      <c r="AO133" s="341">
        <f>INT(AF$232*K75+0.5)</f>
        <v/>
      </c>
      <c r="AR133" s="347" t="n">
        <v>2</v>
      </c>
      <c r="AS133" s="346">
        <f>IF(F96="","",F96)</f>
        <v/>
      </c>
      <c r="AT133" s="346">
        <f>IF(G96="","",G96)</f>
        <v/>
      </c>
      <c r="AU133" s="346">
        <f>IF(H96="","",H96)</f>
        <v/>
      </c>
      <c r="AV133" s="346">
        <f>IF(J96="","",J96)</f>
        <v/>
      </c>
      <c r="AX133" s="155" t="n"/>
      <c r="AY133" s="346">
        <f>IF(AU133="","",AU133+AX133)</f>
        <v/>
      </c>
      <c r="AZ133" s="346">
        <f>IF(AV133="","",AV133-AX133)</f>
        <v/>
      </c>
      <c r="BA133" s="347" t="n">
        <v>2</v>
      </c>
      <c r="BB133" s="351">
        <f>(AY133-AY$153)/AY$178*BB$130</f>
        <v/>
      </c>
      <c r="BC133" s="318">
        <f>(AZ133-AZ$153)/AZ$178*BC$130</f>
        <v/>
      </c>
      <c r="BD133" s="559">
        <f>BB133+BC133</f>
        <v/>
      </c>
      <c r="BE133" s="531" t="n"/>
      <c r="BF133" s="531" t="n"/>
      <c r="BG133" s="531" t="n"/>
      <c r="BH133" s="531" t="n"/>
    </row>
    <row customHeight="1" ht="20.1" r="134" s="353">
      <c r="V134" s="557" t="n"/>
      <c r="W134" s="11" t="n">
        <v>4</v>
      </c>
      <c r="X134" s="335">
        <f>D53</f>
        <v/>
      </c>
      <c r="Y134" s="335">
        <f>E53</f>
        <v/>
      </c>
      <c r="Z134" s="335">
        <f>F53</f>
        <v/>
      </c>
      <c r="AA134" s="335">
        <f>G53</f>
        <v/>
      </c>
      <c r="AB134" s="339">
        <f>INT(Y$232*D76+0.5)</f>
        <v/>
      </c>
      <c r="AC134" s="339">
        <f>INT(Z$232*E76+0.5)</f>
        <v/>
      </c>
      <c r="AD134" s="339">
        <f>INT(AA$232*F76+0.5)</f>
        <v/>
      </c>
      <c r="AE134" s="339">
        <f>INT(AB$232*G76+0.5)</f>
        <v/>
      </c>
      <c r="AF134" s="557" t="n"/>
      <c r="AG134" s="11" t="n">
        <v>4</v>
      </c>
      <c r="AH134" s="340">
        <f>H53</f>
        <v/>
      </c>
      <c r="AI134" s="340">
        <f>I53</f>
        <v/>
      </c>
      <c r="AJ134" s="340">
        <f>J53</f>
        <v/>
      </c>
      <c r="AK134" s="340">
        <f>K53</f>
        <v/>
      </c>
      <c r="AL134" s="341">
        <f>INT(AC$232*H76+0.5)</f>
        <v/>
      </c>
      <c r="AM134" s="341">
        <f>INT(AD$232*I76+0.5)</f>
        <v/>
      </c>
      <c r="AN134" s="341">
        <f>INT(AE$232*J76+0.5)</f>
        <v/>
      </c>
      <c r="AO134" s="341">
        <f>INT(AF$232*K76+0.5)</f>
        <v/>
      </c>
      <c r="AR134" s="347" t="n">
        <v>3</v>
      </c>
      <c r="AS134" s="346">
        <f>IF(F97="","",F97)</f>
        <v/>
      </c>
      <c r="AT134" s="346">
        <f>IF(G97="","",G97)</f>
        <v/>
      </c>
      <c r="AU134" s="346">
        <f>IF(H97="","",H97)</f>
        <v/>
      </c>
      <c r="AV134" s="346">
        <f>IF(J97="","",J97)</f>
        <v/>
      </c>
      <c r="AX134" s="155" t="n"/>
      <c r="AY134" s="346">
        <f>IF(AU134="","",AU134+AX134)</f>
        <v/>
      </c>
      <c r="AZ134" s="346">
        <f>IF(AV134="","",AV134-AX134)</f>
        <v/>
      </c>
      <c r="BA134" s="347" t="n">
        <v>3</v>
      </c>
      <c r="BB134" s="351">
        <f>(AY134-AY$153)/AY$178*BB$130</f>
        <v/>
      </c>
      <c r="BC134" s="318">
        <f>(AZ134-AZ$153)/AZ$178*BC$130</f>
        <v/>
      </c>
      <c r="BD134" s="559">
        <f>BB134+BC134</f>
        <v/>
      </c>
    </row>
    <row customHeight="1" ht="20.1" r="135" s="353">
      <c r="V135" s="557" t="n"/>
      <c r="W135" s="11" t="n">
        <v>5</v>
      </c>
      <c r="X135" s="335">
        <f>D54</f>
        <v/>
      </c>
      <c r="Y135" s="335">
        <f>E54</f>
        <v/>
      </c>
      <c r="Z135" s="335">
        <f>F54</f>
        <v/>
      </c>
      <c r="AA135" s="335">
        <f>G54</f>
        <v/>
      </c>
      <c r="AB135" s="339">
        <f>INT(Y$232*D77+0.5)</f>
        <v/>
      </c>
      <c r="AC135" s="339">
        <f>INT(Z$232*E77+0.5)</f>
        <v/>
      </c>
      <c r="AD135" s="339">
        <f>INT(AA$232*F77+0.5)</f>
        <v/>
      </c>
      <c r="AE135" s="339">
        <f>INT(AB$232*G77+0.5)</f>
        <v/>
      </c>
      <c r="AF135" s="557" t="n"/>
      <c r="AG135" s="11" t="n">
        <v>5</v>
      </c>
      <c r="AH135" s="340">
        <f>H54</f>
        <v/>
      </c>
      <c r="AI135" s="340">
        <f>I54</f>
        <v/>
      </c>
      <c r="AJ135" s="340">
        <f>J54</f>
        <v/>
      </c>
      <c r="AK135" s="340">
        <f>K54</f>
        <v/>
      </c>
      <c r="AL135" s="341">
        <f>INT(AC$232*H77+0.5)</f>
        <v/>
      </c>
      <c r="AM135" s="341">
        <f>INT(AD$232*I77+0.5)</f>
        <v/>
      </c>
      <c r="AN135" s="341">
        <f>INT(AE$232*J77+0.5)</f>
        <v/>
      </c>
      <c r="AO135" s="341">
        <f>INT(AF$232*K77+0.5)</f>
        <v/>
      </c>
      <c r="AR135" s="347" t="n">
        <v>4</v>
      </c>
      <c r="AS135" s="346">
        <f>IF(F98="","",F98)</f>
        <v/>
      </c>
      <c r="AT135" s="346">
        <f>IF(G98="","",G98)</f>
        <v/>
      </c>
      <c r="AU135" s="346">
        <f>IF(H98="","",H98)</f>
        <v/>
      </c>
      <c r="AV135" s="346">
        <f>IF(J98="","",J98)</f>
        <v/>
      </c>
      <c r="AX135" s="155" t="n"/>
      <c r="AY135" s="346">
        <f>IF(AU135="","",AU135+AX135)</f>
        <v/>
      </c>
      <c r="AZ135" s="346">
        <f>IF(AV135="","",AV135-AX135)</f>
        <v/>
      </c>
      <c r="BA135" s="347" t="n">
        <v>4</v>
      </c>
      <c r="BB135" s="351">
        <f>(AY135-AY$153)/AY$178*BB$130</f>
        <v/>
      </c>
      <c r="BC135" s="318">
        <f>(AZ135-AZ$153)/AZ$178*BC$130</f>
        <v/>
      </c>
      <c r="BD135" s="559">
        <f>BB135+BC135</f>
        <v/>
      </c>
    </row>
    <row customHeight="1" ht="20.1" r="136" s="353">
      <c r="V136" s="557" t="n"/>
      <c r="W136" s="11" t="n">
        <v>6</v>
      </c>
      <c r="X136" s="335">
        <f>D55</f>
        <v/>
      </c>
      <c r="Y136" s="335">
        <f>E55</f>
        <v/>
      </c>
      <c r="Z136" s="335">
        <f>F55</f>
        <v/>
      </c>
      <c r="AA136" s="335">
        <f>G55</f>
        <v/>
      </c>
      <c r="AB136" s="339">
        <f>INT(Y$232*D78+0.5)</f>
        <v/>
      </c>
      <c r="AC136" s="339">
        <f>INT(Z$232*E78+0.5)</f>
        <v/>
      </c>
      <c r="AD136" s="339">
        <f>INT(AA$232*F78+0.5)</f>
        <v/>
      </c>
      <c r="AE136" s="339">
        <f>INT(AB$232*G78+0.5)</f>
        <v/>
      </c>
      <c r="AF136" s="557" t="n"/>
      <c r="AG136" s="11" t="n">
        <v>6</v>
      </c>
      <c r="AH136" s="340">
        <f>H55</f>
        <v/>
      </c>
      <c r="AI136" s="340">
        <f>I55</f>
        <v/>
      </c>
      <c r="AJ136" s="340">
        <f>J55</f>
        <v/>
      </c>
      <c r="AK136" s="340">
        <f>K55</f>
        <v/>
      </c>
      <c r="AL136" s="341">
        <f>INT(AC$232*H78+0.5)</f>
        <v/>
      </c>
      <c r="AM136" s="341">
        <f>INT(AD$232*I78+0.5)</f>
        <v/>
      </c>
      <c r="AN136" s="341">
        <f>INT(AE$232*J78+0.5)</f>
        <v/>
      </c>
      <c r="AO136" s="341">
        <f>INT(AF$232*K78+0.5)</f>
        <v/>
      </c>
      <c r="AR136" s="347" t="n">
        <v>5</v>
      </c>
      <c r="AS136" s="346">
        <f>IF(F99="","",F99)</f>
        <v/>
      </c>
      <c r="AT136" s="346">
        <f>IF(G99="","",G99)</f>
        <v/>
      </c>
      <c r="AU136" s="346">
        <f>IF(H99="","",H99)</f>
        <v/>
      </c>
      <c r="AV136" s="346">
        <f>IF(J99="","",J99)</f>
        <v/>
      </c>
      <c r="AX136" s="155" t="n"/>
      <c r="AY136" s="346">
        <f>IF(AU136="","",AU136+AX136)</f>
        <v/>
      </c>
      <c r="AZ136" s="346">
        <f>IF(AV136="","",AV136-AX136)</f>
        <v/>
      </c>
      <c r="BA136" s="347" t="n">
        <v>5</v>
      </c>
      <c r="BB136" s="351">
        <f>(AY136-AY$153)/AY$178*BB$130</f>
        <v/>
      </c>
      <c r="BC136" s="318">
        <f>(AZ136-AZ$153)/AZ$178*BC$130</f>
        <v/>
      </c>
      <c r="BD136" s="559">
        <f>BB136+BC136</f>
        <v/>
      </c>
    </row>
    <row customHeight="1" ht="20.1" r="137" s="353">
      <c r="V137" s="557" t="n"/>
      <c r="W137" s="11" t="n">
        <v>7</v>
      </c>
      <c r="X137" s="335">
        <f>D56</f>
        <v/>
      </c>
      <c r="Y137" s="335">
        <f>E56</f>
        <v/>
      </c>
      <c r="Z137" s="335">
        <f>F56</f>
        <v/>
      </c>
      <c r="AA137" s="335">
        <f>G56</f>
        <v/>
      </c>
      <c r="AB137" s="339">
        <f>INT(Y$232*D79+0.5)</f>
        <v/>
      </c>
      <c r="AC137" s="339">
        <f>INT(Z$232*E79+0.5)</f>
        <v/>
      </c>
      <c r="AD137" s="339">
        <f>INT(AA$232*F79+0.5)</f>
        <v/>
      </c>
      <c r="AE137" s="339">
        <f>INT(AB$232*G79+0.5)</f>
        <v/>
      </c>
      <c r="AF137" s="557" t="n"/>
      <c r="AG137" s="11" t="n">
        <v>7</v>
      </c>
      <c r="AH137" s="340">
        <f>H56</f>
        <v/>
      </c>
      <c r="AI137" s="340">
        <f>I56</f>
        <v/>
      </c>
      <c r="AJ137" s="340">
        <f>J56</f>
        <v/>
      </c>
      <c r="AK137" s="340">
        <f>K56</f>
        <v/>
      </c>
      <c r="AL137" s="341">
        <f>INT(AC$232*H79+0.5)</f>
        <v/>
      </c>
      <c r="AM137" s="341">
        <f>INT(AD$232*I79+0.5)</f>
        <v/>
      </c>
      <c r="AN137" s="341">
        <f>INT(AE$232*J79+0.5)</f>
        <v/>
      </c>
      <c r="AO137" s="341">
        <f>INT(AF$232*K79+0.5)</f>
        <v/>
      </c>
      <c r="AR137" s="347" t="n">
        <v>6</v>
      </c>
      <c r="AS137" s="346">
        <f>IF(F100="","",F100)</f>
        <v/>
      </c>
      <c r="AT137" s="346">
        <f>IF(G100="","",G100)</f>
        <v/>
      </c>
      <c r="AU137" s="346">
        <f>IF(H100="","",H100)</f>
        <v/>
      </c>
      <c r="AV137" s="346">
        <f>IF(J100="","",J100)</f>
        <v/>
      </c>
      <c r="AX137" s="155" t="n"/>
      <c r="AY137" s="346">
        <f>IF(AU137="","",AU137+AX137)</f>
        <v/>
      </c>
      <c r="AZ137" s="346">
        <f>IF(AV137="","",AV137-AX137)</f>
        <v/>
      </c>
      <c r="BA137" s="347" t="n">
        <v>6</v>
      </c>
      <c r="BB137" s="351">
        <f>(AY137-AY$153)/AY$178*BB$130</f>
        <v/>
      </c>
      <c r="BC137" s="318">
        <f>(AZ137-AZ$153)/AZ$178*BC$130</f>
        <v/>
      </c>
      <c r="BD137" s="559">
        <f>BB137+BC137</f>
        <v/>
      </c>
    </row>
    <row customHeight="1" ht="20.1" r="138" s="353">
      <c r="V138" s="557" t="n"/>
      <c r="W138" s="11" t="n">
        <v>8</v>
      </c>
      <c r="X138" s="335">
        <f>D57</f>
        <v/>
      </c>
      <c r="Y138" s="335">
        <f>E57</f>
        <v/>
      </c>
      <c r="Z138" s="335">
        <f>F57</f>
        <v/>
      </c>
      <c r="AA138" s="335">
        <f>G57</f>
        <v/>
      </c>
      <c r="AB138" s="339">
        <f>INT(Y$232*D80+0.5)</f>
        <v/>
      </c>
      <c r="AC138" s="339">
        <f>INT(Z$232*E80+0.5)</f>
        <v/>
      </c>
      <c r="AD138" s="339">
        <f>INT(AA$232*F80+0.5)</f>
        <v/>
      </c>
      <c r="AE138" s="339">
        <f>INT(AB$232*G80+0.5)</f>
        <v/>
      </c>
      <c r="AF138" s="557" t="n"/>
      <c r="AG138" s="11" t="n">
        <v>8</v>
      </c>
      <c r="AH138" s="340">
        <f>H57</f>
        <v/>
      </c>
      <c r="AI138" s="340">
        <f>I57</f>
        <v/>
      </c>
      <c r="AJ138" s="340">
        <f>J57</f>
        <v/>
      </c>
      <c r="AK138" s="340">
        <f>K57</f>
        <v/>
      </c>
      <c r="AL138" s="341">
        <f>INT(AC$232*H80+0.5)</f>
        <v/>
      </c>
      <c r="AM138" s="341">
        <f>INT(AD$232*I80+0.5)</f>
        <v/>
      </c>
      <c r="AN138" s="341">
        <f>INT(AE$232*J80+0.5)</f>
        <v/>
      </c>
      <c r="AO138" s="341">
        <f>INT(AF$232*K80+0.5)</f>
        <v/>
      </c>
      <c r="AR138" s="347" t="n">
        <v>7</v>
      </c>
      <c r="AS138" s="346">
        <f>IF(F101="","",F101)</f>
        <v/>
      </c>
      <c r="AT138" s="346">
        <f>IF(G101="","",G101)</f>
        <v/>
      </c>
      <c r="AU138" s="346">
        <f>IF(H101="","",H101)</f>
        <v/>
      </c>
      <c r="AV138" s="346">
        <f>IF(J101="","",J101)</f>
        <v/>
      </c>
      <c r="AX138" s="155" t="n"/>
      <c r="AY138" s="346">
        <f>IF(AU138="","",AU138+AX138)</f>
        <v/>
      </c>
      <c r="AZ138" s="346">
        <f>IF(AV138="","",AV138-AX138)</f>
        <v/>
      </c>
      <c r="BA138" s="347" t="n">
        <v>7</v>
      </c>
      <c r="BB138" s="351">
        <f>(AY138-AY$153)/AY$178*BB$130</f>
        <v/>
      </c>
      <c r="BC138" s="318">
        <f>(AZ138-AZ$153)/AZ$178*BC$130</f>
        <v/>
      </c>
      <c r="BD138" s="559">
        <f>BB138+BC138</f>
        <v/>
      </c>
    </row>
    <row customHeight="1" ht="20.1" r="139" s="353">
      <c r="V139" s="557" t="n"/>
      <c r="W139" s="11" t="n">
        <v>9</v>
      </c>
      <c r="X139" s="335">
        <f>D58</f>
        <v/>
      </c>
      <c r="Y139" s="335">
        <f>E58</f>
        <v/>
      </c>
      <c r="Z139" s="335">
        <f>F58</f>
        <v/>
      </c>
      <c r="AA139" s="335">
        <f>G58</f>
        <v/>
      </c>
      <c r="AB139" s="339">
        <f>INT(Y$232*D81+0.5)</f>
        <v/>
      </c>
      <c r="AC139" s="339">
        <f>INT(Z$232*E81+0.5)</f>
        <v/>
      </c>
      <c r="AD139" s="339">
        <f>INT(AA$232*F81+0.5)</f>
        <v/>
      </c>
      <c r="AE139" s="339">
        <f>INT(AB$232*G81+0.5)</f>
        <v/>
      </c>
      <c r="AF139" s="557" t="n"/>
      <c r="AG139" s="11" t="n">
        <v>9</v>
      </c>
      <c r="AH139" s="340">
        <f>H58</f>
        <v/>
      </c>
      <c r="AI139" s="340">
        <f>I58</f>
        <v/>
      </c>
      <c r="AJ139" s="340">
        <f>J58</f>
        <v/>
      </c>
      <c r="AK139" s="340">
        <f>K58</f>
        <v/>
      </c>
      <c r="AL139" s="341">
        <f>INT(AC$232*H81+0.5)</f>
        <v/>
      </c>
      <c r="AM139" s="341">
        <f>INT(AD$232*I81+0.5)</f>
        <v/>
      </c>
      <c r="AN139" s="341">
        <f>INT(AE$232*J81+0.5)</f>
        <v/>
      </c>
      <c r="AO139" s="341">
        <f>INT(AF$232*K81+0.5)</f>
        <v/>
      </c>
      <c r="AR139" s="347" t="n">
        <v>8</v>
      </c>
      <c r="AS139" s="346">
        <f>IF(F102="","",F102)</f>
        <v/>
      </c>
      <c r="AT139" s="346">
        <f>IF(G102="","",G102)</f>
        <v/>
      </c>
      <c r="AU139" s="346">
        <f>IF(H102="","",H102)</f>
        <v/>
      </c>
      <c r="AV139" s="346">
        <f>IF(J102="","",J102)</f>
        <v/>
      </c>
      <c r="AX139" s="155" t="n"/>
      <c r="AY139" s="346">
        <f>IF(AU139="","",AU139+AX139)</f>
        <v/>
      </c>
      <c r="AZ139" s="346">
        <f>IF(AV139="","",AV139-AX139)</f>
        <v/>
      </c>
      <c r="BA139" s="347" t="n">
        <v>8</v>
      </c>
      <c r="BB139" s="351">
        <f>(AY139-AY$153)/AY$178*BB$130</f>
        <v/>
      </c>
      <c r="BC139" s="318">
        <f>(AZ139-AZ$153)/AZ$178*BC$130</f>
        <v/>
      </c>
      <c r="BD139" s="559">
        <f>BB139+BC139</f>
        <v/>
      </c>
    </row>
    <row customHeight="1" ht="20.1" r="140" s="353">
      <c r="V140" s="557" t="n"/>
      <c r="W140" s="11" t="n">
        <v>10</v>
      </c>
      <c r="X140" s="335">
        <f>D59</f>
        <v/>
      </c>
      <c r="Y140" s="335">
        <f>E59</f>
        <v/>
      </c>
      <c r="Z140" s="335">
        <f>F59</f>
        <v/>
      </c>
      <c r="AA140" s="335">
        <f>G59</f>
        <v/>
      </c>
      <c r="AB140" s="339">
        <f>INT(Y$232*D82+0.5)</f>
        <v/>
      </c>
      <c r="AC140" s="339">
        <f>INT(Z$232*E82+0.5)</f>
        <v/>
      </c>
      <c r="AD140" s="339">
        <f>INT(AA$232*F82+0.5)</f>
        <v/>
      </c>
      <c r="AE140" s="339">
        <f>INT(AB$232*G82+0.5)</f>
        <v/>
      </c>
      <c r="AF140" s="557" t="n"/>
      <c r="AG140" s="11" t="n">
        <v>10</v>
      </c>
      <c r="AH140" s="340">
        <f>H59</f>
        <v/>
      </c>
      <c r="AI140" s="340">
        <f>I59</f>
        <v/>
      </c>
      <c r="AJ140" s="340">
        <f>J59</f>
        <v/>
      </c>
      <c r="AK140" s="340">
        <f>K59</f>
        <v/>
      </c>
      <c r="AL140" s="341">
        <f>INT(AC$232*H82+0.5)</f>
        <v/>
      </c>
      <c r="AM140" s="341">
        <f>INT(AD$232*I82+0.5)</f>
        <v/>
      </c>
      <c r="AN140" s="341">
        <f>INT(AE$232*J82+0.5)</f>
        <v/>
      </c>
      <c r="AO140" s="341">
        <f>INT(AF$232*K82+0.5)</f>
        <v/>
      </c>
      <c r="AR140" s="347" t="n">
        <v>9</v>
      </c>
      <c r="AS140" s="346">
        <f>IF(F103="","",F103)</f>
        <v/>
      </c>
      <c r="AT140" s="346">
        <f>IF(G103="","",G103)</f>
        <v/>
      </c>
      <c r="AU140" s="346">
        <f>IF(H103="","",H103)</f>
        <v/>
      </c>
      <c r="AV140" s="346">
        <f>IF(J103="","",J103)</f>
        <v/>
      </c>
      <c r="AX140" s="155" t="n"/>
      <c r="AY140" s="346">
        <f>IF(AU140="","",AU140+AX140)</f>
        <v/>
      </c>
      <c r="AZ140" s="346">
        <f>IF(AV140="","",AV140-AX140)</f>
        <v/>
      </c>
      <c r="BA140" s="347" t="n">
        <v>9</v>
      </c>
      <c r="BB140" s="351">
        <f>(AY140-AY$153)/AY$178*BB$130</f>
        <v/>
      </c>
      <c r="BC140" s="318">
        <f>(AZ140-AZ$153)/AZ$178*BC$130</f>
        <v/>
      </c>
      <c r="BD140" s="559">
        <f>BB140+BC140</f>
        <v/>
      </c>
    </row>
    <row customHeight="1" ht="20.1" r="141" s="353">
      <c r="V141" s="557" t="n"/>
      <c r="W141" s="11" t="n">
        <v>11</v>
      </c>
      <c r="X141" s="335">
        <f>D60</f>
        <v/>
      </c>
      <c r="Y141" s="335">
        <f>E60</f>
        <v/>
      </c>
      <c r="Z141" s="335">
        <f>F60</f>
        <v/>
      </c>
      <c r="AA141" s="335">
        <f>G60</f>
        <v/>
      </c>
      <c r="AB141" s="339">
        <f>INT(Y$232*D83+0.5)</f>
        <v/>
      </c>
      <c r="AC141" s="339">
        <f>INT(Z$232*E83+0.5)</f>
        <v/>
      </c>
      <c r="AD141" s="339">
        <f>INT(AA$232*F83+0.5)</f>
        <v/>
      </c>
      <c r="AE141" s="339">
        <f>INT(AB$232*G83+0.5)</f>
        <v/>
      </c>
      <c r="AF141" s="557" t="n"/>
      <c r="AG141" s="11" t="n">
        <v>11</v>
      </c>
      <c r="AH141" s="340">
        <f>H60</f>
        <v/>
      </c>
      <c r="AI141" s="340">
        <f>I60</f>
        <v/>
      </c>
      <c r="AJ141" s="340">
        <f>J60</f>
        <v/>
      </c>
      <c r="AK141" s="340">
        <f>K60</f>
        <v/>
      </c>
      <c r="AL141" s="341">
        <f>INT(AC$232*H83+0.5)</f>
        <v/>
      </c>
      <c r="AM141" s="341">
        <f>INT(AD$232*I83+0.5)</f>
        <v/>
      </c>
      <c r="AN141" s="341">
        <f>INT(AE$232*J83+0.5)</f>
        <v/>
      </c>
      <c r="AO141" s="341">
        <f>INT(AF$232*K83+0.5)</f>
        <v/>
      </c>
      <c r="AR141" s="347" t="n">
        <v>10</v>
      </c>
      <c r="AS141" s="346">
        <f>IF(F104="","",F104)</f>
        <v/>
      </c>
      <c r="AT141" s="346">
        <f>IF(G104="","",G104)</f>
        <v/>
      </c>
      <c r="AU141" s="346">
        <f>IF(H104="","",H104)</f>
        <v/>
      </c>
      <c r="AV141" s="346">
        <f>IF(J104="","",J104)</f>
        <v/>
      </c>
      <c r="AX141" s="155" t="n"/>
      <c r="AY141" s="346">
        <f>IF(AU141="","",AU141+AX141)</f>
        <v/>
      </c>
      <c r="AZ141" s="346">
        <f>IF(AV141="","",AV141-AX141)</f>
        <v/>
      </c>
      <c r="BA141" s="347" t="n">
        <v>10</v>
      </c>
      <c r="BB141" s="351">
        <f>(AY141-AY$153)/AY$178*BB$130</f>
        <v/>
      </c>
      <c r="BC141" s="318">
        <f>(AZ141-AZ$153)/AZ$178*BC$130</f>
        <v/>
      </c>
      <c r="BD141" s="559">
        <f>BB141+BC141</f>
        <v/>
      </c>
    </row>
    <row customHeight="1" ht="20.1" r="142" s="353">
      <c r="V142" s="557" t="n"/>
      <c r="W142" s="11" t="n">
        <v>12</v>
      </c>
      <c r="X142" s="335">
        <f>D61</f>
        <v/>
      </c>
      <c r="Y142" s="335">
        <f>E61</f>
        <v/>
      </c>
      <c r="Z142" s="335">
        <f>F61</f>
        <v/>
      </c>
      <c r="AA142" s="335">
        <f>G61</f>
        <v/>
      </c>
      <c r="AB142" s="339">
        <f>INT(Y$232*D84+0.5)</f>
        <v/>
      </c>
      <c r="AC142" s="339">
        <f>INT(Z$232*E84+0.5)</f>
        <v/>
      </c>
      <c r="AD142" s="339">
        <f>INT(AA$232*F84+0.5)</f>
        <v/>
      </c>
      <c r="AE142" s="339">
        <f>INT(AB$232*G84+0.5)</f>
        <v/>
      </c>
      <c r="AF142" s="557" t="n"/>
      <c r="AG142" s="11" t="n">
        <v>12</v>
      </c>
      <c r="AH142" s="340">
        <f>H61</f>
        <v/>
      </c>
      <c r="AI142" s="340">
        <f>I61</f>
        <v/>
      </c>
      <c r="AJ142" s="340">
        <f>J61</f>
        <v/>
      </c>
      <c r="AK142" s="340">
        <f>K61</f>
        <v/>
      </c>
      <c r="AL142" s="341">
        <f>INT(AC$232*H84+0.5)</f>
        <v/>
      </c>
      <c r="AM142" s="341">
        <f>INT(AD$232*I84+0.5)</f>
        <v/>
      </c>
      <c r="AN142" s="341">
        <f>INT(AE$232*J84+0.5)</f>
        <v/>
      </c>
      <c r="AO142" s="341">
        <f>INT(AF$232*K84+0.5)</f>
        <v/>
      </c>
      <c r="AR142" s="347" t="n">
        <v>11</v>
      </c>
      <c r="AS142" s="346">
        <f>IF(F105="","",F105)</f>
        <v/>
      </c>
      <c r="AT142" s="346">
        <f>IF(G105="","",G105)</f>
        <v/>
      </c>
      <c r="AU142" s="346">
        <f>IF(H105="","",H105)</f>
        <v/>
      </c>
      <c r="AV142" s="346">
        <f>IF(J105="","",J105)</f>
        <v/>
      </c>
      <c r="AX142" s="155" t="n"/>
      <c r="AY142" s="346">
        <f>IF(AU142="","",AU142+AX142)</f>
        <v/>
      </c>
      <c r="AZ142" s="346">
        <f>IF(AV142="","",AV142-AX142)</f>
        <v/>
      </c>
      <c r="BA142" s="347" t="n">
        <v>11</v>
      </c>
      <c r="BB142" s="351">
        <f>(AY142-AY$153)/AY$178*BB$130</f>
        <v/>
      </c>
      <c r="BC142" s="318">
        <f>(AZ142-AZ$153)/AZ$178*BC$130</f>
        <v/>
      </c>
      <c r="BD142" s="559">
        <f>BB142+BC142</f>
        <v/>
      </c>
    </row>
    <row customHeight="1" ht="20.1" r="143" s="353">
      <c r="V143" s="557" t="n"/>
      <c r="W143" s="11" t="n">
        <v>13</v>
      </c>
      <c r="X143" s="335">
        <f>D62</f>
        <v/>
      </c>
      <c r="Y143" s="335">
        <f>E62</f>
        <v/>
      </c>
      <c r="Z143" s="335">
        <f>F62</f>
        <v/>
      </c>
      <c r="AA143" s="335">
        <f>G62</f>
        <v/>
      </c>
      <c r="AB143" s="339">
        <f>INT(Y$232*D85+0.5)</f>
        <v/>
      </c>
      <c r="AC143" s="339">
        <f>INT(Z$232*E85+0.5)</f>
        <v/>
      </c>
      <c r="AD143" s="339">
        <f>INT(AA$232*F85+0.5)</f>
        <v/>
      </c>
      <c r="AE143" s="339">
        <f>INT(AB$232*G85+0.5)</f>
        <v/>
      </c>
      <c r="AF143" s="557" t="n"/>
      <c r="AG143" s="11" t="n">
        <v>13</v>
      </c>
      <c r="AH143" s="340">
        <f>H62</f>
        <v/>
      </c>
      <c r="AI143" s="340">
        <f>I62</f>
        <v/>
      </c>
      <c r="AJ143" s="340">
        <f>J62</f>
        <v/>
      </c>
      <c r="AK143" s="340">
        <f>K62</f>
        <v/>
      </c>
      <c r="AL143" s="341">
        <f>INT(AC$232*H85+0.5)</f>
        <v/>
      </c>
      <c r="AM143" s="341">
        <f>INT(AD$232*I85+0.5)</f>
        <v/>
      </c>
      <c r="AN143" s="341">
        <f>INT(AE$232*J85+0.5)</f>
        <v/>
      </c>
      <c r="AO143" s="341">
        <f>INT(AF$232*K85+0.5)</f>
        <v/>
      </c>
      <c r="AR143" s="347" t="n">
        <v>12</v>
      </c>
      <c r="AS143" s="346">
        <f>IF(F106="","",F106)</f>
        <v/>
      </c>
      <c r="AT143" s="346">
        <f>IF(G106="","",G106)</f>
        <v/>
      </c>
      <c r="AU143" s="346">
        <f>IF(H106="","",H106)</f>
        <v/>
      </c>
      <c r="AV143" s="346">
        <f>IF(J106="","",J106)</f>
        <v/>
      </c>
      <c r="AX143" s="155" t="n"/>
      <c r="AY143" s="346">
        <f>IF(AU143="","",AU143+AX143)</f>
        <v/>
      </c>
      <c r="AZ143" s="346">
        <f>IF(AV143="","",AV143-AX143)</f>
        <v/>
      </c>
      <c r="BA143" s="347" t="n">
        <v>12</v>
      </c>
      <c r="BB143" s="351">
        <f>(AY143-AY$153)/AY$178*BB$130</f>
        <v/>
      </c>
      <c r="BC143" s="318">
        <f>(AZ143-AZ$153)/AZ$178*BC$130</f>
        <v/>
      </c>
      <c r="BD143" s="559">
        <f>BB143+BC143</f>
        <v/>
      </c>
    </row>
    <row customHeight="1" ht="20.1" r="144" s="353">
      <c r="V144" s="557" t="n"/>
      <c r="W144" s="11" t="n">
        <v>14</v>
      </c>
      <c r="X144" s="335">
        <f>D63</f>
        <v/>
      </c>
      <c r="Y144" s="335">
        <f>E63</f>
        <v/>
      </c>
      <c r="Z144" s="335">
        <f>F63</f>
        <v/>
      </c>
      <c r="AA144" s="335">
        <f>G63</f>
        <v/>
      </c>
      <c r="AB144" s="339">
        <f>INT(Y$232*D86+0.5)</f>
        <v/>
      </c>
      <c r="AC144" s="339">
        <f>INT(Z$232*E86+0.5)</f>
        <v/>
      </c>
      <c r="AD144" s="339">
        <f>INT(AA$232*F86+0.5)</f>
        <v/>
      </c>
      <c r="AE144" s="339">
        <f>INT(AB$232*G86+0.5)</f>
        <v/>
      </c>
      <c r="AF144" s="557" t="n"/>
      <c r="AG144" s="11" t="n">
        <v>14</v>
      </c>
      <c r="AH144" s="340">
        <f>H63</f>
        <v/>
      </c>
      <c r="AI144" s="340">
        <f>I63</f>
        <v/>
      </c>
      <c r="AJ144" s="340">
        <f>J63</f>
        <v/>
      </c>
      <c r="AK144" s="340">
        <f>K63</f>
        <v/>
      </c>
      <c r="AL144" s="341">
        <f>INT(AC$232*H86+0.5)</f>
        <v/>
      </c>
      <c r="AM144" s="341">
        <f>INT(AD$232*I86+0.5)</f>
        <v/>
      </c>
      <c r="AN144" s="341">
        <f>INT(AE$232*J86+0.5)</f>
        <v/>
      </c>
      <c r="AO144" s="341">
        <f>INT(AF$232*K86+0.5)</f>
        <v/>
      </c>
      <c r="AR144" s="347" t="n">
        <v>13</v>
      </c>
      <c r="AS144" s="346">
        <f>IF(F107="","",F107)</f>
        <v/>
      </c>
      <c r="AT144" s="346">
        <f>IF(G107="","",G107)</f>
        <v/>
      </c>
      <c r="AU144" s="346">
        <f>IF(H107="","",H107)</f>
        <v/>
      </c>
      <c r="AV144" s="346">
        <f>IF(J107="","",J107)</f>
        <v/>
      </c>
      <c r="AX144" s="155" t="n"/>
      <c r="AY144" s="346">
        <f>IF(AU144="","",AU144+AX144)</f>
        <v/>
      </c>
      <c r="AZ144" s="346">
        <f>IF(AV144="","",AV144-AX144)</f>
        <v/>
      </c>
      <c r="BA144" s="347" t="n">
        <v>13</v>
      </c>
      <c r="BB144" s="351">
        <f>(AY144-AY$153)/AY$178*BB$130</f>
        <v/>
      </c>
      <c r="BC144" s="318">
        <f>(AZ144-AZ$153)/AZ$178*BC$130</f>
        <v/>
      </c>
      <c r="BD144" s="559">
        <f>BB144+BC144</f>
        <v/>
      </c>
    </row>
    <row customHeight="1" ht="20.1" r="145" s="353">
      <c r="V145" s="557" t="n"/>
      <c r="W145" s="11" t="n">
        <v>15</v>
      </c>
      <c r="X145" s="335">
        <f>D64</f>
        <v/>
      </c>
      <c r="Y145" s="335">
        <f>E64</f>
        <v/>
      </c>
      <c r="Z145" s="335">
        <f>F64</f>
        <v/>
      </c>
      <c r="AA145" s="335">
        <f>G64</f>
        <v/>
      </c>
      <c r="AB145" s="339">
        <f>INT(Y$232*D87+0.5)</f>
        <v/>
      </c>
      <c r="AC145" s="339">
        <f>INT(Z$232*E87+0.5)</f>
        <v/>
      </c>
      <c r="AD145" s="339">
        <f>INT(AA$232*F87+0.5)</f>
        <v/>
      </c>
      <c r="AE145" s="339">
        <f>INT(AB$232*G87+0.5)</f>
        <v/>
      </c>
      <c r="AF145" s="557" t="n"/>
      <c r="AG145" s="11" t="n">
        <v>15</v>
      </c>
      <c r="AH145" s="340">
        <f>H64</f>
        <v/>
      </c>
      <c r="AI145" s="340">
        <f>I64</f>
        <v/>
      </c>
      <c r="AJ145" s="340">
        <f>J64</f>
        <v/>
      </c>
      <c r="AK145" s="340">
        <f>K64</f>
        <v/>
      </c>
      <c r="AL145" s="341">
        <f>INT(AC$232*H87+0.5)</f>
        <v/>
      </c>
      <c r="AM145" s="341">
        <f>INT(AD$232*I87+0.5)</f>
        <v/>
      </c>
      <c r="AN145" s="341">
        <f>INT(AE$232*J87+0.5)</f>
        <v/>
      </c>
      <c r="AO145" s="341">
        <f>INT(AF$232*K87+0.5)</f>
        <v/>
      </c>
      <c r="AR145" s="347" t="n">
        <v>14</v>
      </c>
      <c r="AS145" s="346">
        <f>IF(F108="","",F108)</f>
        <v/>
      </c>
      <c r="AT145" s="346">
        <f>IF(G108="","",G108)</f>
        <v/>
      </c>
      <c r="AU145" s="346">
        <f>IF(H108="","",H108)</f>
        <v/>
      </c>
      <c r="AV145" s="346">
        <f>IF(J108="","",J108)</f>
        <v/>
      </c>
      <c r="AX145" s="155" t="n"/>
      <c r="AY145" s="346">
        <f>IF(AU145="","",AU145+AX145)</f>
        <v/>
      </c>
      <c r="AZ145" s="346">
        <f>IF(AV145="","",AV145-AX145)</f>
        <v/>
      </c>
      <c r="BA145" s="347" t="n">
        <v>14</v>
      </c>
      <c r="BB145" s="351">
        <f>(AY145-AY$153)/AY$178*BB$130</f>
        <v/>
      </c>
      <c r="BC145" s="318">
        <f>(AZ145-AZ$153)/AZ$178*BC$130</f>
        <v/>
      </c>
      <c r="BD145" s="559">
        <f>BB145+BC145</f>
        <v/>
      </c>
    </row>
    <row customHeight="1" ht="20.1" r="146" s="353">
      <c r="V146" s="557" t="n"/>
      <c r="W146" s="11" t="n">
        <v>16</v>
      </c>
      <c r="X146" s="335">
        <f>D65</f>
        <v/>
      </c>
      <c r="Y146" s="335">
        <f>E65</f>
        <v/>
      </c>
      <c r="Z146" s="335">
        <f>F65</f>
        <v/>
      </c>
      <c r="AA146" s="335">
        <f>G65</f>
        <v/>
      </c>
      <c r="AB146" s="339">
        <f>INT(Y$232*D88+0.5)</f>
        <v/>
      </c>
      <c r="AC146" s="339">
        <f>INT(Z$232*E88+0.5)</f>
        <v/>
      </c>
      <c r="AD146" s="339">
        <f>INT(AA$232*F88+0.5)</f>
        <v/>
      </c>
      <c r="AE146" s="339">
        <f>INT(AB$232*G88+0.5)</f>
        <v/>
      </c>
      <c r="AF146" s="557" t="n"/>
      <c r="AG146" s="11" t="n">
        <v>16</v>
      </c>
      <c r="AH146" s="340">
        <f>H65</f>
        <v/>
      </c>
      <c r="AI146" s="340">
        <f>I65</f>
        <v/>
      </c>
      <c r="AJ146" s="340">
        <f>J65</f>
        <v/>
      </c>
      <c r="AK146" s="340">
        <f>K65</f>
        <v/>
      </c>
      <c r="AL146" s="341">
        <f>INT(AC$232*H88+0.5)</f>
        <v/>
      </c>
      <c r="AM146" s="341">
        <f>INT(AD$232*I88+0.5)</f>
        <v/>
      </c>
      <c r="AN146" s="341">
        <f>INT(AE$232*J88+0.5)</f>
        <v/>
      </c>
      <c r="AO146" s="341">
        <f>INT(AF$232*K88+0.5)</f>
        <v/>
      </c>
      <c r="AR146" s="347" t="n">
        <v>15</v>
      </c>
      <c r="AS146" s="346">
        <f>IF(F109="","",F109)</f>
        <v/>
      </c>
      <c r="AT146" s="346">
        <f>IF(G109="","",G109)</f>
        <v/>
      </c>
      <c r="AU146" s="346">
        <f>IF(H109="","",H109)</f>
        <v/>
      </c>
      <c r="AV146" s="346">
        <f>IF(J109="","",J109)</f>
        <v/>
      </c>
      <c r="AX146" s="155" t="n"/>
      <c r="AY146" s="346">
        <f>IF(AU146="","",AU146+AX146)</f>
        <v/>
      </c>
      <c r="AZ146" s="346">
        <f>IF(AV146="","",AV146-AX146)</f>
        <v/>
      </c>
      <c r="BA146" s="347" t="n">
        <v>15</v>
      </c>
      <c r="BB146" s="351">
        <f>(AY146-AY$153)/AY$178*BB$130</f>
        <v/>
      </c>
      <c r="BC146" s="318">
        <f>(AZ146-AZ$153)/AZ$178*BC$130</f>
        <v/>
      </c>
      <c r="BD146" s="559">
        <f>BB146+BC146</f>
        <v/>
      </c>
    </row>
    <row customHeight="1" ht="20.1" r="147" s="353">
      <c r="V147" s="557" t="n"/>
      <c r="W147" s="11" t="n">
        <v>17</v>
      </c>
      <c r="X147" s="335">
        <f>D66</f>
        <v/>
      </c>
      <c r="Y147" s="335">
        <f>E66</f>
        <v/>
      </c>
      <c r="Z147" s="335">
        <f>F66</f>
        <v/>
      </c>
      <c r="AA147" s="335">
        <f>G66</f>
        <v/>
      </c>
      <c r="AB147" s="339">
        <f>INT(Y$232*D89+0.5)</f>
        <v/>
      </c>
      <c r="AC147" s="339">
        <f>INT(Z$232*E89+0.5)</f>
        <v/>
      </c>
      <c r="AD147" s="339">
        <f>INT(AA$232*F89+0.5)</f>
        <v/>
      </c>
      <c r="AE147" s="339">
        <f>INT(AB$232*G89+0.5)</f>
        <v/>
      </c>
      <c r="AF147" s="557" t="n"/>
      <c r="AG147" s="11" t="n">
        <v>17</v>
      </c>
      <c r="AH147" s="340">
        <f>H66</f>
        <v/>
      </c>
      <c r="AI147" s="340">
        <f>I66</f>
        <v/>
      </c>
      <c r="AJ147" s="340">
        <f>J66</f>
        <v/>
      </c>
      <c r="AK147" s="340">
        <f>K66</f>
        <v/>
      </c>
      <c r="AL147" s="341">
        <f>INT(AC$232*H89+0.5)</f>
        <v/>
      </c>
      <c r="AM147" s="341">
        <f>INT(AD$232*I89+0.5)</f>
        <v/>
      </c>
      <c r="AN147" s="341">
        <f>INT(AE$232*J89+0.5)</f>
        <v/>
      </c>
      <c r="AO147" s="341">
        <f>INT(AF$232*K89+0.5)</f>
        <v/>
      </c>
      <c r="AR147" s="347" t="n">
        <v>16</v>
      </c>
      <c r="AS147" s="346">
        <f>IF(F110="","",F110)</f>
        <v/>
      </c>
      <c r="AT147" s="346">
        <f>IF(G110="","",G110)</f>
        <v/>
      </c>
      <c r="AU147" s="346">
        <f>IF(H110="","",H110)</f>
        <v/>
      </c>
      <c r="AV147" s="346">
        <f>IF(J110="","",J110)</f>
        <v/>
      </c>
      <c r="AX147" s="155" t="n"/>
      <c r="AY147" s="346">
        <f>IF(AU147="","",AU147+AX147)</f>
        <v/>
      </c>
      <c r="AZ147" s="346">
        <f>IF(AV147="","",AV147-AX147)</f>
        <v/>
      </c>
      <c r="BA147" s="347" t="n">
        <v>16</v>
      </c>
      <c r="BB147" s="351">
        <f>(AY147-AY$153)/AY$178*BB$130</f>
        <v/>
      </c>
      <c r="BC147" s="318">
        <f>(AZ147-AZ$153)/AZ$178*BC$130</f>
        <v/>
      </c>
      <c r="BD147" s="559">
        <f>BB147+BC147</f>
        <v/>
      </c>
    </row>
    <row customHeight="1" ht="20.1" r="148" s="353">
      <c r="V148" s="557" t="n"/>
      <c r="W148" s="11" t="n">
        <v>18</v>
      </c>
      <c r="X148" s="335">
        <f>D67</f>
        <v/>
      </c>
      <c r="Y148" s="335">
        <f>E67</f>
        <v/>
      </c>
      <c r="Z148" s="335">
        <f>F67</f>
        <v/>
      </c>
      <c r="AA148" s="335">
        <f>G67</f>
        <v/>
      </c>
      <c r="AB148" s="339">
        <f>INT(Y$232*D90+0.5)</f>
        <v/>
      </c>
      <c r="AC148" s="339">
        <f>INT(Z$232*E90+0.5)</f>
        <v/>
      </c>
      <c r="AD148" s="339">
        <f>INT(AA$232*F90+0.5)</f>
        <v/>
      </c>
      <c r="AE148" s="339">
        <f>INT(AB$232*G90+0.5)</f>
        <v/>
      </c>
      <c r="AF148" s="557" t="n"/>
      <c r="AG148" s="11" t="n">
        <v>18</v>
      </c>
      <c r="AH148" s="340">
        <f>H67</f>
        <v/>
      </c>
      <c r="AI148" s="340">
        <f>I67</f>
        <v/>
      </c>
      <c r="AJ148" s="340">
        <f>J67</f>
        <v/>
      </c>
      <c r="AK148" s="340">
        <f>K67</f>
        <v/>
      </c>
      <c r="AL148" s="341">
        <f>INT(AC$232*H90+0.5)</f>
        <v/>
      </c>
      <c r="AM148" s="341">
        <f>INT(AD$232*I90+0.5)</f>
        <v/>
      </c>
      <c r="AN148" s="341">
        <f>INT(AE$232*J90+0.5)</f>
        <v/>
      </c>
      <c r="AO148" s="341">
        <f>INT(AF$232*K90+0.5)</f>
        <v/>
      </c>
      <c r="AR148" s="347" t="n">
        <v>17</v>
      </c>
      <c r="AS148" s="346">
        <f>IF(F111="","",F111)</f>
        <v/>
      </c>
      <c r="AT148" s="346">
        <f>IF(G111="","",G111)</f>
        <v/>
      </c>
      <c r="AU148" s="346">
        <f>IF(H111="","",H111)</f>
        <v/>
      </c>
      <c r="AV148" s="346">
        <f>IF(J111="","",J111)</f>
        <v/>
      </c>
      <c r="AX148" s="155" t="n"/>
      <c r="AY148" s="346">
        <f>IF(AU148="","",AU148+AX148)</f>
        <v/>
      </c>
      <c r="AZ148" s="346">
        <f>IF(AV148="","",AV148-AX148)</f>
        <v/>
      </c>
      <c r="BA148" s="347" t="n">
        <v>17</v>
      </c>
      <c r="BB148" s="351">
        <f>(AY148-AY$153)/AY$178*BB$130</f>
        <v/>
      </c>
      <c r="BC148" s="318">
        <f>(AZ148-AZ$153)/AZ$178*BC$130</f>
        <v/>
      </c>
      <c r="BD148" s="559">
        <f>BB148+BC148</f>
        <v/>
      </c>
    </row>
    <row customHeight="1" ht="20.1" r="149" s="353">
      <c r="V149" s="557" t="n"/>
      <c r="W149" s="11" t="n">
        <v>19</v>
      </c>
      <c r="X149" s="335">
        <f>D68</f>
        <v/>
      </c>
      <c r="Y149" s="335">
        <f>E68</f>
        <v/>
      </c>
      <c r="Z149" s="335">
        <f>F68</f>
        <v/>
      </c>
      <c r="AA149" s="335">
        <f>G68</f>
        <v/>
      </c>
      <c r="AB149" s="339">
        <f>INT(Y$232*D91+0.5)</f>
        <v/>
      </c>
      <c r="AC149" s="339">
        <f>INT(Z$232*E91+0.5)</f>
        <v/>
      </c>
      <c r="AD149" s="339">
        <f>INT(AA$232*F91+0.5)</f>
        <v/>
      </c>
      <c r="AE149" s="339">
        <f>INT(AB$232*G91+0.5)</f>
        <v/>
      </c>
      <c r="AF149" s="557" t="n"/>
      <c r="AG149" s="11" t="n">
        <v>19</v>
      </c>
      <c r="AH149" s="340">
        <f>H68</f>
        <v/>
      </c>
      <c r="AI149" s="340">
        <f>I68</f>
        <v/>
      </c>
      <c r="AJ149" s="340">
        <f>J68</f>
        <v/>
      </c>
      <c r="AK149" s="340">
        <f>K68</f>
        <v/>
      </c>
      <c r="AL149" s="341">
        <f>INT(AC$232*H91+0.5)</f>
        <v/>
      </c>
      <c r="AM149" s="341">
        <f>INT(AD$232*I91+0.5)</f>
        <v/>
      </c>
      <c r="AN149" s="341">
        <f>INT(AE$232*J91+0.5)</f>
        <v/>
      </c>
      <c r="AO149" s="341">
        <f>INT(AF$232*K91+0.5)</f>
        <v/>
      </c>
      <c r="AR149" s="347" t="n">
        <v>18</v>
      </c>
      <c r="AS149" s="346">
        <f>IF(F112="","",F112)</f>
        <v/>
      </c>
      <c r="AT149" s="346">
        <f>IF(G112="","",G112)</f>
        <v/>
      </c>
      <c r="AU149" s="346">
        <f>IF(H112="","",H112)</f>
        <v/>
      </c>
      <c r="AV149" s="346">
        <f>IF(J112="","",J112)</f>
        <v/>
      </c>
      <c r="AX149" s="155" t="n"/>
      <c r="AY149" s="346">
        <f>IF(AU149="","",AU149+AX149)</f>
        <v/>
      </c>
      <c r="AZ149" s="346">
        <f>IF(AV149="","",AV149-AX149)</f>
        <v/>
      </c>
      <c r="BA149" s="347" t="n">
        <v>18</v>
      </c>
      <c r="BB149" s="351">
        <f>(AY149-AY$153)/AY$178*BB$130</f>
        <v/>
      </c>
      <c r="BC149" s="318">
        <f>(AZ149-AZ$153)/AZ$178*BC$130</f>
        <v/>
      </c>
      <c r="BD149" s="559">
        <f>BB149+BC149</f>
        <v/>
      </c>
    </row>
    <row customHeight="1" ht="20.1" r="150" s="353">
      <c r="V150" s="560" t="n"/>
      <c r="W150" s="11" t="n">
        <v>20</v>
      </c>
      <c r="X150" s="335">
        <f>D69</f>
        <v/>
      </c>
      <c r="Y150" s="335">
        <f>E69</f>
        <v/>
      </c>
      <c r="Z150" s="335">
        <f>F69</f>
        <v/>
      </c>
      <c r="AA150" s="335">
        <f>G69</f>
        <v/>
      </c>
      <c r="AB150" s="339">
        <f>INT(Y$232*D92+0.5)</f>
        <v/>
      </c>
      <c r="AC150" s="339">
        <f>INT(Z$232*E92+0.5)</f>
        <v/>
      </c>
      <c r="AD150" s="339">
        <f>INT(AA$232*F92+0.5)</f>
        <v/>
      </c>
      <c r="AE150" s="339">
        <f>INT(AB$232*G92+0.5)</f>
        <v/>
      </c>
      <c r="AF150" s="560" t="n"/>
      <c r="AG150" s="11" t="n">
        <v>20</v>
      </c>
      <c r="AH150" s="340">
        <f>H69</f>
        <v/>
      </c>
      <c r="AI150" s="340">
        <f>I69</f>
        <v/>
      </c>
      <c r="AJ150" s="340">
        <f>J69</f>
        <v/>
      </c>
      <c r="AK150" s="340">
        <f>K69</f>
        <v/>
      </c>
      <c r="AL150" s="341">
        <f>INT(AC$232*H92+0.5)</f>
        <v/>
      </c>
      <c r="AM150" s="341">
        <f>INT(AD$232*I92+0.5)</f>
        <v/>
      </c>
      <c r="AN150" s="341">
        <f>INT(AE$232*J92+0.5)</f>
        <v/>
      </c>
      <c r="AO150" s="341">
        <f>INT(AF$232*K92+0.5)</f>
        <v/>
      </c>
      <c r="AR150" s="347" t="n">
        <v>19</v>
      </c>
      <c r="AS150" s="346">
        <f>IF(F113="","",F113)</f>
        <v/>
      </c>
      <c r="AT150" s="346">
        <f>IF(G113="","",G113)</f>
        <v/>
      </c>
      <c r="AU150" s="346">
        <f>IF(H113="","",H113)</f>
        <v/>
      </c>
      <c r="AV150" s="346">
        <f>IF(J113="","",J113)</f>
        <v/>
      </c>
      <c r="AX150" s="155" t="n"/>
      <c r="AY150" s="346">
        <f>IF(AU150="","",AU150+AX150)</f>
        <v/>
      </c>
      <c r="AZ150" s="346">
        <f>IF(AV150="","",AV150-AX150)</f>
        <v/>
      </c>
      <c r="BA150" s="347" t="n">
        <v>19</v>
      </c>
      <c r="BB150" s="351">
        <f>(AY150-AY$153)/AY$178*BB$130</f>
        <v/>
      </c>
      <c r="BC150" s="318">
        <f>(AZ150-AZ$153)/AZ$178*BC$130</f>
        <v/>
      </c>
      <c r="BD150" s="559">
        <f>BB150+BC150</f>
        <v/>
      </c>
    </row>
    <row customHeight="1" ht="20.1" r="151" s="353">
      <c r="AR151" s="347" t="n">
        <v>20</v>
      </c>
      <c r="AS151" s="346">
        <f>IF(F114="","",F114)</f>
        <v/>
      </c>
      <c r="AT151" s="346">
        <f>IF(G114="","",G114)</f>
        <v/>
      </c>
      <c r="AU151" s="346">
        <f>IF(H114="","",H114)</f>
        <v/>
      </c>
      <c r="AV151" s="346">
        <f>IF(J114="","",J114)</f>
        <v/>
      </c>
      <c r="AX151" s="155" t="n"/>
      <c r="AY151" s="346">
        <f>IF(AU151="","",AU151+AX151)</f>
        <v/>
      </c>
      <c r="AZ151" s="346">
        <f>IF(AV151="","",AV151-AX151)</f>
        <v/>
      </c>
      <c r="BA151" s="347" t="n">
        <v>20</v>
      </c>
      <c r="BB151" s="351">
        <f>(AY151-AY$153)/AY$178*BB$130</f>
        <v/>
      </c>
      <c r="BC151" s="318">
        <f>(AZ151-AZ$153)/AZ$178*BC$130</f>
        <v/>
      </c>
      <c r="BD151" s="559">
        <f>BB151+BC151</f>
        <v/>
      </c>
    </row>
    <row customHeight="1" ht="20.1" r="152" s="353"/>
    <row customHeight="1" ht="20.1" r="153" s="353">
      <c r="X153" s="101" t="n"/>
      <c r="Y153" s="101" t="n"/>
      <c r="Z153" s="101" t="n"/>
      <c r="AA153" s="101" t="n"/>
      <c r="AB153" s="338">
        <f>AH64</f>
        <v/>
      </c>
      <c r="AC153" s="338">
        <f>AH65</f>
        <v/>
      </c>
      <c r="AD153" s="338">
        <f>AH66</f>
        <v/>
      </c>
      <c r="AE153" s="338">
        <f>AH67</f>
        <v/>
      </c>
      <c r="AH153" s="101" t="n"/>
      <c r="AI153" s="101" t="n"/>
      <c r="AJ153" s="101" t="n"/>
      <c r="AK153" s="101" t="n"/>
      <c r="AL153" s="338">
        <f>AI64</f>
        <v/>
      </c>
      <c r="AM153" s="338">
        <f>AI65</f>
        <v/>
      </c>
      <c r="AN153" s="338">
        <f>AI66</f>
        <v/>
      </c>
      <c r="AO153" s="338">
        <f>AI67</f>
        <v/>
      </c>
      <c r="AR153" s="215" t="inlineStr">
        <is>
          <t>均值</t>
        </is>
      </c>
      <c r="AS153" s="215">
        <f>SUM(AS132:AS151)/比赛参数!$G$4</f>
        <v/>
      </c>
      <c r="AT153" s="215">
        <f>SUM(AT132:AT151)/比赛参数!$G$4</f>
        <v/>
      </c>
      <c r="AU153" s="215">
        <f>SUM(AU132:AU151)/比赛参数!$G$4</f>
        <v/>
      </c>
      <c r="AV153" s="215">
        <f>SUM(AV132:AV151)/比赛参数!$G$4</f>
        <v/>
      </c>
      <c r="AY153" s="215">
        <f>SUM(AY132:AY151)/比赛参数!$G$4</f>
        <v/>
      </c>
      <c r="AZ153" s="215">
        <f>SUM(AZ132:AZ151)/比赛参数!$G$4</f>
        <v/>
      </c>
    </row>
    <row customHeight="1" ht="20.1" r="154" s="353">
      <c r="V154" s="556" t="inlineStr">
        <is>
          <t>产品C</t>
        </is>
      </c>
      <c r="W154" s="11" t="n">
        <v>1</v>
      </c>
      <c r="X154" s="335">
        <f>L50</f>
        <v/>
      </c>
      <c r="Y154" s="335">
        <f>M50</f>
        <v/>
      </c>
      <c r="Z154" s="335">
        <f>N50</f>
        <v/>
      </c>
      <c r="AA154" s="335">
        <f>O50</f>
        <v/>
      </c>
      <c r="AB154" s="339">
        <f>INT(AG$232*L73+0.5)</f>
        <v/>
      </c>
      <c r="AC154" s="339">
        <f>INT(AH$232*M73+0.5)</f>
        <v/>
      </c>
      <c r="AD154" s="339">
        <f>INT(AI$232*N73+0.5)</f>
        <v/>
      </c>
      <c r="AE154" s="339">
        <f>INT(AJ$232*O73+0.5)</f>
        <v/>
      </c>
      <c r="AF154" s="556" t="inlineStr">
        <is>
          <t>产品D</t>
        </is>
      </c>
      <c r="AG154" s="11" t="n">
        <v>1</v>
      </c>
      <c r="AH154" s="340">
        <f>P50</f>
        <v/>
      </c>
      <c r="AI154" s="340">
        <f>Q50</f>
        <v/>
      </c>
      <c r="AJ154" s="340">
        <f>R50</f>
        <v/>
      </c>
      <c r="AK154" s="340">
        <f>S50</f>
        <v/>
      </c>
      <c r="AL154" s="341">
        <f>INT(AK$232*P73+0.5)</f>
        <v/>
      </c>
      <c r="AM154" s="341">
        <f>INT(AL$232*Q73+0.5)</f>
        <v/>
      </c>
      <c r="AN154" s="341">
        <f>INT(AM$232*R73+0.5)</f>
        <v/>
      </c>
      <c r="AO154" s="341">
        <f>INT(AN$232*S73+0.5)</f>
        <v/>
      </c>
    </row>
    <row customHeight="1" ht="20.1" r="155" s="353">
      <c r="V155" s="557" t="n"/>
      <c r="W155" s="11" t="n">
        <v>2</v>
      </c>
      <c r="X155" s="335">
        <f>L51</f>
        <v/>
      </c>
      <c r="Y155" s="335">
        <f>M51</f>
        <v/>
      </c>
      <c r="Z155" s="335">
        <f>N51</f>
        <v/>
      </c>
      <c r="AA155" s="335">
        <f>O51</f>
        <v/>
      </c>
      <c r="AB155" s="339">
        <f>INT(AG$232*L74+0.5)</f>
        <v/>
      </c>
      <c r="AC155" s="339">
        <f>INT(AH$232*M74+0.5)</f>
        <v/>
      </c>
      <c r="AD155" s="339">
        <f>INT(AI$232*N74+0.5)</f>
        <v/>
      </c>
      <c r="AE155" s="339">
        <f>INT(AJ$232*O74+0.5)</f>
        <v/>
      </c>
      <c r="AF155" s="557" t="n"/>
      <c r="AG155" s="11" t="n">
        <v>2</v>
      </c>
      <c r="AH155" s="340">
        <f>P51</f>
        <v/>
      </c>
      <c r="AI155" s="340">
        <f>Q51</f>
        <v/>
      </c>
      <c r="AJ155" s="340">
        <f>R51</f>
        <v/>
      </c>
      <c r="AK155" s="340">
        <f>S51</f>
        <v/>
      </c>
      <c r="AL155" s="341">
        <f>INT(AK$232*P74+0.5)</f>
        <v/>
      </c>
      <c r="AM155" s="341">
        <f>INT(AL$232*Q74+0.5)</f>
        <v/>
      </c>
      <c r="AN155" s="341">
        <f>INT(AM$232*R74+0.5)</f>
        <v/>
      </c>
      <c r="AO155" s="341">
        <f>INT(AN$232*S74+0.5)</f>
        <v/>
      </c>
    </row>
    <row customHeight="1" ht="20.1" r="156" s="353">
      <c r="V156" s="557" t="n"/>
      <c r="W156" s="11" t="n">
        <v>3</v>
      </c>
      <c r="X156" s="335">
        <f>L52</f>
        <v/>
      </c>
      <c r="Y156" s="335">
        <f>M52</f>
        <v/>
      </c>
      <c r="Z156" s="335">
        <f>N52</f>
        <v/>
      </c>
      <c r="AA156" s="335">
        <f>O52</f>
        <v/>
      </c>
      <c r="AB156" s="339">
        <f>INT(AG$232*L75+0.5)</f>
        <v/>
      </c>
      <c r="AC156" s="339">
        <f>INT(AH$232*M75+0.5)</f>
        <v/>
      </c>
      <c r="AD156" s="339">
        <f>INT(AI$232*N75+0.5)</f>
        <v/>
      </c>
      <c r="AE156" s="339">
        <f>INT(AJ$232*O75+0.5)</f>
        <v/>
      </c>
      <c r="AF156" s="557" t="n"/>
      <c r="AG156" s="11" t="n">
        <v>3</v>
      </c>
      <c r="AH156" s="340">
        <f>P52</f>
        <v/>
      </c>
      <c r="AI156" s="340">
        <f>Q52</f>
        <v/>
      </c>
      <c r="AJ156" s="340">
        <f>R52</f>
        <v/>
      </c>
      <c r="AK156" s="340">
        <f>S52</f>
        <v/>
      </c>
      <c r="AL156" s="341">
        <f>INT(AK$232*P75+0.5)</f>
        <v/>
      </c>
      <c r="AM156" s="341">
        <f>INT(AL$232*Q75+0.5)</f>
        <v/>
      </c>
      <c r="AN156" s="341">
        <f>INT(AM$232*R75+0.5)</f>
        <v/>
      </c>
      <c r="AO156" s="341">
        <f>INT(AN$232*S75+0.5)</f>
        <v/>
      </c>
      <c r="AR156" s="215" t="inlineStr">
        <is>
          <t>公司</t>
        </is>
      </c>
    </row>
    <row customHeight="1" ht="20.1" r="157" s="353">
      <c r="V157" s="557" t="n"/>
      <c r="W157" s="11" t="n">
        <v>4</v>
      </c>
      <c r="X157" s="335">
        <f>L53</f>
        <v/>
      </c>
      <c r="Y157" s="335">
        <f>M53</f>
        <v/>
      </c>
      <c r="Z157" s="335">
        <f>N53</f>
        <v/>
      </c>
      <c r="AA157" s="335">
        <f>O53</f>
        <v/>
      </c>
      <c r="AB157" s="339">
        <f>INT(AG$232*L76+0.5)</f>
        <v/>
      </c>
      <c r="AC157" s="339">
        <f>INT(AH$232*M76+0.5)</f>
        <v/>
      </c>
      <c r="AD157" s="339">
        <f>INT(AI$232*N76+0.5)</f>
        <v/>
      </c>
      <c r="AE157" s="339">
        <f>INT(AJ$232*O76+0.5)</f>
        <v/>
      </c>
      <c r="AF157" s="557" t="n"/>
      <c r="AG157" s="11" t="n">
        <v>4</v>
      </c>
      <c r="AH157" s="340">
        <f>P53</f>
        <v/>
      </c>
      <c r="AI157" s="340">
        <f>Q53</f>
        <v/>
      </c>
      <c r="AJ157" s="340">
        <f>R53</f>
        <v/>
      </c>
      <c r="AK157" s="340">
        <f>S53</f>
        <v/>
      </c>
      <c r="AL157" s="341">
        <f>INT(AK$232*P76+0.5)</f>
        <v/>
      </c>
      <c r="AM157" s="341">
        <f>INT(AL$232*Q76+0.5)</f>
        <v/>
      </c>
      <c r="AN157" s="341">
        <f>INT(AM$232*R76+0.5)</f>
        <v/>
      </c>
      <c r="AO157" s="341">
        <f>INT(AN$232*S76+0.5)</f>
        <v/>
      </c>
      <c r="AR157" s="215" t="n">
        <v>1</v>
      </c>
      <c r="AS157" s="215">
        <f>IF(AS132="","",(AS132-AS$153)^2)</f>
        <v/>
      </c>
      <c r="AT157" s="215">
        <f>IF(AT132="","",(AT132-AT$153)^2)</f>
        <v/>
      </c>
      <c r="AU157" s="215">
        <f>IF(AU132="","",(AU132-AU$153)^2)</f>
        <v/>
      </c>
      <c r="AV157" s="215">
        <f>IF(AV132="","",(AV132-AV$153)^2)</f>
        <v/>
      </c>
      <c r="AY157" s="215">
        <f>IF(AY132="","",(AY132-AY$153)^2)</f>
        <v/>
      </c>
      <c r="AZ157" s="215">
        <f>IF(AZ132="","",(AZ132-AZ$153)^2)</f>
        <v/>
      </c>
    </row>
    <row customHeight="1" ht="20.1" r="158" s="353">
      <c r="V158" s="557" t="n"/>
      <c r="W158" s="11" t="n">
        <v>5</v>
      </c>
      <c r="X158" s="335">
        <f>L54</f>
        <v/>
      </c>
      <c r="Y158" s="335">
        <f>M54</f>
        <v/>
      </c>
      <c r="Z158" s="335">
        <f>N54</f>
        <v/>
      </c>
      <c r="AA158" s="335">
        <f>O54</f>
        <v/>
      </c>
      <c r="AB158" s="339">
        <f>INT(AG$232*L77+0.5)</f>
        <v/>
      </c>
      <c r="AC158" s="339">
        <f>INT(AH$232*M77+0.5)</f>
        <v/>
      </c>
      <c r="AD158" s="339">
        <f>INT(AI$232*N77+0.5)</f>
        <v/>
      </c>
      <c r="AE158" s="339">
        <f>INT(AJ$232*O77+0.5)</f>
        <v/>
      </c>
      <c r="AF158" s="557" t="n"/>
      <c r="AG158" s="11" t="n">
        <v>5</v>
      </c>
      <c r="AH158" s="340">
        <f>P54</f>
        <v/>
      </c>
      <c r="AI158" s="340">
        <f>Q54</f>
        <v/>
      </c>
      <c r="AJ158" s="340">
        <f>R54</f>
        <v/>
      </c>
      <c r="AK158" s="340">
        <f>S54</f>
        <v/>
      </c>
      <c r="AL158" s="341">
        <f>INT(AK$232*P77+0.5)</f>
        <v/>
      </c>
      <c r="AM158" s="341">
        <f>INT(AL$232*Q77+0.5)</f>
        <v/>
      </c>
      <c r="AN158" s="341">
        <f>INT(AM$232*R77+0.5)</f>
        <v/>
      </c>
      <c r="AO158" s="341">
        <f>INT(AN$232*S77+0.5)</f>
        <v/>
      </c>
      <c r="AR158" s="215" t="n">
        <v>2</v>
      </c>
      <c r="AS158" s="215">
        <f>IF(AS133="","",(AS133-AS$153)^2)</f>
        <v/>
      </c>
      <c r="AT158" s="215">
        <f>IF(AT133="","",(AT133-AT$153)^2)</f>
        <v/>
      </c>
      <c r="AU158" s="215">
        <f>IF(AU133="","",(AU133-AU$153)^2)</f>
        <v/>
      </c>
      <c r="AV158" s="215">
        <f>IF(AV133="","",(AV133-AV$153)^2)</f>
        <v/>
      </c>
      <c r="AY158" s="215">
        <f>IF(AY133="","",(AY133-AY$153)^2)</f>
        <v/>
      </c>
      <c r="AZ158" s="215">
        <f>IF(AZ133="","",(AZ133-AZ$153)^2)</f>
        <v/>
      </c>
    </row>
    <row customHeight="1" ht="20.1" r="159" s="353">
      <c r="V159" s="557" t="n"/>
      <c r="W159" s="11" t="n">
        <v>6</v>
      </c>
      <c r="X159" s="335">
        <f>L55</f>
        <v/>
      </c>
      <c r="Y159" s="335">
        <f>M55</f>
        <v/>
      </c>
      <c r="Z159" s="335">
        <f>N55</f>
        <v/>
      </c>
      <c r="AA159" s="335">
        <f>O55</f>
        <v/>
      </c>
      <c r="AB159" s="339">
        <f>INT(AG$232*L78+0.5)</f>
        <v/>
      </c>
      <c r="AC159" s="339">
        <f>INT(AH$232*M78+0.5)</f>
        <v/>
      </c>
      <c r="AD159" s="339">
        <f>INT(AI$232*N78+0.5)</f>
        <v/>
      </c>
      <c r="AE159" s="339">
        <f>INT(AJ$232*O78+0.5)</f>
        <v/>
      </c>
      <c r="AF159" s="557" t="n"/>
      <c r="AG159" s="11" t="n">
        <v>6</v>
      </c>
      <c r="AH159" s="340">
        <f>P55</f>
        <v/>
      </c>
      <c r="AI159" s="340">
        <f>Q55</f>
        <v/>
      </c>
      <c r="AJ159" s="340">
        <f>R55</f>
        <v/>
      </c>
      <c r="AK159" s="340">
        <f>S55</f>
        <v/>
      </c>
      <c r="AL159" s="341">
        <f>INT(AK$232*P78+0.5)</f>
        <v/>
      </c>
      <c r="AM159" s="341">
        <f>INT(AL$232*Q78+0.5)</f>
        <v/>
      </c>
      <c r="AN159" s="341">
        <f>INT(AM$232*R78+0.5)</f>
        <v/>
      </c>
      <c r="AO159" s="341">
        <f>INT(AN$232*S78+0.5)</f>
        <v/>
      </c>
      <c r="AR159" s="215" t="n">
        <v>3</v>
      </c>
      <c r="AS159" s="215">
        <f>IF(AS134="","",(AS134-AS$153)^2)</f>
        <v/>
      </c>
      <c r="AT159" s="215">
        <f>IF(AT134="","",(AT134-AT$153)^2)</f>
        <v/>
      </c>
      <c r="AU159" s="215">
        <f>IF(AU134="","",(AU134-AU$153)^2)</f>
        <v/>
      </c>
      <c r="AV159" s="215">
        <f>IF(AV134="","",(AV134-AV$153)^2)</f>
        <v/>
      </c>
      <c r="AY159" s="215">
        <f>IF(AY134="","",(AY134-AY$153)^2)</f>
        <v/>
      </c>
      <c r="AZ159" s="215">
        <f>IF(AZ134="","",(AZ134-AZ$153)^2)</f>
        <v/>
      </c>
    </row>
    <row customHeight="1" ht="20.1" r="160" s="353">
      <c r="V160" s="557" t="n"/>
      <c r="W160" s="11" t="n">
        <v>7</v>
      </c>
      <c r="X160" s="335">
        <f>L56</f>
        <v/>
      </c>
      <c r="Y160" s="335">
        <f>M56</f>
        <v/>
      </c>
      <c r="Z160" s="335">
        <f>N56</f>
        <v/>
      </c>
      <c r="AA160" s="335">
        <f>O56</f>
        <v/>
      </c>
      <c r="AB160" s="339">
        <f>INT(AG$232*L79+0.5)</f>
        <v/>
      </c>
      <c r="AC160" s="339">
        <f>INT(AH$232*M79+0.5)</f>
        <v/>
      </c>
      <c r="AD160" s="339">
        <f>INT(AI$232*N79+0.5)</f>
        <v/>
      </c>
      <c r="AE160" s="339">
        <f>INT(AJ$232*O79+0.5)</f>
        <v/>
      </c>
      <c r="AF160" s="557" t="n"/>
      <c r="AG160" s="11" t="n">
        <v>7</v>
      </c>
      <c r="AH160" s="340">
        <f>P56</f>
        <v/>
      </c>
      <c r="AI160" s="340">
        <f>Q56</f>
        <v/>
      </c>
      <c r="AJ160" s="340">
        <f>R56</f>
        <v/>
      </c>
      <c r="AK160" s="340">
        <f>S56</f>
        <v/>
      </c>
      <c r="AL160" s="341">
        <f>INT(AK$232*P79+0.5)</f>
        <v/>
      </c>
      <c r="AM160" s="341">
        <f>INT(AL$232*Q79+0.5)</f>
        <v/>
      </c>
      <c r="AN160" s="341">
        <f>INT(AM$232*R79+0.5)</f>
        <v/>
      </c>
      <c r="AO160" s="341">
        <f>INT(AN$232*S79+0.5)</f>
        <v/>
      </c>
      <c r="AR160" s="215" t="n">
        <v>4</v>
      </c>
      <c r="AS160" s="215">
        <f>IF(AS135="","",(AS135-AS$153)^2)</f>
        <v/>
      </c>
      <c r="AT160" s="215">
        <f>IF(AT135="","",(AT135-AT$153)^2)</f>
        <v/>
      </c>
      <c r="AU160" s="215">
        <f>IF(AU135="","",(AU135-AU$153)^2)</f>
        <v/>
      </c>
      <c r="AV160" s="215">
        <f>IF(AV135="","",(AV135-AV$153)^2)</f>
        <v/>
      </c>
      <c r="AY160" s="215">
        <f>IF(AY135="","",(AY135-AY$153)^2)</f>
        <v/>
      </c>
      <c r="AZ160" s="215">
        <f>IF(AZ135="","",(AZ135-AZ$153)^2)</f>
        <v/>
      </c>
    </row>
    <row customHeight="1" ht="20.1" r="161" s="353">
      <c r="V161" s="557" t="n"/>
      <c r="W161" s="11" t="n">
        <v>8</v>
      </c>
      <c r="X161" s="335">
        <f>L57</f>
        <v/>
      </c>
      <c r="Y161" s="335">
        <f>M57</f>
        <v/>
      </c>
      <c r="Z161" s="335">
        <f>N57</f>
        <v/>
      </c>
      <c r="AA161" s="335">
        <f>O57</f>
        <v/>
      </c>
      <c r="AB161" s="339">
        <f>INT(AG$232*L80+0.5)</f>
        <v/>
      </c>
      <c r="AC161" s="339">
        <f>INT(AH$232*M80+0.5)</f>
        <v/>
      </c>
      <c r="AD161" s="339">
        <f>INT(AI$232*N80+0.5)</f>
        <v/>
      </c>
      <c r="AE161" s="339">
        <f>INT(AJ$232*O80+0.5)</f>
        <v/>
      </c>
      <c r="AF161" s="557" t="n"/>
      <c r="AG161" s="11" t="n">
        <v>8</v>
      </c>
      <c r="AH161" s="340">
        <f>P57</f>
        <v/>
      </c>
      <c r="AI161" s="340">
        <f>Q57</f>
        <v/>
      </c>
      <c r="AJ161" s="340">
        <f>R57</f>
        <v/>
      </c>
      <c r="AK161" s="340">
        <f>S57</f>
        <v/>
      </c>
      <c r="AL161" s="341">
        <f>INT(AK$232*P80+0.5)</f>
        <v/>
      </c>
      <c r="AM161" s="341">
        <f>INT(AL$232*Q80+0.5)</f>
        <v/>
      </c>
      <c r="AN161" s="341">
        <f>INT(AM$232*R80+0.5)</f>
        <v/>
      </c>
      <c r="AO161" s="341">
        <f>INT(AN$232*S80+0.5)</f>
        <v/>
      </c>
      <c r="AR161" s="215" t="n">
        <v>5</v>
      </c>
      <c r="AS161" s="215">
        <f>IF(AS136="","",(AS136-AS$153)^2)</f>
        <v/>
      </c>
      <c r="AT161" s="215">
        <f>IF(AT136="","",(AT136-AT$153)^2)</f>
        <v/>
      </c>
      <c r="AU161" s="215">
        <f>IF(AU136="","",(AU136-AU$153)^2)</f>
        <v/>
      </c>
      <c r="AV161" s="215">
        <f>IF(AV136="","",(AV136-AV$153)^2)</f>
        <v/>
      </c>
      <c r="AY161" s="215">
        <f>IF(AY136="","",(AY136-AY$153)^2)</f>
        <v/>
      </c>
      <c r="AZ161" s="215">
        <f>IF(AZ136="","",(AZ136-AZ$153)^2)</f>
        <v/>
      </c>
    </row>
    <row customHeight="1" ht="20.1" r="162" s="353">
      <c r="V162" s="557" t="n"/>
      <c r="W162" s="11" t="n">
        <v>9</v>
      </c>
      <c r="X162" s="335">
        <f>L58</f>
        <v/>
      </c>
      <c r="Y162" s="335">
        <f>M58</f>
        <v/>
      </c>
      <c r="Z162" s="335">
        <f>N58</f>
        <v/>
      </c>
      <c r="AA162" s="335">
        <f>O58</f>
        <v/>
      </c>
      <c r="AB162" s="339">
        <f>INT(AG$232*L81+0.5)</f>
        <v/>
      </c>
      <c r="AC162" s="339">
        <f>INT(AH$232*M81+0.5)</f>
        <v/>
      </c>
      <c r="AD162" s="339">
        <f>INT(AI$232*N81+0.5)</f>
        <v/>
      </c>
      <c r="AE162" s="339">
        <f>INT(AJ$232*O81+0.5)</f>
        <v/>
      </c>
      <c r="AF162" s="557" t="n"/>
      <c r="AG162" s="11" t="n">
        <v>9</v>
      </c>
      <c r="AH162" s="340">
        <f>P58</f>
        <v/>
      </c>
      <c r="AI162" s="340">
        <f>Q58</f>
        <v/>
      </c>
      <c r="AJ162" s="340">
        <f>R58</f>
        <v/>
      </c>
      <c r="AK162" s="340">
        <f>S58</f>
        <v/>
      </c>
      <c r="AL162" s="341">
        <f>INT(AK$232*P81+0.5)</f>
        <v/>
      </c>
      <c r="AM162" s="341">
        <f>INT(AL$232*Q81+0.5)</f>
        <v/>
      </c>
      <c r="AN162" s="341">
        <f>INT(AM$232*R81+0.5)</f>
        <v/>
      </c>
      <c r="AO162" s="341">
        <f>INT(AN$232*S81+0.5)</f>
        <v/>
      </c>
      <c r="AR162" s="215" t="n">
        <v>6</v>
      </c>
      <c r="AS162" s="215">
        <f>IF(AS137="","",(AS137-AS$153)^2)</f>
        <v/>
      </c>
      <c r="AT162" s="215">
        <f>IF(AT137="","",(AT137-AT$153)^2)</f>
        <v/>
      </c>
      <c r="AU162" s="215">
        <f>IF(AU137="","",(AU137-AU$153)^2)</f>
        <v/>
      </c>
      <c r="AV162" s="215">
        <f>IF(AV137="","",(AV137-AV$153)^2)</f>
        <v/>
      </c>
      <c r="AY162" s="215">
        <f>IF(AY137="","",(AY137-AY$153)^2)</f>
        <v/>
      </c>
      <c r="AZ162" s="215">
        <f>IF(AZ137="","",(AZ137-AZ$153)^2)</f>
        <v/>
      </c>
    </row>
    <row customHeight="1" ht="20.1" r="163" s="353">
      <c r="V163" s="557" t="n"/>
      <c r="W163" s="11" t="n">
        <v>10</v>
      </c>
      <c r="X163" s="335">
        <f>L59</f>
        <v/>
      </c>
      <c r="Y163" s="335">
        <f>M59</f>
        <v/>
      </c>
      <c r="Z163" s="335">
        <f>N59</f>
        <v/>
      </c>
      <c r="AA163" s="335">
        <f>O59</f>
        <v/>
      </c>
      <c r="AB163" s="339">
        <f>INT(AG$232*L82+0.5)</f>
        <v/>
      </c>
      <c r="AC163" s="339">
        <f>INT(AH$232*M82+0.5)</f>
        <v/>
      </c>
      <c r="AD163" s="339">
        <f>INT(AI$232*N82+0.5)</f>
        <v/>
      </c>
      <c r="AE163" s="339">
        <f>INT(AJ$232*O82+0.5)</f>
        <v/>
      </c>
      <c r="AF163" s="557" t="n"/>
      <c r="AG163" s="11" t="n">
        <v>10</v>
      </c>
      <c r="AH163" s="340">
        <f>P59</f>
        <v/>
      </c>
      <c r="AI163" s="340">
        <f>Q59</f>
        <v/>
      </c>
      <c r="AJ163" s="340">
        <f>R59</f>
        <v/>
      </c>
      <c r="AK163" s="340">
        <f>S59</f>
        <v/>
      </c>
      <c r="AL163" s="341">
        <f>INT(AK$232*P82+0.5)</f>
        <v/>
      </c>
      <c r="AM163" s="341">
        <f>INT(AL$232*Q82+0.5)</f>
        <v/>
      </c>
      <c r="AN163" s="341">
        <f>INT(AM$232*R82+0.5)</f>
        <v/>
      </c>
      <c r="AO163" s="341">
        <f>INT(AN$232*S82+0.5)</f>
        <v/>
      </c>
      <c r="AR163" s="215" t="n">
        <v>7</v>
      </c>
      <c r="AS163" s="215">
        <f>IF(AS138="","",(AS138-AS$153)^2)</f>
        <v/>
      </c>
      <c r="AT163" s="215">
        <f>IF(AT138="","",(AT138-AT$153)^2)</f>
        <v/>
      </c>
      <c r="AU163" s="215">
        <f>IF(AU138="","",(AU138-AU$153)^2)</f>
        <v/>
      </c>
      <c r="AV163" s="215">
        <f>IF(AV138="","",(AV138-AV$153)^2)</f>
        <v/>
      </c>
      <c r="AY163" s="215">
        <f>IF(AY138="","",(AY138-AY$153)^2)</f>
        <v/>
      </c>
      <c r="AZ163" s="215">
        <f>IF(AZ138="","",(AZ138-AZ$153)^2)</f>
        <v/>
      </c>
    </row>
    <row customHeight="1" ht="20.1" r="164" s="353">
      <c r="V164" s="557" t="n"/>
      <c r="W164" s="11" t="n">
        <v>11</v>
      </c>
      <c r="X164" s="335">
        <f>L60</f>
        <v/>
      </c>
      <c r="Y164" s="335">
        <f>M60</f>
        <v/>
      </c>
      <c r="Z164" s="335">
        <f>N60</f>
        <v/>
      </c>
      <c r="AA164" s="335">
        <f>O60</f>
        <v/>
      </c>
      <c r="AB164" s="339">
        <f>INT(AG$232*L83+0.5)</f>
        <v/>
      </c>
      <c r="AC164" s="339">
        <f>INT(AH$232*M83+0.5)</f>
        <v/>
      </c>
      <c r="AD164" s="339">
        <f>INT(AI$232*N83+0.5)</f>
        <v/>
      </c>
      <c r="AE164" s="339">
        <f>INT(AJ$232*O83+0.5)</f>
        <v/>
      </c>
      <c r="AF164" s="557" t="n"/>
      <c r="AG164" s="11" t="n">
        <v>11</v>
      </c>
      <c r="AH164" s="340">
        <f>P60</f>
        <v/>
      </c>
      <c r="AI164" s="340">
        <f>Q60</f>
        <v/>
      </c>
      <c r="AJ164" s="340">
        <f>R60</f>
        <v/>
      </c>
      <c r="AK164" s="340">
        <f>S60</f>
        <v/>
      </c>
      <c r="AL164" s="341">
        <f>INT(AK$232*P83+0.5)</f>
        <v/>
      </c>
      <c r="AM164" s="341">
        <f>INT(AL$232*Q83+0.5)</f>
        <v/>
      </c>
      <c r="AN164" s="341">
        <f>INT(AM$232*R83+0.5)</f>
        <v/>
      </c>
      <c r="AO164" s="341">
        <f>INT(AN$232*S83+0.5)</f>
        <v/>
      </c>
      <c r="AR164" s="215" t="n">
        <v>8</v>
      </c>
      <c r="AS164" s="215">
        <f>IF(AS139="","",(AS139-AS$153)^2)</f>
        <v/>
      </c>
      <c r="AT164" s="215">
        <f>IF(AT139="","",(AT139-AT$153)^2)</f>
        <v/>
      </c>
      <c r="AU164" s="215">
        <f>IF(AU139="","",(AU139-AU$153)^2)</f>
        <v/>
      </c>
      <c r="AV164" s="215">
        <f>IF(AV139="","",(AV139-AV$153)^2)</f>
        <v/>
      </c>
      <c r="AY164" s="215">
        <f>IF(AY139="","",(AY139-AY$153)^2)</f>
        <v/>
      </c>
      <c r="AZ164" s="215">
        <f>IF(AZ139="","",(AZ139-AZ$153)^2)</f>
        <v/>
      </c>
    </row>
    <row customHeight="1" ht="20.1" r="165" s="353">
      <c r="V165" s="557" t="n"/>
      <c r="W165" s="11" t="n">
        <v>12</v>
      </c>
      <c r="X165" s="335">
        <f>L61</f>
        <v/>
      </c>
      <c r="Y165" s="335">
        <f>M61</f>
        <v/>
      </c>
      <c r="Z165" s="335">
        <f>N61</f>
        <v/>
      </c>
      <c r="AA165" s="335">
        <f>O61</f>
        <v/>
      </c>
      <c r="AB165" s="339">
        <f>INT(AG$232*L84+0.5)</f>
        <v/>
      </c>
      <c r="AC165" s="339">
        <f>INT(AH$232*M84+0.5)</f>
        <v/>
      </c>
      <c r="AD165" s="339">
        <f>INT(AI$232*N84+0.5)</f>
        <v/>
      </c>
      <c r="AE165" s="339">
        <f>INT(AJ$232*O84+0.5)</f>
        <v/>
      </c>
      <c r="AF165" s="557" t="n"/>
      <c r="AG165" s="11" t="n">
        <v>12</v>
      </c>
      <c r="AH165" s="340">
        <f>P61</f>
        <v/>
      </c>
      <c r="AI165" s="340">
        <f>Q61</f>
        <v/>
      </c>
      <c r="AJ165" s="340">
        <f>R61</f>
        <v/>
      </c>
      <c r="AK165" s="340">
        <f>S61</f>
        <v/>
      </c>
      <c r="AL165" s="341">
        <f>INT(AK$232*P84+0.5)</f>
        <v/>
      </c>
      <c r="AM165" s="341">
        <f>INT(AL$232*Q84+0.5)</f>
        <v/>
      </c>
      <c r="AN165" s="341">
        <f>INT(AM$232*R84+0.5)</f>
        <v/>
      </c>
      <c r="AO165" s="341">
        <f>INT(AN$232*S84+0.5)</f>
        <v/>
      </c>
      <c r="AR165" s="215" t="n">
        <v>9</v>
      </c>
      <c r="AS165" s="215">
        <f>IF(AS140="","",(AS140-AS$153)^2)</f>
        <v/>
      </c>
      <c r="AT165" s="215">
        <f>IF(AT140="","",(AT140-AT$153)^2)</f>
        <v/>
      </c>
      <c r="AU165" s="215">
        <f>IF(AU140="","",(AU140-AU$153)^2)</f>
        <v/>
      </c>
      <c r="AV165" s="215">
        <f>IF(AV140="","",(AV140-AV$153)^2)</f>
        <v/>
      </c>
      <c r="AY165" s="215">
        <f>IF(AY140="","",(AY140-AY$153)^2)</f>
        <v/>
      </c>
      <c r="AZ165" s="215">
        <f>IF(AZ140="","",(AZ140-AZ$153)^2)</f>
        <v/>
      </c>
    </row>
    <row customHeight="1" ht="20.1" r="166" s="353">
      <c r="V166" s="557" t="n"/>
      <c r="W166" s="11" t="n">
        <v>13</v>
      </c>
      <c r="X166" s="335">
        <f>L62</f>
        <v/>
      </c>
      <c r="Y166" s="335">
        <f>M62</f>
        <v/>
      </c>
      <c r="Z166" s="335">
        <f>N62</f>
        <v/>
      </c>
      <c r="AA166" s="335">
        <f>O62</f>
        <v/>
      </c>
      <c r="AB166" s="339">
        <f>INT(AG$232*L85+0.5)</f>
        <v/>
      </c>
      <c r="AC166" s="339">
        <f>INT(AH$232*M85+0.5)</f>
        <v/>
      </c>
      <c r="AD166" s="339">
        <f>INT(AI$232*N85+0.5)</f>
        <v/>
      </c>
      <c r="AE166" s="339">
        <f>INT(AJ$232*O85+0.5)</f>
        <v/>
      </c>
      <c r="AF166" s="557" t="n"/>
      <c r="AG166" s="11" t="n">
        <v>13</v>
      </c>
      <c r="AH166" s="340">
        <f>P62</f>
        <v/>
      </c>
      <c r="AI166" s="340">
        <f>Q62</f>
        <v/>
      </c>
      <c r="AJ166" s="340">
        <f>R62</f>
        <v/>
      </c>
      <c r="AK166" s="340">
        <f>S62</f>
        <v/>
      </c>
      <c r="AL166" s="341">
        <f>INT(AK$232*P85+0.5)</f>
        <v/>
      </c>
      <c r="AM166" s="341">
        <f>INT(AL$232*Q85+0.5)</f>
        <v/>
      </c>
      <c r="AN166" s="341">
        <f>INT(AM$232*R85+0.5)</f>
        <v/>
      </c>
      <c r="AO166" s="341">
        <f>INT(AN$232*S85+0.5)</f>
        <v/>
      </c>
      <c r="AR166" s="215" t="n">
        <v>10</v>
      </c>
      <c r="AS166" s="215">
        <f>IF(AS141="","",(AS141-AS$153)^2)</f>
        <v/>
      </c>
      <c r="AT166" s="215">
        <f>IF(AT141="","",(AT141-AT$153)^2)</f>
        <v/>
      </c>
      <c r="AU166" s="215">
        <f>IF(AU141="","",(AU141-AU$153)^2)</f>
        <v/>
      </c>
      <c r="AV166" s="215">
        <f>IF(AV141="","",(AV141-AV$153)^2)</f>
        <v/>
      </c>
      <c r="AY166" s="215">
        <f>IF(AY141="","",(AY141-AY$153)^2)</f>
        <v/>
      </c>
      <c r="AZ166" s="215">
        <f>IF(AZ141="","",(AZ141-AZ$153)^2)</f>
        <v/>
      </c>
    </row>
    <row customHeight="1" ht="19.5" r="167" s="353">
      <c r="V167" s="557" t="n"/>
      <c r="W167" s="11" t="n">
        <v>14</v>
      </c>
      <c r="X167" s="335">
        <f>L63</f>
        <v/>
      </c>
      <c r="Y167" s="335">
        <f>M63</f>
        <v/>
      </c>
      <c r="Z167" s="335">
        <f>N63</f>
        <v/>
      </c>
      <c r="AA167" s="335">
        <f>O63</f>
        <v/>
      </c>
      <c r="AB167" s="339">
        <f>INT(AG$232*L86+0.5)</f>
        <v/>
      </c>
      <c r="AC167" s="339">
        <f>INT(AH$232*M86+0.5)</f>
        <v/>
      </c>
      <c r="AD167" s="339">
        <f>INT(AI$232*N86+0.5)</f>
        <v/>
      </c>
      <c r="AE167" s="339">
        <f>INT(AJ$232*O86+0.5)</f>
        <v/>
      </c>
      <c r="AF167" s="557" t="n"/>
      <c r="AG167" s="11" t="n">
        <v>14</v>
      </c>
      <c r="AH167" s="340">
        <f>P63</f>
        <v/>
      </c>
      <c r="AI167" s="340">
        <f>Q63</f>
        <v/>
      </c>
      <c r="AJ167" s="340">
        <f>R63</f>
        <v/>
      </c>
      <c r="AK167" s="340">
        <f>S63</f>
        <v/>
      </c>
      <c r="AL167" s="341">
        <f>INT(AK$232*P86+0.5)</f>
        <v/>
      </c>
      <c r="AM167" s="341">
        <f>INT(AL$232*Q86+0.5)</f>
        <v/>
      </c>
      <c r="AN167" s="341">
        <f>INT(AM$232*R86+0.5)</f>
        <v/>
      </c>
      <c r="AO167" s="341">
        <f>INT(AN$232*S86+0.5)</f>
        <v/>
      </c>
      <c r="AR167" s="215" t="n">
        <v>11</v>
      </c>
      <c r="AS167" s="215">
        <f>IF(AS142="","",(AS142-AS$153)^2)</f>
        <v/>
      </c>
      <c r="AT167" s="215">
        <f>IF(AT142="","",(AT142-AT$153)^2)</f>
        <v/>
      </c>
      <c r="AU167" s="215">
        <f>IF(AU142="","",(AU142-AU$153)^2)</f>
        <v/>
      </c>
      <c r="AV167" s="215">
        <f>IF(AV142="","",(AV142-AV$153)^2)</f>
        <v/>
      </c>
      <c r="AY167" s="215">
        <f>IF(AY142="","",(AY142-AY$153)^2)</f>
        <v/>
      </c>
      <c r="AZ167" s="215">
        <f>IF(AZ142="","",(AZ142-AZ$153)^2)</f>
        <v/>
      </c>
    </row>
    <row customHeight="1" ht="19.5" r="168" s="353">
      <c r="V168" s="557" t="n"/>
      <c r="W168" s="11" t="n">
        <v>15</v>
      </c>
      <c r="X168" s="335">
        <f>L64</f>
        <v/>
      </c>
      <c r="Y168" s="335">
        <f>M64</f>
        <v/>
      </c>
      <c r="Z168" s="335">
        <f>N64</f>
        <v/>
      </c>
      <c r="AA168" s="335">
        <f>O64</f>
        <v/>
      </c>
      <c r="AB168" s="339">
        <f>INT(AG$232*L87+0.5)</f>
        <v/>
      </c>
      <c r="AC168" s="339">
        <f>INT(AH$232*M87+0.5)</f>
        <v/>
      </c>
      <c r="AD168" s="339">
        <f>INT(AI$232*N87+0.5)</f>
        <v/>
      </c>
      <c r="AE168" s="339">
        <f>INT(AJ$232*O87+0.5)</f>
        <v/>
      </c>
      <c r="AF168" s="557" t="n"/>
      <c r="AG168" s="11" t="n">
        <v>15</v>
      </c>
      <c r="AH168" s="340">
        <f>P64</f>
        <v/>
      </c>
      <c r="AI168" s="340">
        <f>Q64</f>
        <v/>
      </c>
      <c r="AJ168" s="340">
        <f>R64</f>
        <v/>
      </c>
      <c r="AK168" s="340">
        <f>S64</f>
        <v/>
      </c>
      <c r="AL168" s="341">
        <f>INT(AK$232*P87+0.5)</f>
        <v/>
      </c>
      <c r="AM168" s="341">
        <f>INT(AL$232*Q87+0.5)</f>
        <v/>
      </c>
      <c r="AN168" s="341">
        <f>INT(AM$232*R87+0.5)</f>
        <v/>
      </c>
      <c r="AO168" s="341">
        <f>INT(AN$232*S87+0.5)</f>
        <v/>
      </c>
      <c r="AR168" s="215" t="n">
        <v>12</v>
      </c>
      <c r="AS168" s="215">
        <f>IF(AS143="","",(AS143-AS$153)^2)</f>
        <v/>
      </c>
      <c r="AT168" s="215">
        <f>IF(AT143="","",(AT143-AT$153)^2)</f>
        <v/>
      </c>
      <c r="AU168" s="215">
        <f>IF(AU143="","",(AU143-AU$153)^2)</f>
        <v/>
      </c>
      <c r="AV168" s="215">
        <f>IF(AV143="","",(AV143-AV$153)^2)</f>
        <v/>
      </c>
      <c r="AY168" s="215">
        <f>IF(AY143="","",(AY143-AY$153)^2)</f>
        <v/>
      </c>
      <c r="AZ168" s="215">
        <f>IF(AZ143="","",(AZ143-AZ$153)^2)</f>
        <v/>
      </c>
    </row>
    <row customHeight="1" ht="19.5" r="169" s="353">
      <c r="V169" s="557" t="n"/>
      <c r="W169" s="11" t="n">
        <v>16</v>
      </c>
      <c r="X169" s="335">
        <f>L65</f>
        <v/>
      </c>
      <c r="Y169" s="335">
        <f>M65</f>
        <v/>
      </c>
      <c r="Z169" s="335">
        <f>N65</f>
        <v/>
      </c>
      <c r="AA169" s="335">
        <f>O65</f>
        <v/>
      </c>
      <c r="AB169" s="339">
        <f>INT(AG$232*L88+0.5)</f>
        <v/>
      </c>
      <c r="AC169" s="339">
        <f>INT(AH$232*M88+0.5)</f>
        <v/>
      </c>
      <c r="AD169" s="339">
        <f>INT(AI$232*N88+0.5)</f>
        <v/>
      </c>
      <c r="AE169" s="339">
        <f>INT(AJ$232*O88+0.5)</f>
        <v/>
      </c>
      <c r="AF169" s="557" t="n"/>
      <c r="AG169" s="11" t="n">
        <v>16</v>
      </c>
      <c r="AH169" s="340">
        <f>P65</f>
        <v/>
      </c>
      <c r="AI169" s="340">
        <f>Q65</f>
        <v/>
      </c>
      <c r="AJ169" s="340">
        <f>R65</f>
        <v/>
      </c>
      <c r="AK169" s="340">
        <f>S65</f>
        <v/>
      </c>
      <c r="AL169" s="341">
        <f>INT(AK$232*P88+0.5)</f>
        <v/>
      </c>
      <c r="AM169" s="341">
        <f>INT(AL$232*Q88+0.5)</f>
        <v/>
      </c>
      <c r="AN169" s="341">
        <f>INT(AM$232*R88+0.5)</f>
        <v/>
      </c>
      <c r="AO169" s="341">
        <f>INT(AN$232*S88+0.5)</f>
        <v/>
      </c>
      <c r="AR169" s="215" t="n">
        <v>13</v>
      </c>
      <c r="AS169" s="215">
        <f>IF(AS144="","",(AS144-AS$153)^2)</f>
        <v/>
      </c>
      <c r="AT169" s="215">
        <f>IF(AT144="","",(AT144-AT$153)^2)</f>
        <v/>
      </c>
      <c r="AU169" s="215">
        <f>IF(AU144="","",(AU144-AU$153)^2)</f>
        <v/>
      </c>
      <c r="AV169" s="215">
        <f>IF(AV144="","",(AV144-AV$153)^2)</f>
        <v/>
      </c>
      <c r="AY169" s="215">
        <f>IF(AY144="","",(AY144-AY$153)^2)</f>
        <v/>
      </c>
      <c r="AZ169" s="215">
        <f>IF(AZ144="","",(AZ144-AZ$153)^2)</f>
        <v/>
      </c>
    </row>
    <row customHeight="1" ht="19.5" r="170" s="353">
      <c r="V170" s="557" t="n"/>
      <c r="W170" s="11" t="n">
        <v>17</v>
      </c>
      <c r="X170" s="335">
        <f>L66</f>
        <v/>
      </c>
      <c r="Y170" s="335">
        <f>M66</f>
        <v/>
      </c>
      <c r="Z170" s="335">
        <f>N66</f>
        <v/>
      </c>
      <c r="AA170" s="335">
        <f>O66</f>
        <v/>
      </c>
      <c r="AB170" s="339">
        <f>INT(AG$232*L89+0.5)</f>
        <v/>
      </c>
      <c r="AC170" s="339">
        <f>INT(AH$232*M89+0.5)</f>
        <v/>
      </c>
      <c r="AD170" s="339">
        <f>INT(AI$232*N89+0.5)</f>
        <v/>
      </c>
      <c r="AE170" s="339">
        <f>INT(AJ$232*O89+0.5)</f>
        <v/>
      </c>
      <c r="AF170" s="557" t="n"/>
      <c r="AG170" s="11" t="n">
        <v>17</v>
      </c>
      <c r="AH170" s="340">
        <f>P66</f>
        <v/>
      </c>
      <c r="AI170" s="340">
        <f>Q66</f>
        <v/>
      </c>
      <c r="AJ170" s="340">
        <f>R66</f>
        <v/>
      </c>
      <c r="AK170" s="340">
        <f>S66</f>
        <v/>
      </c>
      <c r="AL170" s="341">
        <f>INT(AK$232*P89+0.5)</f>
        <v/>
      </c>
      <c r="AM170" s="341">
        <f>INT(AL$232*Q89+0.5)</f>
        <v/>
      </c>
      <c r="AN170" s="341">
        <f>INT(AM$232*R89+0.5)</f>
        <v/>
      </c>
      <c r="AO170" s="341">
        <f>INT(AN$232*S89+0.5)</f>
        <v/>
      </c>
      <c r="AR170" s="215" t="n">
        <v>14</v>
      </c>
      <c r="AS170" s="215">
        <f>IF(AS145="","",(AS145-AS$153)^2)</f>
        <v/>
      </c>
      <c r="AT170" s="215">
        <f>IF(AT145="","",(AT145-AT$153)^2)</f>
        <v/>
      </c>
      <c r="AU170" s="215">
        <f>IF(AU145="","",(AU145-AU$153)^2)</f>
        <v/>
      </c>
      <c r="AV170" s="215">
        <f>IF(AV145="","",(AV145-AV$153)^2)</f>
        <v/>
      </c>
      <c r="AY170" s="215">
        <f>IF(AY145="","",(AY145-AY$153)^2)</f>
        <v/>
      </c>
      <c r="AZ170" s="215">
        <f>IF(AZ145="","",(AZ145-AZ$153)^2)</f>
        <v/>
      </c>
    </row>
    <row customHeight="1" ht="19.5" r="171" s="353">
      <c r="V171" s="557" t="n"/>
      <c r="W171" s="11" t="n">
        <v>18</v>
      </c>
      <c r="X171" s="335">
        <f>L67</f>
        <v/>
      </c>
      <c r="Y171" s="335">
        <f>M67</f>
        <v/>
      </c>
      <c r="Z171" s="335">
        <f>N67</f>
        <v/>
      </c>
      <c r="AA171" s="335">
        <f>O67</f>
        <v/>
      </c>
      <c r="AB171" s="339">
        <f>INT(AG$232*L90+0.5)</f>
        <v/>
      </c>
      <c r="AC171" s="339">
        <f>INT(AH$232*M90+0.5)</f>
        <v/>
      </c>
      <c r="AD171" s="339">
        <f>INT(AI$232*N90+0.5)</f>
        <v/>
      </c>
      <c r="AE171" s="339">
        <f>INT(AJ$232*O90+0.5)</f>
        <v/>
      </c>
      <c r="AF171" s="557" t="n"/>
      <c r="AG171" s="11" t="n">
        <v>18</v>
      </c>
      <c r="AH171" s="340">
        <f>P67</f>
        <v/>
      </c>
      <c r="AI171" s="340">
        <f>Q67</f>
        <v/>
      </c>
      <c r="AJ171" s="340">
        <f>R67</f>
        <v/>
      </c>
      <c r="AK171" s="340">
        <f>S67</f>
        <v/>
      </c>
      <c r="AL171" s="341">
        <f>INT(AK$232*P90+0.5)</f>
        <v/>
      </c>
      <c r="AM171" s="341">
        <f>INT(AL$232*Q90+0.5)</f>
        <v/>
      </c>
      <c r="AN171" s="341">
        <f>INT(AM$232*R90+0.5)</f>
        <v/>
      </c>
      <c r="AO171" s="341">
        <f>INT(AN$232*S90+0.5)</f>
        <v/>
      </c>
      <c r="AR171" s="215" t="n">
        <v>15</v>
      </c>
      <c r="AS171" s="215">
        <f>IF(AS146="","",(AS146-AS$153)^2)</f>
        <v/>
      </c>
      <c r="AT171" s="215">
        <f>IF(AT146="","",(AT146-AT$153)^2)</f>
        <v/>
      </c>
      <c r="AU171" s="215">
        <f>IF(AU146="","",(AU146-AU$153)^2)</f>
        <v/>
      </c>
      <c r="AV171" s="215">
        <f>IF(AV146="","",(AV146-AV$153)^2)</f>
        <v/>
      </c>
      <c r="AY171" s="215">
        <f>IF(AY146="","",(AY146-AY$153)^2)</f>
        <v/>
      </c>
      <c r="AZ171" s="215">
        <f>IF(AZ146="","",(AZ146-AZ$153)^2)</f>
        <v/>
      </c>
    </row>
    <row customHeight="1" ht="19.5" r="172" s="353">
      <c r="V172" s="557" t="n"/>
      <c r="W172" s="11" t="n">
        <v>19</v>
      </c>
      <c r="X172" s="335">
        <f>L68</f>
        <v/>
      </c>
      <c r="Y172" s="335">
        <f>M68</f>
        <v/>
      </c>
      <c r="Z172" s="335">
        <f>N68</f>
        <v/>
      </c>
      <c r="AA172" s="335">
        <f>O68</f>
        <v/>
      </c>
      <c r="AB172" s="339">
        <f>INT(AG$232*L91+0.5)</f>
        <v/>
      </c>
      <c r="AC172" s="339">
        <f>INT(AH$232*M91+0.5)</f>
        <v/>
      </c>
      <c r="AD172" s="339">
        <f>INT(AI$232*N91+0.5)</f>
        <v/>
      </c>
      <c r="AE172" s="339">
        <f>INT(AJ$232*O91+0.5)</f>
        <v/>
      </c>
      <c r="AF172" s="557" t="n"/>
      <c r="AG172" s="11" t="n">
        <v>19</v>
      </c>
      <c r="AH172" s="340">
        <f>P68</f>
        <v/>
      </c>
      <c r="AI172" s="340">
        <f>Q68</f>
        <v/>
      </c>
      <c r="AJ172" s="340">
        <f>R68</f>
        <v/>
      </c>
      <c r="AK172" s="340">
        <f>S68</f>
        <v/>
      </c>
      <c r="AL172" s="341">
        <f>INT(AK$232*P91+0.5)</f>
        <v/>
      </c>
      <c r="AM172" s="341">
        <f>INT(AL$232*Q91+0.5)</f>
        <v/>
      </c>
      <c r="AN172" s="341">
        <f>INT(AM$232*R91+0.5)</f>
        <v/>
      </c>
      <c r="AO172" s="341">
        <f>INT(AN$232*S91+0.5)</f>
        <v/>
      </c>
      <c r="AR172" s="215" t="n">
        <v>16</v>
      </c>
      <c r="AS172" s="215">
        <f>IF(AS147="","",(AS147-AS$153)^2)</f>
        <v/>
      </c>
      <c r="AT172" s="215">
        <f>IF(AT147="","",(AT147-AT$153)^2)</f>
        <v/>
      </c>
      <c r="AU172" s="215">
        <f>IF(AU147="","",(AU147-AU$153)^2)</f>
        <v/>
      </c>
      <c r="AV172" s="215">
        <f>IF(AV147="","",(AV147-AV$153)^2)</f>
        <v/>
      </c>
      <c r="AY172" s="215">
        <f>IF(AY147="","",(AY147-AY$153)^2)</f>
        <v/>
      </c>
      <c r="AZ172" s="215">
        <f>IF(AZ147="","",(AZ147-AZ$153)^2)</f>
        <v/>
      </c>
    </row>
    <row customHeight="1" ht="19.5" r="173" s="353">
      <c r="V173" s="560" t="n"/>
      <c r="W173" s="11" t="n">
        <v>20</v>
      </c>
      <c r="X173" s="335">
        <f>L69</f>
        <v/>
      </c>
      <c r="Y173" s="335">
        <f>M69</f>
        <v/>
      </c>
      <c r="Z173" s="335">
        <f>N69</f>
        <v/>
      </c>
      <c r="AA173" s="335">
        <f>O69</f>
        <v/>
      </c>
      <c r="AB173" s="339">
        <f>INT(AG$232*L92+0.5)</f>
        <v/>
      </c>
      <c r="AC173" s="339">
        <f>INT(AH$232*M92+0.5)</f>
        <v/>
      </c>
      <c r="AD173" s="339">
        <f>INT(AI$232*N92+0.5)</f>
        <v/>
      </c>
      <c r="AE173" s="339">
        <f>INT(AJ$232*O92+0.5)</f>
        <v/>
      </c>
      <c r="AF173" s="560" t="n"/>
      <c r="AG173" s="11" t="n">
        <v>20</v>
      </c>
      <c r="AH173" s="340">
        <f>P69</f>
        <v/>
      </c>
      <c r="AI173" s="340">
        <f>Q69</f>
        <v/>
      </c>
      <c r="AJ173" s="340">
        <f>R69</f>
        <v/>
      </c>
      <c r="AK173" s="340">
        <f>S69</f>
        <v/>
      </c>
      <c r="AL173" s="341">
        <f>INT(AK$232*P92+0.5)</f>
        <v/>
      </c>
      <c r="AM173" s="341">
        <f>INT(AL$232*Q92+0.5)</f>
        <v/>
      </c>
      <c r="AN173" s="341">
        <f>INT(AM$232*R92+0.5)</f>
        <v/>
      </c>
      <c r="AO173" s="341">
        <f>INT(AN$232*S92+0.5)</f>
        <v/>
      </c>
      <c r="AR173" s="215" t="n">
        <v>17</v>
      </c>
      <c r="AS173" s="215">
        <f>IF(AS148="","",(AS148-AS$153)^2)</f>
        <v/>
      </c>
      <c r="AT173" s="215">
        <f>IF(AT148="","",(AT148-AT$153)^2)</f>
        <v/>
      </c>
      <c r="AU173" s="215">
        <f>IF(AU148="","",(AU148-AU$153)^2)</f>
        <v/>
      </c>
      <c r="AV173" s="215">
        <f>IF(AV148="","",(AV148-AV$153)^2)</f>
        <v/>
      </c>
      <c r="AY173" s="215">
        <f>IF(AY148="","",(AY148-AY$153)^2)</f>
        <v/>
      </c>
      <c r="AZ173" s="215">
        <f>IF(AZ148="","",(AZ148-AZ$153)^2)</f>
        <v/>
      </c>
    </row>
    <row customHeight="1" ht="19.5" r="174" s="353">
      <c r="AR174" s="215" t="n">
        <v>18</v>
      </c>
      <c r="AS174" s="215">
        <f>IF(AS149="","",(AS149-AS$153)^2)</f>
        <v/>
      </c>
      <c r="AT174" s="215">
        <f>IF(AT149="","",(AT149-AT$153)^2)</f>
        <v/>
      </c>
      <c r="AU174" s="215">
        <f>IF(AU149="","",(AU149-AU$153)^2)</f>
        <v/>
      </c>
      <c r="AV174" s="215">
        <f>IF(AV149="","",(AV149-AV$153)^2)</f>
        <v/>
      </c>
      <c r="AY174" s="215">
        <f>IF(AY149="","",(AY149-AY$153)^2)</f>
        <v/>
      </c>
      <c r="AZ174" s="215">
        <f>IF(AZ149="","",(AZ149-AZ$153)^2)</f>
        <v/>
      </c>
    </row>
    <row customHeight="1" ht="19.5" r="175" s="353">
      <c r="AR175" s="215" t="n">
        <v>19</v>
      </c>
      <c r="AS175" s="215">
        <f>IF(AS150="","",(AS150-AS$153)^2)</f>
        <v/>
      </c>
      <c r="AT175" s="215">
        <f>IF(AT150="","",(AT150-AT$153)^2)</f>
        <v/>
      </c>
      <c r="AU175" s="215">
        <f>IF(AU150="","",(AU150-AU$153)^2)</f>
        <v/>
      </c>
      <c r="AV175" s="215">
        <f>IF(AV150="","",(AV150-AV$153)^2)</f>
        <v/>
      </c>
      <c r="AY175" s="215">
        <f>IF(AY150="","",(AY150-AY$153)^2)</f>
        <v/>
      </c>
      <c r="AZ175" s="215">
        <f>IF(AZ150="","",(AZ150-AZ$153)^2)</f>
        <v/>
      </c>
    </row>
    <row customHeight="1" ht="19.5" r="176" s="353">
      <c r="AR176" s="215" t="n">
        <v>20</v>
      </c>
      <c r="AS176" s="215">
        <f>IF(AS151="","",(AS151-AS$153)^2)</f>
        <v/>
      </c>
      <c r="AT176" s="215">
        <f>IF(AT151="","",(AT151-AT$153)^2)</f>
        <v/>
      </c>
      <c r="AU176" s="215">
        <f>IF(AU151="","",(AU151-AU$153)^2)</f>
        <v/>
      </c>
      <c r="AV176" s="215">
        <f>IF(AV151="","",(AV151-AV$153)^2)</f>
        <v/>
      </c>
      <c r="AY176" s="215">
        <f>IF(AY151="","",(AY151-AY$153)^2)</f>
        <v/>
      </c>
      <c r="AZ176" s="215">
        <f>IF(AZ151="","",(AZ151-AZ$153)^2)</f>
        <v/>
      </c>
    </row>
    <row customHeight="1" ht="19.5" r="177" s="353"/>
    <row customHeight="1" ht="19.5" r="178" s="353">
      <c r="AR178" s="215" t="inlineStr">
        <is>
          <t>标准差</t>
        </is>
      </c>
      <c r="AS178" s="215">
        <f>(SUM(AS157:AS176)/比赛参数!$G$4)^0.5</f>
        <v/>
      </c>
      <c r="AT178" s="215">
        <f>(SUM(AT157:AT176)/比赛参数!$G$4)^0.5</f>
        <v/>
      </c>
      <c r="AU178" s="215">
        <f>(SUM(AU157:AU176)/比赛参数!$G$4)^0.5</f>
        <v/>
      </c>
      <c r="AV178" s="215">
        <f>(SUM(AV157:AV176)/比赛参数!$G$4)^0.5</f>
        <v/>
      </c>
      <c r="AY178" s="215">
        <f>(SUM(AY157:AY176)/比赛参数!$G$4)^0.5</f>
        <v/>
      </c>
      <c r="AZ178" s="215">
        <f>(SUM(AZ157:AZ176)/比赛参数!$G$4)^0.5</f>
        <v/>
      </c>
    </row>
    <row customHeight="1" ht="19.5" r="179" s="353"/>
    <row customHeight="1" ht="19.5" r="180" s="353">
      <c r="AS180" s="247" t="inlineStr">
        <is>
          <t>本期利润</t>
        </is>
      </c>
      <c r="AT180" s="247" t="inlineStr">
        <is>
          <t>累计缴税</t>
        </is>
      </c>
      <c r="AU180" s="247" t="inlineStr">
        <is>
          <t>累计分红</t>
        </is>
      </c>
      <c r="AV180" s="247" t="inlineStr">
        <is>
          <t>净资产</t>
        </is>
      </c>
    </row>
    <row r="181" s="353">
      <c r="AS181" s="343">
        <f>比赛参数!D75</f>
        <v/>
      </c>
      <c r="AT181" s="343">
        <f>比赛参数!G75</f>
        <v/>
      </c>
      <c r="AU181" s="343">
        <f>比赛参数!F75</f>
        <v/>
      </c>
      <c r="AV181" s="343">
        <f>比赛参数!H75</f>
        <v/>
      </c>
    </row>
    <row r="182" s="353">
      <c r="AR182" s="11" t="inlineStr">
        <is>
          <t>公司</t>
        </is>
      </c>
      <c r="AS182" s="344" t="inlineStr">
        <is>
          <t>本期利润</t>
        </is>
      </c>
      <c r="AT182" s="344" t="inlineStr">
        <is>
          <t>累计纳税</t>
        </is>
      </c>
      <c r="AU182" s="344" t="inlineStr">
        <is>
          <t>累计分红</t>
        </is>
      </c>
      <c r="AV182" s="344" t="inlineStr">
        <is>
          <t>净资产</t>
        </is>
      </c>
    </row>
    <row r="183" s="353">
      <c r="AR183" s="347" t="n">
        <v>1</v>
      </c>
      <c r="AS183" s="318">
        <f>IF(AS132="","",(AS132-AS$153)/AS$178*AS$181)</f>
        <v/>
      </c>
      <c r="AT183" s="318">
        <f>IF(AT132="","",(AT132-AT$153)/AT$178*AT$181)</f>
        <v/>
      </c>
      <c r="AU183" s="318">
        <f>IF(AU132="","",(AU132-AU$153)/AU$178*AU$181)</f>
        <v/>
      </c>
      <c r="AV183" s="318">
        <f>IF(AV132="","",(AV132-AV$153)/AV$178*AV$181)</f>
        <v/>
      </c>
    </row>
    <row r="184" s="353">
      <c r="AR184" s="347" t="n">
        <v>2</v>
      </c>
      <c r="AS184" s="318">
        <f>IF(AS133="","",(AS133-AS$153)/AS$178*AS$181)</f>
        <v/>
      </c>
      <c r="AT184" s="318">
        <f>IF(AT133="","",(AT133-AT$153)/AT$178*AT$181)</f>
        <v/>
      </c>
      <c r="AU184" s="318">
        <f>IF(AU133="","",(AU133-AU$153)/AU$178*AU$181)</f>
        <v/>
      </c>
      <c r="AV184" s="318">
        <f>IF(AV133="","",(AV133-AV$153)/AV$178*AV$181)</f>
        <v/>
      </c>
    </row>
    <row r="185" s="353">
      <c r="AR185" s="347" t="n">
        <v>3</v>
      </c>
      <c r="AS185" s="318">
        <f>IF(AS134="","",(AS134-AS$153)/AS$178*AS$181)</f>
        <v/>
      </c>
      <c r="AT185" s="318">
        <f>IF(AT134="","",(AT134-AT$153)/AT$178*AT$181)</f>
        <v/>
      </c>
      <c r="AU185" s="318">
        <f>IF(AU134="","",(AU134-AU$153)/AU$178*AU$181)</f>
        <v/>
      </c>
      <c r="AV185" s="318">
        <f>IF(AV134="","",(AV134-AV$153)/AV$178*AV$181)</f>
        <v/>
      </c>
    </row>
    <row r="186" s="353">
      <c r="AR186" s="347" t="n">
        <v>4</v>
      </c>
      <c r="AS186" s="318">
        <f>IF(AS135="","",(AS135-AS$153)/AS$178*AS$181)</f>
        <v/>
      </c>
      <c r="AT186" s="318">
        <f>IF(AT135="","",(AT135-AT$153)/AT$178*AT$181)</f>
        <v/>
      </c>
      <c r="AU186" s="318">
        <f>IF(AU135="","",(AU135-AU$153)/AU$178*AU$181)</f>
        <v/>
      </c>
      <c r="AV186" s="318">
        <f>IF(AV135="","",(AV135-AV$153)/AV$178*AV$181)</f>
        <v/>
      </c>
    </row>
    <row r="187" s="353">
      <c r="AR187" s="347" t="n">
        <v>5</v>
      </c>
      <c r="AS187" s="318">
        <f>IF(AS136="","",(AS136-AS$153)/AS$178*AS$181)</f>
        <v/>
      </c>
      <c r="AT187" s="318">
        <f>IF(AT136="","",(AT136-AT$153)/AT$178*AT$181)</f>
        <v/>
      </c>
      <c r="AU187" s="318">
        <f>IF(AU136="","",(AU136-AU$153)/AU$178*AU$181)</f>
        <v/>
      </c>
      <c r="AV187" s="318">
        <f>IF(AV136="","",(AV136-AV$153)/AV$178*AV$181)</f>
        <v/>
      </c>
    </row>
    <row r="188" s="353">
      <c r="AR188" s="347" t="n">
        <v>6</v>
      </c>
      <c r="AS188" s="318">
        <f>IF(AS137="","",(AS137-AS$153)/AS$178*AS$181)</f>
        <v/>
      </c>
      <c r="AT188" s="318">
        <f>IF(AT137="","",(AT137-AT$153)/AT$178*AT$181)</f>
        <v/>
      </c>
      <c r="AU188" s="318">
        <f>IF(AU137="","",(AU137-AU$153)/AU$178*AU$181)</f>
        <v/>
      </c>
      <c r="AV188" s="318">
        <f>IF(AV137="","",(AV137-AV$153)/AV$178*AV$181)</f>
        <v/>
      </c>
    </row>
    <row r="189" s="353">
      <c r="AR189" s="347" t="n">
        <v>7</v>
      </c>
      <c r="AS189" s="318">
        <f>IF(AS138="","",(AS138-AS$153)/AS$178*AS$181)</f>
        <v/>
      </c>
      <c r="AT189" s="318">
        <f>IF(AT138="","",(AT138-AT$153)/AT$178*AT$181)</f>
        <v/>
      </c>
      <c r="AU189" s="318">
        <f>IF(AU138="","",(AU138-AU$153)/AU$178*AU$181)</f>
        <v/>
      </c>
      <c r="AV189" s="318">
        <f>IF(AV138="","",(AV138-AV$153)/AV$178*AV$181)</f>
        <v/>
      </c>
    </row>
    <row r="190" s="353">
      <c r="AR190" s="347" t="n">
        <v>8</v>
      </c>
      <c r="AS190" s="318">
        <f>IF(AS139="","",(AS139-AS$153)/AS$178*AS$181)</f>
        <v/>
      </c>
      <c r="AT190" s="318">
        <f>IF(AT139="","",(AT139-AT$153)/AT$178*AT$181)</f>
        <v/>
      </c>
      <c r="AU190" s="318">
        <f>IF(AU139="","",(AU139-AU$153)/AU$178*AU$181)</f>
        <v/>
      </c>
      <c r="AV190" s="318">
        <f>IF(AV139="","",(AV139-AV$153)/AV$178*AV$181)</f>
        <v/>
      </c>
    </row>
    <row r="191" s="353">
      <c r="AR191" s="347" t="n">
        <v>9</v>
      </c>
      <c r="AS191" s="318">
        <f>IF(AS140="","",(AS140-AS$153)/AS$178*AS$181)</f>
        <v/>
      </c>
      <c r="AT191" s="318">
        <f>IF(AT140="","",(AT140-AT$153)/AT$178*AT$181)</f>
        <v/>
      </c>
      <c r="AU191" s="318">
        <f>IF(AU140="","",(AU140-AU$153)/AU$178*AU$181)</f>
        <v/>
      </c>
      <c r="AV191" s="318">
        <f>IF(AV140="","",(AV140-AV$153)/AV$178*AV$181)</f>
        <v/>
      </c>
    </row>
    <row r="192" s="353">
      <c r="AR192" s="347" t="n">
        <v>10</v>
      </c>
      <c r="AS192" s="318">
        <f>IF(AS141="","",(AS141-AS$153)/AS$178*AS$181)</f>
        <v/>
      </c>
      <c r="AT192" s="318">
        <f>IF(AT141="","",(AT141-AT$153)/AT$178*AT$181)</f>
        <v/>
      </c>
      <c r="AU192" s="318">
        <f>IF(AU141="","",(AU141-AU$153)/AU$178*AU$181)</f>
        <v/>
      </c>
      <c r="AV192" s="318">
        <f>IF(AV141="","",(AV141-AV$153)/AV$178*AV$181)</f>
        <v/>
      </c>
    </row>
    <row r="193" s="353">
      <c r="AR193" s="347" t="n">
        <v>11</v>
      </c>
      <c r="AS193" s="318">
        <f>IF(AS142="","",(AS142-AS$153)/AS$178*AS$181)</f>
        <v/>
      </c>
      <c r="AT193" s="318">
        <f>IF(AT142="","",(AT142-AT$153)/AT$178*AT$181)</f>
        <v/>
      </c>
      <c r="AU193" s="318">
        <f>IF(AU142="","",(AU142-AU$153)/AU$178*AU$181)</f>
        <v/>
      </c>
      <c r="AV193" s="318">
        <f>IF(AV142="","",(AV142-AV$153)/AV$178*AV$181)</f>
        <v/>
      </c>
    </row>
    <row r="194" s="353">
      <c r="AR194" s="347" t="n">
        <v>12</v>
      </c>
      <c r="AS194" s="318">
        <f>IF(AS143="","",(AS143-AS$153)/AS$178*AS$181)</f>
        <v/>
      </c>
      <c r="AT194" s="318">
        <f>IF(AT143="","",(AT143-AT$153)/AT$178*AT$181)</f>
        <v/>
      </c>
      <c r="AU194" s="318">
        <f>IF(AU143="","",(AU143-AU$153)/AU$178*AU$181)</f>
        <v/>
      </c>
      <c r="AV194" s="318">
        <f>IF(AV143="","",(AV143-AV$153)/AV$178*AV$181)</f>
        <v/>
      </c>
    </row>
    <row r="195" s="353">
      <c r="AR195" s="347" t="n">
        <v>13</v>
      </c>
      <c r="AS195" s="318">
        <f>IF(AS144="","",(AS144-AS$153)/AS$178*AS$181)</f>
        <v/>
      </c>
      <c r="AT195" s="318">
        <f>IF(AT144="","",(AT144-AT$153)/AT$178*AT$181)</f>
        <v/>
      </c>
      <c r="AU195" s="318">
        <f>IF(AU144="","",(AU144-AU$153)/AU$178*AU$181)</f>
        <v/>
      </c>
      <c r="AV195" s="318">
        <f>IF(AV144="","",(AV144-AV$153)/AV$178*AV$181)</f>
        <v/>
      </c>
    </row>
    <row r="196" s="353">
      <c r="AR196" s="347" t="n">
        <v>14</v>
      </c>
      <c r="AS196" s="318">
        <f>IF(AS145="","",(AS145-AS$153)/AS$178*AS$181)</f>
        <v/>
      </c>
      <c r="AT196" s="318">
        <f>IF(AT145="","",(AT145-AT$153)/AT$178*AT$181)</f>
        <v/>
      </c>
      <c r="AU196" s="318">
        <f>IF(AU145="","",(AU145-AU$153)/AU$178*AU$181)</f>
        <v/>
      </c>
      <c r="AV196" s="318">
        <f>IF(AV145="","",(AV145-AV$153)/AV$178*AV$181)</f>
        <v/>
      </c>
    </row>
    <row customHeight="1" ht="19.5" r="197" s="353">
      <c r="AR197" s="347" t="n">
        <v>15</v>
      </c>
      <c r="AS197" s="318">
        <f>IF(AS146="","",(AS146-AS$153)/AS$178*AS$181)</f>
        <v/>
      </c>
      <c r="AT197" s="318">
        <f>IF(AT146="","",(AT146-AT$153)/AT$178*AT$181)</f>
        <v/>
      </c>
      <c r="AU197" s="318">
        <f>IF(AU146="","",(AU146-AU$153)/AU$178*AU$181)</f>
        <v/>
      </c>
      <c r="AV197" s="318">
        <f>IF(AV146="","",(AV146-AV$153)/AV$178*AV$181)</f>
        <v/>
      </c>
    </row>
    <row customHeight="1" ht="19.5" r="198" s="353">
      <c r="AR198" s="347" t="n">
        <v>16</v>
      </c>
      <c r="AS198" s="318">
        <f>IF(AS147="","",(AS147-AS$153)/AS$178*AS$181)</f>
        <v/>
      </c>
      <c r="AT198" s="318">
        <f>IF(AT147="","",(AT147-AT$153)/AT$178*AT$181)</f>
        <v/>
      </c>
      <c r="AU198" s="318">
        <f>IF(AU147="","",(AU147-AU$153)/AU$178*AU$181)</f>
        <v/>
      </c>
      <c r="AV198" s="318">
        <f>IF(AV147="","",(AV147-AV$153)/AV$178*AV$181)</f>
        <v/>
      </c>
    </row>
    <row customHeight="1" ht="19.5" r="199" s="353">
      <c r="AR199" s="347" t="n">
        <v>17</v>
      </c>
      <c r="AS199" s="318">
        <f>IF(AS148="","",(AS148-AS$153)/AS$178*AS$181)</f>
        <v/>
      </c>
      <c r="AT199" s="318">
        <f>IF(AT148="","",(AT148-AT$153)/AT$178*AT$181)</f>
        <v/>
      </c>
      <c r="AU199" s="318">
        <f>IF(AU148="","",(AU148-AU$153)/AU$178*AU$181)</f>
        <v/>
      </c>
      <c r="AV199" s="318">
        <f>IF(AV148="","",(AV148-AV$153)/AV$178*AV$181)</f>
        <v/>
      </c>
    </row>
    <row customHeight="1" ht="19.5" r="200" s="353">
      <c r="AR200" s="347" t="n">
        <v>18</v>
      </c>
      <c r="AS200" s="318">
        <f>IF(AS149="","",(AS149-AS$153)/AS$178*AS$181)</f>
        <v/>
      </c>
      <c r="AT200" s="318">
        <f>IF(AT149="","",(AT149-AT$153)/AT$178*AT$181)</f>
        <v/>
      </c>
      <c r="AU200" s="318">
        <f>IF(AU149="","",(AU149-AU$153)/AU$178*AU$181)</f>
        <v/>
      </c>
      <c r="AV200" s="318">
        <f>IF(AV149="","",(AV149-AV$153)/AV$178*AV$181)</f>
        <v/>
      </c>
    </row>
    <row customHeight="1" ht="19.5" r="201" s="353">
      <c r="AR201" s="347" t="n">
        <v>19</v>
      </c>
      <c r="AS201" s="318">
        <f>IF(AS150="","",(AS150-AS$153)/AS$178*AS$181)</f>
        <v/>
      </c>
      <c r="AT201" s="318">
        <f>IF(AT150="","",(AT150-AT$153)/AT$178*AT$181)</f>
        <v/>
      </c>
      <c r="AU201" s="318">
        <f>IF(AU150="","",(AU150-AU$153)/AU$178*AU$181)</f>
        <v/>
      </c>
      <c r="AV201" s="318">
        <f>IF(AV150="","",(AV150-AV$153)/AV$178*AV$181)</f>
        <v/>
      </c>
    </row>
    <row customHeight="1" ht="19.5" r="202" s="353">
      <c r="AR202" s="347" t="n">
        <v>20</v>
      </c>
      <c r="AS202" s="318">
        <f>IF(AS151="","",(AS151-AS$153)/AS$178*AS$181)</f>
        <v/>
      </c>
      <c r="AT202" s="318">
        <f>IF(AT151="","",(AT151-AT$153)/AT$178*AT$181)</f>
        <v/>
      </c>
      <c r="AU202" s="318">
        <f>IF(AU151="","",(AU151-AU$153)/AU$178*AU$181)</f>
        <v/>
      </c>
      <c r="AV202" s="318">
        <f>IF(AV151="","",(AV151-AV$153)/AV$178*AV$181)</f>
        <v/>
      </c>
    </row>
    <row customHeight="1" ht="19.5" r="203" s="353"/>
    <row customHeight="1" ht="19.5" r="204" s="353"/>
    <row customHeight="1" ht="19.5" r="205" s="353"/>
    <row customHeight="1" ht="19.5" r="206" s="353"/>
    <row customHeight="1" ht="19.5" r="207" s="353"/>
    <row r="231" s="353">
      <c r="X231" s="11" t="inlineStr">
        <is>
          <t>本公司销售量</t>
        </is>
      </c>
      <c r="Y231" s="294">
        <f>G24</f>
        <v/>
      </c>
      <c r="Z231" s="294">
        <f>G25</f>
        <v/>
      </c>
      <c r="AA231" s="294">
        <f>G26</f>
        <v/>
      </c>
      <c r="AB231" s="294">
        <f>G27</f>
        <v/>
      </c>
      <c r="AC231" s="294">
        <f>G28</f>
        <v/>
      </c>
      <c r="AD231" s="294">
        <f>G29</f>
        <v/>
      </c>
      <c r="AE231" s="294">
        <f>G30</f>
        <v/>
      </c>
      <c r="AF231" s="294">
        <f>G31</f>
        <v/>
      </c>
      <c r="AG231" s="294">
        <f>G32</f>
        <v/>
      </c>
      <c r="AH231" s="294">
        <f>G33</f>
        <v/>
      </c>
      <c r="AI231" s="294">
        <f>G34</f>
        <v/>
      </c>
      <c r="AJ231" s="294">
        <f>G35</f>
        <v/>
      </c>
      <c r="AK231" s="294">
        <f>G36</f>
        <v/>
      </c>
      <c r="AL231" s="294">
        <f>G37</f>
        <v/>
      </c>
      <c r="AM231" s="294">
        <f>G38</f>
        <v/>
      </c>
      <c r="AN231" s="294">
        <f>G39</f>
        <v/>
      </c>
    </row>
    <row r="232" s="353">
      <c r="X232" s="11" t="inlineStr">
        <is>
          <t>市场总销量</t>
        </is>
      </c>
      <c r="Y232" s="294">
        <f>INT(Y231/DS37+0.5)</f>
        <v/>
      </c>
      <c r="Z232" s="294">
        <f>INT(Z231/DT37+0.5)</f>
        <v/>
      </c>
      <c r="AA232" s="294">
        <f>INT(AA231/DU37+0.5)</f>
        <v/>
      </c>
      <c r="AB232" s="294">
        <f>INT(AB231/DV37+0.5)</f>
        <v/>
      </c>
      <c r="AC232" s="294">
        <f>INT(AC231/DW37+0.5)</f>
        <v/>
      </c>
      <c r="AD232" s="294">
        <f>INT(AD231/DX37+0.5)</f>
        <v/>
      </c>
      <c r="AE232" s="294">
        <f>INT(AE231/DY37+0.5)</f>
        <v/>
      </c>
      <c r="AF232" s="294">
        <f>INT(AF231/DZ37+0.5)</f>
        <v/>
      </c>
      <c r="AG232" s="294">
        <f>IF(EA37&gt;0,INT(AG231/EA37+0.5),0)</f>
        <v/>
      </c>
      <c r="AH232" s="294">
        <f>IF(EB37&gt;0,INT(AH231/EB37+0.5),0)</f>
        <v/>
      </c>
      <c r="AI232" s="294">
        <f>IF(EC37&gt;0,INT(AI231/EC37+0.5),0)</f>
        <v/>
      </c>
      <c r="AJ232" s="294">
        <f>IF(ED37&gt;0,INT(AJ231/ED37+0.5),0)</f>
        <v/>
      </c>
      <c r="AK232" s="294">
        <f>IF(EE37&gt;0,INT(AK231/EE37+0.5),0)</f>
        <v/>
      </c>
      <c r="AL232" s="294">
        <f>IF(EF37&gt;0,INT(AL231/EF37+0.5),0)</f>
        <v/>
      </c>
      <c r="AM232" s="294">
        <f>IF(EG37&gt;0,INT(AM231/EG37+0.5),0)</f>
        <v/>
      </c>
      <c r="AN232" s="294">
        <f>IF(EH37&gt;0,INT(AN231/EH37+0.5),0)</f>
        <v/>
      </c>
    </row>
    <row r="233" s="353">
      <c r="X233" s="11" t="inlineStr">
        <is>
          <t>平均销量</t>
        </is>
      </c>
      <c r="Y233" s="504">
        <f>SUM(AB131:AB150)/比赛参数!$G$4</f>
        <v/>
      </c>
      <c r="Z233" s="504">
        <f>SUM(AC131:AC150)/比赛参数!$G$4</f>
        <v/>
      </c>
      <c r="AA233" s="504">
        <f>SUM(AD131:AD150)/比赛参数!$G$4</f>
        <v/>
      </c>
      <c r="AB233" s="504">
        <f>SUM(AE131:AE150)/比赛参数!$G$4</f>
        <v/>
      </c>
      <c r="AC233" s="504">
        <f>SUM(AL131:AL150)/比赛参数!$G$4</f>
        <v/>
      </c>
      <c r="AD233" s="504">
        <f>SUM(AM131:AM150)/比赛参数!$G$4</f>
        <v/>
      </c>
      <c r="AE233" s="504">
        <f>SUM(AN131:AN150)/比赛参数!$G$4</f>
        <v/>
      </c>
      <c r="AF233" s="504">
        <f>SUM(AO131:AO150)/比赛参数!$G$4</f>
        <v/>
      </c>
      <c r="AG233" s="504">
        <f>SUM(AB154:AB173)/比赛参数!$G$4</f>
        <v/>
      </c>
      <c r="AH233" s="504">
        <f>SUM(AC154:AC173)/比赛参数!$G$4</f>
        <v/>
      </c>
      <c r="AI233" s="504">
        <f>SUM(AD154:AD173)/比赛参数!$G$4</f>
        <v/>
      </c>
      <c r="AJ233" s="504">
        <f>SUM(AE154:AE173)/比赛参数!$G$4</f>
        <v/>
      </c>
      <c r="AK233" s="504">
        <f>SUM(AL154:AL173)/比赛参数!$G$4</f>
        <v/>
      </c>
      <c r="AL233" s="504">
        <f>SUM(AM154:AM173)/比赛参数!$G$4</f>
        <v/>
      </c>
      <c r="AM233" s="504">
        <f>SUM(AN154:AN173)/比赛参数!$G$4</f>
        <v/>
      </c>
      <c r="AN233" s="504">
        <f>SUM(AO154:AO173)/比赛参数!$G$4</f>
        <v/>
      </c>
    </row>
    <row r="234" s="353">
      <c r="X234" s="11" t="inlineStr">
        <is>
          <t>加权单价</t>
        </is>
      </c>
      <c r="Y234" s="493">
        <f>SUMPRODUCT(D50:D69,D73:D92)</f>
        <v/>
      </c>
      <c r="Z234" s="493">
        <f>SUMPRODUCT(E50:E69,E73:E92)</f>
        <v/>
      </c>
      <c r="AA234" s="493">
        <f>SUMPRODUCT(F50:F69,F73:F92)</f>
        <v/>
      </c>
      <c r="AB234" s="493">
        <f>SUMPRODUCT(G50:G69,G73:G92)</f>
        <v/>
      </c>
      <c r="AC234" s="493">
        <f>SUMPRODUCT(H50:H69,H73:H92)</f>
        <v/>
      </c>
      <c r="AD234" s="493">
        <f>SUMPRODUCT(I50:I69,I73:I92)</f>
        <v/>
      </c>
      <c r="AE234" s="493">
        <f>SUMPRODUCT(J50:J69,J73:J92)</f>
        <v/>
      </c>
      <c r="AF234" s="493">
        <f>SUMPRODUCT(K50:K69,K73:K92)</f>
        <v/>
      </c>
      <c r="AG234" s="493">
        <f>SUMPRODUCT(L50:L69,L73:L92)</f>
        <v/>
      </c>
      <c r="AH234" s="493">
        <f>SUMPRODUCT(M50:M69,M73:M92)</f>
        <v/>
      </c>
      <c r="AI234" s="493">
        <f>SUMPRODUCT(N50:N69,N73:N92)</f>
        <v/>
      </c>
      <c r="AJ234" s="493">
        <f>SUMPRODUCT(O50:O69,O73:O92)</f>
        <v/>
      </c>
      <c r="AK234" s="493">
        <f>SUMPRODUCT(P50:P69,P73:P92)</f>
        <v/>
      </c>
      <c r="AL234" s="493">
        <f>SUMPRODUCT(Q50:Q69,Q73:Q92)</f>
        <v/>
      </c>
      <c r="AM234" s="493">
        <f>SUMPRODUCT(R50:R69,R73:R92)</f>
        <v/>
      </c>
      <c r="AN234" s="493">
        <f>SUMPRODUCT(S50:S69,S73:S92)</f>
        <v/>
      </c>
    </row>
    <row r="235" s="353">
      <c r="X235" s="215" t="inlineStr">
        <is>
          <t>差价</t>
        </is>
      </c>
      <c r="Y235" s="504">
        <f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/>
      </c>
      <c r="Z235" s="504">
        <f>IF($C$50=$S$47,E50,0)+IF($C$51=$S$47,E51,0)+IF($C$52=$S$47,E52,0)+IF($C$53=$S$47,E53,0)+IF($C$54=$S$47,E54,0)+IF($C$55=$S$47,E55,0)+IF($C$56=$S$47,E56,0)+IF($C$57=$S$47,E57,0)+IF($C$58=$S$47,E58,0)+IF($C$59=$S$47,E59,0)+IF($C$60=$S$47,E60,0)+IF($C$61=$S$47,E61,0)+IF($C$62=$S$47,E62,0)+IF($C$63=$S$47,E63,0)+IF($C$64=$S$47,E64,0)+IF($C$65=$S$47,E65,0)-Z234</f>
        <v/>
      </c>
      <c r="AA235" s="504">
        <f>IF($C$50=$S$47,F50,0)+IF($C$51=$S$47,F51,0)+IF($C$52=$S$47,F52,0)+IF($C$53=$S$47,F53,0)+IF($C$54=$S$47,F54,0)+IF($C$55=$S$47,F55,0)+IF($C$56=$S$47,F56,0)+IF($C$57=$S$47,F57,0)+IF($C$58=$S$47,F58,0)+IF($C$59=$S$47,F59,0)+IF($C$60=$S$47,F60,0)+IF($C$61=$S$47,F61,0)+IF($C$62=$S$47,F62,0)+IF($C$63=$S$47,F63,0)+IF($C$64=$S$47,F64,0)+IF($C$65=$S$47,F65,0)-AA234</f>
        <v/>
      </c>
      <c r="AB235" s="504">
        <f>IF($C$50=$S$47,G50,0)+IF($C$51=$S$47,G51,0)+IF($C$52=$S$47,G52,0)+IF($C$53=$S$47,G53,0)+IF($C$54=$S$47,G54,0)+IF($C$55=$S$47,G55,0)+IF($C$56=$S$47,G56,0)+IF($C$57=$S$47,G57,0)+IF($C$58=$S$47,G58,0)+IF($C$59=$S$47,G59,0)+IF($C$60=$S$47,G60,0)+IF($C$61=$S$47,G61,0)+IF($C$62=$S$47,G62,0)+IF($C$63=$S$47,G63,0)+IF($C$64=$S$47,G64,0)+IF($C$65=$S$47,G65,0)-AB234</f>
        <v/>
      </c>
      <c r="AC235" s="504">
        <f>IF($C$50=$S$47,H50,0)+IF($C$51=$S$47,H51,0)+IF($C$52=$S$47,H52,0)+IF($C$53=$S$47,H53,0)+IF($C$54=$S$47,H54,0)+IF($C$55=$S$47,H55,0)+IF($C$56=$S$47,H56,0)+IF($C$57=$S$47,H57,0)+IF($C$58=$S$47,H58,0)+IF($C$59=$S$47,H59,0)+IF($C$60=$S$47,H60,0)+IF($C$61=$S$47,H61,0)+IF($C$62=$S$47,H62,0)+IF($C$63=$S$47,H63,0)+IF($C$64=$S$47,H64,0)+IF($C$65=$S$47,H65,0)-AC234</f>
        <v/>
      </c>
      <c r="AD235" s="504">
        <f>IF($C$50=$S$47,I50,0)+IF($C$51=$S$47,I51,0)+IF($C$52=$S$47,I52,0)+IF($C$53=$S$47,I53,0)+IF($C$54=$S$47,I54,0)+IF($C$55=$S$47,I55,0)+IF($C$56=$S$47,I56,0)+IF($C$57=$S$47,I57,0)+IF($C$58=$S$47,I58,0)+IF($C$59=$S$47,I59,0)+IF($C$60=$S$47,I60,0)+IF($C$61=$S$47,I61,0)+IF($C$62=$S$47,I62,0)+IF($C$63=$S$47,I63,0)+IF($C$64=$S$47,I64,0)+IF($C$65=$S$47,I65,0)-AD234</f>
        <v/>
      </c>
      <c r="AE235" s="504">
        <f>IF($C$50=$S$47,J50,0)+IF($C$51=$S$47,J51,0)+IF($C$52=$S$47,J52,0)+IF($C$53=$S$47,J53,0)+IF($C$54=$S$47,J54,0)+IF($C$55=$S$47,J55,0)+IF($C$56=$S$47,J56,0)+IF($C$57=$S$47,J57,0)+IF($C$58=$S$47,J58,0)+IF($C$59=$S$47,J59,0)+IF($C$60=$S$47,J60,0)+IF($C$61=$S$47,J61,0)+IF($C$62=$S$47,J62,0)+IF($C$63=$S$47,J63,0)+IF($C$64=$S$47,J64,0)+IF($C$65=$S$47,J65,0)-AE234</f>
        <v/>
      </c>
      <c r="AF235" s="504">
        <f>IF($C$50=$S$47,K50,0)+IF($C$51=$S$47,K51,0)+IF($C$52=$S$47,K52,0)+IF($C$53=$S$47,K53,0)+IF($C$54=$S$47,K54,0)+IF($C$55=$S$47,K55,0)+IF($C$56=$S$47,K56,0)+IF($C$57=$S$47,K57,0)+IF($C$58=$S$47,K58,0)+IF($C$59=$S$47,K59,0)+IF($C$60=$S$47,K60,0)+IF($C$61=$S$47,K61,0)+IF($C$62=$S$47,K62,0)+IF($C$63=$S$47,K63,0)+IF($C$64=$S$47,K64,0)+IF($C$65=$S$47,K65,0)-AF234</f>
        <v/>
      </c>
      <c r="AG235" s="504">
        <f>IF($C$50=$S$47,L50,0)+IF($C$51=$S$47,L51,0)+IF($C$52=$S$47,L52,0)+IF($C$53=$S$47,L53,0)+IF($C$54=$S$47,L54,0)+IF($C$55=$S$47,L55,0)+IF($C$56=$S$47,L56,0)+IF($C$57=$S$47,L57,0)+IF($C$58=$S$47,L58,0)+IF($C$59=$S$47,L59,0)+IF($C$60=$S$47,L60,0)+IF($C$61=$S$47,L61,0)+IF($C$62=$S$47,L62,0)+IF($C$63=$S$47,L63,0)+IF($C$64=$S$47,L64,0)+IF($C$65=$S$47,L65,0)-AG234</f>
        <v/>
      </c>
      <c r="AH235" s="504">
        <f>IF($C$50=$S$47,M50,0)+IF($C$51=$S$47,M51,0)+IF($C$52=$S$47,M52,0)+IF($C$53=$S$47,M53,0)+IF($C$54=$S$47,M54,0)+IF($C$55=$S$47,M55,0)+IF($C$56=$S$47,M56,0)+IF($C$57=$S$47,M57,0)+IF($C$58=$S$47,M58,0)+IF($C$59=$S$47,M59,0)+IF($C$60=$S$47,M60,0)+IF($C$61=$S$47,M61,0)+IF($C$62=$S$47,M62,0)+IF($C$63=$S$47,M63,0)+IF($C$64=$S$47,M64,0)+IF($C$65=$S$47,M65,0)-AH234</f>
        <v/>
      </c>
      <c r="AI235" s="504">
        <f>IF($C$50=$S$47,N50,0)+IF($C$51=$S$47,N51,0)+IF($C$52=$S$47,N52,0)+IF($C$53=$S$47,N53,0)+IF($C$54=$S$47,N54,0)+IF($C$55=$S$47,N55,0)+IF($C$56=$S$47,N56,0)+IF($C$57=$S$47,N57,0)+IF($C$58=$S$47,N58,0)+IF($C$59=$S$47,N59,0)+IF($C$60=$S$47,N60,0)+IF($C$61=$S$47,N61,0)+IF($C$62=$S$47,N62,0)+IF($C$63=$S$47,N63,0)+IF($C$64=$S$47,N64,0)+IF($C$65=$S$47,N65,0)-AI234</f>
        <v/>
      </c>
      <c r="AJ235" s="504">
        <f>IF($C$50=$S$47,O50,0)+IF($C$51=$S$47,O51,0)+IF($C$52=$S$47,O52,0)+IF($C$53=$S$47,O53,0)+IF($C$54=$S$47,O54,0)+IF($C$55=$S$47,O55,0)+IF($C$56=$S$47,O56,0)+IF($C$57=$S$47,O57,0)+IF($C$58=$S$47,O58,0)+IF($C$59=$S$47,O59,0)+IF($C$60=$S$47,O60,0)+IF($C$61=$S$47,O61,0)+IF($C$62=$S$47,O62,0)+IF($C$63=$S$47,O63,0)+IF($C$64=$S$47,O64,0)+IF($C$65=$S$47,O65,0)-AJ234</f>
        <v/>
      </c>
      <c r="AK235" s="504">
        <f>IF($C$50=$S$47,P50,0)+IF($C$51=$S$47,P51,0)+IF($C$52=$S$47,P52,0)+IF($C$53=$S$47,P53,0)+IF($C$54=$S$47,P54,0)+IF($C$55=$S$47,P55,0)+IF($C$56=$S$47,P56,0)+IF($C$57=$S$47,P57,0)+IF($C$58=$S$47,P58,0)+IF($C$59=$S$47,P59,0)+IF($C$60=$S$47,P60,0)+IF($C$61=$S$47,P61,0)+IF($C$62=$S$47,P62,0)+IF($C$63=$S$47,P63,0)+IF($C$64=$S$47,P64,0)+IF($C$65=$S$47,P65,0)-AK234</f>
        <v/>
      </c>
      <c r="AL235" s="504">
        <f>IF($C$50=$S$47,Q50,0)+IF($C$51=$S$47,Q51,0)+IF($C$52=$S$47,Q52,0)+IF($C$53=$S$47,Q53,0)+IF($C$54=$S$47,Q54,0)+IF($C$55=$S$47,Q55,0)+IF($C$56=$S$47,Q56,0)+IF($C$57=$S$47,Q57,0)+IF($C$58=$S$47,Q58,0)+IF($C$59=$S$47,Q59,0)+IF($C$60=$S$47,Q60,0)+IF($C$61=$S$47,Q61,0)+IF($C$62=$S$47,Q62,0)+IF($C$63=$S$47,Q63,0)+IF($C$64=$S$47,Q64,0)+IF($C$65=$S$47,Q65,0)-AL234</f>
        <v/>
      </c>
      <c r="AM235" s="504">
        <f>IF($C$50=$S$47,R50,0)+IF($C$51=$S$47,R51,0)+IF($C$52=$S$47,R52,0)+IF($C$53=$S$47,R53,0)+IF($C$54=$S$47,R54,0)+IF($C$55=$S$47,R55,0)+IF($C$56=$S$47,R56,0)+IF($C$57=$S$47,R57,0)+IF($C$58=$S$47,R58,0)+IF($C$59=$S$47,R59,0)+IF($C$60=$S$47,R60,0)+IF($C$61=$S$47,R61,0)+IF($C$62=$S$47,R62,0)+IF($C$63=$S$47,R63,0)+IF($C$64=$S$47,R64,0)+IF($C$65=$S$47,R65,0)-AM234</f>
        <v/>
      </c>
      <c r="AN235" s="504">
        <f>IF($C$50=$S$47,S50,0)+IF($C$51=$S$47,S51,0)+IF($C$52=$S$47,S52,0)+IF($C$53=$S$47,S53,0)+IF($C$54=$S$47,S54,0)+IF($C$55=$S$47,S55,0)+IF($C$56=$S$47,S56,0)+IF($C$57=$S$47,S57,0)+IF($C$58=$S$47,S58,0)+IF($C$59=$S$47,S59,0)+IF($C$60=$S$47,S60,0)+IF($C$61=$S$47,S61,0)+IF($C$62=$S$47,S62,0)+IF($C$63=$S$47,S63,0)+IF($C$64=$S$47,S64,0)+IF($C$65=$S$47,S65,0)-AN234</f>
        <v/>
      </c>
    </row>
    <row r="236" s="353">
      <c r="X236" s="215" t="inlineStr">
        <is>
          <t>比例</t>
        </is>
      </c>
      <c r="Y236" s="114">
        <f>Y235/Y234</f>
        <v/>
      </c>
      <c r="Z236" s="114">
        <f>Z235/Z234</f>
        <v/>
      </c>
      <c r="AA236" s="114">
        <f>AA235/AA234</f>
        <v/>
      </c>
      <c r="AB236" s="114">
        <f>AB235/AB234</f>
        <v/>
      </c>
      <c r="AC236" s="114">
        <f>AC235/AC234</f>
        <v/>
      </c>
      <c r="AD236" s="114">
        <f>AD235/AD234</f>
        <v/>
      </c>
      <c r="AE236" s="114">
        <f>AE235/AE234</f>
        <v/>
      </c>
      <c r="AF236" s="114">
        <f>AF235/AF234</f>
        <v/>
      </c>
      <c r="AG236" s="114">
        <f>AG235/AG234</f>
        <v/>
      </c>
      <c r="AH236" s="114">
        <f>AH235/AH234</f>
        <v/>
      </c>
      <c r="AI236" s="114">
        <f>AI235/AI234</f>
        <v/>
      </c>
      <c r="AJ236" s="114">
        <f>AJ235/AJ234</f>
        <v/>
      </c>
      <c r="AK236" s="114">
        <f>AK235/AK234</f>
        <v/>
      </c>
      <c r="AL236" s="114">
        <f>AL235/AL234</f>
        <v/>
      </c>
      <c r="AM236" s="114">
        <f>AM235/AM234</f>
        <v/>
      </c>
      <c r="AN236" s="114">
        <f>AN235/AN234</f>
        <v/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dxfId="0" operator="equal" priority="7" stopIfTrue="1" type="cellIs">
      <formula>"人数 YES"</formula>
    </cfRule>
    <cfRule dxfId="1" operator="equal" priority="8" stopIfTrue="1" type="cellIs">
      <formula>"人数 NO"</formula>
    </cfRule>
  </conditionalFormatting>
  <conditionalFormatting sqref="AH13">
    <cfRule dxfId="0" operator="greaterThanOrEqual" priority="14" stopIfTrue="1" type="cellIs">
      <formula>0</formula>
    </cfRule>
    <cfRule dxfId="1" operator="lessThan" priority="15" stopIfTrue="1" type="cellIs">
      <formula>0</formula>
    </cfRule>
  </conditionalFormatting>
  <conditionalFormatting sqref="AC14">
    <cfRule dxfId="0" operator="equal" priority="5" stopIfTrue="1" type="cellIs">
      <formula>"机器 YES"</formula>
    </cfRule>
    <cfRule dxfId="1" operator="equal" priority="6" stopIfTrue="1" type="cellIs">
      <formula>"机器 NO"</formula>
    </cfRule>
  </conditionalFormatting>
  <conditionalFormatting sqref="AH14">
    <cfRule dxfId="2" operator="greaterThan" priority="12" stopIfTrue="1" type="cellIs">
      <formula>$AJ$14</formula>
    </cfRule>
  </conditionalFormatting>
  <conditionalFormatting sqref="K15">
    <cfRule dxfId="3" operator="greaterThan" priority="23" stopIfTrue="1" type="cellIs">
      <formula>0</formula>
    </cfRule>
  </conditionalFormatting>
  <conditionalFormatting sqref="AC15">
    <cfRule dxfId="0" operator="equal" priority="3" stopIfTrue="1" type="cellIs">
      <formula>"材料 YES"</formula>
    </cfRule>
    <cfRule dxfId="1" operator="equal" priority="4" stopIfTrue="1" type="cellIs">
      <formula>"材料 NO"</formula>
    </cfRule>
  </conditionalFormatting>
  <conditionalFormatting sqref="AH15">
    <cfRule dxfId="3" operator="greaterThan" priority="13" stopIfTrue="1" type="cellIs">
      <formula>$AJ$15</formula>
    </cfRule>
  </conditionalFormatting>
  <conditionalFormatting sqref="Y18">
    <cfRule dxfId="3" operator="greaterThan" priority="10" stopIfTrue="1" type="cellIs">
      <formula>$Y$19</formula>
    </cfRule>
  </conditionalFormatting>
  <conditionalFormatting sqref="AA18">
    <cfRule dxfId="3" operator="lessThan" priority="1" stopIfTrue="1" type="cellIs">
      <formula>$AA$19</formula>
    </cfRule>
  </conditionalFormatting>
  <conditionalFormatting sqref="AC18">
    <cfRule dxfId="3" operator="lessThan" priority="9" stopIfTrue="1" type="cellIs">
      <formula>$AC$19</formula>
    </cfRule>
  </conditionalFormatting>
  <conditionalFormatting sqref="AJ18">
    <cfRule dxfId="3" operator="greaterThan" priority="16" stopIfTrue="1" type="cellIs">
      <formula>$AJ$19</formula>
    </cfRule>
  </conditionalFormatting>
  <conditionalFormatting sqref="BW76">
    <cfRule dxfId="4" operator="equal" priority="11" stopIfTrue="1" type="cellIs">
      <formula>"YES"</formula>
    </cfRule>
  </conditionalFormatting>
  <conditionalFormatting sqref="Y92">
    <cfRule dxfId="3" operator="greaterThan" priority="20" stopIfTrue="1" type="cellIs">
      <formula>$Y$93</formula>
    </cfRule>
  </conditionalFormatting>
  <conditionalFormatting sqref="Z92">
    <cfRule dxfId="3" operator="greaterThan" priority="19" stopIfTrue="1" type="cellIs">
      <formula>$Z$93</formula>
    </cfRule>
  </conditionalFormatting>
  <conditionalFormatting sqref="AA92">
    <cfRule dxfId="3" operator="greaterThan" priority="18" stopIfTrue="1" type="cellIs">
      <formula>$AA$93</formula>
    </cfRule>
  </conditionalFormatting>
  <conditionalFormatting sqref="AB92">
    <cfRule dxfId="3" operator="greaterThan" priority="17" stopIfTrue="1" type="cellIs">
      <formula>$AB$93</formula>
    </cfRule>
  </conditionalFormatting>
  <conditionalFormatting sqref="AC92">
    <cfRule dxfId="0" operator="equal" priority="21" stopIfTrue="1" type="cellIs">
      <formula>"YES"</formula>
    </cfRule>
    <cfRule dxfId="1" operator="equal" priority="22" stopIfTrue="1" type="cellIs">
      <formula>"NO"</formula>
    </cfRule>
  </conditionalFormatting>
  <conditionalFormatting sqref="AJ21:AJ23">
    <cfRule dxfId="5" operator="greaterThan" priority="2" stopIfTrue="1" type="cellIs">
      <formula>$AJ$20</formula>
    </cfRule>
  </conditionalFormatting>
  <conditionalFormatting sqref="BE132:BE133">
    <cfRule dxfId="6" priority="27" stopIfTrue="1" type="expression">
      <formula>(第十四期!#REF!-$BE$54)&lt;0</formula>
    </cfRule>
  </conditionalFormatting>
  <conditionalFormatting sqref="BF132:BF133">
    <cfRule dxfId="6" priority="26" stopIfTrue="1" type="expression">
      <formula>(第十四期!#REF!-$BF$54)&lt;0</formula>
    </cfRule>
  </conditionalFormatting>
  <conditionalFormatting sqref="BG132:BG133">
    <cfRule dxfId="6" priority="25" stopIfTrue="1" type="expression">
      <formula>(第十四期!#REF!-$BG$54)&lt;0</formula>
    </cfRule>
  </conditionalFormatting>
  <conditionalFormatting sqref="BH132:BH133">
    <cfRule dxfId="6" priority="24" stopIfTrue="1" type="expression">
      <formula>(第十四期!#REF!-$BH$54)&lt;0</formula>
    </cfRule>
  </conditionalFormatting>
  <conditionalFormatting sqref="AJ40:AN43">
    <cfRule dxfId="7" operator="equal" priority="29" stopIfTrue="1" type="cellIs">
      <formula>CJ70+0.0001</formula>
    </cfRule>
  </conditionalFormatting>
  <conditionalFormatting sqref="AS57:BH76">
    <cfRule dxfId="6" priority="28" stopIfTrue="1" type="expression">
      <formula>(AS33-$AS$54)&lt;0</formula>
    </cfRule>
  </conditionalFormatting>
  <pageMargins bottom="1" footer="0.5" header="0.5" left="0.75" right="0.75" top="1"/>
  <pageSetup horizontalDpi="2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chen</dc:creator>
  <dc:title xmlns:dc="http://purl.org/dc/elements/1.1/">决策工具</dc:title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2019-10-25T08:02:35Z</dcterms:modified>
  <cp:lastModifiedBy>罹</cp:lastModifiedBy>
</cp:coreProperties>
</file>