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420" tabRatio="665" activeTab="8"/>
  </bookViews>
  <sheets>
    <sheet name="投资预算" sheetId="9" r:id="rId1"/>
    <sheet name="比赛参数" sheetId="1" r:id="rId2"/>
    <sheet name="工资系数" sheetId="125" r:id="rId3"/>
    <sheet name="第九期" sheetId="104" r:id="rId4"/>
    <sheet name="第十期" sheetId="118" r:id="rId5"/>
    <sheet name="第十一期" sheetId="120" r:id="rId6"/>
    <sheet name="第十二期" sheetId="121" r:id="rId7"/>
    <sheet name="第十三期" sheetId="122" r:id="rId8"/>
    <sheet name="第十四期" sheetId="119" r:id="rId9"/>
    <sheet name="第十五期" sheetId="123" r:id="rId10"/>
    <sheet name="第十六期" sheetId="124" r:id="rId11"/>
  </sheets>
  <definedNames>
    <definedName name="cailiao">#REF!</definedName>
    <definedName name="chengben">#REF!</definedName>
    <definedName name="chengben2">#REF!</definedName>
    <definedName name="cost">#REF!</definedName>
    <definedName name="gkucun">#REF!</definedName>
    <definedName name="gongzi">#REF!</definedName>
    <definedName name="guanli">#REF!</definedName>
    <definedName name="jiage">#REF!</definedName>
    <definedName name="jishi">#REF!</definedName>
    <definedName name="jungong">#REF!</definedName>
    <definedName name="junjia">#REF!</definedName>
    <definedName name="keyongjiqi">#REF!</definedName>
    <definedName name="keyongjiqi2">#REF!</definedName>
    <definedName name="keyongren">#REF!</definedName>
    <definedName name="keyongren2">#REF!</definedName>
    <definedName name="lirun">#REF!</definedName>
    <definedName name="mubiaoA">#REF!</definedName>
    <definedName name="mubiaoB">#REF!</definedName>
    <definedName name="mubiaoC">#REF!</definedName>
    <definedName name="mubiaoD">#REF!</definedName>
    <definedName name="renshi">#REF!</definedName>
    <definedName name="result">#REF!</definedName>
    <definedName name="result2">#REF!</definedName>
    <definedName name="sdinghuo">#REF!</definedName>
    <definedName name="skucun">#REF!</definedName>
    <definedName name="solver_adj" localSheetId="3" hidden="1">第九期!$AX$133</definedName>
    <definedName name="solver_adj" localSheetId="6" hidden="1">第十二期!$AX$133</definedName>
    <definedName name="solver_adj" localSheetId="10" hidden="1">第十六期!$AX$133</definedName>
    <definedName name="solver_adj" localSheetId="4" hidden="1">第十期!$AX$133</definedName>
    <definedName name="solver_adj" localSheetId="7" hidden="1">第十三期!$AX$133</definedName>
    <definedName name="solver_adj" localSheetId="8" hidden="1">第十四期!$AX$133</definedName>
    <definedName name="solver_adj" localSheetId="9" hidden="1">第十五期!$AX$133</definedName>
    <definedName name="solver_adj" localSheetId="5" hidden="1">第十一期!$AX$133</definedName>
    <definedName name="solver_cvg" localSheetId="3" hidden="1">0.0001</definedName>
    <definedName name="solver_cvg" localSheetId="6" hidden="1">0.0001</definedName>
    <definedName name="solver_cvg" localSheetId="10" hidden="1">0.0001</definedName>
    <definedName name="solver_cvg" localSheetId="4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5" hidden="1">0.0001</definedName>
    <definedName name="solver_drv" localSheetId="3" hidden="1">1</definedName>
    <definedName name="solver_drv" localSheetId="6" hidden="1">1</definedName>
    <definedName name="solver_drv" localSheetId="10" hidden="1">1</definedName>
    <definedName name="solver_drv" localSheetId="4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5" hidden="1">1</definedName>
    <definedName name="solver_eng" localSheetId="3" hidden="1">1</definedName>
    <definedName name="solver_eng" localSheetId="6" hidden="1">1</definedName>
    <definedName name="solver_eng" localSheetId="10" hidden="1">1</definedName>
    <definedName name="solver_eng" localSheetId="4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5" hidden="1">1</definedName>
    <definedName name="solver_est" localSheetId="3" hidden="1">1</definedName>
    <definedName name="solver_est" localSheetId="6" hidden="1">1</definedName>
    <definedName name="solver_est" localSheetId="10" hidden="1">1</definedName>
    <definedName name="solver_est" localSheetId="4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5" hidden="1">1</definedName>
    <definedName name="solver_itr" localSheetId="3" hidden="1">100</definedName>
    <definedName name="solver_itr" localSheetId="6" hidden="1">100</definedName>
    <definedName name="solver_itr" localSheetId="10" hidden="1">100</definedName>
    <definedName name="solver_itr" localSheetId="4" hidden="1">100</definedName>
    <definedName name="solver_itr" localSheetId="7" hidden="1">100</definedName>
    <definedName name="solver_itr" localSheetId="8" hidden="1">100</definedName>
    <definedName name="solver_itr" localSheetId="9" hidden="1">100</definedName>
    <definedName name="solver_itr" localSheetId="5" hidden="1">100</definedName>
    <definedName name="solver_lhs1" localSheetId="3" hidden="1">第九期!$AW$130</definedName>
    <definedName name="solver_lhs1" localSheetId="6" hidden="1">第十二期!$AW$130</definedName>
    <definedName name="solver_lhs1" localSheetId="10" hidden="1">第十六期!$AW$130</definedName>
    <definedName name="solver_lhs1" localSheetId="4" hidden="1">第十期!$AW$130</definedName>
    <definedName name="solver_lhs1" localSheetId="7" hidden="1">第十三期!$AW$130</definedName>
    <definedName name="solver_lhs1" localSheetId="8" hidden="1">第十四期!$AW$130</definedName>
    <definedName name="solver_lhs1" localSheetId="9" hidden="1">第十五期!$AW$130</definedName>
    <definedName name="solver_lhs1" localSheetId="5" hidden="1">第十一期!$AW$130</definedName>
    <definedName name="solver_lin" localSheetId="3" hidden="1">2</definedName>
    <definedName name="solver_lin" localSheetId="6" hidden="1">2</definedName>
    <definedName name="solver_lin" localSheetId="10" hidden="1">2</definedName>
    <definedName name="solver_lin" localSheetId="4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5" hidden="1">2</definedName>
    <definedName name="solver_mip" localSheetId="3" hidden="1">2147483647</definedName>
    <definedName name="solver_mip" localSheetId="6" hidden="1">2147483647</definedName>
    <definedName name="solver_mip" localSheetId="10" hidden="1">2147483647</definedName>
    <definedName name="solver_mip" localSheetId="4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5" hidden="1">2147483647</definedName>
    <definedName name="solver_mni" localSheetId="3" hidden="1">30</definedName>
    <definedName name="solver_mni" localSheetId="6" hidden="1">30</definedName>
    <definedName name="solver_mni" localSheetId="10" hidden="1">30</definedName>
    <definedName name="solver_mni" localSheetId="4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5" hidden="1">30</definedName>
    <definedName name="solver_mrt" localSheetId="3" hidden="1">0.075</definedName>
    <definedName name="solver_mrt" localSheetId="6" hidden="1">0.075</definedName>
    <definedName name="solver_mrt" localSheetId="10" hidden="1">0.075</definedName>
    <definedName name="solver_mrt" localSheetId="4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5" hidden="1">0.075</definedName>
    <definedName name="solver_msl" localSheetId="3" hidden="1">2</definedName>
    <definedName name="solver_msl" localSheetId="6" hidden="1">2</definedName>
    <definedName name="solver_msl" localSheetId="10" hidden="1">2</definedName>
    <definedName name="solver_msl" localSheetId="4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5" hidden="1">2</definedName>
    <definedName name="solver_neg" localSheetId="3" hidden="1">2</definedName>
    <definedName name="solver_neg" localSheetId="6" hidden="1">2</definedName>
    <definedName name="solver_neg" localSheetId="10" hidden="1">2</definedName>
    <definedName name="solver_neg" localSheetId="4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5" hidden="1">2</definedName>
    <definedName name="solver_nod" localSheetId="3" hidden="1">2147483647</definedName>
    <definedName name="solver_nod" localSheetId="6" hidden="1">2147483647</definedName>
    <definedName name="solver_nod" localSheetId="10" hidden="1">2147483647</definedName>
    <definedName name="solver_nod" localSheetId="4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5" hidden="1">2147483647</definedName>
    <definedName name="solver_num" localSheetId="3" hidden="1">0</definedName>
    <definedName name="solver_num" localSheetId="6" hidden="1">0</definedName>
    <definedName name="solver_num" localSheetId="10" hidden="1">0</definedName>
    <definedName name="solver_num" localSheetId="4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5" hidden="1">0</definedName>
    <definedName name="solver_nwt" localSheetId="3" hidden="1">1</definedName>
    <definedName name="solver_nwt" localSheetId="6" hidden="1">1</definedName>
    <definedName name="solver_nwt" localSheetId="10" hidden="1">1</definedName>
    <definedName name="solver_nwt" localSheetId="4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5" hidden="1">1</definedName>
    <definedName name="solver_opt" localSheetId="3" hidden="1">第九期!$BD$133</definedName>
    <definedName name="solver_opt" localSheetId="6" hidden="1">第十二期!$BD$133</definedName>
    <definedName name="solver_opt" localSheetId="10" hidden="1">第十六期!$BD$133</definedName>
    <definedName name="solver_opt" localSheetId="4" hidden="1">第十期!$BD$133</definedName>
    <definedName name="solver_opt" localSheetId="7" hidden="1">第十三期!$BD$133</definedName>
    <definedName name="solver_opt" localSheetId="8" hidden="1">第十四期!$BD$133</definedName>
    <definedName name="solver_opt" localSheetId="9" hidden="1">第十五期!$BD$133</definedName>
    <definedName name="solver_opt" localSheetId="5" hidden="1">第十一期!$BD$133</definedName>
    <definedName name="solver_pre" localSheetId="3" hidden="1">0.000001</definedName>
    <definedName name="solver_pre" localSheetId="6" hidden="1">0.000001</definedName>
    <definedName name="solver_pre" localSheetId="10" hidden="1">0.000001</definedName>
    <definedName name="solver_pre" localSheetId="4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5" hidden="1">0.000001</definedName>
    <definedName name="solver_rbv" localSheetId="3" hidden="1">1</definedName>
    <definedName name="solver_rbv" localSheetId="6" hidden="1">1</definedName>
    <definedName name="solver_rbv" localSheetId="10" hidden="1">1</definedName>
    <definedName name="solver_rbv" localSheetId="4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5" hidden="1">1</definedName>
    <definedName name="solver_rel1" localSheetId="3" hidden="1">2</definedName>
    <definedName name="solver_rel1" localSheetId="6" hidden="1">2</definedName>
    <definedName name="solver_rel1" localSheetId="10" hidden="1">2</definedName>
    <definedName name="solver_rel1" localSheetId="4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5" hidden="1">2</definedName>
    <definedName name="solver_rhs1" localSheetId="3" hidden="1">第九期!$AW$129</definedName>
    <definedName name="solver_rhs1" localSheetId="6" hidden="1">第十二期!$AW$129</definedName>
    <definedName name="solver_rhs1" localSheetId="10" hidden="1">第十六期!$AW$129</definedName>
    <definedName name="solver_rhs1" localSheetId="4" hidden="1">第十期!$AW$129</definedName>
    <definedName name="solver_rhs1" localSheetId="7" hidden="1">第十三期!$AW$129</definedName>
    <definedName name="solver_rhs1" localSheetId="8" hidden="1">第十四期!$AW$129</definedName>
    <definedName name="solver_rhs1" localSheetId="9" hidden="1">第十五期!$AW$129</definedName>
    <definedName name="solver_rhs1" localSheetId="5" hidden="1">第十一期!$AW$129</definedName>
    <definedName name="solver_rlx" localSheetId="3" hidden="1">1</definedName>
    <definedName name="solver_rlx" localSheetId="6" hidden="1">1</definedName>
    <definedName name="solver_rlx" localSheetId="10" hidden="1">1</definedName>
    <definedName name="solver_rlx" localSheetId="4" hidden="1">1</definedName>
    <definedName name="solver_rlx" localSheetId="7" hidden="1">1</definedName>
    <definedName name="solver_rlx" localSheetId="8" hidden="1">1</definedName>
    <definedName name="solver_rlx" localSheetId="9" hidden="1">1</definedName>
    <definedName name="solver_rlx" localSheetId="5" hidden="1">1</definedName>
    <definedName name="solver_rsd" localSheetId="3" hidden="1">0</definedName>
    <definedName name="solver_rsd" localSheetId="6" hidden="1">0</definedName>
    <definedName name="solver_rsd" localSheetId="10" hidden="1">0</definedName>
    <definedName name="solver_rsd" localSheetId="4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5" hidden="1">0</definedName>
    <definedName name="solver_scl" localSheetId="3" hidden="1">2</definedName>
    <definedName name="solver_scl" localSheetId="6" hidden="1">2</definedName>
    <definedName name="solver_scl" localSheetId="10" hidden="1">2</definedName>
    <definedName name="solver_scl" localSheetId="4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5" hidden="1">2</definedName>
    <definedName name="solver_sho" localSheetId="3" hidden="1">2</definedName>
    <definedName name="solver_sho" localSheetId="6" hidden="1">2</definedName>
    <definedName name="solver_sho" localSheetId="10" hidden="1">2</definedName>
    <definedName name="solver_sho" localSheetId="4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5" hidden="1">2</definedName>
    <definedName name="solver_ssz" localSheetId="3" hidden="1">100</definedName>
    <definedName name="solver_ssz" localSheetId="6" hidden="1">100</definedName>
    <definedName name="solver_ssz" localSheetId="10" hidden="1">100</definedName>
    <definedName name="solver_ssz" localSheetId="4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5" hidden="1">100</definedName>
    <definedName name="solver_tim" localSheetId="3" hidden="1">100</definedName>
    <definedName name="solver_tim" localSheetId="6" hidden="1">100</definedName>
    <definedName name="solver_tim" localSheetId="10" hidden="1">100</definedName>
    <definedName name="solver_tim" localSheetId="4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5" hidden="1">100</definedName>
    <definedName name="solver_tol" localSheetId="3" hidden="1">0.05</definedName>
    <definedName name="solver_tol" localSheetId="6" hidden="1">0.05</definedName>
    <definedName name="solver_tol" localSheetId="10" hidden="1">0.05</definedName>
    <definedName name="solver_tol" localSheetId="4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5" hidden="1">0.05</definedName>
    <definedName name="solver_typ" localSheetId="3" hidden="1">1</definedName>
    <definedName name="solver_typ" localSheetId="6" hidden="1">1</definedName>
    <definedName name="solver_typ" localSheetId="10" hidden="1">1</definedName>
    <definedName name="solver_typ" localSheetId="4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5" hidden="1">1</definedName>
    <definedName name="solver_val" localSheetId="3" hidden="1">0</definedName>
    <definedName name="solver_val" localSheetId="6" hidden="1">0</definedName>
    <definedName name="solver_val" localSheetId="10" hidden="1">0</definedName>
    <definedName name="solver_val" localSheetId="4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5" hidden="1">0</definedName>
    <definedName name="solver_ver" localSheetId="3" hidden="1">3</definedName>
    <definedName name="solver_ver" localSheetId="6" hidden="1">3</definedName>
    <definedName name="solver_ver" localSheetId="10" hidden="1">3</definedName>
    <definedName name="solver_ver" localSheetId="4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5" hidden="1">3</definedName>
    <definedName name="yinzi">#REF!</definedName>
    <definedName name="zhuangtai">#REF!</definedName>
    <definedName name="zhuangtai2">#REF!</definedName>
    <definedName name="数据导入" localSheetId="3">第九期!$M$26:$N$40</definedName>
    <definedName name="数据导入" localSheetId="6">第十二期!$M$26:$N$40</definedName>
    <definedName name="数据导入" localSheetId="10">第十六期!$M$26:$N$40</definedName>
    <definedName name="数据导入" localSheetId="4">第十期!$M$26:$N$40</definedName>
    <definedName name="数据导入" localSheetId="7">第十三期!$M$26:$N$40</definedName>
    <definedName name="数据导入" localSheetId="8">第十四期!$M$26:$N$40</definedName>
    <definedName name="数据导入" localSheetId="9">第十五期!$M$26:$N$40</definedName>
    <definedName name="数据导入" localSheetId="5">第十一期!$M$26:$N$40</definedName>
  </definedNames>
  <calcPr calcId="144525"/>
</workbook>
</file>

<file path=xl/connections.xml><?xml version="1.0" encoding="utf-8"?>
<connections xmlns="http://schemas.openxmlformats.org/spreadsheetml/2006/main">
  <connection id="1" name="数据导入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2" name="数据导入1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3" name="数据导入1111111111" type="6" background="1" refreshedVersion="2" saveData="1">
    <textPr sourceFile="C:\Users\sony\Desktop\数据导入.txt" decimal="." thousands="," delimiter="=">
      <textFields>
        <textField/>
      </textFields>
    </textPr>
  </connection>
  <connection id="4" name="数据导入1111111112" type="6" background="1" refreshedVersion="2" saveData="1">
    <textPr sourceFile="C:\Users\sony\Desktop\数据导入.txt" decimal="." thousands="," delimiter="=">
      <textFields>
        <textField/>
      </textFields>
    </textPr>
  </connection>
  <connection id="5" name="数据导入11111111121" type="6" background="1" refreshedVersion="2" saveData="1">
    <textPr sourceFile="C:\Users\sony\Desktop\数据导入.txt" decimal="." thousands="," delimiter="=">
      <textFields>
        <textField/>
      </textFields>
    </textPr>
  </connection>
  <connection id="6" name="数据导入111111111211" type="6" background="1" refreshedVersion="2" saveData="1">
    <textPr sourceFile="C:\Users\sony\Desktop\数据导入.txt" decimal="." thousands="," delimiter="=">
      <textFields>
        <textField/>
      </textFields>
    </textPr>
  </connection>
  <connection id="7" name="数据导入1111111113" type="6" background="1" refreshedVersion="2" saveData="1">
    <textPr sourceFile="C:\Users\sony\Desktop\数据导入.txt" decimal="." thousands="," delimiter="=">
      <textFields>
        <textField/>
      </textFields>
    </textPr>
  </connection>
  <connection id="8" name="数据导入11111111131" type="6" background="1" refreshedVersion="2" saveData="1">
    <textPr sourceFile="C:\Users\sony\Desktop\数据导入.txt" decimal="." thousands="," delimiter="=">
      <textFields>
        <textField/>
      </textFields>
    </textPr>
  </connection>
</connections>
</file>

<file path=xl/sharedStrings.xml><?xml version="1.0" encoding="utf-8"?>
<sst xmlns="http://schemas.openxmlformats.org/spreadsheetml/2006/main" count="9480" uniqueCount="437">
  <si>
    <t>投       资       预       算</t>
  </si>
  <si>
    <t>项目</t>
  </si>
  <si>
    <t>期数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</si>
  <si>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</si>
  <si>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</si>
  <si>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</si>
  <si>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</si>
  <si>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</si>
  <si>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</si>
  <si>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</si>
  <si>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</si>
  <si>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</si>
  <si>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</si>
  <si>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机器</t>
  </si>
  <si>
    <t>新增</t>
  </si>
  <si>
    <t>现有</t>
  </si>
  <si>
    <t>工人</t>
  </si>
  <si>
    <t>退休</t>
  </si>
  <si>
    <t>MIN</t>
  </si>
  <si>
    <t>MAX</t>
  </si>
  <si>
    <t>总量</t>
  </si>
  <si>
    <t>产品A</t>
  </si>
  <si>
    <t>产品B</t>
  </si>
  <si>
    <t>产品C</t>
  </si>
  <si>
    <t>产品D</t>
  </si>
  <si>
    <t>均值</t>
  </si>
  <si>
    <t>人数/机器</t>
  </si>
  <si>
    <t>人机比</t>
  </si>
  <si>
    <t>当量</t>
  </si>
  <si>
    <t>材料</t>
  </si>
  <si>
    <t>可用材料</t>
  </si>
  <si>
    <t>本期需要</t>
  </si>
  <si>
    <t>本期需要/机器</t>
  </si>
  <si>
    <t>材料机比</t>
  </si>
  <si>
    <t>本期采购</t>
  </si>
  <si>
    <t>期末库存</t>
  </si>
  <si>
    <t>原材料优惠</t>
  </si>
  <si>
    <t>研发</t>
  </si>
  <si>
    <t>A产品</t>
  </si>
  <si>
    <t>B产品</t>
  </si>
  <si>
    <t>C产品</t>
  </si>
  <si>
    <t>D产品</t>
  </si>
  <si>
    <t>研发合计</t>
  </si>
  <si>
    <t>累计研发</t>
  </si>
  <si>
    <t>研发费用</t>
  </si>
  <si>
    <t>等级1</t>
  </si>
  <si>
    <t>等级2</t>
  </si>
  <si>
    <t>等级3</t>
  </si>
  <si>
    <t>等级4</t>
  </si>
  <si>
    <t>等级5</t>
  </si>
  <si>
    <t xml:space="preserve">比      赛      参      数 </t>
  </si>
  <si>
    <t>本公司序数</t>
  </si>
  <si>
    <t>总共公司数</t>
  </si>
  <si>
    <t>产品运出率</t>
  </si>
  <si>
    <t>固定运费</t>
  </si>
  <si>
    <t>市场1</t>
  </si>
  <si>
    <t>市场2</t>
  </si>
  <si>
    <t>市场3</t>
  </si>
  <si>
    <t>市场4</t>
  </si>
  <si>
    <t>产品A、B</t>
  </si>
  <si>
    <t>产品C、D</t>
  </si>
  <si>
    <t>变动运输费</t>
  </si>
  <si>
    <t>单位原材料库存费</t>
  </si>
  <si>
    <t>成品库存费</t>
  </si>
  <si>
    <t>单位生产资源</t>
  </si>
  <si>
    <t>机 器（时）</t>
  </si>
  <si>
    <t>人 力（时）</t>
  </si>
  <si>
    <t>原材料（单位）</t>
  </si>
  <si>
    <t>机器价格</t>
  </si>
  <si>
    <t>折旧率</t>
  </si>
  <si>
    <t>原材料价格</t>
  </si>
  <si>
    <t>订购量</t>
  </si>
  <si>
    <t>单价</t>
  </si>
  <si>
    <t>原材料运费</t>
  </si>
  <si>
    <t>固定</t>
  </si>
  <si>
    <t>变动</t>
  </si>
  <si>
    <t>原材料使用率</t>
  </si>
  <si>
    <t>管理费</t>
  </si>
  <si>
    <t>第一班</t>
  </si>
  <si>
    <t>第二班</t>
  </si>
  <si>
    <t>机器维修费</t>
  </si>
  <si>
    <t>招收新工人比例</t>
  </si>
  <si>
    <t>培训费</t>
  </si>
  <si>
    <t>新工人作用工资比例</t>
  </si>
  <si>
    <t>自然退休比例</t>
  </si>
  <si>
    <t>最大解聘比例</t>
  </si>
  <si>
    <t>安置费</t>
  </si>
  <si>
    <t>工人工资</t>
  </si>
  <si>
    <t>一正</t>
  </si>
  <si>
    <t>一加</t>
  </si>
  <si>
    <t>二正</t>
  </si>
  <si>
    <t>二加</t>
  </si>
  <si>
    <t>最低保留现金</t>
  </si>
  <si>
    <t>银行信用额</t>
  </si>
  <si>
    <t>银行年利率</t>
  </si>
  <si>
    <t>国债年利率</t>
  </si>
  <si>
    <t>债券年利率</t>
  </si>
  <si>
    <t>偿债券率</t>
  </si>
  <si>
    <t>纳税比例</t>
  </si>
  <si>
    <t>评判标准</t>
  </si>
  <si>
    <t>本期利润</t>
  </si>
  <si>
    <t>市场份额</t>
  </si>
  <si>
    <t>累计分红</t>
  </si>
  <si>
    <t>累计缴税</t>
  </si>
  <si>
    <t>净资产</t>
  </si>
  <si>
    <t>人均利润率</t>
  </si>
  <si>
    <t>资本利润率</t>
  </si>
  <si>
    <t>权重</t>
  </si>
  <si>
    <t>工资系数</t>
  </si>
  <si>
    <t>上期正品率</t>
  </si>
  <si>
    <t>废品系数</t>
  </si>
  <si>
    <t>考虑上期影响（选用）</t>
  </si>
  <si>
    <t>下期正品率</t>
  </si>
  <si>
    <t>正品率</t>
  </si>
  <si>
    <t>影响因子</t>
  </si>
  <si>
    <t>最大值</t>
  </si>
  <si>
    <t>第1次数据</t>
  </si>
  <si>
    <t>第2次数据</t>
  </si>
  <si>
    <t>第3次数据</t>
  </si>
  <si>
    <t>第4次数据</t>
  </si>
  <si>
    <t>第5次数据</t>
  </si>
  <si>
    <t>第6次数据</t>
  </si>
  <si>
    <t>第7次数据</t>
  </si>
  <si>
    <t>第8次数据</t>
  </si>
  <si>
    <t>第9次数据</t>
  </si>
  <si>
    <t>第10次数据</t>
  </si>
  <si>
    <t>第11次数据</t>
  </si>
  <si>
    <t>第12次数据</t>
  </si>
  <si>
    <t>第13次数据</t>
  </si>
  <si>
    <t>第14次数据</t>
  </si>
  <si>
    <t>第15次数据</t>
  </si>
  <si>
    <t>第16次数据</t>
  </si>
  <si>
    <t>第17次数据</t>
  </si>
  <si>
    <t>第18次数据</t>
  </si>
  <si>
    <t>数      据      填      充</t>
  </si>
  <si>
    <t>生      产      安      排</t>
  </si>
  <si>
    <t>竞     争     对     手     分     析</t>
  </si>
  <si>
    <t>决        策        单</t>
  </si>
  <si>
    <t>上期需求</t>
  </si>
  <si>
    <t>上期市场份额</t>
  </si>
  <si>
    <t>平均份额</t>
  </si>
  <si>
    <t>标准供应量</t>
  </si>
  <si>
    <t>实际供应量</t>
  </si>
  <si>
    <t>无折旧机时贡献</t>
  </si>
  <si>
    <t>机时成本</t>
  </si>
  <si>
    <t>人时贡献</t>
  </si>
  <si>
    <t>无折旧成本贡献</t>
  </si>
  <si>
    <t>无差别机时贡献</t>
  </si>
  <si>
    <t>成本贡献*15</t>
  </si>
  <si>
    <t>单位成本/机时</t>
  </si>
  <si>
    <t>可运出</t>
  </si>
  <si>
    <t>工厂库存</t>
  </si>
  <si>
    <t>人数</t>
  </si>
  <si>
    <t>上期发债券数</t>
  </si>
  <si>
    <t>机器数</t>
  </si>
  <si>
    <t>上期偿债本金</t>
  </si>
  <si>
    <t>产品</t>
  </si>
  <si>
    <t>市场</t>
  </si>
  <si>
    <t>需求</t>
  </si>
  <si>
    <t>订货</t>
  </si>
  <si>
    <t>库存</t>
  </si>
  <si>
    <t>原材料</t>
  </si>
  <si>
    <t>工人数</t>
  </si>
  <si>
    <t>发债券数</t>
  </si>
  <si>
    <t>价格</t>
  </si>
  <si>
    <t>广告</t>
  </si>
  <si>
    <t>现金</t>
  </si>
  <si>
    <t>偿债本金</t>
  </si>
  <si>
    <t>累计折旧</t>
  </si>
  <si>
    <t>生产安排</t>
  </si>
  <si>
    <t>实际机时贡献</t>
  </si>
  <si>
    <t>边际贡献率*20</t>
  </si>
  <si>
    <t>消耗机时</t>
  </si>
  <si>
    <t>单位利润</t>
  </si>
  <si>
    <t>公司号</t>
  </si>
  <si>
    <t>销售产能</t>
  </si>
  <si>
    <t>销售机器</t>
  </si>
  <si>
    <t>机时利润率</t>
  </si>
  <si>
    <t>本期成本</t>
  </si>
  <si>
    <t>成本利润率</t>
  </si>
  <si>
    <t>销售收入</t>
  </si>
  <si>
    <t>实际收入</t>
  </si>
  <si>
    <t>原材料采购</t>
  </si>
  <si>
    <t>纯利润</t>
  </si>
  <si>
    <t>研发分摊</t>
  </si>
  <si>
    <t>调整利润（扣除研发）</t>
  </si>
  <si>
    <t>机时利润</t>
  </si>
  <si>
    <t>银行信用额度</t>
  </si>
  <si>
    <t>下</t>
  </si>
  <si>
    <t>现  金</t>
  </si>
  <si>
    <t>产品A产量</t>
  </si>
  <si>
    <t>国债</t>
  </si>
  <si>
    <t>产品B产量</t>
  </si>
  <si>
    <t>债券</t>
  </si>
  <si>
    <t>期</t>
  </si>
  <si>
    <t>银行信用</t>
  </si>
  <si>
    <t>产品C产量</t>
  </si>
  <si>
    <t>促销</t>
  </si>
  <si>
    <t>累计研发费</t>
  </si>
  <si>
    <t>产品D产量</t>
  </si>
  <si>
    <t>企</t>
  </si>
  <si>
    <t>下期债券</t>
  </si>
  <si>
    <t>各班需人数</t>
  </si>
  <si>
    <t>售前现金</t>
  </si>
  <si>
    <t>机时总贡献</t>
  </si>
  <si>
    <t>供货</t>
  </si>
  <si>
    <t>本期交税</t>
  </si>
  <si>
    <t>各班需机器</t>
  </si>
  <si>
    <t>银行贷款</t>
  </si>
  <si>
    <t>下期信用额</t>
  </si>
  <si>
    <t>累计交税</t>
  </si>
  <si>
    <t>交税信用</t>
  </si>
  <si>
    <t>业</t>
  </si>
  <si>
    <t>机器利用率</t>
  </si>
  <si>
    <t>发行债券</t>
  </si>
  <si>
    <t>债券可发额</t>
  </si>
  <si>
    <t>下期可发债券</t>
  </si>
  <si>
    <t>管理成本</t>
  </si>
  <si>
    <t>生产成本</t>
  </si>
  <si>
    <t>未值班工人</t>
  </si>
  <si>
    <t>平均机时贡献</t>
  </si>
  <si>
    <t>单位机器贡献</t>
  </si>
  <si>
    <t>广告促销费</t>
  </si>
  <si>
    <t>单位工资</t>
  </si>
  <si>
    <t>第一班正班</t>
  </si>
  <si>
    <t>第一班加班</t>
  </si>
  <si>
    <t>第二班正班</t>
  </si>
  <si>
    <t>第二班加班</t>
  </si>
  <si>
    <t>平均工资</t>
  </si>
  <si>
    <t>单位成本</t>
  </si>
  <si>
    <t>无差别成本</t>
  </si>
  <si>
    <t>状</t>
  </si>
  <si>
    <t>未值班工资</t>
  </si>
  <si>
    <t>单产机时贡献</t>
  </si>
  <si>
    <t>新雇人数</t>
  </si>
  <si>
    <t>解雇人数</t>
  </si>
  <si>
    <t>购原材料</t>
  </si>
  <si>
    <t>购买机器</t>
  </si>
  <si>
    <t>分红</t>
  </si>
  <si>
    <t>现有机器数</t>
  </si>
  <si>
    <t>单位成本贡献</t>
  </si>
  <si>
    <t>成本</t>
  </si>
  <si>
    <t>况</t>
  </si>
  <si>
    <t>Max</t>
  </si>
  <si>
    <t>Min</t>
  </si>
  <si>
    <t>税后利润</t>
  </si>
  <si>
    <t>供应机器数</t>
  </si>
  <si>
    <t>机时贡献</t>
  </si>
  <si>
    <r>
      <t>研发(K</t>
    </r>
    <r>
      <rPr>
        <sz val="12"/>
        <rFont val="宋体"/>
        <charset val="134"/>
      </rPr>
      <t>)</t>
    </r>
  </si>
  <si>
    <t>可用人数</t>
  </si>
  <si>
    <t>可用原材料</t>
  </si>
  <si>
    <t>买国债</t>
  </si>
  <si>
    <t>期末现金</t>
  </si>
  <si>
    <t>销售机器数</t>
  </si>
  <si>
    <t>综合评分</t>
  </si>
  <si>
    <t>需要人数</t>
  </si>
  <si>
    <t>需要机器数</t>
  </si>
  <si>
    <t>需要原材料</t>
  </si>
  <si>
    <t>国债利息</t>
  </si>
  <si>
    <t>废品损失</t>
  </si>
  <si>
    <t>保留现金</t>
  </si>
  <si>
    <t>销售比例</t>
  </si>
  <si>
    <t>总资本利润率</t>
  </si>
  <si>
    <t>利用机器</t>
  </si>
  <si>
    <t>期初现金</t>
  </si>
  <si>
    <t>期初原材料</t>
  </si>
  <si>
    <t>机时</t>
  </si>
  <si>
    <t>上期预定</t>
  </si>
  <si>
    <t>本期需求</t>
  </si>
  <si>
    <t>本期销售</t>
  </si>
  <si>
    <t>废品</t>
  </si>
  <si>
    <t>本期费用</t>
  </si>
  <si>
    <t>期末原材料</t>
  </si>
  <si>
    <t>上期研发费</t>
  </si>
  <si>
    <t>加权平均</t>
  </si>
  <si>
    <t>本期比例</t>
  </si>
  <si>
    <t>售前费用</t>
  </si>
  <si>
    <t>本期机器</t>
  </si>
  <si>
    <t>下期机器</t>
  </si>
  <si>
    <t>单位价值</t>
  </si>
  <si>
    <t>发展</t>
  </si>
  <si>
    <t>辞退人数</t>
  </si>
  <si>
    <t>买机器</t>
  </si>
  <si>
    <r>
      <t>原材料(K</t>
    </r>
    <r>
      <rPr>
        <sz val="12"/>
        <rFont val="宋体"/>
        <charset val="134"/>
      </rPr>
      <t>)</t>
    </r>
  </si>
  <si>
    <t>等级</t>
  </si>
  <si>
    <t>公司</t>
  </si>
  <si>
    <t>利润</t>
  </si>
  <si>
    <t>A</t>
  </si>
  <si>
    <t>B</t>
  </si>
  <si>
    <t>C</t>
  </si>
  <si>
    <t>D</t>
  </si>
  <si>
    <t>单位运输成本</t>
  </si>
  <si>
    <t>单位销售成本</t>
  </si>
  <si>
    <t>下期售前费用</t>
  </si>
  <si>
    <t>财务(K)</t>
  </si>
  <si>
    <t>发债券</t>
  </si>
  <si>
    <t>人时</t>
  </si>
  <si>
    <t>单位机时贡献</t>
  </si>
  <si>
    <t>现有人机比</t>
  </si>
  <si>
    <t>单位贡献</t>
  </si>
  <si>
    <t>基础毛利率</t>
  </si>
  <si>
    <t>研发费</t>
  </si>
  <si>
    <t>升级费用</t>
  </si>
  <si>
    <t>产品等级</t>
  </si>
  <si>
    <t>单位产品边际贡献</t>
  </si>
  <si>
    <t>单位机时边际贡献</t>
  </si>
  <si>
    <t>成本贡献</t>
  </si>
  <si>
    <t>单位产品边际贡献率</t>
  </si>
  <si>
    <t>总计</t>
  </si>
  <si>
    <t>运输成本</t>
  </si>
  <si>
    <t>变动运输成本</t>
  </si>
  <si>
    <t>本期研发</t>
  </si>
  <si>
    <t>总运费</t>
  </si>
  <si>
    <t>本公司</t>
  </si>
  <si>
    <t>分      销      ＆      定      价</t>
  </si>
  <si>
    <t>会       计       报       表</t>
  </si>
  <si>
    <t>收入</t>
  </si>
  <si>
    <t>各班工资</t>
  </si>
  <si>
    <t>平均</t>
  </si>
  <si>
    <t>是否运出</t>
  </si>
  <si>
    <t>是否生产</t>
  </si>
  <si>
    <t>收支</t>
  </si>
  <si>
    <t>本期收入</t>
  </si>
  <si>
    <t>现金累计</t>
  </si>
  <si>
    <t>废品基础损失</t>
  </si>
  <si>
    <t>上期库存</t>
  </si>
  <si>
    <t>上期订货</t>
  </si>
  <si>
    <t>实际生产量</t>
  </si>
  <si>
    <t>还债券本金</t>
  </si>
  <si>
    <t>供货量总量</t>
  </si>
  <si>
    <t>还债券利息</t>
  </si>
  <si>
    <t>预测市场库存</t>
  </si>
  <si>
    <t>新工人培训费</t>
  </si>
  <si>
    <t>期初库存</t>
  </si>
  <si>
    <t>库存收入</t>
  </si>
  <si>
    <t>解雇工人安置费</t>
  </si>
  <si>
    <t>工人基本工资</t>
  </si>
  <si>
    <t>单位成品存储费</t>
  </si>
  <si>
    <t>供需差额</t>
  </si>
  <si>
    <t>实际供应</t>
  </si>
  <si>
    <t>研发费分摊</t>
  </si>
  <si>
    <t>库存变化</t>
  </si>
  <si>
    <t>购原材料优惠</t>
  </si>
  <si>
    <t>库存费</t>
  </si>
  <si>
    <t>购材料运费</t>
  </si>
  <si>
    <t>特殊班工资</t>
  </si>
  <si>
    <t>使用材料费</t>
  </si>
  <si>
    <t>成品运输费</t>
  </si>
  <si>
    <t>参照市场份额</t>
  </si>
  <si>
    <t>本期价格</t>
  </si>
  <si>
    <t>促销分摊</t>
  </si>
  <si>
    <t>广告费</t>
  </si>
  <si>
    <t>促销费</t>
  </si>
  <si>
    <t>标准差</t>
  </si>
  <si>
    <t>折旧费</t>
  </si>
  <si>
    <t>加权平均单价</t>
  </si>
  <si>
    <t>各班机时</t>
  </si>
  <si>
    <t>广告比</t>
  </si>
  <si>
    <t>产品库存变化</t>
  </si>
  <si>
    <t>参照评分贡献</t>
  </si>
  <si>
    <t>广告分摊</t>
  </si>
  <si>
    <t>促销比</t>
  </si>
  <si>
    <t>市场均值</t>
  </si>
  <si>
    <t>原材料存储费</t>
  </si>
  <si>
    <t>成品存储费</t>
  </si>
  <si>
    <t>加权机时贡献</t>
  </si>
  <si>
    <t>上期国债返回</t>
  </si>
  <si>
    <t xml:space="preserve"> </t>
  </si>
  <si>
    <t>上期价格</t>
  </si>
  <si>
    <t>价格增量</t>
  </si>
  <si>
    <t>付银行贷款</t>
  </si>
  <si>
    <t>付银行利息</t>
  </si>
  <si>
    <t>加权平均成本</t>
  </si>
  <si>
    <t>各班几时占用率</t>
  </si>
  <si>
    <t>本期产品分配</t>
  </si>
  <si>
    <t>分配原则</t>
  </si>
  <si>
    <t>本期纳税</t>
  </si>
  <si>
    <t>机时贡献相等</t>
  </si>
  <si>
    <t>市场份额相等</t>
  </si>
  <si>
    <t>边际贡献相等</t>
  </si>
  <si>
    <t>市场1、2无差别</t>
  </si>
  <si>
    <t>外部定价</t>
  </si>
  <si>
    <t>上期与均价差</t>
  </si>
  <si>
    <t>本期合计供货</t>
  </si>
  <si>
    <t>折旧分摊</t>
  </si>
  <si>
    <t>可运出产品数量</t>
  </si>
  <si>
    <t>累计纳税</t>
  </si>
  <si>
    <t>综合分</t>
  </si>
  <si>
    <t>上期加权均价</t>
  </si>
  <si>
    <t>本期与均价差</t>
  </si>
  <si>
    <t>边际贡献率</t>
  </si>
  <si>
    <t>库存预测</t>
  </si>
  <si>
    <t>评分</t>
  </si>
  <si>
    <t>利润率贡献</t>
  </si>
  <si>
    <t>本期贡献</t>
  </si>
  <si>
    <t>上上期分数</t>
  </si>
  <si>
    <t>理论分数</t>
  </si>
  <si>
    <t>预计废品数</t>
  </si>
  <si>
    <t>库存金额</t>
  </si>
  <si>
    <t>百分比</t>
  </si>
  <si>
    <t>进一步毛利率</t>
  </si>
  <si>
    <t>系数</t>
  </si>
  <si>
    <t>本公司号</t>
  </si>
  <si>
    <r>
      <t>产品</t>
    </r>
    <r>
      <rPr>
        <sz val="48"/>
        <color indexed="9"/>
        <rFont val="宋体"/>
        <charset val="134"/>
      </rPr>
      <t>B</t>
    </r>
  </si>
  <si>
    <t>和</t>
  </si>
  <si>
    <t>本公司销售量</t>
  </si>
  <si>
    <t>市场总销量</t>
  </si>
  <si>
    <t>平均销量</t>
  </si>
  <si>
    <t>加权单价</t>
  </si>
  <si>
    <t>差价</t>
  </si>
  <si>
    <t>比例</t>
  </si>
  <si>
    <t>酒不桃。</t>
  </si>
  <si>
    <t>窝窝头批发有限公司</t>
  </si>
  <si>
    <t>天降飞雷，小丘接住！！！</t>
  </si>
  <si>
    <t>窝窝头嘿嘿</t>
  </si>
  <si>
    <t>急支糖浆要豹豹</t>
  </si>
  <si>
    <t>疯求了</t>
  </si>
  <si>
    <t>问鼎</t>
  </si>
  <si>
    <t>129师386旅独立团</t>
  </si>
  <si>
    <t>YGGY</t>
  </si>
  <si>
    <t>沙雕网友</t>
  </si>
  <si>
    <t>全国熬夜锦标赛冠军选手</t>
  </si>
  <si>
    <t>随便发展有限公司</t>
  </si>
  <si>
    <t>寰宇一乾坤</t>
  </si>
  <si>
    <t>HFFL</t>
  </si>
  <si>
    <t>久久</t>
  </si>
  <si>
    <t>壹路人</t>
  </si>
  <si>
    <t>King</t>
  </si>
  <si>
    <t>九里养猪场</t>
  </si>
  <si>
    <t>星辰</t>
  </si>
  <si>
    <t>现 金</t>
  </si>
  <si>
    <t>国 债</t>
  </si>
  <si>
    <t>债 券</t>
  </si>
  <si>
    <t>冰箱</t>
  </si>
  <si>
    <t>电视</t>
  </si>
  <si>
    <t>手机</t>
  </si>
  <si>
    <t>计算机</t>
  </si>
</sst>
</file>

<file path=xl/styles.xml><?xml version="1.0" encoding="utf-8"?>
<styleSheet xmlns="http://schemas.openxmlformats.org/spreadsheetml/2006/main">
  <numFmts count="18">
    <numFmt numFmtId="176" formatCode="0.0000_);[Red]\(0.0000\)"/>
    <numFmt numFmtId="177" formatCode="0.0000%"/>
    <numFmt numFmtId="178" formatCode="0_ "/>
    <numFmt numFmtId="179" formatCode="0.0000_ "/>
    <numFmt numFmtId="180" formatCode="#,##0.000_ "/>
    <numFmt numFmtId="181" formatCode="#,##0_ "/>
    <numFmt numFmtId="42" formatCode="_ &quot;￥&quot;* #,##0_ ;_ &quot;￥&quot;* \-#,##0_ ;_ &quot;￥&quot;* &quot;-&quot;_ ;_ @_ "/>
    <numFmt numFmtId="182" formatCode="0.00_ "/>
    <numFmt numFmtId="44" formatCode="_ &quot;￥&quot;* #,##0.00_ ;_ &quot;￥&quot;* \-#,##0.00_ ;_ &quot;￥&quot;* &quot;-&quot;??_ ;_ @_ "/>
    <numFmt numFmtId="183" formatCode="0.0000;[Red]0.0000"/>
    <numFmt numFmtId="184" formatCode="0.00000%"/>
    <numFmt numFmtId="185" formatCode="#,##0_);[Red]\(#,##0\)"/>
    <numFmt numFmtId="43" formatCode="_ * #,##0.00_ ;_ * \-#,##0.00_ ;_ * &quot;-&quot;??_ ;_ @_ "/>
    <numFmt numFmtId="41" formatCode="_ * #,##0_ ;_ * \-#,##0_ ;_ * &quot;-&quot;_ ;_ @_ "/>
    <numFmt numFmtId="186" formatCode="0.0_ "/>
    <numFmt numFmtId="187" formatCode="0.000%"/>
    <numFmt numFmtId="188" formatCode="0.000_ "/>
    <numFmt numFmtId="189" formatCode="0.0%"/>
  </numFmts>
  <fonts count="44">
    <font>
      <sz val="12"/>
      <name val="宋体"/>
      <charset val="134"/>
    </font>
    <font>
      <b/>
      <sz val="12"/>
      <name val="宋体"/>
      <charset val="134"/>
    </font>
    <font>
      <b/>
      <sz val="28"/>
      <color indexed="9"/>
      <name val="宋体"/>
      <charset val="134"/>
    </font>
    <font>
      <b/>
      <sz val="14"/>
      <name val="宋体"/>
      <charset val="134"/>
    </font>
    <font>
      <b/>
      <sz val="12"/>
      <color theme="0"/>
      <name val="宋体"/>
      <charset val="134"/>
    </font>
    <font>
      <b/>
      <sz val="12"/>
      <color indexed="10"/>
      <name val="宋体"/>
      <charset val="134"/>
    </font>
    <font>
      <sz val="12"/>
      <color rgb="FFFF0000"/>
      <name val="宋体"/>
      <charset val="134"/>
    </font>
    <font>
      <b/>
      <sz val="12"/>
      <color indexed="9"/>
      <name val="宋体"/>
      <charset val="134"/>
    </font>
    <font>
      <b/>
      <sz val="10"/>
      <name val="宋体"/>
      <charset val="134"/>
    </font>
    <font>
      <sz val="10.5"/>
      <name val="Times New Roman"/>
      <family val="1"/>
      <charset val="0"/>
    </font>
    <font>
      <b/>
      <sz val="12"/>
      <name val="Times New Roman"/>
      <family val="1"/>
      <charset val="0"/>
    </font>
    <font>
      <b/>
      <sz val="26"/>
      <name val="宋体"/>
      <charset val="134"/>
    </font>
    <font>
      <sz val="28"/>
      <color indexed="9"/>
      <name val="宋体"/>
      <charset val="134"/>
    </font>
    <font>
      <sz val="28"/>
      <name val="宋体"/>
      <charset val="134"/>
    </font>
    <font>
      <sz val="11"/>
      <name val="宋体"/>
      <charset val="134"/>
    </font>
    <font>
      <b/>
      <sz val="10.5"/>
      <name val="宋体"/>
      <charset val="134"/>
    </font>
    <font>
      <sz val="12"/>
      <color indexed="12"/>
      <name val="宋体"/>
      <charset val="134"/>
    </font>
    <font>
      <b/>
      <sz val="48"/>
      <color indexed="9"/>
      <name val="宋体"/>
      <charset val="134"/>
    </font>
    <font>
      <b/>
      <sz val="12"/>
      <color indexed="56"/>
      <name val="宋体"/>
      <charset val="134"/>
    </font>
    <font>
      <sz val="12"/>
      <name val="Times New Roman"/>
      <family val="1"/>
      <charset val="0"/>
    </font>
    <font>
      <sz val="16"/>
      <color indexed="9"/>
      <name val="宋体"/>
      <charset val="134"/>
    </font>
    <font>
      <sz val="16"/>
      <name val="宋体"/>
      <charset val="134"/>
    </font>
    <font>
      <b/>
      <sz val="18"/>
      <color indexed="9"/>
      <name val="宋体"/>
      <charset val="134"/>
    </font>
    <font>
      <sz val="18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theme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48"/>
      <color indexed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9"/>
      </top>
      <bottom style="medium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ck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ck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8" fillId="29" borderId="8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46" borderId="84" applyNumberFormat="0" applyFont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37" fillId="0" borderId="83" applyNumberFormat="0" applyFill="0" applyAlignment="0" applyProtection="0">
      <alignment vertical="center"/>
    </xf>
    <xf numFmtId="0" fontId="24" fillId="0" borderId="0">
      <alignment vertical="center"/>
    </xf>
    <xf numFmtId="0" fontId="32" fillId="0" borderId="81" applyNumberFormat="0" applyFill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25" fillId="0" borderId="79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1" fillId="51" borderId="87" applyNumberFormat="0" applyAlignment="0" applyProtection="0">
      <alignment vertical="center"/>
    </xf>
    <xf numFmtId="0" fontId="42" fillId="51" borderId="80" applyNumberFormat="0" applyAlignment="0" applyProtection="0">
      <alignment vertical="center"/>
    </xf>
    <xf numFmtId="0" fontId="36" fillId="45" borderId="82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0" fillId="0" borderId="86" applyNumberFormat="0" applyFill="0" applyAlignment="0" applyProtection="0">
      <alignment vertical="center"/>
    </xf>
    <xf numFmtId="0" fontId="38" fillId="0" borderId="85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horizontal="right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3" fontId="0" fillId="4" borderId="4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horizontal="right" vertical="center" wrapText="1"/>
    </xf>
    <xf numFmtId="0" fontId="1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left" wrapText="1"/>
    </xf>
    <xf numFmtId="0" fontId="0" fillId="5" borderId="4" xfId="0" applyNumberFormat="1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81" fontId="0" fillId="5" borderId="4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186" fontId="1" fillId="0" borderId="0" xfId="0" applyNumberFormat="1" applyFont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6" fontId="1" fillId="8" borderId="4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1" fillId="6" borderId="4" xfId="0" applyNumberFormat="1" applyFont="1" applyFill="1" applyBorder="1" applyAlignment="1">
      <alignment horizontal="center" vertical="center"/>
    </xf>
    <xf numFmtId="10" fontId="0" fillId="5" borderId="4" xfId="0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/>
    </xf>
    <xf numFmtId="186" fontId="1" fillId="10" borderId="4" xfId="0" applyNumberFormat="1" applyFont="1" applyFill="1" applyBorder="1" applyAlignment="1">
      <alignment horizontal="center" vertical="center"/>
    </xf>
    <xf numFmtId="188" fontId="0" fillId="11" borderId="4" xfId="0" applyNumberFormat="1" applyFont="1" applyFill="1" applyBorder="1" applyAlignment="1">
      <alignment horizontal="center" vertical="center"/>
    </xf>
    <xf numFmtId="188" fontId="0" fillId="5" borderId="4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12" borderId="4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188" fontId="0" fillId="13" borderId="4" xfId="0" applyNumberFormat="1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188" fontId="0" fillId="5" borderId="30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81" fontId="0" fillId="0" borderId="25" xfId="0" applyNumberFormat="1" applyFont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181" fontId="1" fillId="14" borderId="33" xfId="0" applyNumberFormat="1" applyFont="1" applyFill="1" applyBorder="1" applyAlignment="1">
      <alignment horizontal="right" vertical="center"/>
    </xf>
    <xf numFmtId="187" fontId="1" fillId="15" borderId="4" xfId="0" applyNumberFormat="1" applyFont="1" applyFill="1" applyBorder="1" applyAlignment="1">
      <alignment horizontal="center" vertical="center"/>
    </xf>
    <xf numFmtId="187" fontId="1" fillId="15" borderId="1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87" fontId="1" fillId="15" borderId="30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81" fontId="0" fillId="0" borderId="22" xfId="0" applyNumberFormat="1" applyFont="1" applyBorder="1" applyAlignment="1">
      <alignment horizontal="right" vertical="center"/>
    </xf>
    <xf numFmtId="181" fontId="0" fillId="0" borderId="4" xfId="0" applyNumberFormat="1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181" fontId="1" fillId="14" borderId="33" xfId="0" applyNumberFormat="1" applyFont="1" applyFill="1" applyBorder="1" applyAlignment="1">
      <alignment horizontal="center" vertical="center"/>
    </xf>
    <xf numFmtId="188" fontId="1" fillId="14" borderId="4" xfId="0" applyNumberFormat="1" applyFont="1" applyFill="1" applyBorder="1" applyAlignment="1">
      <alignment horizontal="center" vertical="center"/>
    </xf>
    <xf numFmtId="188" fontId="1" fillId="14" borderId="33" xfId="0" applyNumberFormat="1" applyFont="1" applyFill="1" applyBorder="1" applyAlignment="1">
      <alignment horizontal="right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88" fontId="1" fillId="0" borderId="22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81" fontId="1" fillId="4" borderId="4" xfId="0" applyNumberFormat="1" applyFont="1" applyFill="1" applyBorder="1" applyAlignment="1">
      <alignment horizontal="right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right" vertical="center"/>
    </xf>
    <xf numFmtId="181" fontId="1" fillId="13" borderId="4" xfId="0" applyNumberFormat="1" applyFont="1" applyFill="1" applyBorder="1" applyAlignment="1">
      <alignment horizontal="right" vertical="center"/>
    </xf>
    <xf numFmtId="181" fontId="1" fillId="16" borderId="4" xfId="0" applyNumberFormat="1" applyFont="1" applyFill="1" applyBorder="1" applyAlignment="1">
      <alignment horizontal="center" vertical="center"/>
    </xf>
    <xf numFmtId="188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81" fontId="0" fillId="0" borderId="4" xfId="0" applyNumberFormat="1" applyFont="1" applyBorder="1" applyAlignment="1">
      <alignment horizontal="right" vertical="center"/>
    </xf>
    <xf numFmtId="188" fontId="0" fillId="0" borderId="4" xfId="0" applyNumberFormat="1" applyFont="1" applyFill="1" applyBorder="1" applyAlignment="1">
      <alignment horizontal="center" vertical="center"/>
    </xf>
    <xf numFmtId="181" fontId="0" fillId="0" borderId="4" xfId="0" applyNumberFormat="1" applyFont="1" applyFill="1" applyBorder="1" applyAlignment="1">
      <alignment horizontal="right" vertical="center"/>
    </xf>
    <xf numFmtId="0" fontId="1" fillId="13" borderId="4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86" fontId="1" fillId="18" borderId="4" xfId="0" applyNumberFormat="1" applyFont="1" applyFill="1" applyBorder="1" applyAlignment="1">
      <alignment horizontal="center" vertical="center"/>
    </xf>
    <xf numFmtId="186" fontId="1" fillId="10" borderId="30" xfId="0" applyNumberFormat="1" applyFont="1" applyFill="1" applyBorder="1" applyAlignment="1">
      <alignment horizontal="center" vertical="center"/>
    </xf>
    <xf numFmtId="0" fontId="1" fillId="19" borderId="36" xfId="0" applyFont="1" applyFill="1" applyBorder="1" applyAlignment="1">
      <alignment horizontal="center" vertical="center"/>
    </xf>
    <xf numFmtId="0" fontId="1" fillId="19" borderId="4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1" fillId="18" borderId="36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3" fontId="1" fillId="19" borderId="36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1" fontId="0" fillId="0" borderId="4" xfId="0" applyNumberFormat="1" applyFont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182" fontId="0" fillId="20" borderId="4" xfId="0" applyNumberFormat="1" applyFont="1" applyFill="1" applyBorder="1" applyAlignment="1">
      <alignment horizontal="center" vertical="center"/>
    </xf>
    <xf numFmtId="188" fontId="0" fillId="20" borderId="4" xfId="0" applyNumberFormat="1" applyFont="1" applyFill="1" applyBorder="1" applyAlignment="1">
      <alignment horizontal="center" vertical="center"/>
    </xf>
    <xf numFmtId="0" fontId="0" fillId="13" borderId="4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86" fontId="7" fillId="2" borderId="33" xfId="0" applyNumberFormat="1" applyFont="1" applyFill="1" applyBorder="1" applyAlignment="1">
      <alignment horizontal="center" vertical="center"/>
    </xf>
    <xf numFmtId="181" fontId="0" fillId="13" borderId="22" xfId="0" applyNumberFormat="1" applyFont="1" applyFill="1" applyBorder="1" applyAlignment="1">
      <alignment horizontal="right" vertical="center"/>
    </xf>
    <xf numFmtId="181" fontId="1" fillId="4" borderId="22" xfId="0" applyNumberFormat="1" applyFont="1" applyFill="1" applyBorder="1" applyAlignment="1">
      <alignment horizontal="right" vertical="center"/>
    </xf>
    <xf numFmtId="181" fontId="0" fillId="13" borderId="4" xfId="0" applyNumberFormat="1" applyFont="1" applyFill="1" applyBorder="1" applyAlignment="1">
      <alignment horizontal="right" vertical="center"/>
    </xf>
    <xf numFmtId="178" fontId="1" fillId="14" borderId="33" xfId="0" applyNumberFormat="1" applyFont="1" applyFill="1" applyBorder="1" applyAlignment="1">
      <alignment horizontal="right" vertical="center"/>
    </xf>
    <xf numFmtId="181" fontId="1" fillId="14" borderId="4" xfId="0" applyNumberFormat="1" applyFont="1" applyFill="1" applyBorder="1" applyAlignment="1">
      <alignment horizontal="right" vertical="center"/>
    </xf>
    <xf numFmtId="10" fontId="1" fillId="0" borderId="4" xfId="0" applyNumberFormat="1" applyFont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85" fontId="0" fillId="0" borderId="4" xfId="0" applyNumberFormat="1" applyFont="1" applyBorder="1" applyAlignment="1">
      <alignment horizontal="right" vertical="center"/>
    </xf>
    <xf numFmtId="0" fontId="1" fillId="6" borderId="4" xfId="0" applyNumberFormat="1" applyFont="1" applyFill="1" applyBorder="1" applyAlignment="1">
      <alignment horizontal="center" vertical="center"/>
    </xf>
    <xf numFmtId="185" fontId="1" fillId="6" borderId="4" xfId="0" applyNumberFormat="1" applyFont="1" applyFill="1" applyBorder="1" applyAlignment="1">
      <alignment horizontal="center" vertical="center"/>
    </xf>
    <xf numFmtId="9" fontId="1" fillId="0" borderId="4" xfId="0" applyNumberFormat="1" applyFont="1" applyFill="1" applyBorder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82" fontId="0" fillId="5" borderId="4" xfId="0" applyNumberFormat="1" applyFont="1" applyFill="1" applyBorder="1" applyAlignment="1">
      <alignment horizontal="center" vertical="center"/>
    </xf>
    <xf numFmtId="182" fontId="0" fillId="0" borderId="4" xfId="0" applyNumberFormat="1" applyFont="1" applyFill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181" fontId="1" fillId="0" borderId="3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181" fontId="1" fillId="4" borderId="4" xfId="0" applyNumberFormat="1" applyFont="1" applyFill="1" applyBorder="1" applyAlignment="1">
      <alignment horizontal="center" vertical="center"/>
    </xf>
    <xf numFmtId="181" fontId="1" fillId="13" borderId="4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81" fontId="0" fillId="0" borderId="16" xfId="0" applyNumberFormat="1" applyFont="1" applyFill="1" applyBorder="1" applyAlignment="1">
      <alignment horizontal="center" vertical="center"/>
    </xf>
    <xf numFmtId="188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188" fontId="1" fillId="6" borderId="4" xfId="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3" fontId="1" fillId="21" borderId="4" xfId="0" applyNumberFormat="1" applyFont="1" applyFill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justify" vertical="top" wrapText="1"/>
    </xf>
    <xf numFmtId="10" fontId="10" fillId="0" borderId="36" xfId="0" applyNumberFormat="1" applyFont="1" applyBorder="1" applyAlignment="1">
      <alignment horizontal="justify" vertical="top" wrapText="1"/>
    </xf>
    <xf numFmtId="10" fontId="10" fillId="0" borderId="4" xfId="0" applyNumberFormat="1" applyFont="1" applyBorder="1" applyAlignment="1">
      <alignment horizontal="justify" vertical="top" wrapText="1"/>
    </xf>
    <xf numFmtId="10" fontId="10" fillId="0" borderId="37" xfId="0" applyNumberFormat="1" applyFont="1" applyBorder="1" applyAlignment="1">
      <alignment horizontal="justify" vertical="top" wrapText="1"/>
    </xf>
    <xf numFmtId="0" fontId="11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justify" vertical="top" wrapText="1"/>
    </xf>
    <xf numFmtId="177" fontId="1" fillId="0" borderId="0" xfId="0" applyNumberFormat="1" applyFont="1" applyAlignment="1">
      <alignment horizontal="center" vertical="center"/>
    </xf>
    <xf numFmtId="10" fontId="1" fillId="6" borderId="4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1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1" fillId="22" borderId="4" xfId="0" applyFont="1" applyFill="1" applyBorder="1"/>
    <xf numFmtId="0" fontId="0" fillId="6" borderId="4" xfId="0" applyFont="1" applyFill="1" applyBorder="1" applyAlignment="1">
      <alignment horizontal="center"/>
    </xf>
    <xf numFmtId="181" fontId="1" fillId="19" borderId="4" xfId="0" applyNumberFormat="1" applyFont="1" applyFill="1" applyBorder="1"/>
    <xf numFmtId="0" fontId="0" fillId="0" borderId="0" xfId="0" applyFont="1" applyBorder="1"/>
    <xf numFmtId="0" fontId="1" fillId="0" borderId="0" xfId="0" applyFont="1" applyBorder="1"/>
    <xf numFmtId="0" fontId="1" fillId="0" borderId="21" xfId="0" applyFont="1" applyFill="1" applyBorder="1" applyAlignment="1">
      <alignment horizontal="center"/>
    </xf>
    <xf numFmtId="181" fontId="1" fillId="22" borderId="4" xfId="0" applyNumberFormat="1" applyFont="1" applyFill="1" applyBorder="1"/>
    <xf numFmtId="0" fontId="2" fillId="2" borderId="43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0" fillId="3" borderId="4" xfId="0" applyNumberFormat="1" applyFont="1" applyFill="1" applyBorder="1" applyAlignment="1">
      <alignment horizontal="center" vertical="center"/>
    </xf>
    <xf numFmtId="181" fontId="0" fillId="3" borderId="22" xfId="0" applyNumberFormat="1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2" borderId="4" xfId="0" applyNumberFormat="1" applyFont="1" applyFill="1" applyBorder="1"/>
    <xf numFmtId="0" fontId="0" fillId="0" borderId="0" xfId="0" applyFont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8" fontId="0" fillId="3" borderId="16" xfId="0" applyNumberFormat="1" applyFont="1" applyFill="1" applyBorder="1" applyAlignment="1">
      <alignment horizontal="center" vertical="center"/>
    </xf>
    <xf numFmtId="188" fontId="0" fillId="0" borderId="0" xfId="0" applyNumberFormat="1" applyFont="1" applyBorder="1" applyAlignment="1">
      <alignment horizontal="center" vertical="center"/>
    </xf>
    <xf numFmtId="188" fontId="0" fillId="3" borderId="28" xfId="0" applyNumberFormat="1" applyFont="1" applyFill="1" applyBorder="1" applyAlignment="1">
      <alignment horizontal="center" vertical="center"/>
    </xf>
    <xf numFmtId="188" fontId="0" fillId="3" borderId="4" xfId="0" applyNumberFormat="1" applyFont="1" applyFill="1" applyBorder="1" applyAlignment="1">
      <alignment horizontal="center" vertical="center"/>
    </xf>
    <xf numFmtId="188" fontId="0" fillId="0" borderId="23" xfId="0" applyNumberFormat="1" applyFont="1" applyFill="1" applyBorder="1" applyAlignment="1">
      <alignment horizontal="center" vertical="center"/>
    </xf>
    <xf numFmtId="188" fontId="0" fillId="0" borderId="21" xfId="0" applyNumberFormat="1" applyFont="1" applyBorder="1" applyAlignment="1">
      <alignment horizontal="center" vertical="center"/>
    </xf>
    <xf numFmtId="180" fontId="0" fillId="0" borderId="4" xfId="0" applyNumberFormat="1" applyFont="1" applyFill="1" applyBorder="1" applyAlignment="1">
      <alignment horizontal="center" vertical="center"/>
    </xf>
    <xf numFmtId="188" fontId="0" fillId="0" borderId="16" xfId="0" applyNumberFormat="1" applyFont="1" applyFill="1" applyBorder="1" applyAlignment="1">
      <alignment horizontal="center" vertical="center"/>
    </xf>
    <xf numFmtId="188" fontId="0" fillId="0" borderId="15" xfId="0" applyNumberFormat="1" applyFont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82" fontId="0" fillId="0" borderId="4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82" fontId="1" fillId="0" borderId="4" xfId="0" applyNumberFormat="1" applyFont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182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5" borderId="56" xfId="0" applyFont="1" applyFill="1" applyBorder="1" applyAlignment="1">
      <alignment horizontal="center"/>
    </xf>
    <xf numFmtId="0" fontId="0" fillId="5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5" borderId="58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4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3" borderId="7" xfId="0" applyFont="1" applyFill="1" applyBorder="1" applyAlignment="1">
      <alignment horizontal="justify" vertical="top" wrapText="1"/>
    </xf>
    <xf numFmtId="0" fontId="15" fillId="3" borderId="8" xfId="0" applyFont="1" applyFill="1" applyBorder="1" applyAlignment="1">
      <alignment horizontal="justify" vertical="top" wrapText="1"/>
    </xf>
    <xf numFmtId="3" fontId="0" fillId="0" borderId="0" xfId="0" applyNumberFormat="1" applyAlignment="1">
      <alignment horizontal="right" wrapText="1"/>
    </xf>
    <xf numFmtId="0" fontId="9" fillId="0" borderId="0" xfId="0" applyFont="1" applyBorder="1" applyAlignment="1">
      <alignment horizontal="justify" vertical="top" wrapText="1"/>
    </xf>
    <xf numFmtId="188" fontId="1" fillId="0" borderId="21" xfId="0" applyNumberFormat="1" applyFont="1" applyBorder="1" applyAlignment="1">
      <alignment horizontal="center" vertical="center"/>
    </xf>
    <xf numFmtId="188" fontId="1" fillId="3" borderId="28" xfId="0" applyNumberFormat="1" applyFont="1" applyFill="1" applyBorder="1" applyAlignment="1">
      <alignment horizontal="center" vertical="center"/>
    </xf>
    <xf numFmtId="188" fontId="1" fillId="3" borderId="4" xfId="0" applyNumberFormat="1" applyFont="1" applyFill="1" applyBorder="1" applyAlignment="1">
      <alignment horizontal="center" vertical="center"/>
    </xf>
    <xf numFmtId="0" fontId="1" fillId="23" borderId="4" xfId="0" applyFont="1" applyFill="1" applyBorder="1" applyAlignment="1"/>
    <xf numFmtId="189" fontId="0" fillId="14" borderId="4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88" fontId="1" fillId="0" borderId="16" xfId="0" applyNumberFormat="1" applyFont="1" applyBorder="1" applyAlignment="1">
      <alignment horizontal="center" vertical="center"/>
    </xf>
    <xf numFmtId="0" fontId="0" fillId="14" borderId="4" xfId="0" applyNumberFormat="1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178" fontId="1" fillId="10" borderId="4" xfId="0" applyNumberFormat="1" applyFont="1" applyFill="1" applyBorder="1" applyAlignment="1">
      <alignment horizontal="center" vertical="center"/>
    </xf>
    <xf numFmtId="188" fontId="1" fillId="3" borderId="16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84" fontId="1" fillId="0" borderId="16" xfId="0" applyNumberFormat="1" applyFont="1" applyBorder="1" applyAlignment="1">
      <alignment horizontal="center" vertical="center"/>
    </xf>
    <xf numFmtId="188" fontId="1" fillId="0" borderId="1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23" borderId="4" xfId="0" applyFont="1" applyFill="1" applyBorder="1" applyAlignment="1">
      <alignment horizontal="center"/>
    </xf>
    <xf numFmtId="10" fontId="1" fillId="21" borderId="4" xfId="0" applyNumberFormat="1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vertical="center"/>
    </xf>
    <xf numFmtId="188" fontId="1" fillId="0" borderId="4" xfId="0" applyNumberFormat="1" applyFont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88" fontId="1" fillId="0" borderId="23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9" fontId="1" fillId="5" borderId="4" xfId="0" applyNumberFormat="1" applyFont="1" applyFill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justify" vertical="top" wrapText="1"/>
    </xf>
    <xf numFmtId="179" fontId="10" fillId="0" borderId="4" xfId="0" applyNumberFormat="1" applyFont="1" applyBorder="1" applyAlignment="1">
      <alignment horizontal="justify" vertical="top" wrapText="1"/>
    </xf>
    <xf numFmtId="179" fontId="10" fillId="0" borderId="37" xfId="0" applyNumberFormat="1" applyFont="1" applyBorder="1" applyAlignment="1">
      <alignment horizontal="justify" vertical="top" wrapText="1"/>
    </xf>
    <xf numFmtId="0" fontId="1" fillId="25" borderId="59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176" fontId="10" fillId="0" borderId="4" xfId="0" applyNumberFormat="1" applyFont="1" applyBorder="1" applyAlignment="1">
      <alignment horizontal="justify" vertical="top" wrapText="1"/>
    </xf>
    <xf numFmtId="0" fontId="1" fillId="25" borderId="60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justify" vertical="top" wrapText="1"/>
    </xf>
    <xf numFmtId="179" fontId="1" fillId="0" borderId="0" xfId="0" applyNumberFormat="1" applyFont="1" applyAlignment="1">
      <alignment horizontal="center" vertical="center"/>
    </xf>
    <xf numFmtId="0" fontId="1" fillId="25" borderId="61" xfId="0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justify" vertical="top" wrapText="1"/>
    </xf>
    <xf numFmtId="0" fontId="1" fillId="25" borderId="2" xfId="0" applyFont="1" applyFill="1" applyBorder="1" applyAlignment="1">
      <alignment horizontal="left" vertical="center"/>
    </xf>
    <xf numFmtId="0" fontId="1" fillId="25" borderId="62" xfId="0" applyFont="1" applyFill="1" applyBorder="1" applyAlignment="1">
      <alignment horizontal="center" vertical="center"/>
    </xf>
    <xf numFmtId="181" fontId="0" fillId="3" borderId="58" xfId="0" applyNumberFormat="1" applyFont="1" applyFill="1" applyBorder="1" applyAlignment="1">
      <alignment horizontal="center" vertical="center"/>
    </xf>
    <xf numFmtId="181" fontId="0" fillId="0" borderId="58" xfId="0" applyNumberFormat="1" applyFont="1" applyBorder="1" applyAlignment="1">
      <alignment horizontal="center" vertical="center"/>
    </xf>
    <xf numFmtId="181" fontId="0" fillId="0" borderId="22" xfId="0" applyNumberFormat="1" applyFont="1" applyBorder="1" applyAlignment="1">
      <alignment horizontal="center" vertical="center"/>
    </xf>
    <xf numFmtId="181" fontId="0" fillId="17" borderId="4" xfId="0" applyNumberFormat="1" applyFont="1" applyFill="1" applyBorder="1" applyAlignment="1">
      <alignment horizontal="center" vertical="center"/>
    </xf>
    <xf numFmtId="181" fontId="1" fillId="3" borderId="4" xfId="0" applyNumberFormat="1" applyFont="1" applyFill="1" applyBorder="1" applyAlignment="1">
      <alignment horizontal="center" vertical="center"/>
    </xf>
    <xf numFmtId="181" fontId="5" fillId="2" borderId="15" xfId="0" applyNumberFormat="1" applyFont="1" applyFill="1" applyBorder="1" applyAlignment="1">
      <alignment horizontal="center" vertical="center"/>
    </xf>
    <xf numFmtId="181" fontId="1" fillId="3" borderId="30" xfId="0" applyNumberFormat="1" applyFont="1" applyFill="1" applyBorder="1" applyAlignment="1">
      <alignment horizontal="center" vertical="center"/>
    </xf>
    <xf numFmtId="181" fontId="0" fillId="17" borderId="33" xfId="0" applyNumberFormat="1" applyFont="1" applyFill="1" applyBorder="1" applyAlignment="1">
      <alignment horizontal="center" vertical="center"/>
    </xf>
    <xf numFmtId="0" fontId="17" fillId="25" borderId="25" xfId="0" applyFont="1" applyFill="1" applyBorder="1" applyAlignment="1">
      <alignment horizontal="center" vertical="center" wrapText="1"/>
    </xf>
    <xf numFmtId="3" fontId="1" fillId="21" borderId="4" xfId="0" applyNumberFormat="1" applyFont="1" applyFill="1" applyBorder="1" applyAlignment="1">
      <alignment horizontal="right" wrapText="1"/>
    </xf>
    <xf numFmtId="0" fontId="7" fillId="25" borderId="39" xfId="0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3" fontId="18" fillId="21" borderId="4" xfId="0" applyNumberFormat="1" applyFont="1" applyFill="1" applyBorder="1" applyAlignment="1">
      <alignment horizontal="right" wrapText="1"/>
    </xf>
    <xf numFmtId="3" fontId="1" fillId="19" borderId="4" xfId="0" applyNumberFormat="1" applyFont="1" applyFill="1" applyBorder="1" applyAlignment="1">
      <alignment horizontal="right" wrapText="1"/>
    </xf>
    <xf numFmtId="3" fontId="18" fillId="19" borderId="4" xfId="0" applyNumberFormat="1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center" wrapText="1"/>
    </xf>
    <xf numFmtId="0" fontId="1" fillId="8" borderId="25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justify" vertical="top" wrapText="1"/>
    </xf>
    <xf numFmtId="3" fontId="19" fillId="0" borderId="4" xfId="0" applyNumberFormat="1" applyFont="1" applyBorder="1" applyAlignment="1">
      <alignment horizontal="justify" vertical="top" wrapText="1"/>
    </xf>
    <xf numFmtId="0" fontId="19" fillId="0" borderId="4" xfId="0" applyFont="1" applyBorder="1" applyAlignment="1">
      <alignment horizontal="justify" vertical="top" wrapText="1"/>
    </xf>
    <xf numFmtId="0" fontId="9" fillId="3" borderId="4" xfId="0" applyNumberFormat="1" applyFont="1" applyFill="1" applyBorder="1" applyAlignment="1">
      <alignment horizontal="justify" vertical="top" wrapText="1"/>
    </xf>
    <xf numFmtId="0" fontId="1" fillId="3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0" fillId="0" borderId="16" xfId="0" applyNumberFormat="1" applyFont="1" applyBorder="1" applyAlignment="1">
      <alignment horizontal="justify" vertical="top" wrapText="1"/>
    </xf>
    <xf numFmtId="183" fontId="1" fillId="0" borderId="0" xfId="0" applyNumberFormat="1" applyFont="1" applyAlignment="1">
      <alignment horizontal="center" vertical="center"/>
    </xf>
    <xf numFmtId="4" fontId="0" fillId="4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left" wrapText="1"/>
    </xf>
    <xf numFmtId="0" fontId="0" fillId="0" borderId="0" xfId="0" applyFont="1"/>
    <xf numFmtId="10" fontId="0" fillId="12" borderId="0" xfId="0" applyNumberFormat="1" applyFill="1"/>
    <xf numFmtId="0" fontId="0" fillId="12" borderId="0" xfId="0" applyFill="1"/>
    <xf numFmtId="0" fontId="1" fillId="26" borderId="4" xfId="0" applyFont="1" applyFill="1" applyBorder="1" applyAlignment="1">
      <alignment horizontal="center" vertical="center"/>
    </xf>
    <xf numFmtId="0" fontId="1" fillId="21" borderId="4" xfId="0" applyNumberFormat="1" applyFont="1" applyFill="1" applyBorder="1" applyAlignment="1">
      <alignment horizontal="center"/>
    </xf>
    <xf numFmtId="0" fontId="0" fillId="23" borderId="4" xfId="0" applyFont="1" applyFill="1" applyBorder="1" applyAlignment="1"/>
    <xf numFmtId="0" fontId="1" fillId="1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0" fillId="2" borderId="44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63" xfId="0" applyNumberFormat="1" applyFont="1" applyFill="1" applyBorder="1" applyAlignment="1">
      <alignment horizontal="center"/>
    </xf>
    <xf numFmtId="10" fontId="0" fillId="4" borderId="63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3" fontId="0" fillId="4" borderId="64" xfId="0" applyNumberFormat="1" applyFont="1" applyFill="1" applyBorder="1" applyAlignment="1">
      <alignment horizontal="center"/>
    </xf>
    <xf numFmtId="3" fontId="0" fillId="4" borderId="63" xfId="0" applyNumberFormat="1" applyFont="1" applyFill="1" applyBorder="1" applyAlignment="1">
      <alignment horizontal="center"/>
    </xf>
    <xf numFmtId="0" fontId="0" fillId="4" borderId="64" xfId="0" applyFont="1" applyFill="1" applyBorder="1" applyAlignment="1">
      <alignment horizontal="center"/>
    </xf>
    <xf numFmtId="0" fontId="0" fillId="4" borderId="63" xfId="0" applyFont="1" applyFill="1" applyBorder="1" applyAlignment="1">
      <alignment horizontal="center"/>
    </xf>
    <xf numFmtId="4" fontId="0" fillId="4" borderId="64" xfId="0" applyNumberFormat="1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65" xfId="0" applyFont="1" applyFill="1" applyBorder="1" applyAlignment="1">
      <alignment horizontal="center"/>
    </xf>
    <xf numFmtId="189" fontId="0" fillId="4" borderId="4" xfId="0" applyNumberFormat="1" applyFont="1" applyFill="1" applyBorder="1" applyAlignment="1">
      <alignment horizontal="center"/>
    </xf>
    <xf numFmtId="0" fontId="0" fillId="4" borderId="51" xfId="0" applyFont="1" applyFill="1" applyBorder="1" applyAlignment="1" applyProtection="1">
      <alignment horizontal="center"/>
    </xf>
    <xf numFmtId="0" fontId="0" fillId="0" borderId="4" xfId="0" applyNumberFormat="1" applyFont="1" applyBorder="1" applyAlignment="1">
      <alignment horizontal="center"/>
    </xf>
    <xf numFmtId="4" fontId="0" fillId="4" borderId="51" xfId="0" applyNumberFormat="1" applyFont="1" applyFill="1" applyBorder="1" applyAlignment="1">
      <alignment horizontal="center"/>
    </xf>
    <xf numFmtId="189" fontId="0" fillId="4" borderId="51" xfId="0" applyNumberFormat="1" applyFont="1" applyFill="1" applyBorder="1" applyAlignment="1">
      <alignment horizontal="center"/>
    </xf>
    <xf numFmtId="10" fontId="0" fillId="4" borderId="51" xfId="0" applyNumberFormat="1" applyFont="1" applyFill="1" applyBorder="1" applyAlignment="1">
      <alignment horizontal="center"/>
    </xf>
    <xf numFmtId="0" fontId="21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3" fontId="0" fillId="4" borderId="51" xfId="0" applyNumberFormat="1" applyFont="1" applyFill="1" applyBorder="1" applyAlignment="1">
      <alignment horizontal="center"/>
    </xf>
    <xf numFmtId="189" fontId="0" fillId="4" borderId="25" xfId="0" applyNumberFormat="1" applyFont="1" applyFill="1" applyBorder="1" applyAlignment="1">
      <alignment horizontal="center"/>
    </xf>
    <xf numFmtId="0" fontId="0" fillId="4" borderId="4" xfId="0" applyFont="1" applyFill="1" applyBorder="1" applyAlignment="1" applyProtection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50" xfId="0" applyFont="1" applyBorder="1" applyAlignment="1">
      <alignment horizontal="center"/>
    </xf>
    <xf numFmtId="0" fontId="22" fillId="2" borderId="44" xfId="0" applyFont="1" applyFill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7" borderId="27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13" borderId="1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88" fontId="1" fillId="8" borderId="16" xfId="0" applyNumberFormat="1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0" fillId="13" borderId="36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28" borderId="1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0" fillId="13" borderId="77" xfId="0" applyFont="1" applyFill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188" fontId="1" fillId="8" borderId="77" xfId="0" applyNumberFormat="1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0" fillId="13" borderId="3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8" borderId="27" xfId="0" applyFont="1" applyFill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常规 7" xfId="56"/>
  </cellStyles>
  <dxfs count="8">
    <dxf>
      <font>
        <b val="1"/>
        <i val="0"/>
        <color indexed="9"/>
      </font>
      <fill>
        <patternFill patternType="solid">
          <bgColor indexed="8"/>
        </patternFill>
      </fill>
    </dxf>
    <dxf>
      <font>
        <b val="1"/>
        <i val="0"/>
        <color indexed="10"/>
      </font>
      <fill>
        <patternFill patternType="solid">
          <bgColor indexed="8"/>
        </patternFill>
      </fill>
    </dxf>
    <dxf>
      <font>
        <b val="1"/>
        <i val="0"/>
      </font>
      <fill>
        <patternFill patternType="solid">
          <bgColor indexed="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</font>
      <fill>
        <patternFill patternType="solid">
          <bgColor indexed="10"/>
        </patternFill>
      </fill>
    </dxf>
    <dxf>
      <font>
        <b val="1"/>
        <i val="0"/>
        <color indexed="9"/>
      </font>
    </dxf>
    <dxf>
      <font>
        <b val="0"/>
        <i val="0"/>
        <strike val="0"/>
      </font>
      <fill>
        <patternFill patternType="solid">
          <bgColor indexed="10"/>
        </patternFill>
      </fill>
    </dxf>
    <dxf>
      <font>
        <color indexed="10"/>
      </font>
      <fill>
        <patternFill patternType="none"/>
      </fill>
    </dxf>
    <dxf>
      <font>
        <b val="1"/>
        <i val="0"/>
      </font>
      <fill>
        <patternFill patternType="solid">
          <bgColor indexed="50"/>
        </patternFill>
      </fill>
    </dxf>
  </dxfs>
  <tableStyles count="0" defaultTableStyle="TableStyleMedium9" defaultPivotStyle="PivotStyleLight16"/>
  <colors>
    <mruColors>
      <color rgb="00666699"/>
      <color rgb="00FFFFFF"/>
      <color rgb="00993366"/>
      <color rgb="00FFCC00"/>
      <color rgb="00003366"/>
      <color rgb="00FFCC99"/>
      <color rgb="00C0C0C0"/>
      <color rgb="00FFFF99"/>
      <color rgb="0033996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3491019909348"/>
          <c:y val="0.0440125984251969"/>
          <c:w val="0.924547737866524"/>
          <c:h val="0.835913312693498"/>
        </c:manualLayout>
      </c:layout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rgbClr val="000000"/>
              </a:solidFill>
              <a:prstDash val="solid"/>
              <a:round/>
            </a:ln>
          </c:spPr>
          <c:marker>
            <c:symbol val="diamond"/>
            <c:size val="9"/>
            <c:spPr>
              <a:solidFill>
                <a:srgbClr val="FF6600"/>
              </a:solidFill>
              <a:ln w="9525" cap="flat" cmpd="sng" algn="ctr">
                <a:solidFill>
                  <a:srgbClr val="0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投资预算!$F$4:$N$4</c:f>
              <c:strCache>
                <c:ptCount val="9"/>
                <c:pt idx="0">
                  <c:v>第9期</c:v>
                </c:pt>
                <c:pt idx="1">
                  <c:v>第10期</c:v>
                </c:pt>
                <c:pt idx="2">
                  <c:v>第11期</c:v>
                </c:pt>
                <c:pt idx="3">
                  <c:v>第12期</c:v>
                </c:pt>
                <c:pt idx="4">
                  <c:v>第13期</c:v>
                </c:pt>
                <c:pt idx="5">
                  <c:v>第14期</c:v>
                </c:pt>
                <c:pt idx="6">
                  <c:v>第15期</c:v>
                </c:pt>
                <c:pt idx="7">
                  <c:v>第16期</c:v>
                </c:pt>
                <c:pt idx="8">
                  <c:v>第17期</c:v>
                </c:pt>
              </c:strCache>
            </c:strRef>
          </c:cat>
          <c:val>
            <c:numRef>
              <c:f>投资预算!$F$14:$N$14</c:f>
              <c:numCache>
                <c:formatCode>0.000_ </c:formatCode>
                <c:ptCount val="9"/>
                <c:pt idx="0">
                  <c:v>0.93</c:v>
                </c:pt>
                <c:pt idx="1">
                  <c:v>1.30333333333333</c:v>
                </c:pt>
                <c:pt idx="2">
                  <c:v>1.28271028037383</c:v>
                </c:pt>
                <c:pt idx="3">
                  <c:v>1.28333333333333</c:v>
                </c:pt>
                <c:pt idx="4">
                  <c:v>1.2831715210356</c:v>
                </c:pt>
                <c:pt idx="5">
                  <c:v>1.28328402366864</c:v>
                </c:pt>
                <c:pt idx="6">
                  <c:v>1.28402366863905</c:v>
                </c:pt>
                <c:pt idx="7">
                  <c:v>1.28402366863905</c:v>
                </c:pt>
                <c:pt idx="8">
                  <c:v>1.28402366863905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861494"/>
        <c:axId val="496320349"/>
      </c:lineChart>
      <c:catAx>
        <c:axId val="66686149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96320349"/>
        <c:crosses val="autoZero"/>
        <c:auto val="1"/>
        <c:lblAlgn val="ctr"/>
        <c:lblOffset val="100"/>
        <c:tickLblSkip val="1"/>
        <c:noMultiLvlLbl val="0"/>
      </c:catAx>
      <c:valAx>
        <c:axId val="496320349"/>
        <c:scaling>
          <c:orientation val="minMax"/>
          <c:min val="1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majorTickMark val="in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666861494"/>
        <c:crosses val="autoZero"/>
        <c:crossBetween val="between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>
              <a:alpha val="100000"/>
            </a:srgbClr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861695</xdr:colOff>
      <xdr:row>17</xdr:row>
      <xdr:rowOff>76200</xdr:rowOff>
    </xdr:from>
    <xdr:to>
      <xdr:col>11</xdr:col>
      <xdr:colOff>800100</xdr:colOff>
      <xdr:row>26</xdr:row>
      <xdr:rowOff>46355</xdr:rowOff>
    </xdr:to>
    <xdr:graphicFrame>
      <xdr:nvGraphicFramePr>
        <xdr:cNvPr id="69287" name="图表 1"/>
        <xdr:cNvGraphicFramePr/>
      </xdr:nvGraphicFramePr>
      <xdr:xfrm>
        <a:off x="1052195" y="3667125"/>
        <a:ext cx="8830945" cy="228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数据导入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数据导入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数据导入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数据导入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数据导入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数据导入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数据导入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数据导入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6"/>
  </sheetPr>
  <dimension ref="B1:W52"/>
  <sheetViews>
    <sheetView zoomScale="75" zoomScaleNormal="75" workbookViewId="0">
      <selection activeCell="R21" sqref="R21"/>
    </sheetView>
  </sheetViews>
  <sheetFormatPr defaultColWidth="9" defaultRowHeight="15.6"/>
  <cols>
    <col min="1" max="1" width="1.4" style="219" customWidth="1"/>
    <col min="2" max="2" width="1.1" style="219" customWidth="1"/>
    <col min="3" max="3" width="14.9" style="219" customWidth="1"/>
    <col min="4" max="4" width="16.6" style="219" customWidth="1"/>
    <col min="5" max="5" width="9.6" style="219"/>
    <col min="6" max="14" width="12.6" style="219" customWidth="1"/>
    <col min="15" max="16" width="1.4" style="219" customWidth="1"/>
    <col min="17" max="17" width="14.1" style="219" customWidth="1"/>
    <col min="18" max="24" width="9" style="219"/>
    <col min="25" max="25" width="12.4" style="219" customWidth="1"/>
    <col min="26" max="26" width="13" style="219" customWidth="1"/>
    <col min="27" max="27" width="12.6" style="219" customWidth="1"/>
    <col min="28" max="28" width="12" style="219" customWidth="1"/>
    <col min="29" max="29" width="12.2" style="219" customWidth="1"/>
    <col min="30" max="30" width="13.7" style="219" customWidth="1"/>
    <col min="31" max="31" width="9" style="219"/>
    <col min="32" max="32" width="11" style="219" customWidth="1"/>
    <col min="33" max="16384" width="9" style="219"/>
  </cols>
  <sheetData>
    <row r="1" ht="6.75" customHeight="1"/>
    <row r="2" ht="23.25" customHeight="1" spans="2:15">
      <c r="B2" s="393" t="s">
        <v>0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432"/>
    </row>
    <row r="3" ht="9" customHeight="1" spans="2:15">
      <c r="B3" s="395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433"/>
    </row>
    <row r="4" ht="20.1" customHeight="1" spans="2:15">
      <c r="B4" s="395"/>
      <c r="C4" s="16" t="s">
        <v>1</v>
      </c>
      <c r="D4" s="396" t="s">
        <v>2</v>
      </c>
      <c r="E4" s="397" t="s">
        <v>3</v>
      </c>
      <c r="F4" s="398" t="s">
        <v>4</v>
      </c>
      <c r="G4" s="396" t="s">
        <v>5</v>
      </c>
      <c r="H4" s="396" t="s">
        <v>6</v>
      </c>
      <c r="I4" s="396" t="s">
        <v>7</v>
      </c>
      <c r="J4" s="396" t="s">
        <v>8</v>
      </c>
      <c r="K4" s="396" t="s">
        <v>9</v>
      </c>
      <c r="L4" s="396" t="s">
        <v>10</v>
      </c>
      <c r="M4" s="396" t="s">
        <v>11</v>
      </c>
      <c r="N4" s="396" t="s">
        <v>12</v>
      </c>
      <c r="O4" s="433"/>
    </row>
    <row r="5" ht="9" customHeight="1" spans="2:15">
      <c r="B5" s="395"/>
      <c r="C5" s="215"/>
      <c r="D5" s="215"/>
      <c r="E5" s="399"/>
      <c r="F5" s="399"/>
      <c r="G5" s="399"/>
      <c r="H5" s="399"/>
      <c r="I5" s="399"/>
      <c r="J5" s="399"/>
      <c r="K5" s="399"/>
      <c r="L5" s="399"/>
      <c r="M5" s="399"/>
      <c r="N5" s="399"/>
      <c r="O5" s="433"/>
    </row>
    <row r="6" ht="24" customHeight="1" spans="2:15">
      <c r="B6" s="395"/>
      <c r="C6" s="21" t="s">
        <v>13</v>
      </c>
      <c r="D6" s="400" t="s">
        <v>14</v>
      </c>
      <c r="E6" s="401"/>
      <c r="F6" s="402">
        <v>64</v>
      </c>
      <c r="G6" s="402">
        <v>56</v>
      </c>
      <c r="H6" s="402">
        <v>39</v>
      </c>
      <c r="I6" s="402">
        <v>29</v>
      </c>
      <c r="J6" s="402"/>
      <c r="K6" s="434"/>
      <c r="L6" s="434"/>
      <c r="M6" s="434"/>
      <c r="N6" s="435"/>
      <c r="O6" s="433"/>
    </row>
    <row r="7" ht="20.1" customHeight="1" spans="2:15">
      <c r="B7" s="395"/>
      <c r="C7" s="23"/>
      <c r="D7" s="403" t="s">
        <v>15</v>
      </c>
      <c r="E7" s="404">
        <f>第九期!D5</f>
        <v>150</v>
      </c>
      <c r="F7" s="405">
        <f>E7</f>
        <v>150</v>
      </c>
      <c r="G7" s="403">
        <f t="shared" ref="G7:N7" si="0">F7+E6</f>
        <v>150</v>
      </c>
      <c r="H7" s="403">
        <f t="shared" si="0"/>
        <v>214</v>
      </c>
      <c r="I7" s="403">
        <f t="shared" si="0"/>
        <v>270</v>
      </c>
      <c r="J7" s="403">
        <f t="shared" si="0"/>
        <v>309</v>
      </c>
      <c r="K7" s="403">
        <f t="shared" si="0"/>
        <v>338</v>
      </c>
      <c r="L7" s="403">
        <f t="shared" si="0"/>
        <v>338</v>
      </c>
      <c r="M7" s="403">
        <f t="shared" si="0"/>
        <v>338</v>
      </c>
      <c r="N7" s="415">
        <f t="shared" si="0"/>
        <v>338</v>
      </c>
      <c r="O7" s="433"/>
    </row>
    <row r="8" ht="9" customHeight="1" spans="2:15">
      <c r="B8" s="39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433"/>
    </row>
    <row r="9" ht="24" customHeight="1" spans="2:21">
      <c r="B9" s="395"/>
      <c r="C9" s="406" t="s">
        <v>16</v>
      </c>
      <c r="D9" s="400" t="s">
        <v>17</v>
      </c>
      <c r="E9" s="401"/>
      <c r="F9" s="407">
        <v>4</v>
      </c>
      <c r="G9" s="284">
        <v>6</v>
      </c>
      <c r="H9" s="284">
        <v>8</v>
      </c>
      <c r="I9" s="284">
        <v>11</v>
      </c>
      <c r="J9" s="284">
        <v>12</v>
      </c>
      <c r="K9" s="284">
        <v>14</v>
      </c>
      <c r="L9" s="284">
        <v>14</v>
      </c>
      <c r="M9" s="284"/>
      <c r="N9" s="436"/>
      <c r="O9" s="433"/>
      <c r="Q9" s="217"/>
      <c r="R9" s="217"/>
      <c r="S9" s="217"/>
      <c r="T9" s="217"/>
      <c r="U9" s="217"/>
    </row>
    <row r="10" ht="12" customHeight="1" spans="2:21">
      <c r="B10" s="395"/>
      <c r="C10" s="408"/>
      <c r="D10" s="174" t="s">
        <v>18</v>
      </c>
      <c r="E10" s="409"/>
      <c r="F10" s="410">
        <f>E13*比赛参数!$D$60</f>
        <v>3.9</v>
      </c>
      <c r="G10" s="410">
        <f>F13*比赛参数!$D$60</f>
        <v>5.4</v>
      </c>
      <c r="H10" s="410">
        <f>G13*比赛参数!$D$60</f>
        <v>7.8</v>
      </c>
      <c r="I10" s="410">
        <f>H13*比赛参数!$D$60</f>
        <v>10.26</v>
      </c>
      <c r="J10" s="410">
        <f>I13*比赛参数!$D$60</f>
        <v>11.79</v>
      </c>
      <c r="K10" s="410">
        <f>J13*比赛参数!$D$60</f>
        <v>13.29</v>
      </c>
      <c r="L10" s="410">
        <f>K13*比赛参数!$D$60</f>
        <v>13.44</v>
      </c>
      <c r="M10" s="410">
        <f>L13*比赛参数!$D$60</f>
        <v>13.02</v>
      </c>
      <c r="N10" s="410">
        <f>M13*比赛参数!$D$60</f>
        <v>13.02</v>
      </c>
      <c r="O10" s="433"/>
      <c r="Q10" s="217"/>
      <c r="R10" s="217"/>
      <c r="S10" s="217"/>
      <c r="T10" s="217"/>
      <c r="U10" s="217"/>
    </row>
    <row r="11" ht="24" customHeight="1" spans="2:21">
      <c r="B11" s="395"/>
      <c r="C11" s="408"/>
      <c r="D11" s="65" t="s">
        <v>14</v>
      </c>
      <c r="E11" s="409"/>
      <c r="F11" s="300">
        <v>54</v>
      </c>
      <c r="G11" s="101">
        <v>86</v>
      </c>
      <c r="H11" s="101">
        <v>90</v>
      </c>
      <c r="I11" s="101">
        <v>62</v>
      </c>
      <c r="J11" s="101">
        <v>62</v>
      </c>
      <c r="K11" s="101">
        <v>19</v>
      </c>
      <c r="L11" s="101"/>
      <c r="M11" s="101"/>
      <c r="N11" s="437"/>
      <c r="O11" s="433"/>
      <c r="Q11" s="217"/>
      <c r="R11" s="217"/>
      <c r="S11" s="217"/>
      <c r="T11" s="217"/>
      <c r="U11" s="217"/>
    </row>
    <row r="12" ht="12" customHeight="1" spans="2:17">
      <c r="B12" s="395"/>
      <c r="C12" s="408"/>
      <c r="D12" s="65" t="s">
        <v>19</v>
      </c>
      <c r="E12" s="409"/>
      <c r="F12" s="410">
        <f t="shared" ref="F12:N12" si="1">0.5*E13</f>
        <v>65</v>
      </c>
      <c r="G12" s="410">
        <f t="shared" si="1"/>
        <v>90</v>
      </c>
      <c r="H12" s="410">
        <f t="shared" si="1"/>
        <v>130</v>
      </c>
      <c r="I12" s="410">
        <f t="shared" si="1"/>
        <v>171</v>
      </c>
      <c r="J12" s="410">
        <f t="shared" si="1"/>
        <v>196.5</v>
      </c>
      <c r="K12" s="410">
        <f t="shared" si="1"/>
        <v>221.5</v>
      </c>
      <c r="L12" s="410">
        <f t="shared" si="1"/>
        <v>224</v>
      </c>
      <c r="M12" s="410">
        <f t="shared" si="1"/>
        <v>217</v>
      </c>
      <c r="N12" s="438">
        <f t="shared" si="1"/>
        <v>217</v>
      </c>
      <c r="O12" s="433"/>
      <c r="Q12" s="217"/>
    </row>
    <row r="13" ht="20.1" customHeight="1" spans="2:23">
      <c r="B13" s="395"/>
      <c r="C13" s="408"/>
      <c r="D13" s="65" t="s">
        <v>20</v>
      </c>
      <c r="E13" s="411">
        <f>第九期!D4</f>
        <v>130</v>
      </c>
      <c r="F13" s="412">
        <f t="shared" ref="F13:N13" si="2">E13+F11-F9</f>
        <v>180</v>
      </c>
      <c r="G13" s="412">
        <f t="shared" si="2"/>
        <v>260</v>
      </c>
      <c r="H13" s="412">
        <f t="shared" si="2"/>
        <v>342</v>
      </c>
      <c r="I13" s="412">
        <f t="shared" si="2"/>
        <v>393</v>
      </c>
      <c r="J13" s="412">
        <f t="shared" si="2"/>
        <v>443</v>
      </c>
      <c r="K13" s="412">
        <f t="shared" si="2"/>
        <v>448</v>
      </c>
      <c r="L13" s="412">
        <f t="shared" si="2"/>
        <v>434</v>
      </c>
      <c r="M13" s="412">
        <f t="shared" si="2"/>
        <v>434</v>
      </c>
      <c r="N13" s="439">
        <f t="shared" si="2"/>
        <v>434</v>
      </c>
      <c r="O13" s="433"/>
      <c r="R13" s="108"/>
      <c r="S13" s="196" t="s">
        <v>21</v>
      </c>
      <c r="T13" s="196" t="s">
        <v>22</v>
      </c>
      <c r="U13" s="196" t="s">
        <v>23</v>
      </c>
      <c r="V13" s="196" t="s">
        <v>24</v>
      </c>
      <c r="W13" s="98" t="s">
        <v>25</v>
      </c>
    </row>
    <row r="14" ht="20.1" customHeight="1" spans="2:23">
      <c r="B14" s="395"/>
      <c r="C14" s="408"/>
      <c r="D14" s="65" t="s">
        <v>26</v>
      </c>
      <c r="E14" s="409"/>
      <c r="F14" s="413">
        <f>F15/F7</f>
        <v>0.93</v>
      </c>
      <c r="G14" s="413">
        <f>G15/G7</f>
        <v>1.30333333333333</v>
      </c>
      <c r="H14" s="413">
        <f t="shared" ref="H14:N14" si="3">H15/H7</f>
        <v>1.28271028037383</v>
      </c>
      <c r="I14" s="413">
        <f t="shared" si="3"/>
        <v>1.28333333333333</v>
      </c>
      <c r="J14" s="413">
        <f t="shared" si="3"/>
        <v>1.2831715210356</v>
      </c>
      <c r="K14" s="413">
        <f t="shared" si="3"/>
        <v>1.28328402366864</v>
      </c>
      <c r="L14" s="413">
        <f t="shared" si="3"/>
        <v>1.28402366863905</v>
      </c>
      <c r="M14" s="413">
        <f t="shared" si="3"/>
        <v>1.28402366863905</v>
      </c>
      <c r="N14" s="440">
        <f t="shared" si="3"/>
        <v>1.28402366863905</v>
      </c>
      <c r="O14" s="433"/>
      <c r="Q14" s="447">
        <f>W14*2</f>
        <v>1.2836032388664</v>
      </c>
      <c r="R14" s="196" t="s">
        <v>27</v>
      </c>
      <c r="S14" s="108">
        <f>比赛参数!D27/比赛参数!D26</f>
        <v>1.2</v>
      </c>
      <c r="T14" s="108">
        <f>比赛参数!E27/比赛参数!E26</f>
        <v>0.6</v>
      </c>
      <c r="U14" s="108">
        <f>比赛参数!F27/比赛参数!F26</f>
        <v>0.421052631578947</v>
      </c>
      <c r="V14" s="108">
        <f>比赛参数!G27/比赛参数!G26</f>
        <v>0.346153846153846</v>
      </c>
      <c r="W14" s="108">
        <f>AVERAGE(S14:V14)</f>
        <v>0.641801619433198</v>
      </c>
    </row>
    <row r="15" ht="20.1" customHeight="1" spans="2:20">
      <c r="B15" s="395"/>
      <c r="C15" s="414"/>
      <c r="D15" s="403" t="s">
        <v>28</v>
      </c>
      <c r="E15" s="415"/>
      <c r="F15" s="405">
        <f>E13-F9+F11*比赛参数!$D$59</f>
        <v>139.5</v>
      </c>
      <c r="G15" s="405">
        <f>F13-G9+G11*比赛参数!$D$59</f>
        <v>195.5</v>
      </c>
      <c r="H15" s="405">
        <f>G13-H9+H11*比赛参数!$D$59</f>
        <v>274.5</v>
      </c>
      <c r="I15" s="405">
        <f>H13-I9+I11*比赛参数!$D$59</f>
        <v>346.5</v>
      </c>
      <c r="J15" s="405">
        <f>I13-J9+J11*比赛参数!$D$59</f>
        <v>396.5</v>
      </c>
      <c r="K15" s="405">
        <f>J13-K9+K11*比赛参数!$D$59</f>
        <v>433.75</v>
      </c>
      <c r="L15" s="405">
        <f>K13-L9+L11*比赛参数!$D$59</f>
        <v>434</v>
      </c>
      <c r="M15" s="405">
        <f>L13-M9+M11*比赛参数!$D$59</f>
        <v>434</v>
      </c>
      <c r="N15" s="441">
        <f>M13-N9+N11*比赛参数!$D$59</f>
        <v>434</v>
      </c>
      <c r="O15" s="433"/>
      <c r="R15" s="217"/>
      <c r="S15" s="217"/>
      <c r="T15" s="217"/>
    </row>
    <row r="16" ht="9" customHeight="1" spans="2:15">
      <c r="B16" s="39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433"/>
    </row>
    <row r="17" ht="20.25" customHeight="1" spans="2:15">
      <c r="B17" s="39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433"/>
    </row>
    <row r="18" ht="20.25" customHeight="1" spans="2:15">
      <c r="B18" s="39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433"/>
    </row>
    <row r="19" ht="20.25" customHeight="1" spans="2:15">
      <c r="B19" s="39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433"/>
    </row>
    <row r="20" ht="20.25" customHeight="1" spans="2:15">
      <c r="B20" s="39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433"/>
    </row>
    <row r="21" ht="20.25" customHeight="1" spans="2:15">
      <c r="B21" s="39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433"/>
    </row>
    <row r="22" ht="20.25" customHeight="1" spans="2:15">
      <c r="B22" s="39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433"/>
    </row>
    <row r="23" ht="20.25" customHeight="1" spans="2:15">
      <c r="B23" s="39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433"/>
    </row>
    <row r="24" ht="20.25" customHeight="1" spans="2:15">
      <c r="B24" s="39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433"/>
    </row>
    <row r="25" ht="20.25" customHeight="1" spans="2:15">
      <c r="B25" s="39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433"/>
    </row>
    <row r="26" ht="20.25" customHeight="1" spans="2:15">
      <c r="B26" s="39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433"/>
    </row>
    <row r="27" ht="20.25" customHeight="1" spans="2:15">
      <c r="B27" s="39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433"/>
    </row>
    <row r="28" ht="20.25" customHeight="1" spans="2:15">
      <c r="B28" s="39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433"/>
    </row>
    <row r="29" ht="9" customHeight="1" spans="2:15">
      <c r="B29" s="39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433"/>
    </row>
    <row r="30" ht="20.1" customHeight="1" spans="2:15">
      <c r="B30" s="395"/>
      <c r="C30" s="416" t="s">
        <v>29</v>
      </c>
      <c r="D30" s="417" t="s">
        <v>30</v>
      </c>
      <c r="E30" s="418"/>
      <c r="F30" s="419">
        <f>E35+F33*比赛参数!$D$41</f>
        <v>0</v>
      </c>
      <c r="G30" s="400">
        <f>F35+G33*比赛参数!$D$41</f>
        <v>0</v>
      </c>
      <c r="H30" s="400">
        <f>G35+H33*比赛参数!$D$41</f>
        <v>0</v>
      </c>
      <c r="I30" s="400">
        <f>H35+I33*比赛参数!$D$41</f>
        <v>0</v>
      </c>
      <c r="J30" s="400">
        <f>I35+J33*比赛参数!$D$41</f>
        <v>0</v>
      </c>
      <c r="K30" s="400">
        <f>J35+K33*比赛参数!$D$41</f>
        <v>0</v>
      </c>
      <c r="L30" s="400">
        <f>K35+L33*比赛参数!$D$41</f>
        <v>0</v>
      </c>
      <c r="M30" s="400">
        <f>L35+M33*比赛参数!$D$41</f>
        <v>0</v>
      </c>
      <c r="N30" s="401">
        <f>M35+N33*比赛参数!$D$41</f>
        <v>0</v>
      </c>
      <c r="O30" s="433"/>
    </row>
    <row r="31" ht="24" customHeight="1" spans="2:23">
      <c r="B31" s="395"/>
      <c r="C31" s="420"/>
      <c r="D31" s="412" t="s">
        <v>31</v>
      </c>
      <c r="E31" s="154"/>
      <c r="F31" s="300"/>
      <c r="G31" s="101"/>
      <c r="H31" s="101"/>
      <c r="I31" s="101"/>
      <c r="J31" s="101"/>
      <c r="K31" s="101"/>
      <c r="L31" s="101"/>
      <c r="M31" s="101"/>
      <c r="N31" s="437"/>
      <c r="O31" s="433"/>
      <c r="R31" s="108"/>
      <c r="S31" s="196" t="s">
        <v>21</v>
      </c>
      <c r="T31" s="196" t="s">
        <v>22</v>
      </c>
      <c r="U31" s="196" t="s">
        <v>23</v>
      </c>
      <c r="V31" s="196" t="s">
        <v>24</v>
      </c>
      <c r="W31" s="98" t="s">
        <v>25</v>
      </c>
    </row>
    <row r="32" ht="20.1" customHeight="1" spans="2:23">
      <c r="B32" s="395"/>
      <c r="C32" s="420"/>
      <c r="D32" s="412" t="s">
        <v>32</v>
      </c>
      <c r="E32" s="154"/>
      <c r="F32" s="421">
        <f t="shared" ref="F32:N32" si="4">F31/F7</f>
        <v>0</v>
      </c>
      <c r="G32" s="338">
        <f t="shared" si="4"/>
        <v>0</v>
      </c>
      <c r="H32" s="338">
        <f t="shared" si="4"/>
        <v>0</v>
      </c>
      <c r="I32" s="338">
        <f t="shared" si="4"/>
        <v>0</v>
      </c>
      <c r="J32" s="338">
        <f t="shared" si="4"/>
        <v>0</v>
      </c>
      <c r="K32" s="338">
        <f t="shared" si="4"/>
        <v>0</v>
      </c>
      <c r="L32" s="338">
        <f t="shared" si="4"/>
        <v>0</v>
      </c>
      <c r="M32" s="338">
        <f t="shared" si="4"/>
        <v>0</v>
      </c>
      <c r="N32" s="442">
        <f t="shared" si="4"/>
        <v>0</v>
      </c>
      <c r="O32" s="433"/>
      <c r="Q32" s="447">
        <f>W32*1300</f>
        <v>6416.57894736842</v>
      </c>
      <c r="R32" s="196" t="s">
        <v>33</v>
      </c>
      <c r="S32" s="108">
        <f>比赛参数!D28/比赛参数!D26</f>
        <v>3</v>
      </c>
      <c r="T32" s="108">
        <f>比赛参数!E28/比赛参数!E26</f>
        <v>4.8</v>
      </c>
      <c r="U32" s="108">
        <f>比赛参数!F28/比赛参数!F26</f>
        <v>5.78947368421053</v>
      </c>
      <c r="V32" s="108">
        <f>比赛参数!G28/比赛参数!G26</f>
        <v>6.15384615384615</v>
      </c>
      <c r="W32" s="108">
        <f>AVERAGE(S32:V32)</f>
        <v>4.93582995951417</v>
      </c>
    </row>
    <row r="33" ht="24" customHeight="1" spans="2:15">
      <c r="B33" s="395"/>
      <c r="C33" s="420"/>
      <c r="D33" s="412" t="s">
        <v>34</v>
      </c>
      <c r="E33" s="154"/>
      <c r="F33" s="300"/>
      <c r="G33" s="101"/>
      <c r="H33" s="101"/>
      <c r="I33" s="101"/>
      <c r="J33" s="101"/>
      <c r="K33" s="101"/>
      <c r="L33" s="101"/>
      <c r="M33" s="101"/>
      <c r="N33" s="437"/>
      <c r="O33" s="433"/>
    </row>
    <row r="34" ht="12" customHeight="1" spans="2:15">
      <c r="B34" s="395"/>
      <c r="C34" s="420"/>
      <c r="D34" s="412" t="s">
        <v>18</v>
      </c>
      <c r="E34" s="154"/>
      <c r="F34" s="422">
        <f>IF((F31-E35)&gt;0,(F31-E35)/比赛参数!$D$41,0)</f>
        <v>0</v>
      </c>
      <c r="G34" s="99">
        <f>IF((G31-F35)&gt;0,(G31-F35)/比赛参数!$D$41,0)</f>
        <v>0</v>
      </c>
      <c r="H34" s="99">
        <f>IF((H31-G35)&gt;0,(H31-G35)/比赛参数!$D$41,0)</f>
        <v>0</v>
      </c>
      <c r="I34" s="99">
        <f>IF((I31-H35)&gt;0,(I31-H35)/比赛参数!$D$41,0)</f>
        <v>0</v>
      </c>
      <c r="J34" s="99">
        <f>IF((J31-I35)&gt;0,(J31-I35)/比赛参数!$D$41,0)</f>
        <v>0</v>
      </c>
      <c r="K34" s="99">
        <f>IF((K31-J35)&gt;0,(K31-J35)/比赛参数!$D$41,0)</f>
        <v>0</v>
      </c>
      <c r="L34" s="99">
        <f>IF((L31-K35)&gt;0,(L31-K35)/比赛参数!$D$41,0)</f>
        <v>0</v>
      </c>
      <c r="M34" s="99">
        <f>IF((M31-L35)&gt;0,(M31-L35)/比赛参数!$D$41,0)</f>
        <v>0</v>
      </c>
      <c r="N34" s="443">
        <f>IF((N31-M35)&gt;0,(N31-M35)/比赛参数!$D$41,0)</f>
        <v>0</v>
      </c>
      <c r="O34" s="433"/>
    </row>
    <row r="35" ht="20.1" customHeight="1" spans="2:15">
      <c r="B35" s="395"/>
      <c r="C35" s="420"/>
      <c r="D35" s="405" t="s">
        <v>35</v>
      </c>
      <c r="E35" s="423"/>
      <c r="F35" s="424">
        <f t="shared" ref="F35:N35" si="5">F33+E35-F31</f>
        <v>0</v>
      </c>
      <c r="G35" s="403">
        <f t="shared" si="5"/>
        <v>0</v>
      </c>
      <c r="H35" s="403">
        <f t="shared" si="5"/>
        <v>0</v>
      </c>
      <c r="I35" s="403">
        <f t="shared" si="5"/>
        <v>0</v>
      </c>
      <c r="J35" s="403">
        <f t="shared" si="5"/>
        <v>0</v>
      </c>
      <c r="K35" s="403">
        <f t="shared" si="5"/>
        <v>0</v>
      </c>
      <c r="L35" s="403">
        <f t="shared" si="5"/>
        <v>0</v>
      </c>
      <c r="M35" s="403">
        <f t="shared" si="5"/>
        <v>0</v>
      </c>
      <c r="N35" s="415">
        <f t="shared" si="5"/>
        <v>0</v>
      </c>
      <c r="O35" s="433"/>
    </row>
    <row r="36" ht="9" customHeight="1" spans="2:15">
      <c r="B36" s="395"/>
      <c r="C36" s="42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444"/>
      <c r="O36" s="433"/>
    </row>
    <row r="37" ht="24" customHeight="1" spans="2:17">
      <c r="B37" s="395"/>
      <c r="C37" s="426"/>
      <c r="D37" s="405" t="s">
        <v>36</v>
      </c>
      <c r="E37" s="427"/>
      <c r="F37" s="428">
        <f>IF(F33&gt;=比赛参数!$D$36,IF(F33&gt;=比赛参数!$D$35,IF(F33&gt;=比赛参数!$D$34,F33*(1-比赛参数!$E$34),F33*(1-比赛参数!$E$35)),F33*(1-比赛参数!$E$36)),0)</f>
        <v>0</v>
      </c>
      <c r="G37" s="428">
        <f>IF(G33&gt;=比赛参数!$D$36,IF(G33&gt;=比赛参数!$D$35,IF(G33&gt;=比赛参数!$D$34,G33*(1-比赛参数!$E$34),G33*(1-比赛参数!$E$35)),G33*(1-比赛参数!$E$36)),0)</f>
        <v>0</v>
      </c>
      <c r="H37" s="428">
        <f>IF(H33&gt;=比赛参数!$D$36,IF(H33&gt;=比赛参数!$D$35,IF(H33&gt;=比赛参数!$D$34,H33*(1-比赛参数!$E$34),H33*(1-比赛参数!$E$35)),H33*(1-比赛参数!$E$36)),0)</f>
        <v>0</v>
      </c>
      <c r="I37" s="428">
        <f>IF(I33&gt;=比赛参数!$D$36,IF(I33&gt;=比赛参数!$D$35,IF(I33&gt;=比赛参数!$D$34,I33*(1-比赛参数!$E$34),I33*(1-比赛参数!$E$35)),I33*(1-比赛参数!$E$36)),0)</f>
        <v>0</v>
      </c>
      <c r="J37" s="428">
        <f>IF(J33&gt;=比赛参数!$D$36,IF(J33&gt;=比赛参数!$D$35,IF(J33&gt;=比赛参数!$D$34,J33*(1-比赛参数!$E$34),J33*(1-比赛参数!$E$35)),J33*(1-比赛参数!$E$36)),0)</f>
        <v>0</v>
      </c>
      <c r="K37" s="428">
        <f>IF(K33&gt;=比赛参数!$D$36,IF(K33&gt;=比赛参数!$D$35,IF(K33&gt;=比赛参数!$D$34,K33*(1-比赛参数!$E$34),K33*(1-比赛参数!$E$35)),K33*(1-比赛参数!$E$36)),0)</f>
        <v>0</v>
      </c>
      <c r="L37" s="428">
        <f>IF(L33&gt;=比赛参数!$D$36,IF(L33&gt;=比赛参数!$D$35,IF(L33&gt;=比赛参数!$D$34,L33*(1-比赛参数!$E$34),L33*(1-比赛参数!$E$35)),L33*(1-比赛参数!$E$36)),0)</f>
        <v>0</v>
      </c>
      <c r="M37" s="428"/>
      <c r="N37" s="445"/>
      <c r="O37" s="433"/>
      <c r="Q37" s="219">
        <f>F37+G37+H37+I37+J37+K37+L37+M37</f>
        <v>0</v>
      </c>
    </row>
    <row r="38" ht="24" customHeight="1" spans="2:17">
      <c r="B38" s="395"/>
      <c r="O38" s="433"/>
      <c r="Q38" s="219">
        <v>435600</v>
      </c>
    </row>
    <row r="39" ht="24" customHeight="1" spans="2:15">
      <c r="B39" s="395"/>
      <c r="C39" s="21" t="s">
        <v>37</v>
      </c>
      <c r="D39" s="400" t="s">
        <v>38</v>
      </c>
      <c r="E39" s="401">
        <f>比赛参数!D52</f>
        <v>100000</v>
      </c>
      <c r="F39" s="284"/>
      <c r="G39" s="284"/>
      <c r="H39" s="284"/>
      <c r="I39" s="284"/>
      <c r="J39" s="284"/>
      <c r="K39" s="284"/>
      <c r="L39" s="284"/>
      <c r="M39" s="284"/>
      <c r="N39" s="436"/>
      <c r="O39" s="433"/>
    </row>
    <row r="40" ht="24" customHeight="1" spans="2:15">
      <c r="B40" s="395"/>
      <c r="C40" s="183"/>
      <c r="D40" s="65" t="s">
        <v>39</v>
      </c>
      <c r="E40" s="409">
        <f>比赛参数!D53</f>
        <v>200000</v>
      </c>
      <c r="F40" s="101"/>
      <c r="G40" s="101"/>
      <c r="H40" s="101"/>
      <c r="I40" s="101"/>
      <c r="J40" s="101"/>
      <c r="K40" s="101"/>
      <c r="L40" s="101"/>
      <c r="M40" s="101"/>
      <c r="N40" s="437"/>
      <c r="O40" s="433"/>
    </row>
    <row r="41" ht="24" customHeight="1" spans="2:15">
      <c r="B41" s="395"/>
      <c r="C41" s="183"/>
      <c r="D41" s="65" t="s">
        <v>40</v>
      </c>
      <c r="E41" s="409"/>
      <c r="F41" s="101"/>
      <c r="G41" s="101"/>
      <c r="H41" s="101"/>
      <c r="I41" s="101"/>
      <c r="J41" s="101"/>
      <c r="K41" s="101"/>
      <c r="L41" s="101"/>
      <c r="M41" s="101"/>
      <c r="N41" s="437"/>
      <c r="O41" s="433"/>
    </row>
    <row r="42" ht="19.5" customHeight="1" spans="2:15">
      <c r="B42" s="395"/>
      <c r="C42" s="183"/>
      <c r="D42" s="65" t="s">
        <v>41</v>
      </c>
      <c r="E42" s="409"/>
      <c r="F42" s="101"/>
      <c r="G42" s="101"/>
      <c r="H42" s="101"/>
      <c r="I42" s="101"/>
      <c r="J42" s="101"/>
      <c r="K42" s="101"/>
      <c r="L42" s="101"/>
      <c r="M42" s="101"/>
      <c r="N42" s="437"/>
      <c r="O42" s="433"/>
    </row>
    <row r="43" ht="19.5" customHeight="1" spans="2:15">
      <c r="B43" s="395"/>
      <c r="C43" s="23"/>
      <c r="D43" s="403" t="s">
        <v>42</v>
      </c>
      <c r="E43" s="415"/>
      <c r="F43" s="405">
        <f t="shared" ref="F43:N43" si="6">SUM(F39:F42)</f>
        <v>0</v>
      </c>
      <c r="G43" s="405">
        <f t="shared" si="6"/>
        <v>0</v>
      </c>
      <c r="H43" s="405">
        <f t="shared" si="6"/>
        <v>0</v>
      </c>
      <c r="I43" s="405">
        <f t="shared" si="6"/>
        <v>0</v>
      </c>
      <c r="J43" s="405">
        <f t="shared" si="6"/>
        <v>0</v>
      </c>
      <c r="K43" s="405">
        <f t="shared" si="6"/>
        <v>0</v>
      </c>
      <c r="L43" s="405">
        <f t="shared" si="6"/>
        <v>0</v>
      </c>
      <c r="M43" s="405">
        <f t="shared" si="6"/>
        <v>0</v>
      </c>
      <c r="N43" s="441">
        <f t="shared" si="6"/>
        <v>0</v>
      </c>
      <c r="O43" s="433"/>
    </row>
    <row r="44" ht="19.5" customHeight="1" spans="2:15">
      <c r="B44" s="395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433"/>
    </row>
    <row r="45" ht="19.5" customHeight="1" spans="2:15">
      <c r="B45" s="395"/>
      <c r="C45" s="217"/>
      <c r="D45" s="429" t="s">
        <v>43</v>
      </c>
      <c r="E45" s="217"/>
      <c r="F45" s="429" t="s">
        <v>44</v>
      </c>
      <c r="G45" s="195" t="s">
        <v>45</v>
      </c>
      <c r="H45" s="196" t="s">
        <v>46</v>
      </c>
      <c r="I45" s="196" t="s">
        <v>47</v>
      </c>
      <c r="J45" s="196" t="s">
        <v>48</v>
      </c>
      <c r="K45" s="196" t="s">
        <v>49</v>
      </c>
      <c r="L45" s="217"/>
      <c r="M45" s="217"/>
      <c r="N45" s="217"/>
      <c r="O45" s="433"/>
    </row>
    <row r="46" ht="19.5" customHeight="1" spans="2:15">
      <c r="B46" s="395"/>
      <c r="C46" s="217"/>
      <c r="D46" s="65">
        <f>SUM(E39:N39)</f>
        <v>100000</v>
      </c>
      <c r="E46" s="217"/>
      <c r="F46" s="11" t="s">
        <v>21</v>
      </c>
      <c r="G46" s="65">
        <f>比赛参数!D52</f>
        <v>100000</v>
      </c>
      <c r="H46" s="65">
        <f>比赛参数!E52</f>
        <v>220000</v>
      </c>
      <c r="I46" s="65">
        <f>比赛参数!F52</f>
        <v>350000</v>
      </c>
      <c r="J46" s="65">
        <f>比赛参数!G52</f>
        <v>450000</v>
      </c>
      <c r="K46" s="65">
        <f>比赛参数!H52</f>
        <v>550000</v>
      </c>
      <c r="L46" s="217"/>
      <c r="M46" s="217"/>
      <c r="N46" s="217"/>
      <c r="O46" s="433"/>
    </row>
    <row r="47" ht="19.5" customHeight="1" spans="2:15">
      <c r="B47" s="395"/>
      <c r="C47" s="217"/>
      <c r="D47" s="65">
        <f>SUM(E40:N40)</f>
        <v>200000</v>
      </c>
      <c r="E47" s="217"/>
      <c r="F47" s="11" t="s">
        <v>22</v>
      </c>
      <c r="G47" s="65">
        <f>比赛参数!D53</f>
        <v>200000</v>
      </c>
      <c r="H47" s="65">
        <f>比赛参数!E53</f>
        <v>350000</v>
      </c>
      <c r="I47" s="65">
        <f>比赛参数!F53</f>
        <v>500000</v>
      </c>
      <c r="J47" s="65">
        <f>比赛参数!G53</f>
        <v>650000</v>
      </c>
      <c r="K47" s="65">
        <f>比赛参数!H53</f>
        <v>700000</v>
      </c>
      <c r="L47" s="217"/>
      <c r="M47" s="217"/>
      <c r="N47" s="217"/>
      <c r="O47" s="433"/>
    </row>
    <row r="48" ht="19.5" customHeight="1" spans="2:15">
      <c r="B48" s="395"/>
      <c r="C48" s="217"/>
      <c r="D48" s="65">
        <f>SUM(E41:N41)</f>
        <v>0</v>
      </c>
      <c r="E48" s="217"/>
      <c r="F48" s="11" t="s">
        <v>23</v>
      </c>
      <c r="G48" s="65">
        <f>比赛参数!D54</f>
        <v>300000</v>
      </c>
      <c r="H48" s="65">
        <f>比赛参数!E54</f>
        <v>450000</v>
      </c>
      <c r="I48" s="65">
        <f>比赛参数!F54</f>
        <v>580000</v>
      </c>
      <c r="J48" s="65">
        <f>比赛参数!G54</f>
        <v>700000</v>
      </c>
      <c r="K48" s="65">
        <f>比赛参数!H54</f>
        <v>800000</v>
      </c>
      <c r="L48" s="217"/>
      <c r="M48" s="217"/>
      <c r="N48" s="217"/>
      <c r="O48" s="433"/>
    </row>
    <row r="49" ht="19.5" customHeight="1" spans="2:15">
      <c r="B49" s="395"/>
      <c r="C49" s="217"/>
      <c r="D49" s="65">
        <f>SUM(E42:N42)</f>
        <v>0</v>
      </c>
      <c r="E49" s="217"/>
      <c r="F49" s="11" t="s">
        <v>24</v>
      </c>
      <c r="G49" s="65">
        <f>比赛参数!D55</f>
        <v>500000</v>
      </c>
      <c r="H49" s="65">
        <f>比赛参数!E55</f>
        <v>600000</v>
      </c>
      <c r="I49" s="65">
        <f>比赛参数!F55</f>
        <v>700000</v>
      </c>
      <c r="J49" s="65">
        <f>比赛参数!G55</f>
        <v>850000</v>
      </c>
      <c r="K49" s="65">
        <f>比赛参数!H55</f>
        <v>1000000</v>
      </c>
      <c r="L49" s="217"/>
      <c r="M49" s="217"/>
      <c r="N49" s="217"/>
      <c r="O49" s="433"/>
    </row>
    <row r="50" ht="19.5" customHeight="1" spans="2:15">
      <c r="B50" s="430"/>
      <c r="C50" s="431"/>
      <c r="D50" s="431"/>
      <c r="E50" s="431"/>
      <c r="F50" s="431"/>
      <c r="G50" s="431"/>
      <c r="H50" s="431"/>
      <c r="I50" s="431"/>
      <c r="J50" s="431"/>
      <c r="K50" s="431"/>
      <c r="L50" s="431"/>
      <c r="M50" s="431"/>
      <c r="N50" s="431"/>
      <c r="O50" s="446"/>
    </row>
    <row r="51" ht="19.5" customHeight="1"/>
    <row r="52" ht="19.5" customHeight="1"/>
  </sheetData>
  <mergeCells count="5">
    <mergeCell ref="B2:O2"/>
    <mergeCell ref="C6:C7"/>
    <mergeCell ref="C9:C15"/>
    <mergeCell ref="C30:C37"/>
    <mergeCell ref="C39:C43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A16" workbookViewId="0">
      <selection activeCell="L50" sqref="L50:L51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448</v>
      </c>
      <c r="E4" s="9"/>
      <c r="F4" s="10"/>
      <c r="G4" s="11" t="s">
        <v>153</v>
      </c>
      <c r="H4" s="12">
        <v>1210339</v>
      </c>
      <c r="W4" s="43">
        <f>AC4-X4</f>
        <v>178</v>
      </c>
      <c r="X4" s="32">
        <f>SUM(AF70:AF73)</f>
        <v>0</v>
      </c>
      <c r="Y4" s="67" t="e">
        <f>AVERAGE(Y76:Y79)</f>
        <v>#DIV/0!</v>
      </c>
      <c r="Z4" s="67">
        <f>1/比赛参数!$G$4</f>
        <v>0.0526315789473684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178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178</v>
      </c>
      <c r="AO4" s="32">
        <f>AC9+D42-Y92</f>
        <v>178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338</v>
      </c>
      <c r="E5" s="9"/>
      <c r="F5" s="10"/>
      <c r="G5" s="11" t="s">
        <v>155</v>
      </c>
      <c r="H5" s="13">
        <v>487262.6</v>
      </c>
      <c r="M5" s="27"/>
      <c r="N5" s="28"/>
      <c r="O5" s="29"/>
      <c r="P5" s="29"/>
      <c r="Q5" s="44"/>
      <c r="W5" s="43">
        <f>AC5-X5</f>
        <v>154</v>
      </c>
      <c r="X5" s="32">
        <f>SUM(AG70:AG73)</f>
        <v>0</v>
      </c>
      <c r="Y5" s="67" t="e">
        <f>AVERAGE(Z76:Z79)</f>
        <v>#DIV/0!</v>
      </c>
      <c r="Z5" s="67">
        <f>1/比赛参数!$G$4</f>
        <v>0.0526315789473684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154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154</v>
      </c>
      <c r="AO5" s="32">
        <f>AC10+D43-Z92</f>
        <v>154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455290</v>
      </c>
      <c r="E6" s="9"/>
      <c r="F6" s="10"/>
      <c r="M6" s="30"/>
      <c r="N6" s="31" t="s">
        <v>162</v>
      </c>
      <c r="O6" s="32">
        <f>K8+Y18-AA18</f>
        <v>448</v>
      </c>
      <c r="P6" s="33" t="s">
        <v>163</v>
      </c>
      <c r="Q6" s="32">
        <f>AH15</f>
        <v>0</v>
      </c>
      <c r="W6" s="43">
        <f>AC6-X6</f>
        <v>53</v>
      </c>
      <c r="X6" s="32">
        <f>SUM(AH70:AH73)</f>
        <v>0</v>
      </c>
      <c r="Y6" s="67" t="e">
        <f>AVERAGE(AA76:AA79)</f>
        <v>#DIV/0!</v>
      </c>
      <c r="Z6" s="67">
        <f>1/比赛参数!$G$4</f>
        <v>0.0526315789473684</v>
      </c>
      <c r="AA6" s="68" t="e">
        <f>(AC6-X6)/X6</f>
        <v>#DIV/0!</v>
      </c>
      <c r="AB6" s="69">
        <f>SUM(AG232:AJ232)/比赛参数!$G$4</f>
        <v>0</v>
      </c>
      <c r="AC6" s="70">
        <f>AN6+SUM(AA57:AA60)-SUM(AH57:AH60)-SUM(AA108:AA111)</f>
        <v>53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53</v>
      </c>
      <c r="AO6" s="32">
        <f>AC11+D44-AA92</f>
        <v>53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189</v>
      </c>
      <c r="D7" s="14">
        <v>9618135.59025289</v>
      </c>
      <c r="E7" s="9"/>
      <c r="F7" s="10"/>
      <c r="M7" s="30"/>
      <c r="N7" s="31" t="s">
        <v>154</v>
      </c>
      <c r="O7" s="32"/>
      <c r="P7" s="33" t="s">
        <v>167</v>
      </c>
      <c r="Q7" s="32">
        <f>BS58</f>
        <v>547779.55</v>
      </c>
      <c r="W7" s="43">
        <f>AC7-X7</f>
        <v>65</v>
      </c>
      <c r="X7" s="32">
        <f>SUM(AI70:AI73)</f>
        <v>0</v>
      </c>
      <c r="Y7" s="67" t="e">
        <f>AVERAGE(AB76:AB79)</f>
        <v>#DIV/0!</v>
      </c>
      <c r="Z7" s="67">
        <f>1/比赛参数!$G$4</f>
        <v>0.0526315789473684</v>
      </c>
      <c r="AA7" s="68" t="e">
        <f>(AC7-X7)/X7</f>
        <v>#DIV/0!</v>
      </c>
      <c r="AB7" s="69">
        <f>SUM(AK232:AN232)/比赛参数!$G$4</f>
        <v>0</v>
      </c>
      <c r="AC7" s="70">
        <f>AN7+SUM(AB57:AB60)-SUM(AI57:AI60)-SUM(AB108:AB111)</f>
        <v>65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65</v>
      </c>
      <c r="AO7" s="32">
        <f>AC12+D45-AB92</f>
        <v>65</v>
      </c>
      <c r="AR7" s="174" t="s">
        <v>107</v>
      </c>
      <c r="BR7" s="197" t="s">
        <v>21</v>
      </c>
      <c r="BS7" s="198">
        <f>第十五期!AF76</f>
        <v>0</v>
      </c>
      <c r="BT7" s="198">
        <f>第十五期!AF77</f>
        <v>0</v>
      </c>
      <c r="BU7" s="198">
        <f>第十五期!AF78</f>
        <v>0</v>
      </c>
      <c r="BV7" s="198">
        <f>第十五期!AF79</f>
        <v>0</v>
      </c>
      <c r="BW7" s="200">
        <f>第十五期!$AF$80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168</v>
      </c>
      <c r="D8" s="14"/>
      <c r="E8" s="9"/>
      <c r="F8" s="10"/>
      <c r="J8" s="11" t="s">
        <v>162</v>
      </c>
      <c r="K8" s="34">
        <f>D4</f>
        <v>448</v>
      </c>
      <c r="M8" s="30"/>
      <c r="N8" s="31" t="s">
        <v>161</v>
      </c>
      <c r="O8" s="32">
        <f>AL23</f>
        <v>455290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第十五期!$AG$76</f>
        <v>0</v>
      </c>
      <c r="BT8" s="198">
        <f>第十五期!$AG$77</f>
        <v>0</v>
      </c>
      <c r="BU8" s="198">
        <f>第十五期!$AG$78</f>
        <v>0</v>
      </c>
      <c r="BV8" s="198">
        <f>第十五期!$AG$79</f>
        <v>0</v>
      </c>
      <c r="BW8" s="200">
        <f>第十五期!$AG$80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195</v>
      </c>
      <c r="D9" s="14">
        <v>4443551</v>
      </c>
      <c r="E9" s="9"/>
      <c r="F9" s="10"/>
      <c r="J9" s="11" t="s">
        <v>154</v>
      </c>
      <c r="K9" s="34">
        <f>D5</f>
        <v>338</v>
      </c>
      <c r="M9" s="36" t="s">
        <v>188</v>
      </c>
      <c r="N9" s="31" t="s">
        <v>189</v>
      </c>
      <c r="O9" s="32">
        <f>AJ20</f>
        <v>6311548.35662788</v>
      </c>
      <c r="P9" s="35"/>
      <c r="Q9" s="45"/>
      <c r="X9" s="47" t="s">
        <v>190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第十五期!DB56</f>
        <v>0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第十五期!$AH$76</f>
        <v>0</v>
      </c>
      <c r="BT9" s="198">
        <f>第十五期!$AH$77</f>
        <v>0</v>
      </c>
      <c r="BU9" s="198">
        <f>第十五期!$AH$78</f>
        <v>0</v>
      </c>
      <c r="BV9" s="198">
        <f>第十五期!$AH$79</f>
        <v>0</v>
      </c>
      <c r="BW9" s="200">
        <f>第十五期!$AH$80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191</v>
      </c>
      <c r="D10" s="9">
        <v>0</v>
      </c>
      <c r="E10" s="9"/>
      <c r="F10" s="10"/>
      <c r="J10" s="11" t="s">
        <v>161</v>
      </c>
      <c r="K10" s="34">
        <f>D6</f>
        <v>455290</v>
      </c>
      <c r="M10" s="30"/>
      <c r="N10" s="31" t="s">
        <v>168</v>
      </c>
      <c r="O10" s="37"/>
      <c r="P10" s="35"/>
      <c r="Q10" s="45"/>
      <c r="X10" s="11" t="s">
        <v>192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第十五期!DB57</f>
        <v>0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第十五期!$AI$76</f>
        <v>0</v>
      </c>
      <c r="BT10" s="198">
        <f>第十五期!$AI$77</f>
        <v>0</v>
      </c>
      <c r="BU10" s="198">
        <f>第十五期!$AI$78</f>
        <v>0</v>
      </c>
      <c r="BV10" s="198">
        <f>第十五期!$AI$79</f>
        <v>0</v>
      </c>
      <c r="BW10" s="200">
        <f>第十五期!$AI$80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201</v>
      </c>
      <c r="D11" s="14">
        <v>8687045.65</v>
      </c>
      <c r="E11" s="9"/>
      <c r="F11" s="10"/>
      <c r="J11" s="11" t="s">
        <v>166</v>
      </c>
      <c r="K11" s="34">
        <f>D7</f>
        <v>9618135.59025289</v>
      </c>
      <c r="M11" s="36" t="s">
        <v>194</v>
      </c>
      <c r="N11" s="32" t="s">
        <v>195</v>
      </c>
      <c r="O11" s="32">
        <f>AL14</f>
        <v>4443551</v>
      </c>
      <c r="P11" s="35"/>
      <c r="Q11" s="45"/>
      <c r="X11" s="11" t="s">
        <v>196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第十五期!DB58</f>
        <v>0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197</v>
      </c>
      <c r="BS11" s="200">
        <f>第十五期!$AJ$76</f>
        <v>0</v>
      </c>
      <c r="BT11" s="200">
        <f>第十五期!$AJ$77</f>
        <v>0</v>
      </c>
      <c r="BU11" s="200">
        <f>第十五期!$AJ$78</f>
        <v>0</v>
      </c>
      <c r="BV11" s="200">
        <f>第十五期!$AJ$79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198</v>
      </c>
      <c r="D12" s="14"/>
      <c r="E12" s="9"/>
      <c r="F12" s="10"/>
      <c r="J12" s="11" t="s">
        <v>187</v>
      </c>
      <c r="K12" s="34">
        <f>D9</f>
        <v>4443551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第十五期!DB59</f>
        <v>0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100</v>
      </c>
      <c r="D13" s="14"/>
      <c r="E13" s="9"/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8139266.1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第十五期!BU86</f>
        <v>4110807.683625</v>
      </c>
      <c r="AG13" s="135" t="s">
        <v>203</v>
      </c>
      <c r="AH13" s="136">
        <f>第十五期!BV76</f>
        <v>6357027.05662788</v>
      </c>
      <c r="AI13" s="42" t="s">
        <v>204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206</v>
      </c>
      <c r="D14" s="9"/>
      <c r="E14" s="9"/>
      <c r="F14" s="10"/>
      <c r="J14" s="11" t="s">
        <v>193</v>
      </c>
      <c r="K14" s="34">
        <f>D11</f>
        <v>8687045.65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第十五期!BW92</f>
        <v>-4110807.683625</v>
      </c>
      <c r="AG14" s="73" t="s">
        <v>208</v>
      </c>
      <c r="AH14" s="138"/>
      <c r="AI14" s="42" t="s">
        <v>93</v>
      </c>
      <c r="AJ14" s="139">
        <f>第十五期!K12</f>
        <v>4443551</v>
      </c>
      <c r="AK14" s="42" t="s">
        <v>209</v>
      </c>
      <c r="AL14" s="91">
        <f>AJ14-AH14</f>
        <v>4443551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第十五期!Y88</f>
        <v>0</v>
      </c>
      <c r="BT14" s="198">
        <f>第十五期!Y89</f>
        <v>0</v>
      </c>
      <c r="BU14" s="198">
        <f>第十五期!Y90</f>
        <v>0</v>
      </c>
      <c r="BV14" s="198">
        <f>第十五期!Y91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210</v>
      </c>
      <c r="D15" s="9"/>
      <c r="E15" s="9"/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0</v>
      </c>
      <c r="Z15" s="86">
        <f>(Z14+AA14)/AA20</f>
        <v>0</v>
      </c>
      <c r="AA15" s="87"/>
      <c r="AB15" s="88">
        <f>AB14/AA20</f>
        <v>0</v>
      </c>
      <c r="AC15" s="89" t="str">
        <f>IF(AC21&lt;=AC20,"材料 YES","材料 NO")</f>
        <v>材料 YES</v>
      </c>
      <c r="AE15" s="83" t="s">
        <v>105</v>
      </c>
      <c r="AF15" s="90">
        <f>AF14/(Y18+第十五期!K8-AA18)</f>
        <v>-9175.91000809152</v>
      </c>
      <c r="AG15" s="73" t="s">
        <v>214</v>
      </c>
      <c r="AH15" s="138"/>
      <c r="AI15" s="42" t="s">
        <v>215</v>
      </c>
      <c r="AJ15" s="139">
        <f>第十五期!K16*0.5-第十五期!K14</f>
        <v>1292744.32243413</v>
      </c>
      <c r="AK15" s="42" t="s">
        <v>216</v>
      </c>
      <c r="AL15" s="111">
        <f>O20*0.5-O13</f>
        <v>1840523.87243413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第十五期!Z88</f>
        <v>0</v>
      </c>
      <c r="BT15" s="198">
        <f>第十五期!Z89</f>
        <v>0</v>
      </c>
      <c r="BU15" s="198">
        <f>第十五期!Z90</f>
        <v>0</v>
      </c>
      <c r="BV15" s="198">
        <f>第十五期!Z91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211</v>
      </c>
      <c r="D16" s="14"/>
      <c r="E16" s="9"/>
      <c r="F16" s="10">
        <f>D16*4</f>
        <v>0</v>
      </c>
      <c r="J16" s="11" t="s">
        <v>104</v>
      </c>
      <c r="K16" s="34">
        <f>D18</f>
        <v>19959579.9448683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第十五期!DM60</f>
        <v>0</v>
      </c>
      <c r="Z16" s="92" t="s">
        <v>218</v>
      </c>
      <c r="AA16" s="93">
        <f>AH20+Y16+第十五期!K9*比赛参数!D30*比赛参数!F30</f>
        <v>3681600</v>
      </c>
      <c r="AB16" s="73" t="s">
        <v>219</v>
      </c>
      <c r="AC16" s="94">
        <f>Y20-Y21</f>
        <v>448</v>
      </c>
      <c r="AE16" s="83" t="s">
        <v>220</v>
      </c>
      <c r="AF16" s="95" t="e">
        <f>AJ13/SUM(AH9:AH12)</f>
        <v>#DIV/0!</v>
      </c>
      <c r="AG16" s="83" t="s">
        <v>221</v>
      </c>
      <c r="AH16" s="140" t="e">
        <f>AF14/AL111</f>
        <v>#DIV/0!</v>
      </c>
      <c r="AI16" s="42" t="s">
        <v>222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第十五期!AA88</f>
        <v>0</v>
      </c>
      <c r="BT16" s="198">
        <f>第十五期!AA89</f>
        <v>0</v>
      </c>
      <c r="BU16" s="198">
        <f>第十五期!AA90</f>
        <v>0</v>
      </c>
      <c r="BV16" s="198">
        <f>第十五期!AA91</f>
        <v>0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9"/>
      <c r="E17" s="9"/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2329600</v>
      </c>
      <c r="AE17" s="83" t="s">
        <v>233</v>
      </c>
      <c r="AF17" s="100" t="e">
        <f>(AE9*SUM(AF64:AF67)+AE10*SUM(AG64:AG67)+AE11*SUM(AH64:AH67)+AE12*SUM(AI64:AI67))/SUM(AF64:AI67)</f>
        <v>#DIV/0!</v>
      </c>
      <c r="AG17" s="2" t="s">
        <v>106</v>
      </c>
      <c r="AH17" s="2">
        <f>AF14/(O20+O13)</f>
        <v>-0.146298096265621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第十五期!AB88</f>
        <v>0</v>
      </c>
      <c r="BT17" s="198">
        <f>第十五期!AB89</f>
        <v>0</v>
      </c>
      <c r="BU17" s="198">
        <f>第十五期!AB90</f>
        <v>0</v>
      </c>
      <c r="BV17" s="198">
        <f>第十五期!AB91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104</v>
      </c>
      <c r="D18" s="14">
        <v>19959579.9448683</v>
      </c>
      <c r="E18" s="9"/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/>
      <c r="Z18" s="11" t="s">
        <v>235</v>
      </c>
      <c r="AA18" s="101"/>
      <c r="AB18" s="11" t="s">
        <v>236</v>
      </c>
      <c r="AC18" s="102"/>
      <c r="AE18" s="11" t="s">
        <v>237</v>
      </c>
      <c r="AF18" s="103"/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338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/>
      <c r="E19" s="9"/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第十五期!K8*比赛参数!D57</f>
        <v>224</v>
      </c>
      <c r="Z19" s="104" t="s">
        <v>244</v>
      </c>
      <c r="AA19" s="99">
        <f>第十五期!K8*比赛参数!D60</f>
        <v>13.44</v>
      </c>
      <c r="AB19" s="104" t="s">
        <v>244</v>
      </c>
      <c r="AC19" s="105">
        <f>IF((AC21-第十五期!K10)/比赛参数!D41&gt;0,(AC21-第十五期!K10)/比赛参数!D41,0)</f>
        <v>0</v>
      </c>
      <c r="AE19" s="42" t="s">
        <v>36</v>
      </c>
      <c r="AF19" s="106">
        <f>BS67</f>
        <v>0</v>
      </c>
      <c r="AG19" s="48"/>
      <c r="AH19" s="48"/>
      <c r="AI19" s="146" t="s">
        <v>245</v>
      </c>
      <c r="AJ19" s="105">
        <f>IF((第十五期!BW92-第十五期!BS87)&gt;0,第十五期!BW92-第十五期!BS87,0)</f>
        <v>0</v>
      </c>
      <c r="AK19" s="42" t="s">
        <v>246</v>
      </c>
      <c r="AL19" s="145">
        <f>AL110</f>
        <v>0</v>
      </c>
      <c r="AM19" s="2" t="s">
        <v>247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第十五期!$CX$68</f>
        <v>0</v>
      </c>
      <c r="CD19" s="110">
        <f>第十五期!$CX$69</f>
        <v>0</v>
      </c>
      <c r="CE19" s="110">
        <f>第十五期!$CX$70</f>
        <v>0</v>
      </c>
      <c r="CF19" s="110">
        <f>第十五期!$CX$71</f>
        <v>0</v>
      </c>
      <c r="CG19" s="219"/>
      <c r="CH19" s="225"/>
      <c r="CI19" s="226" t="s">
        <v>55</v>
      </c>
      <c r="CJ19" s="110">
        <f>第十五期!$CX$50</f>
        <v>0</v>
      </c>
      <c r="CK19" s="110">
        <f>第十五期!$CX$51</f>
        <v>0</v>
      </c>
      <c r="CL19" s="110">
        <f>第十五期!$CX$52</f>
        <v>0</v>
      </c>
      <c r="CM19" s="110">
        <f>第十五期!$CX$53</f>
        <v>0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262</v>
      </c>
      <c r="D20" s="9"/>
      <c r="E20" s="9"/>
      <c r="F20" s="10"/>
      <c r="M20" s="30"/>
      <c r="N20" s="32" t="s">
        <v>104</v>
      </c>
      <c r="O20" s="38">
        <f>K16+AJ19-AJ18</f>
        <v>19959579.9448683</v>
      </c>
      <c r="P20" s="35"/>
      <c r="Q20" s="45"/>
      <c r="W20" s="50"/>
      <c r="X20" s="42" t="s">
        <v>249</v>
      </c>
      <c r="Y20" s="107">
        <f>第十五期!K8+第十五期!Y18*比赛参数!D59-第十五期!AA18</f>
        <v>448</v>
      </c>
      <c r="Z20" s="42" t="s">
        <v>239</v>
      </c>
      <c r="AA20" s="108">
        <f>第十五期!K9</f>
        <v>338</v>
      </c>
      <c r="AB20" s="42" t="s">
        <v>250</v>
      </c>
      <c r="AC20" s="109">
        <f>AC18*比赛参数!D41+第十五期!K10</f>
        <v>455290</v>
      </c>
      <c r="AE20" s="11" t="s">
        <v>251</v>
      </c>
      <c r="AF20" s="101"/>
      <c r="AG20" s="42" t="s">
        <v>87</v>
      </c>
      <c r="AH20" s="147">
        <f>第十五期!BS62+第十五期!BS71</f>
        <v>2329600</v>
      </c>
      <c r="AI20" s="73" t="s">
        <v>252</v>
      </c>
      <c r="AJ20" s="111">
        <f>第十五期!BV90</f>
        <v>6311548.35662788</v>
      </c>
      <c r="AK20" s="148" t="s">
        <v>253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第十五期!Y9</f>
        <v>0</v>
      </c>
      <c r="BT20" s="198">
        <f>第十五期!Z9</f>
        <v>0</v>
      </c>
      <c r="BU20" s="198">
        <f>第十五期!AA9</f>
        <v>0</v>
      </c>
      <c r="BV20" s="198">
        <f>第十五期!AB9</f>
        <v>0</v>
      </c>
      <c r="BW20" s="200">
        <f>第十五期!AJ34</f>
        <v>0</v>
      </c>
      <c r="BX20" s="215"/>
      <c r="CA20" s="213"/>
      <c r="CB20" s="196" t="s">
        <v>56</v>
      </c>
      <c r="CC20" s="110">
        <f>第十五期!$CY$68</f>
        <v>0</v>
      </c>
      <c r="CD20" s="110">
        <f>第十五期!$CY$69</f>
        <v>0</v>
      </c>
      <c r="CE20" s="110">
        <f>第十五期!$CY$70</f>
        <v>0</v>
      </c>
      <c r="CF20" s="110">
        <f>第十五期!$CY$71</f>
        <v>0</v>
      </c>
      <c r="CG20" s="219"/>
      <c r="CH20" s="225"/>
      <c r="CI20" s="227" t="s">
        <v>56</v>
      </c>
      <c r="CJ20" s="110">
        <f>第十五期!$CY$50</f>
        <v>0</v>
      </c>
      <c r="CK20" s="110">
        <f>第十五期!$CY$51</f>
        <v>0</v>
      </c>
      <c r="CL20" s="110">
        <f>第十五期!$CY$52</f>
        <v>0</v>
      </c>
      <c r="CM20" s="110">
        <f>第十五期!$CY$53</f>
        <v>0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/>
      <c r="E21" s="9"/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0</v>
      </c>
      <c r="Z21" s="42" t="s">
        <v>256</v>
      </c>
      <c r="AA21" s="110">
        <f>MAX(Y14,Z14+AA14,AB14)</f>
        <v>0</v>
      </c>
      <c r="AB21" s="42" t="s">
        <v>257</v>
      </c>
      <c r="AC21" s="111">
        <f>AC9*比赛参数!D28+AC10*比赛参数!E28+AC11*比赛参数!F28+AC12*比赛参数!G28</f>
        <v>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0</v>
      </c>
      <c r="AI21" s="42" t="s">
        <v>260</v>
      </c>
      <c r="AJ21" s="139">
        <f>比赛参数!D67</f>
        <v>2500000</v>
      </c>
      <c r="AK21" s="148" t="s">
        <v>261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第十五期!Y10</f>
        <v>0</v>
      </c>
      <c r="BT21" s="198">
        <f>第十五期!Z10</f>
        <v>0</v>
      </c>
      <c r="BU21" s="198">
        <f>第十五期!AA10</f>
        <v>0</v>
      </c>
      <c r="BV21" s="198">
        <f>第十五期!AB10</f>
        <v>0</v>
      </c>
      <c r="BW21" s="200">
        <f>第十五期!AJ35</f>
        <v>0</v>
      </c>
      <c r="BX21" s="215"/>
      <c r="CA21" s="213"/>
      <c r="CB21" s="196" t="s">
        <v>57</v>
      </c>
      <c r="CC21" s="110">
        <f>第十五期!$CZ$68</f>
        <v>0</v>
      </c>
      <c r="CD21" s="110">
        <f>第十五期!$CZ$69</f>
        <v>0</v>
      </c>
      <c r="CE21" s="110">
        <f>第十五期!$CZ$70</f>
        <v>0</v>
      </c>
      <c r="CF21" s="110">
        <f>第十五期!$CZ$71</f>
        <v>0</v>
      </c>
      <c r="CG21" s="219"/>
      <c r="CH21" s="225"/>
      <c r="CI21" s="227" t="s">
        <v>57</v>
      </c>
      <c r="CJ21" s="110">
        <f>第十五期!$CZ$50</f>
        <v>0</v>
      </c>
      <c r="CK21" s="110">
        <f>第十五期!$CZ$51</f>
        <v>0</v>
      </c>
      <c r="CL21" s="110">
        <f>第十五期!$CZ$52</f>
        <v>0</v>
      </c>
      <c r="CM21" s="110">
        <f>第十五期!$CZ$53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0</v>
      </c>
      <c r="AB22" s="114">
        <f>AA22/AA20</f>
        <v>0</v>
      </c>
      <c r="AD22" s="115"/>
      <c r="AH22" s="151">
        <f>AH20+AH21</f>
        <v>2329600</v>
      </c>
      <c r="AI22" s="42" t="s">
        <v>264</v>
      </c>
      <c r="AJ22" s="139">
        <f>K11</f>
        <v>9618135.59025289</v>
      </c>
      <c r="AK22" s="2" t="s">
        <v>265</v>
      </c>
      <c r="AL22" s="152">
        <f>K10</f>
        <v>455290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第十五期!Y11</f>
        <v>0</v>
      </c>
      <c r="BT22" s="198">
        <f>第十五期!Z11</f>
        <v>0</v>
      </c>
      <c r="BU22" s="198">
        <f>第十五期!AA11</f>
        <v>0</v>
      </c>
      <c r="BV22" s="198">
        <f>第十五期!AB11</f>
        <v>0</v>
      </c>
      <c r="BW22" s="200">
        <f>第十五期!AJ36</f>
        <v>0</v>
      </c>
      <c r="BX22" s="215"/>
      <c r="CA22" s="213"/>
      <c r="CB22" s="196" t="s">
        <v>58</v>
      </c>
      <c r="CC22" s="110">
        <f>第十五期!$DA$68</f>
        <v>0</v>
      </c>
      <c r="CD22" s="110">
        <f>第十五期!$DA$69</f>
        <v>0</v>
      </c>
      <c r="CE22" s="110">
        <f>第十五期!$DA$70</f>
        <v>0</v>
      </c>
      <c r="CF22" s="110">
        <f>第十五期!$DA$71</f>
        <v>0</v>
      </c>
      <c r="CG22" s="219"/>
      <c r="CH22" s="225"/>
      <c r="CI22" s="227" t="s">
        <v>58</v>
      </c>
      <c r="CJ22" s="110">
        <f>第十五期!$DA$50</f>
        <v>0</v>
      </c>
      <c r="CK22" s="110">
        <f>第十五期!$DA$51</f>
        <v>0</v>
      </c>
      <c r="CL22" s="110">
        <f>第十五期!$DA$52</f>
        <v>0</v>
      </c>
      <c r="CM22" s="110">
        <f>第十五期!$DA$53</f>
        <v>0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4110807.683625</v>
      </c>
      <c r="AK23" s="2" t="s">
        <v>272</v>
      </c>
      <c r="AL23" s="152">
        <f>AL22+AC18-AC21</f>
        <v>455290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第十五期!Y12</f>
        <v>0</v>
      </c>
      <c r="BT23" s="198">
        <f>第十五期!Z12</f>
        <v>0</v>
      </c>
      <c r="BU23" s="198">
        <f>第十五期!AA12</f>
        <v>0</v>
      </c>
      <c r="BV23" s="198">
        <f>第十五期!AB12</f>
        <v>0</v>
      </c>
      <c r="BW23" s="200">
        <f>第十五期!AJ37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-2640.23076923077</v>
      </c>
      <c r="DA23" s="2">
        <f t="shared" si="14"/>
        <v>-2599.23076923077</v>
      </c>
      <c r="DB23" s="2">
        <f t="shared" si="14"/>
        <v>-2757.23076923077</v>
      </c>
      <c r="DC23" s="2">
        <f t="shared" si="14"/>
        <v>-2807.23076923077</v>
      </c>
      <c r="DF23" s="2" t="s">
        <v>38</v>
      </c>
      <c r="DG23" s="2">
        <f t="shared" ref="DG23:DJ26" si="15">BS7-DG17</f>
        <v>-1850.5</v>
      </c>
      <c r="DH23" s="2">
        <f t="shared" si="15"/>
        <v>-1850.5</v>
      </c>
      <c r="DI23" s="2">
        <f t="shared" si="15"/>
        <v>-2013</v>
      </c>
      <c r="DJ23" s="2">
        <f t="shared" si="15"/>
        <v>-2013</v>
      </c>
      <c r="DM23" s="2">
        <f t="shared" ref="DM23:DP26" si="16">DG23/CS23</f>
        <v>-18.505</v>
      </c>
      <c r="DN23" s="2">
        <f t="shared" si="16"/>
        <v>-18.505</v>
      </c>
      <c r="DO23" s="2">
        <f t="shared" si="16"/>
        <v>-20.13</v>
      </c>
      <c r="DP23" s="2">
        <f t="shared" si="16"/>
        <v>-20.13</v>
      </c>
      <c r="DQ23" s="2" t="e">
        <f>SUMPRODUCT(DM23:DP23,BS14:BV14)/SUM(BS14:BV14)</f>
        <v>#DIV/0!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274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274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-5450.07692307692</v>
      </c>
      <c r="DA24" s="2">
        <f t="shared" si="14"/>
        <v>-5366.07692307692</v>
      </c>
      <c r="DB24" s="2">
        <f t="shared" si="14"/>
        <v>-5583.07692307692</v>
      </c>
      <c r="DC24" s="2">
        <f t="shared" si="14"/>
        <v>-5633.07692307692</v>
      </c>
      <c r="DF24" s="2" t="s">
        <v>39</v>
      </c>
      <c r="DG24" s="2">
        <f t="shared" si="15"/>
        <v>-3485</v>
      </c>
      <c r="DH24" s="2">
        <f t="shared" si="15"/>
        <v>-3485</v>
      </c>
      <c r="DI24" s="2">
        <f t="shared" si="15"/>
        <v>-3685</v>
      </c>
      <c r="DJ24" s="2">
        <f t="shared" si="15"/>
        <v>-3685</v>
      </c>
      <c r="DM24" s="2">
        <f t="shared" si="16"/>
        <v>-13.94</v>
      </c>
      <c r="DN24" s="2">
        <f t="shared" si="16"/>
        <v>-13.94</v>
      </c>
      <c r="DO24" s="2">
        <f t="shared" si="16"/>
        <v>-14.74</v>
      </c>
      <c r="DP24" s="2">
        <f t="shared" si="16"/>
        <v>-14.74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275</v>
      </c>
      <c r="AE25" s="117">
        <f>AC5/AC$4</f>
        <v>0.865168539325843</v>
      </c>
      <c r="AF25" s="117">
        <f>AC6/AC$4</f>
        <v>0.297752808988764</v>
      </c>
      <c r="AG25" s="117">
        <f>AC7/AC$4</f>
        <v>0.365168539325843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-7763.07692307692</v>
      </c>
      <c r="DA25" s="2">
        <f t="shared" si="14"/>
        <v>-7651.07692307692</v>
      </c>
      <c r="DB25" s="2">
        <f t="shared" si="14"/>
        <v>-7907.07692307692</v>
      </c>
      <c r="DC25" s="2">
        <f t="shared" si="14"/>
        <v>-7957.07692307692</v>
      </c>
      <c r="DF25" s="2" t="s">
        <v>40</v>
      </c>
      <c r="DG25" s="2">
        <f t="shared" si="15"/>
        <v>-4784</v>
      </c>
      <c r="DH25" s="2">
        <f t="shared" si="15"/>
        <v>-4784</v>
      </c>
      <c r="DI25" s="2">
        <f t="shared" si="15"/>
        <v>-5009</v>
      </c>
      <c r="DJ25" s="2">
        <f t="shared" si="15"/>
        <v>-5009</v>
      </c>
      <c r="DM25" s="2">
        <f t="shared" si="16"/>
        <v>-12.5894736842105</v>
      </c>
      <c r="DN25" s="2">
        <f t="shared" si="16"/>
        <v>-12.5894736842105</v>
      </c>
      <c r="DO25" s="2">
        <f t="shared" si="16"/>
        <v>-13.1815789473684</v>
      </c>
      <c r="DP25" s="2">
        <f t="shared" si="16"/>
        <v>-13.1815789473684</v>
      </c>
      <c r="DQ25" s="2" t="e">
        <f>SUMPRODUCT(DM25:DP25,BS16:BV16)/SUM(BS16:BV16)</f>
        <v>#DIV/0!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第十五期!BV57-第十五期!BV76</f>
        <v>3261108.533625</v>
      </c>
      <c r="AJ26" s="65">
        <f>第十五期!K9</f>
        <v>338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第十五期!DB50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第十五期!Y18</f>
        <v>0</v>
      </c>
      <c r="BT26" s="198">
        <f>第十五期!AA18</f>
        <v>0</v>
      </c>
      <c r="BU26" s="198">
        <f>第十五期!AF18</f>
        <v>0</v>
      </c>
      <c r="BV26" s="204">
        <f>第十五期!AC18</f>
        <v>0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-10226</v>
      </c>
      <c r="DA26" s="2">
        <f t="shared" si="14"/>
        <v>-10088</v>
      </c>
      <c r="DB26" s="2">
        <f t="shared" si="14"/>
        <v>-10432</v>
      </c>
      <c r="DC26" s="2">
        <f t="shared" si="14"/>
        <v>-10482</v>
      </c>
      <c r="DF26" s="2" t="s">
        <v>41</v>
      </c>
      <c r="DG26" s="2">
        <f t="shared" si="15"/>
        <v>-6157</v>
      </c>
      <c r="DH26" s="2">
        <f t="shared" si="15"/>
        <v>-6157</v>
      </c>
      <c r="DI26" s="2">
        <f t="shared" si="15"/>
        <v>-6457</v>
      </c>
      <c r="DJ26" s="2">
        <f t="shared" si="15"/>
        <v>-6457</v>
      </c>
      <c r="DM26" s="2">
        <f t="shared" si="16"/>
        <v>-11.8403846153846</v>
      </c>
      <c r="DN26" s="2">
        <f t="shared" si="16"/>
        <v>-11.8403846153846</v>
      </c>
      <c r="DO26" s="2">
        <f t="shared" si="16"/>
        <v>-12.4173076923077</v>
      </c>
      <c r="DP26" s="2">
        <f t="shared" si="16"/>
        <v>-12.4173076923077</v>
      </c>
      <c r="DQ26" s="2" t="e">
        <f>SUMPRODUCT(DM26:DP26,BS17:BV17)/SUM(BS17:BV17)</f>
        <v>#DIV/0!</v>
      </c>
      <c r="DT26" s="127" t="s">
        <v>21</v>
      </c>
      <c r="DU26" s="251">
        <f>D42</f>
        <v>178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第十五期!DB51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154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第十五期!DB52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53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第十五期!DB53</f>
        <v>0</v>
      </c>
      <c r="BQ29" s="177"/>
      <c r="BR29" s="201"/>
      <c r="BS29" s="204">
        <f>第十五期!AH14</f>
        <v>0</v>
      </c>
      <c r="BT29" s="204">
        <f>第十五期!AH15</f>
        <v>0</v>
      </c>
      <c r="BU29" s="198">
        <f>第十五期!AF20</f>
        <v>0</v>
      </c>
      <c r="BV29" s="204">
        <f>第十五期!AJ18</f>
        <v>0</v>
      </c>
      <c r="BW29" s="218">
        <f>第十五期!AH18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-26.4023076923077</v>
      </c>
      <c r="DA29" s="2">
        <f t="shared" si="25"/>
        <v>-25.9923076923077</v>
      </c>
      <c r="DB29" s="2">
        <f t="shared" si="25"/>
        <v>-27.5723076923077</v>
      </c>
      <c r="DC29" s="2">
        <f t="shared" si="25"/>
        <v>-28.0723076923077</v>
      </c>
      <c r="DD29" s="2" t="e">
        <f>SUMPRODUCT(CZ29:DC29,BS14:BV14)/SUM(BS14:BV14)</f>
        <v>#DIV/0!</v>
      </c>
      <c r="DF29" s="2" t="s">
        <v>38</v>
      </c>
      <c r="DG29" s="2">
        <f t="shared" ref="DG29:DJ32" si="26">DG23/CS23</f>
        <v>-18.505</v>
      </c>
      <c r="DH29" s="2">
        <f t="shared" si="26"/>
        <v>-18.505</v>
      </c>
      <c r="DI29" s="2">
        <f t="shared" si="26"/>
        <v>-20.13</v>
      </c>
      <c r="DJ29" s="2">
        <f t="shared" si="26"/>
        <v>-20.13</v>
      </c>
      <c r="DK29" s="2" t="e">
        <f>SUMPRODUCT(DG29:DJ29,BS14:BV14)/SUM(BS14:BV14)</f>
        <v>#DIV/0!</v>
      </c>
      <c r="DM29" s="2">
        <f t="shared" ref="DM29:DP32" si="27">DG23/CS29</f>
        <v>-15.4208333333333</v>
      </c>
      <c r="DN29" s="2">
        <f t="shared" si="27"/>
        <v>-15.4208333333333</v>
      </c>
      <c r="DO29" s="2">
        <f t="shared" si="27"/>
        <v>-16.775</v>
      </c>
      <c r="DP29" s="2">
        <f t="shared" si="27"/>
        <v>-16.775</v>
      </c>
      <c r="DQ29" s="2" t="e">
        <f>SUMPRODUCT(DM29:DP29,BS14:BV14)/SUM(BS14:BV14)</f>
        <v>#DIV/0!</v>
      </c>
      <c r="DT29" s="127" t="s">
        <v>24</v>
      </c>
      <c r="DU29" s="251">
        <f>D45</f>
        <v>65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-21.8003076923077</v>
      </c>
      <c r="DA30" s="2">
        <f t="shared" si="25"/>
        <v>-21.4643076923077</v>
      </c>
      <c r="DB30" s="2">
        <f t="shared" si="25"/>
        <v>-22.3323076923077</v>
      </c>
      <c r="DC30" s="2">
        <f t="shared" si="25"/>
        <v>-22.5323076923077</v>
      </c>
      <c r="DD30" s="2" t="e">
        <f>SUMPRODUCT(CZ30:DC30,BS15:BV15)/SUM(BS15:BV15)</f>
        <v>#DIV/0!</v>
      </c>
      <c r="DF30" s="2" t="s">
        <v>39</v>
      </c>
      <c r="DG30" s="2">
        <f t="shared" si="26"/>
        <v>-13.94</v>
      </c>
      <c r="DH30" s="2">
        <f t="shared" si="26"/>
        <v>-13.94</v>
      </c>
      <c r="DI30" s="2">
        <f t="shared" si="26"/>
        <v>-14.74</v>
      </c>
      <c r="DJ30" s="2">
        <f t="shared" si="26"/>
        <v>-14.74</v>
      </c>
      <c r="DK30" s="2" t="e">
        <f>SUMPRODUCT(DG30:DJ30,BS15:BV15)/SUM(BS15:BV15)</f>
        <v>#DIV/0!</v>
      </c>
      <c r="DM30" s="2">
        <f t="shared" si="27"/>
        <v>-23.2333333333333</v>
      </c>
      <c r="DN30" s="2">
        <f t="shared" si="27"/>
        <v>-23.2333333333333</v>
      </c>
      <c r="DO30" s="2">
        <f t="shared" si="27"/>
        <v>-24.5666666666667</v>
      </c>
      <c r="DP30" s="2">
        <f t="shared" si="27"/>
        <v>-24.5666666666667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>
        <f>Y20/AA20/2</f>
        <v>0.662721893491124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-20.4291497975709</v>
      </c>
      <c r="DA31" s="2">
        <f t="shared" si="25"/>
        <v>-20.1344129554656</v>
      </c>
      <c r="DB31" s="2">
        <f t="shared" si="25"/>
        <v>-20.8080971659919</v>
      </c>
      <c r="DC31" s="2">
        <f t="shared" si="25"/>
        <v>-20.9396761133603</v>
      </c>
      <c r="DD31" s="2" t="e">
        <f>SUMPRODUCT(CZ31:DC31,BS16:BV16)/SUM(BS16:BV16)</f>
        <v>#DIV/0!</v>
      </c>
      <c r="DF31" s="2" t="s">
        <v>40</v>
      </c>
      <c r="DG31" s="2">
        <f t="shared" si="26"/>
        <v>-12.5894736842105</v>
      </c>
      <c r="DH31" s="2">
        <f t="shared" si="26"/>
        <v>-12.5894736842105</v>
      </c>
      <c r="DI31" s="2">
        <f t="shared" si="26"/>
        <v>-13.1815789473684</v>
      </c>
      <c r="DJ31" s="2">
        <f t="shared" si="26"/>
        <v>-13.1815789473684</v>
      </c>
      <c r="DK31" s="2" t="e">
        <f>SUMPRODUCT(DG31:DJ31,BS16:BV16)/SUM(BS16:BV16)</f>
        <v>#DIV/0!</v>
      </c>
      <c r="DM31" s="2">
        <f t="shared" si="27"/>
        <v>-29.9</v>
      </c>
      <c r="DN31" s="2">
        <f t="shared" si="27"/>
        <v>-29.9</v>
      </c>
      <c r="DO31" s="2">
        <f t="shared" si="27"/>
        <v>-31.30625</v>
      </c>
      <c r="DP31" s="2">
        <f t="shared" si="27"/>
        <v>-31.30625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-19.6653846153846</v>
      </c>
      <c r="DA32" s="2">
        <f t="shared" si="25"/>
        <v>-19.4</v>
      </c>
      <c r="DB32" s="2">
        <f t="shared" si="25"/>
        <v>-20.0615384615385</v>
      </c>
      <c r="DC32" s="2">
        <f t="shared" si="25"/>
        <v>-20.1576923076923</v>
      </c>
      <c r="DD32" s="2" t="e">
        <f>SUMPRODUCT(CZ32:DC32,BS17:BV17)/SUM(BS17:BV17)</f>
        <v>#DIV/0!</v>
      </c>
      <c r="DF32" s="2" t="s">
        <v>41</v>
      </c>
      <c r="DG32" s="2">
        <f t="shared" si="26"/>
        <v>-11.8403846153846</v>
      </c>
      <c r="DH32" s="2">
        <f t="shared" si="26"/>
        <v>-11.8403846153846</v>
      </c>
      <c r="DI32" s="2">
        <f t="shared" si="26"/>
        <v>-12.4173076923077</v>
      </c>
      <c r="DJ32" s="2">
        <f t="shared" si="26"/>
        <v>-12.4173076923077</v>
      </c>
      <c r="DK32" s="2" t="e">
        <f>SUMPRODUCT(DG32:DJ32,BS17:BV17)/SUM(BS17:BV17)</f>
        <v>#DIV/0!</v>
      </c>
      <c r="DM32" s="2">
        <f t="shared" si="27"/>
        <v>-34.2055555555556</v>
      </c>
      <c r="DN32" s="2">
        <f t="shared" si="27"/>
        <v>-34.2055555555556</v>
      </c>
      <c r="DO32" s="2">
        <f t="shared" si="27"/>
        <v>-35.8722222222222</v>
      </c>
      <c r="DP32" s="2">
        <f t="shared" si="27"/>
        <v>-35.8722222222222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304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INT(第十五期!DV26)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305</v>
      </c>
      <c r="CC34" s="230">
        <f t="shared" si="29"/>
        <v>0</v>
      </c>
      <c r="CD34" s="230">
        <f t="shared" si="29"/>
        <v>0</v>
      </c>
      <c r="CE34" s="230">
        <f t="shared" si="29"/>
        <v>0</v>
      </c>
      <c r="CF34" s="230">
        <f t="shared" si="29"/>
        <v>0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INT(第十五期!DV27)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307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-1</v>
      </c>
      <c r="DA35" s="2">
        <f t="shared" si="32"/>
        <v>-1</v>
      </c>
      <c r="DB35" s="2">
        <f t="shared" si="32"/>
        <v>-1</v>
      </c>
      <c r="DC35" s="2">
        <f t="shared" si="32"/>
        <v>-1</v>
      </c>
      <c r="DD35" s="2" t="e">
        <f>SUMPRODUCT(CZ35:DC35,BS14:BV14)/SUM(BS14:BV14)</f>
        <v>#DIV/0!</v>
      </c>
      <c r="DG35" s="2">
        <f t="shared" ref="DG35:DJ38" si="33">DG23/DG17</f>
        <v>-1</v>
      </c>
      <c r="DH35" s="2">
        <f t="shared" si="33"/>
        <v>-1</v>
      </c>
      <c r="DI35" s="2">
        <f t="shared" si="33"/>
        <v>-1</v>
      </c>
      <c r="DJ35" s="2">
        <f t="shared" si="33"/>
        <v>-1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300000</v>
      </c>
      <c r="AL36" s="42" t="s">
        <v>308</v>
      </c>
      <c r="AM36" s="65">
        <f>INT(第十五期!DV28)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-1</v>
      </c>
      <c r="DA36" s="2">
        <f t="shared" si="32"/>
        <v>-1</v>
      </c>
      <c r="DB36" s="2">
        <f t="shared" si="32"/>
        <v>-1</v>
      </c>
      <c r="DC36" s="2">
        <f t="shared" si="32"/>
        <v>-1</v>
      </c>
      <c r="DD36" s="2" t="e">
        <f>SUMPRODUCT(CZ36:DC36,BS15:BV15)/SUM(BS15:BV15)</f>
        <v>#DIV/0!</v>
      </c>
      <c r="DG36" s="2">
        <f t="shared" si="33"/>
        <v>-1</v>
      </c>
      <c r="DH36" s="2">
        <f t="shared" si="33"/>
        <v>-1</v>
      </c>
      <c r="DI36" s="2">
        <f t="shared" si="33"/>
        <v>-1</v>
      </c>
      <c r="DJ36" s="2">
        <f t="shared" si="33"/>
        <v>-1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500000</v>
      </c>
      <c r="AL37" s="154">
        <f>SUM(AJ34:AJ37)</f>
        <v>0</v>
      </c>
      <c r="AM37" s="65">
        <f>INT(第十五期!DV29)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-1</v>
      </c>
      <c r="DA37" s="2">
        <f t="shared" si="32"/>
        <v>-1</v>
      </c>
      <c r="DB37" s="2">
        <f t="shared" si="32"/>
        <v>-1</v>
      </c>
      <c r="DC37" s="2">
        <f t="shared" si="32"/>
        <v>-1</v>
      </c>
      <c r="DD37" s="2" t="e">
        <f>SUMPRODUCT(CZ37:DC37,BS16:BV16)/SUM(BS16:BV16)</f>
        <v>#DIV/0!</v>
      </c>
      <c r="DG37" s="2">
        <f t="shared" si="33"/>
        <v>-1</v>
      </c>
      <c r="DH37" s="2">
        <f t="shared" si="33"/>
        <v>-1</v>
      </c>
      <c r="DI37" s="2">
        <f t="shared" si="33"/>
        <v>-1</v>
      </c>
      <c r="DJ37" s="2">
        <f t="shared" si="33"/>
        <v>-1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第十五期!DG56*第十五期!DG50+第十五期!DG64*第十五期!Y88</f>
        <v>0</v>
      </c>
      <c r="CD38" s="108">
        <f>第十五期!DH56*第十五期!DH50+第十五期!DH64*第十五期!Z88</f>
        <v>0</v>
      </c>
      <c r="CE38" s="108">
        <f>第十五期!DI56*第十五期!DI50+第十五期!DI64*第十五期!AA88</f>
        <v>0</v>
      </c>
      <c r="CF38" s="108">
        <f>第十五期!DJ56*第十五期!DJ50+第十五期!DJ64*第十五期!AB88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-1</v>
      </c>
      <c r="DA38" s="2">
        <f t="shared" si="32"/>
        <v>-1</v>
      </c>
      <c r="DB38" s="2">
        <f t="shared" si="32"/>
        <v>-1</v>
      </c>
      <c r="DC38" s="2">
        <f t="shared" si="32"/>
        <v>-1</v>
      </c>
      <c r="DD38" s="2" t="e">
        <f>SUMPRODUCT(CZ38:DC38,BS17:BV17)/SUM(BS17:BV17)</f>
        <v>#DIV/0!</v>
      </c>
      <c r="DG38" s="2">
        <f t="shared" si="33"/>
        <v>-1</v>
      </c>
      <c r="DH38" s="2">
        <f t="shared" si="33"/>
        <v>-1</v>
      </c>
      <c r="DI38" s="2">
        <f t="shared" si="33"/>
        <v>-1</v>
      </c>
      <c r="DJ38" s="2">
        <f t="shared" si="33"/>
        <v>-1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第十五期!DG57*第十五期!DG51+第十五期!DG65*第十五期!Y89</f>
        <v>0</v>
      </c>
      <c r="CD39" s="108">
        <f>第十五期!DH57*第十五期!DH51+第十五期!DH65*第十五期!Z89</f>
        <v>0</v>
      </c>
      <c r="CE39" s="108">
        <f>第十五期!DI57*第十五期!DI51+第十五期!DI65*第十五期!AA89</f>
        <v>0</v>
      </c>
      <c r="CF39" s="108">
        <f>第十五期!DJ57*第十五期!DJ51+第十五期!DJ65*第十五期!AB89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第十五期!DG58*第十五期!DG52+第十五期!DG66*第十五期!Y90</f>
        <v>0</v>
      </c>
      <c r="CD40" s="108">
        <f>第十五期!DH58*第十五期!DH52+第十五期!DH66*第十五期!Z90</f>
        <v>0</v>
      </c>
      <c r="CE40" s="108">
        <f>第十五期!DI58*第十五期!DI52+第十五期!DI66*第十五期!AA90</f>
        <v>0</v>
      </c>
      <c r="CF40" s="108">
        <f>第十五期!DJ58*第十五期!DJ52+第十五期!DJ66*第十五期!AB90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第十五期!DG59*第十五期!DG53+第十五期!DG67*第十五期!Y91</f>
        <v>0</v>
      </c>
      <c r="CD41" s="108">
        <f>第十五期!DH59*第十五期!DH53+第十五期!DH67*第十五期!Z91</f>
        <v>0</v>
      </c>
      <c r="CE41" s="108">
        <f>第十五期!DI59*第十五期!DI53+第十五期!DI67*第十五期!AA91</f>
        <v>0</v>
      </c>
      <c r="CF41" s="108">
        <f>第十五期!DJ59*第十五期!DJ53+第十五期!DJ67*第十五期!AB91</f>
        <v>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 t="e">
        <f>SUMPRODUCT(DG41:DJ41,BS14:BV14)/SUM(BS14:BV14)</f>
        <v>#DIV/0!</v>
      </c>
    </row>
    <row r="42" ht="15.6" spans="2:115">
      <c r="B42" s="7"/>
      <c r="C42" s="18" t="s">
        <v>287</v>
      </c>
      <c r="D42" s="9">
        <v>178</v>
      </c>
      <c r="E42" s="9">
        <v>0</v>
      </c>
      <c r="F42" s="14"/>
      <c r="G42" s="9"/>
      <c r="H42" s="9"/>
      <c r="I42" s="10"/>
      <c r="M42" s="30"/>
      <c r="N42" s="39" t="s">
        <v>287</v>
      </c>
      <c r="O42" s="39">
        <f>AO4</f>
        <v>178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308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 t="e">
        <f>SUMPRODUCT(DG42:DJ42,BS15:BV15)/SUM(BS15:BV15)</f>
        <v>#DIV/0!</v>
      </c>
    </row>
    <row r="43" ht="16.35" spans="2:115">
      <c r="B43" s="7"/>
      <c r="C43" s="18" t="s">
        <v>288</v>
      </c>
      <c r="D43" s="9">
        <v>154</v>
      </c>
      <c r="E43" s="9">
        <v>0</v>
      </c>
      <c r="F43" s="14"/>
      <c r="G43" s="9"/>
      <c r="H43" s="9"/>
      <c r="I43" s="10"/>
      <c r="M43" s="30"/>
      <c r="N43" s="39" t="s">
        <v>288</v>
      </c>
      <c r="O43" s="39">
        <f>AO5</f>
        <v>154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 t="e">
        <f>SUMPRODUCT(DG43:DJ43,BS16:BV16)/SUM(BS16:BV16)</f>
        <v>#DIV/0!</v>
      </c>
    </row>
    <row r="44" ht="16.35" spans="2:115">
      <c r="B44" s="7"/>
      <c r="C44" s="18" t="s">
        <v>289</v>
      </c>
      <c r="D44" s="9">
        <v>53</v>
      </c>
      <c r="E44" s="9">
        <v>0</v>
      </c>
      <c r="F44" s="9"/>
      <c r="G44" s="9"/>
      <c r="H44" s="9"/>
      <c r="I44" s="10"/>
      <c r="M44" s="30"/>
      <c r="N44" s="39" t="s">
        <v>289</v>
      </c>
      <c r="O44" s="39">
        <f>AO6</f>
        <v>53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 t="e">
        <f>SUMPRODUCT(DG44:DJ44,BS17:BV17)/SUM(BS17:BV17)</f>
        <v>#DIV/0!</v>
      </c>
    </row>
    <row r="45" ht="16.35" spans="2:60">
      <c r="B45" s="7"/>
      <c r="C45" s="18" t="s">
        <v>290</v>
      </c>
      <c r="D45" s="9">
        <v>65</v>
      </c>
      <c r="E45" s="9">
        <v>0</v>
      </c>
      <c r="F45" s="9"/>
      <c r="G45" s="9"/>
      <c r="H45" s="9"/>
      <c r="I45" s="10"/>
      <c r="M45" s="30"/>
      <c r="N45" s="39" t="s">
        <v>290</v>
      </c>
      <c r="O45" s="39">
        <f>AO7</f>
        <v>65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第十五期!Y9*第十五期!CQ62*比赛参数!D65</f>
        <v>0</v>
      </c>
      <c r="CR50" s="65">
        <f>第十五期!Z9*第十五期!CR62*比赛参数!E65</f>
        <v>0</v>
      </c>
      <c r="CS50" s="65">
        <f>第十五期!AA9*第十五期!CS62*比赛参数!F65</f>
        <v>0</v>
      </c>
      <c r="CT50" s="65">
        <f>第十五期!AB9*第十五期!CT62*比赛参数!G65</f>
        <v>0</v>
      </c>
      <c r="CU50" s="65">
        <f>IF(第十五期!AC9&gt;0,SUM(CQ50:CT50)/第十五期!AC9,0)</f>
        <v>0</v>
      </c>
      <c r="CW50" s="11" t="s">
        <v>38</v>
      </c>
      <c r="CX50" s="242">
        <f>IF(第十五期!$CU$50*第十五期!CQ93&gt;0,第十五期!$CU$50+第十五期!CQ68+第十五期!CQ93+第十五期!CQ74,0)</f>
        <v>0</v>
      </c>
      <c r="CY50" s="242">
        <f>IF(第十五期!$CU$50*第十五期!CR93&gt;0,第十五期!$CU$50+第十五期!CR68+第十五期!CR93+第十五期!CR74,0)</f>
        <v>0</v>
      </c>
      <c r="CZ50" s="242">
        <f>IF(第十五期!$CU$50*第十五期!CS93&gt;0,第十五期!$CU$50+第十五期!CS68+第十五期!CS93+第十五期!CS74,0)</f>
        <v>0</v>
      </c>
      <c r="DA50" s="242">
        <f>IF(第十五期!$CU$50*第十五期!CT93&gt;0,第十五期!$CU$50+第十五期!CT68+第十五期!CT93+第十五期!CT74,0)</f>
        <v>0</v>
      </c>
      <c r="DB50" s="242">
        <f>AVERAGE(CX50:DA50)</f>
        <v>0</v>
      </c>
      <c r="DF50" s="65" t="s">
        <v>55</v>
      </c>
      <c r="DG50" s="245">
        <f>IF(第十五期!Y88&gt;0,1,0)</f>
        <v>0</v>
      </c>
      <c r="DH50" s="245">
        <f>IF(第十五期!Z88&gt;0,1,0)</f>
        <v>0</v>
      </c>
      <c r="DI50" s="245">
        <f>IF(第十五期!AA88&gt;0,1,0)</f>
        <v>0</v>
      </c>
      <c r="DJ50" s="245">
        <f>IF(第十五期!AB88&gt;0,1,0)</f>
        <v>0</v>
      </c>
      <c r="DL50" s="245" t="s">
        <v>21</v>
      </c>
      <c r="DM50" s="248">
        <f>IF(第十五期!Y9+第十五期!Z9&gt;0,1,0)</f>
        <v>0</v>
      </c>
      <c r="DN50" s="248">
        <f>IF(第十五期!AA9+第十五期!AB9&gt;0,1,0)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第十五期!Y10*第十五期!CQ63*比赛参数!D65</f>
        <v>0</v>
      </c>
      <c r="CR51" s="65">
        <f>第十五期!Z10*第十五期!CR63*比赛参数!E65</f>
        <v>0</v>
      </c>
      <c r="CS51" s="65">
        <f>第十五期!AA10*第十五期!CS63*比赛参数!F65</f>
        <v>0</v>
      </c>
      <c r="CT51" s="65">
        <f>第十五期!AB10*第十五期!CT63*比赛参数!G65</f>
        <v>0</v>
      </c>
      <c r="CU51" s="65">
        <f>IF(第十五期!AC10&gt;0,SUM(CQ51:CT51)/第十五期!AC10,0)</f>
        <v>0</v>
      </c>
      <c r="CW51" s="11" t="s">
        <v>39</v>
      </c>
      <c r="CX51" s="242">
        <f>IF(第十五期!$CU$51*第十五期!CQ94&gt;0,第十五期!$CU$51+第十五期!CQ69+第十五期!CQ94+第十五期!CQ75,0)</f>
        <v>0</v>
      </c>
      <c r="CY51" s="242">
        <f>IF(第十五期!$CU$51*第十五期!CR94&gt;0,第十五期!$CU$51+第十五期!CR69+第十五期!CR94+第十五期!CR75,0)</f>
        <v>0</v>
      </c>
      <c r="CZ51" s="242">
        <f>IF(第十五期!$CU$51*第十五期!CS94&gt;0,第十五期!$CU$51+第十五期!CS69+第十五期!CS94+第十五期!CS75,0)</f>
        <v>0</v>
      </c>
      <c r="DA51" s="242">
        <f>IF(第十五期!$CU$51*第十五期!CT94&gt;0,第十五期!$CU$51+第十五期!CT69+第十五期!CT94+第十五期!CT75,0)</f>
        <v>0</v>
      </c>
      <c r="DB51" s="242">
        <f>AVERAGE(CX51:DA51)</f>
        <v>0</v>
      </c>
      <c r="DF51" s="65" t="s">
        <v>56</v>
      </c>
      <c r="DG51" s="245">
        <f>IF(第十五期!Y89&gt;0,1,0)</f>
        <v>0</v>
      </c>
      <c r="DH51" s="245">
        <f>IF(第十五期!Z89&gt;0,1,0)</f>
        <v>0</v>
      </c>
      <c r="DI51" s="245">
        <f>IF(第十五期!AA89&gt;0,1,0)</f>
        <v>0</v>
      </c>
      <c r="DJ51" s="245">
        <f>IF(第十五期!AB89&gt;0,1,0)</f>
        <v>0</v>
      </c>
      <c r="DL51" s="245" t="s">
        <v>22</v>
      </c>
      <c r="DM51" s="248">
        <f>IF(第十五期!Y10+第十五期!Z10&gt;0,1,0)</f>
        <v>0</v>
      </c>
      <c r="DN51" s="248">
        <f>IF(第十五期!AA10+第十五期!AB10&gt;0,1,0)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308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308</v>
      </c>
      <c r="CO52" s="219"/>
      <c r="CP52" s="65" t="s">
        <v>40</v>
      </c>
      <c r="CQ52" s="65">
        <f>第十五期!Y11*第十五期!CQ64*比赛参数!D65</f>
        <v>0</v>
      </c>
      <c r="CR52" s="65">
        <f>第十五期!Z11*第十五期!CR64*比赛参数!E65</f>
        <v>0</v>
      </c>
      <c r="CS52" s="65">
        <f>第十五期!AA11*第十五期!CS64*比赛参数!F65</f>
        <v>0</v>
      </c>
      <c r="CT52" s="65">
        <f>第十五期!AB11*第十五期!CT64*比赛参数!G65</f>
        <v>0</v>
      </c>
      <c r="CU52" s="65">
        <f>IF(第十五期!AC11&gt;0,SUM(CQ52:CT52)/第十五期!AC11,0)</f>
        <v>0</v>
      </c>
      <c r="CW52" s="11" t="s">
        <v>40</v>
      </c>
      <c r="CX52" s="242">
        <f>IF(第十五期!$CU$52*第十五期!CQ95&gt;0,第十五期!$CU$52+第十五期!CQ70+第十五期!CQ95+第十五期!CQ76,0)</f>
        <v>0</v>
      </c>
      <c r="CY52" s="242">
        <f>IF(第十五期!$CU$52*第十五期!CR95&gt;0,第十五期!$CU$52+第十五期!CR70+第十五期!CR95+第十五期!CR76,0)</f>
        <v>0</v>
      </c>
      <c r="CZ52" s="242">
        <f>IF(第十五期!$CU$52*第十五期!CS95&gt;0,第十五期!$CU$52+第十五期!CS70+第十五期!CS95+第十五期!CS76,0)</f>
        <v>0</v>
      </c>
      <c r="DA52" s="242">
        <f>IF(第十五期!$CU$52*第十五期!CT95&gt;0,第十五期!$CU$52+第十五期!CT70+第十五期!CT95+第十五期!CT76,0)</f>
        <v>0</v>
      </c>
      <c r="DB52" s="242">
        <f>AVERAGE(CX52:DA52)</f>
        <v>0</v>
      </c>
      <c r="DF52" s="65" t="s">
        <v>57</v>
      </c>
      <c r="DG52" s="245">
        <f>IF(第十五期!Y90&gt;0,1,0)</f>
        <v>0</v>
      </c>
      <c r="DH52" s="245">
        <f>IF(第十五期!Z90&gt;0,1,0)</f>
        <v>0</v>
      </c>
      <c r="DI52" s="245">
        <f>IF(第十五期!AA90&gt;0,1,0)</f>
        <v>0</v>
      </c>
      <c r="DJ52" s="245">
        <f>IF(第十五期!AB90&gt;0,1,0)</f>
        <v>0</v>
      </c>
      <c r="DL52" s="245" t="s">
        <v>23</v>
      </c>
      <c r="DM52" s="248">
        <f>IF(第十五期!Y11+第十五期!Z11&gt;0,1,0)</f>
        <v>0</v>
      </c>
      <c r="DN52" s="248">
        <f>IF(第十五期!AA11+第十五期!AB11&gt;0,1,0)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448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第十五期!Y12*第十五期!CQ65*比赛参数!D65</f>
        <v>0</v>
      </c>
      <c r="CR53" s="65">
        <f>第十五期!Z12*第十五期!CR65*比赛参数!E65</f>
        <v>0</v>
      </c>
      <c r="CS53" s="65">
        <f>第十五期!AA12*第十五期!CS65*比赛参数!F65</f>
        <v>0</v>
      </c>
      <c r="CT53" s="65">
        <f>第十五期!AB12*第十五期!CT65*比赛参数!G65</f>
        <v>0</v>
      </c>
      <c r="CU53" s="65">
        <f>IF(第十五期!AC12&gt;0,SUM(CQ53:CT53)/第十五期!AC12,0)</f>
        <v>0</v>
      </c>
      <c r="CW53" s="11" t="s">
        <v>41</v>
      </c>
      <c r="CX53" s="242">
        <f>IF(第十五期!$CU$53*第十五期!CQ96&gt;0,第十五期!$CU$53+第十五期!CQ71+第十五期!CQ96+第十五期!CQ77,0)</f>
        <v>0</v>
      </c>
      <c r="CY53" s="242">
        <f>IF(第十五期!$CU$53*第十五期!CR96&gt;0,第十五期!$CU$53+第十五期!CR71+第十五期!CR96+第十五期!CR77,0)</f>
        <v>0</v>
      </c>
      <c r="CZ53" s="242">
        <f>IF(第十五期!$CU$53*第十五期!CS96&gt;0,第十五期!$CU$53+第十五期!CS71+第十五期!CS96+第十五期!CS77,0)</f>
        <v>0</v>
      </c>
      <c r="DA53" s="242">
        <f>IF(第十五期!$CU$53*第十五期!CT96&gt;0,第十五期!$CU$53+第十五期!CT71+第十五期!CT96+第十五期!CT77,0)</f>
        <v>0</v>
      </c>
      <c r="DB53" s="242">
        <f>AVERAGE(CX53:DA53)</f>
        <v>0</v>
      </c>
      <c r="DF53" s="65" t="s">
        <v>58</v>
      </c>
      <c r="DG53" s="245">
        <f>IF(第十五期!Y91&gt;0,1,0)</f>
        <v>0</v>
      </c>
      <c r="DH53" s="245">
        <f>IF(第十五期!Z91&gt;0,1,0)</f>
        <v>0</v>
      </c>
      <c r="DI53" s="245">
        <f>IF(第十五期!AA91&gt;0,1,0)</f>
        <v>0</v>
      </c>
      <c r="DJ53" s="245">
        <f>IF(第十五期!AB91&gt;0,1,0)</f>
        <v>0</v>
      </c>
      <c r="DL53" s="245" t="s">
        <v>24</v>
      </c>
      <c r="DM53" s="248">
        <f>IF(第十五期!Y12+第十五期!Z12&gt;0,1,0)</f>
        <v>0</v>
      </c>
      <c r="DN53" s="248">
        <f>IF(第十五期!AA12+第十五期!AB12&gt;0,1,0)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338</v>
      </c>
      <c r="AL54" s="48"/>
      <c r="AM54" s="48"/>
      <c r="AN54" s="50"/>
      <c r="AR54" s="2" t="s">
        <v>25</v>
      </c>
      <c r="AS54" s="114">
        <f>SUM(AS33:AS52)/比赛参数!$G$4</f>
        <v>0</v>
      </c>
      <c r="AT54" s="114">
        <f>SUM(AT33:AT52)/比赛参数!$G$4</f>
        <v>0</v>
      </c>
      <c r="AU54" s="114">
        <f>SUM(AU33:AU52)/比赛参数!$G$4</f>
        <v>0</v>
      </c>
      <c r="AV54" s="114">
        <f>SUM(AV33:AV52)/比赛参数!$G$4</f>
        <v>0</v>
      </c>
      <c r="AW54" s="114">
        <f>SUM(AW33:AW52)/比赛参数!$G$4</f>
        <v>0</v>
      </c>
      <c r="AX54" s="114">
        <f>SUM(AX33:AX52)/比赛参数!$G$4</f>
        <v>0</v>
      </c>
      <c r="AY54" s="114">
        <f>SUM(AY33:AY52)/比赛参数!$G$4</f>
        <v>0</v>
      </c>
      <c r="AZ54" s="114">
        <f>SUM(AZ33:AZ52)/比赛参数!$G$4</f>
        <v>0</v>
      </c>
      <c r="BA54" s="114">
        <f>SUM(BA33:BA52)/比赛参数!$G$4</f>
        <v>0</v>
      </c>
      <c r="BB54" s="114">
        <f>SUM(BB33:BB52)/比赛参数!$G$4</f>
        <v>0</v>
      </c>
      <c r="BC54" s="114">
        <f>SUM(BC33:BC52)/比赛参数!$G$4</f>
        <v>0</v>
      </c>
      <c r="BD54" s="114">
        <f>SUM(BD33:BD52)/比赛参数!$G$4</f>
        <v>0</v>
      </c>
      <c r="BE54" s="114">
        <f>SUM(BE33:BE52)/比赛参数!$G$4</f>
        <v>0</v>
      </c>
      <c r="BF54" s="114">
        <f>SUM(BF33:BF52)/比赛参数!$G$4</f>
        <v>0</v>
      </c>
      <c r="BG54" s="114">
        <f>SUM(BG33:BG52)/比赛参数!$G$4</f>
        <v>0</v>
      </c>
      <c r="BH54" s="114">
        <f>SUM(BH33:BH52)/比赛参数!$G$4</f>
        <v>0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第十五期!K11</f>
        <v>9618135.59025289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第十五期!AH14</f>
        <v>0</v>
      </c>
      <c r="BT56" s="130"/>
      <c r="BU56" s="130"/>
      <c r="BV56" s="130">
        <f>BV55+BS56</f>
        <v>9618135.59025289</v>
      </c>
      <c r="BW56" s="126"/>
      <c r="CB56" s="196" t="s">
        <v>151</v>
      </c>
      <c r="CC56" s="108">
        <f>第十五期!DU26</f>
        <v>178</v>
      </c>
      <c r="CD56" s="108">
        <f>第十五期!DU27</f>
        <v>154</v>
      </c>
      <c r="CE56" s="108">
        <f>第十五期!DU28</f>
        <v>53</v>
      </c>
      <c r="CF56" s="108">
        <f>第十五期!DU29</f>
        <v>65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第十五期!BS7-第十五期!CX50</f>
        <v>0</v>
      </c>
      <c r="CY56" s="242">
        <f>第十五期!BT7-第十五期!CY50</f>
        <v>0</v>
      </c>
      <c r="CZ56" s="242">
        <f>第十五期!BU7-第十五期!CZ50</f>
        <v>0</v>
      </c>
      <c r="DA56" s="242">
        <f>第十五期!BV7-第十五期!DA50</f>
        <v>0</v>
      </c>
      <c r="DB56" s="242">
        <f>AVERAGE(CX56:DA56)</f>
        <v>0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第十五期!DX6</f>
        <v>0</v>
      </c>
      <c r="Z57" s="127">
        <f>第十五期!DX10</f>
        <v>0</v>
      </c>
      <c r="AA57" s="127">
        <f>第十五期!DX14</f>
        <v>0</v>
      </c>
      <c r="AB57" s="127">
        <f>第十五期!DX18</f>
        <v>0</v>
      </c>
      <c r="AC57" s="128"/>
      <c r="AE57" s="64" t="s">
        <v>55</v>
      </c>
      <c r="AF57" s="127">
        <f>第十五期!DW6</f>
        <v>0</v>
      </c>
      <c r="AG57" s="127">
        <f>第十五期!DW10</f>
        <v>0</v>
      </c>
      <c r="AH57" s="127">
        <f>第十五期!DW14</f>
        <v>0</v>
      </c>
      <c r="AI57" s="127">
        <f>第十五期!DW18</f>
        <v>0</v>
      </c>
      <c r="AJ57" s="126"/>
      <c r="AK57" s="126">
        <f>D42</f>
        <v>178</v>
      </c>
      <c r="AL57" s="48">
        <f>D43</f>
        <v>154</v>
      </c>
      <c r="AM57" s="48">
        <f>D44</f>
        <v>53</v>
      </c>
      <c r="AN57" s="50">
        <f>D45</f>
        <v>65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295</v>
      </c>
      <c r="BS57" s="130">
        <f>第十五期!AH15</f>
        <v>0</v>
      </c>
      <c r="BT57" s="130"/>
      <c r="BU57" s="130"/>
      <c r="BV57" s="130">
        <f>BV56+BS57</f>
        <v>9618135.59025289</v>
      </c>
      <c r="BW57" s="126"/>
      <c r="CB57" s="196" t="s">
        <v>327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第十五期!BS8-第十五期!CX51</f>
        <v>0</v>
      </c>
      <c r="CY57" s="242">
        <f>第十五期!BT8-第十五期!CY51</f>
        <v>0</v>
      </c>
      <c r="CZ57" s="242">
        <f>第十五期!BU8-第十五期!CZ51</f>
        <v>0</v>
      </c>
      <c r="DA57" s="242">
        <f>第十五期!BV8-第十五期!DA51</f>
        <v>0</v>
      </c>
      <c r="DB57" s="242">
        <f>AVERAGE(CX57:DA57)</f>
        <v>0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第十五期!DX7</f>
        <v>0</v>
      </c>
      <c r="Z58" s="127">
        <f>第十五期!DX11</f>
        <v>0</v>
      </c>
      <c r="AA58" s="127">
        <f>第十五期!DX15</f>
        <v>0</v>
      </c>
      <c r="AB58" s="127">
        <f>第十五期!DX19</f>
        <v>0</v>
      </c>
      <c r="AC58" s="128"/>
      <c r="AE58" s="11" t="s">
        <v>56</v>
      </c>
      <c r="AF58" s="127">
        <f>第十五期!DW7</f>
        <v>0</v>
      </c>
      <c r="AG58" s="127">
        <f>第十五期!DW11</f>
        <v>0</v>
      </c>
      <c r="AH58" s="127">
        <f>第十五期!DW15</f>
        <v>0</v>
      </c>
      <c r="AI58" s="127">
        <f>第十五期!DW19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328</v>
      </c>
      <c r="BS58" s="130">
        <f>第十五期!H5+第十五期!H4*比赛参数!F71</f>
        <v>547779.55</v>
      </c>
      <c r="BT58" s="130"/>
      <c r="BU58" s="130"/>
      <c r="BV58" s="130">
        <f t="shared" ref="BV58:BV64" si="41">BV57-BS58</f>
        <v>9070356.04025288</v>
      </c>
      <c r="BW58" s="126"/>
      <c r="CB58" s="196" t="s">
        <v>329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第十五期!BS9-第十五期!CX52</f>
        <v>0</v>
      </c>
      <c r="CY58" s="242">
        <f>第十五期!BT9-第十五期!CY52</f>
        <v>0</v>
      </c>
      <c r="CZ58" s="242">
        <f>第十五期!BU9-第十五期!CZ52</f>
        <v>0</v>
      </c>
      <c r="DA58" s="242">
        <f>第十五期!BV9-第十五期!DA52</f>
        <v>0</v>
      </c>
      <c r="DB58" s="242">
        <f>AVERAGE(CX58:DA58)</f>
        <v>0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第十五期!DX8</f>
        <v>0</v>
      </c>
      <c r="Z59" s="127">
        <f>第十五期!DX12</f>
        <v>0</v>
      </c>
      <c r="AA59" s="127">
        <f>第十五期!DX16</f>
        <v>0</v>
      </c>
      <c r="AB59" s="127">
        <f>第十五期!DX20</f>
        <v>0</v>
      </c>
      <c r="AC59" s="129"/>
      <c r="AE59" s="11" t="s">
        <v>57</v>
      </c>
      <c r="AF59" s="127">
        <f>第十五期!DW8</f>
        <v>0</v>
      </c>
      <c r="AG59" s="127">
        <f>第十五期!DW12</f>
        <v>0</v>
      </c>
      <c r="AH59" s="127">
        <f>第十五期!DW16</f>
        <v>0</v>
      </c>
      <c r="AI59" s="127">
        <f>第十五期!DW20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330</v>
      </c>
      <c r="BS59" s="130">
        <f>第十五期!K14*比赛参数!D71/4</f>
        <v>282328.983625</v>
      </c>
      <c r="BT59" s="130"/>
      <c r="BU59" s="130">
        <f>BS59</f>
        <v>282328.983625</v>
      </c>
      <c r="BV59" s="130">
        <f t="shared" si="41"/>
        <v>8788027.05662788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第十五期!BS10-第十五期!CX53</f>
        <v>0</v>
      </c>
      <c r="CY59" s="242">
        <f>第十五期!BT10-第十五期!CY53</f>
        <v>0</v>
      </c>
      <c r="CZ59" s="242">
        <f>第十五期!BU10-第十五期!CZ53</f>
        <v>0</v>
      </c>
      <c r="DA59" s="242">
        <f>第十五期!BV10-第十五期!DA53</f>
        <v>0</v>
      </c>
      <c r="DB59" s="242">
        <f>AVERAGE(CX59:DA59)</f>
        <v>0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第十五期!DX9</f>
        <v>0</v>
      </c>
      <c r="Z60" s="127">
        <f>第十五期!DX13</f>
        <v>0</v>
      </c>
      <c r="AA60" s="127">
        <f>第十五期!DX17</f>
        <v>0</v>
      </c>
      <c r="AB60" s="127">
        <f>第十五期!DX21</f>
        <v>0</v>
      </c>
      <c r="AC60" s="108" t="s">
        <v>308</v>
      </c>
      <c r="AE60" s="11" t="s">
        <v>58</v>
      </c>
      <c r="AF60" s="127">
        <f>第十五期!DW9</f>
        <v>0</v>
      </c>
      <c r="AG60" s="127">
        <f>第十五期!DW13</f>
        <v>0</v>
      </c>
      <c r="AH60" s="127">
        <f>第十五期!DW17</f>
        <v>0</v>
      </c>
      <c r="AI60" s="127">
        <f>第十五期!DW21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332</v>
      </c>
      <c r="BS60" s="130">
        <f>第十五期!Y18*比赛参数!D58</f>
        <v>0</v>
      </c>
      <c r="BT60" s="130"/>
      <c r="BU60" s="130">
        <f>BU59+BS60</f>
        <v>282328.983625</v>
      </c>
      <c r="BV60" s="130">
        <f t="shared" si="41"/>
        <v>8788027.05662788</v>
      </c>
      <c r="BW60" s="126"/>
      <c r="CB60" s="196" t="s">
        <v>333</v>
      </c>
      <c r="CC60" s="108">
        <f>SUM(Y57:Y60)+CC56</f>
        <v>178</v>
      </c>
      <c r="CD60" s="108">
        <f>SUM(Z57:Z60)+CD56</f>
        <v>154</v>
      </c>
      <c r="CE60" s="108">
        <f>SUM(AA57:AA60)+CE56</f>
        <v>53</v>
      </c>
      <c r="CF60" s="108">
        <f>SUM(AB57:AB60)+CF56</f>
        <v>65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334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335</v>
      </c>
      <c r="BS61" s="130">
        <f>第十五期!AA18*比赛参数!D62</f>
        <v>0</v>
      </c>
      <c r="BT61" s="130"/>
      <c r="BU61" s="130">
        <f>BU60+BS61</f>
        <v>282328.983625</v>
      </c>
      <c r="BV61" s="130">
        <f t="shared" si="41"/>
        <v>8788027.05662788</v>
      </c>
      <c r="BW61" s="126"/>
      <c r="CB61" s="196" t="s">
        <v>35</v>
      </c>
      <c r="CC61" s="108">
        <f>CC56+CC57-CC58+CC59</f>
        <v>178</v>
      </c>
      <c r="CD61" s="108">
        <f>CD56+CD57-CD58+CD59</f>
        <v>154</v>
      </c>
      <c r="CE61" s="108">
        <f>CE56+CE57-CE58+CE59</f>
        <v>53</v>
      </c>
      <c r="CF61" s="108">
        <f>CF56+CF57-CF58+CF59</f>
        <v>65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336</v>
      </c>
      <c r="BS62" s="130">
        <f>((第十五期!K8-第十五期!AA18)*比赛参数!D65+第十五期!Y18*比赛参数!D59*比赛参数!D65)*第十五期!AH18*520</f>
        <v>2329600</v>
      </c>
      <c r="BT62" s="130"/>
      <c r="BU62" s="130">
        <f>BU61+BS62</f>
        <v>2611928.983625</v>
      </c>
      <c r="BV62" s="130">
        <f t="shared" si="41"/>
        <v>6458427.05662788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CX56/第十五期!CQ56</f>
        <v>0</v>
      </c>
      <c r="CY62" s="242">
        <f>CY56/第十五期!CR56</f>
        <v>0</v>
      </c>
      <c r="CZ62" s="242">
        <f>CZ56/第十五期!CS56</f>
        <v>0</v>
      </c>
      <c r="DA62" s="242">
        <f>DA56/第十五期!CT56</f>
        <v>0</v>
      </c>
      <c r="DB62" s="242">
        <f>AVERAGE(CX62:DA62)</f>
        <v>0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第十五期!K9*比赛参数!D49</f>
        <v>101400</v>
      </c>
      <c r="BT63" s="130"/>
      <c r="BU63" s="130">
        <f>BU62+BS63</f>
        <v>2713328.983625</v>
      </c>
      <c r="BV63" s="130">
        <f t="shared" si="41"/>
        <v>6357027.05662788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CX57/第十五期!CQ57</f>
        <v>0</v>
      </c>
      <c r="CY63" s="242">
        <f>CY57/第十五期!CR57</f>
        <v>0</v>
      </c>
      <c r="CZ63" s="242">
        <f>CZ57/第十五期!CS57</f>
        <v>0</v>
      </c>
      <c r="DA63" s="242">
        <f>DA57/第十五期!CT57</f>
        <v>0</v>
      </c>
      <c r="DB63" s="242">
        <f>AVERAGE(CX63:DA63)</f>
        <v>0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301</v>
      </c>
      <c r="BS64" s="130">
        <f>第十五期!AL37</f>
        <v>0</v>
      </c>
      <c r="BT64" s="130"/>
      <c r="BU64" s="130"/>
      <c r="BV64" s="130">
        <f t="shared" si="41"/>
        <v>6357027.05662788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CX58/第十五期!CQ58</f>
        <v>0</v>
      </c>
      <c r="CY64" s="242">
        <f>CY58/第十五期!CR58</f>
        <v>0</v>
      </c>
      <c r="CZ64" s="242">
        <f>CZ58/第十五期!CS58</f>
        <v>0</v>
      </c>
      <c r="DA64" s="242">
        <f>DA58/第十五期!CT58</f>
        <v>0</v>
      </c>
      <c r="DB64" s="242">
        <f>AVERAGE(CX64:DA64)</f>
        <v>0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340</v>
      </c>
      <c r="BS65" s="91">
        <f>0.5*第十五期!AL37+0.5*第十五期!DV23</f>
        <v>0</v>
      </c>
      <c r="BT65" s="130"/>
      <c r="BU65" s="130">
        <f>BU63+BS65</f>
        <v>2713328.983625</v>
      </c>
      <c r="BV65" s="130"/>
      <c r="BW65" s="126"/>
      <c r="CB65" s="196" t="s">
        <v>341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CX59/第十五期!CQ59</f>
        <v>0</v>
      </c>
      <c r="CY65" s="242">
        <f>CY59/第十五期!CR59</f>
        <v>0</v>
      </c>
      <c r="CZ65" s="242">
        <f>CZ59/第十五期!CS59</f>
        <v>0</v>
      </c>
      <c r="DA65" s="242">
        <f>DA59/第十五期!CT59</f>
        <v>0</v>
      </c>
      <c r="DB65" s="242">
        <f>AVERAGE(CX65:DA65)</f>
        <v>0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236</v>
      </c>
      <c r="BS66" s="130">
        <f>第十五期!AC18</f>
        <v>0</v>
      </c>
      <c r="BT66" s="130"/>
      <c r="BU66" s="130"/>
      <c r="BV66" s="130">
        <f>BV64-BS66</f>
        <v>6357027.05662788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342</v>
      </c>
      <c r="BS67" s="130">
        <f>IF(第十五期!AC18&gt;=比赛参数!D33,(1-比赛参数!E33)*第十五期!AC18,0)+IF(AND(第十五期!AC18&gt;=比赛参数!D34,第十五期!AC18&lt;比赛参数!D33),(1-比赛参数!E34)*第十五期!AC18,0)+IF(AND(第十五期!AC18&gt;=比赛参数!D35,第十五期!AC18&lt;比赛参数!D34),(1-比赛参数!E35)*第十五期!AC18,0)+IF(AND(第十五期!AC18&gt;=比赛参数!D36,第十五期!AC18&lt;比赛参数!D35),(1-比赛参数!E36)*第十五期!AC18,0)</f>
        <v>0</v>
      </c>
      <c r="BT67" s="130">
        <f>BS67</f>
        <v>0</v>
      </c>
      <c r="BU67" s="130"/>
      <c r="BV67" s="130">
        <f>BV66+BS67</f>
        <v>6357027.05662788</v>
      </c>
      <c r="BW67" s="126"/>
      <c r="CB67" s="196" t="s">
        <v>343</v>
      </c>
      <c r="CC67" s="108">
        <f>(CC60+CC61)/2*CC62</f>
        <v>7120</v>
      </c>
      <c r="CD67" s="108">
        <f>(CD60+CD61)/2*CD62</f>
        <v>9240</v>
      </c>
      <c r="CE67" s="108">
        <f>(CE60+CE61)/2*CE62</f>
        <v>6360</v>
      </c>
      <c r="CF67" s="108">
        <f>(CF60+CF61)/2*CF62</f>
        <v>9100</v>
      </c>
      <c r="CG67" s="108">
        <f>SUM(CC67:CF67)</f>
        <v>31820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第十五期!DV6</f>
        <v>0</v>
      </c>
      <c r="AG70" s="131">
        <f>第十五期!DV10</f>
        <v>0</v>
      </c>
      <c r="AH70" s="131">
        <f>第十五期!DV14</f>
        <v>0</v>
      </c>
      <c r="AI70" s="131">
        <f>第十五期!DV18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344</v>
      </c>
      <c r="BS70" s="130">
        <f>IF(第十五期!AC18&gt;0,第十五期!AC18*比赛参数!E40+比赛参数!E39,0)</f>
        <v>0</v>
      </c>
      <c r="BT70" s="130"/>
      <c r="BU70" s="130">
        <f>BU65+BS70</f>
        <v>2713328.983625</v>
      </c>
      <c r="BV70" s="130">
        <f>BV67-BS70</f>
        <v>6357027.05662788</v>
      </c>
      <c r="BW70" s="126"/>
      <c r="CB70" s="196" t="s">
        <v>304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第十五期!DV7</f>
        <v>0</v>
      </c>
      <c r="AG71" s="131">
        <f>第十五期!DV11</f>
        <v>0</v>
      </c>
      <c r="AH71" s="131">
        <f>第十五期!DV15</f>
        <v>0</v>
      </c>
      <c r="AI71" s="131">
        <f>第十五期!DV19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345</v>
      </c>
      <c r="BS71" s="130">
        <f>(第十五期!Z13*比赛参数!E65*260+第十五期!AA13*(比赛参数!F65-比赛参数!D65)*520+第十五期!AB13*比赛参数!G65*260)*第十五期!AH18</f>
        <v>0</v>
      </c>
      <c r="BT71" s="130"/>
      <c r="BU71" s="130">
        <f t="shared" ref="BU71:BU76" si="46">BU70+BS71</f>
        <v>2713328.983625</v>
      </c>
      <c r="BV71" s="130">
        <f>BV70-BS71</f>
        <v>6357027.05662788</v>
      </c>
      <c r="BW71" s="126"/>
      <c r="CB71" s="196" t="s">
        <v>305</v>
      </c>
      <c r="CC71" s="108">
        <f>CC70/比赛参数!D26</f>
        <v>0</v>
      </c>
      <c r="CD71" s="108">
        <f>CD70/比赛参数!E26</f>
        <v>0</v>
      </c>
      <c r="CE71" s="108">
        <f>CE70/比赛参数!F26</f>
        <v>0</v>
      </c>
      <c r="CF71" s="108">
        <f>CF70/比赛参数!G26</f>
        <v>0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第十五期!DV8</f>
        <v>0</v>
      </c>
      <c r="AG72" s="131">
        <f>第十五期!DV12</f>
        <v>0</v>
      </c>
      <c r="AH72" s="131">
        <f>第十五期!DV16</f>
        <v>0</v>
      </c>
      <c r="AI72" s="131">
        <f>第十五期!DV20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第十五期!DM60</f>
        <v>0</v>
      </c>
      <c r="BT72" s="130"/>
      <c r="BU72" s="130">
        <f t="shared" si="46"/>
        <v>2713328.983625</v>
      </c>
      <c r="BV72" s="130">
        <f>BV71-BS72</f>
        <v>6357027.05662788</v>
      </c>
      <c r="BW72" s="126"/>
      <c r="CB72" s="196" t="s">
        <v>307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第十五期!DV9</f>
        <v>0</v>
      </c>
      <c r="AG73" s="131">
        <f>第十五期!DV13</f>
        <v>0</v>
      </c>
      <c r="AH73" s="131">
        <f>第十五期!DV17</f>
        <v>0</v>
      </c>
      <c r="AI73" s="131">
        <f>第十五期!DV21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346</v>
      </c>
      <c r="BS73" s="130">
        <f>第十五期!AC21</f>
        <v>0</v>
      </c>
      <c r="BT73" s="130"/>
      <c r="BU73" s="130">
        <f t="shared" si="46"/>
        <v>2713328.983625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347</v>
      </c>
      <c r="BS74" s="130">
        <f>第十五期!CG42</f>
        <v>0</v>
      </c>
      <c r="BT74" s="130"/>
      <c r="BU74" s="130">
        <f t="shared" si="46"/>
        <v>2713328.983625</v>
      </c>
      <c r="BV74" s="130">
        <f>BV72-BS74</f>
        <v>6357027.05662788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351</v>
      </c>
      <c r="BS75" s="130">
        <f>SUM(第十五期!AF80:AI80)</f>
        <v>0</v>
      </c>
      <c r="BT75" s="130"/>
      <c r="BU75" s="130">
        <f t="shared" si="46"/>
        <v>2713328.983625</v>
      </c>
      <c r="BV75" s="130">
        <f>BV74-BS75</f>
        <v>6357027.05662788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SUM(第十五期!AJ76:AJ79)</f>
        <v>0</v>
      </c>
      <c r="BT76" s="327"/>
      <c r="BU76" s="327">
        <f t="shared" si="46"/>
        <v>2713328.983625</v>
      </c>
      <c r="BV76" s="327">
        <f>BV75-BS76</f>
        <v>6357027.05662788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第十五期!CG53</f>
        <v>0</v>
      </c>
      <c r="BT77" s="328">
        <f>BT67+BS77</f>
        <v>0</v>
      </c>
      <c r="BU77" s="328"/>
      <c r="BV77" s="328">
        <f>BV76+BS77</f>
        <v>6357027.05662788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353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259</v>
      </c>
      <c r="BS78" s="130">
        <f>第十五期!CN53</f>
        <v>0</v>
      </c>
      <c r="BT78" s="130"/>
      <c r="BU78" s="130">
        <f>BU76+BS78</f>
        <v>2713328.983625</v>
      </c>
      <c r="BV78" s="130">
        <f>BV77-BS78</f>
        <v>6357027.05662788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第十五期!K9*比赛参数!D30*比赛参数!F30</f>
        <v>1352000</v>
      </c>
      <c r="BT79" s="130"/>
      <c r="BU79" s="130">
        <f>BU78+BS79</f>
        <v>4065328.983625</v>
      </c>
      <c r="BV79" s="130"/>
      <c r="BW79" s="126"/>
      <c r="CB79" s="196" t="s">
        <v>355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165</v>
      </c>
      <c r="AF80" s="284"/>
      <c r="AG80" s="284"/>
      <c r="AH80" s="284"/>
      <c r="AI80" s="284"/>
      <c r="AJ80" s="42" t="s">
        <v>357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第十五期!CG65</f>
        <v>0</v>
      </c>
      <c r="BT80" s="130"/>
      <c r="BU80" s="130">
        <f>BU79+BS80</f>
        <v>4065328.983625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第十五期!Y9*第十五期!CQ56</f>
        <v>0</v>
      </c>
      <c r="CR80" s="65">
        <f>第十五期!Z9*第十五期!CR56</f>
        <v>0</v>
      </c>
      <c r="CS80" s="65">
        <f>第十五期!AA9*第十五期!CS56</f>
        <v>0</v>
      </c>
      <c r="CT80" s="65">
        <f>第十五期!AB9*第十五期!CT56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361</v>
      </c>
      <c r="AK81" s="302" t="e">
        <f>BS76/BS77</f>
        <v>#DIV/0!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(第十五期!K10+(第十五期!AC18+第十五期!K10-第十五期!AC21))/2*比赛参数!D16</f>
        <v>13658.7</v>
      </c>
      <c r="BT81" s="130"/>
      <c r="BU81" s="130">
        <f>BU80+BS81</f>
        <v>4078987.683625</v>
      </c>
      <c r="BV81" s="130">
        <f>BV78-BS81</f>
        <v>6343368.35662788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第十五期!Y10*第十五期!CQ57</f>
        <v>0</v>
      </c>
      <c r="CR81" s="65">
        <f>第十五期!Z10*第十五期!CR57</f>
        <v>0</v>
      </c>
      <c r="CS81" s="65">
        <f>第十五期!AA10*第十五期!CS57</f>
        <v>0</v>
      </c>
      <c r="CT81" s="65">
        <f>第十五期!AB10*第十五期!CT57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100</v>
      </c>
      <c r="AK82" s="84">
        <f>AF14</f>
        <v>-4110807.683625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364</v>
      </c>
      <c r="BS82" s="130">
        <f>第十五期!CG67</f>
        <v>31820</v>
      </c>
      <c r="BT82" s="130"/>
      <c r="BU82" s="91">
        <f>BU81+BS82</f>
        <v>4110807.683625</v>
      </c>
      <c r="BV82" s="130">
        <f>BV81-BS82</f>
        <v>6311548.35662788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第十五期!Y11*第十五期!CQ58</f>
        <v>0</v>
      </c>
      <c r="CR82" s="65">
        <f>第十五期!Z11*第十五期!CR58</f>
        <v>0</v>
      </c>
      <c r="CS82" s="65">
        <f>第十五期!AA11*第十五期!CS58</f>
        <v>0</v>
      </c>
      <c r="CT82" s="65">
        <f>第十五期!AB11*第十五期!CT58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365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366</v>
      </c>
      <c r="BS83" s="130">
        <f>第十五期!K13</f>
        <v>0</v>
      </c>
      <c r="BT83" s="130"/>
      <c r="BU83" s="130"/>
      <c r="BV83" s="130">
        <f>BV82+BS83</f>
        <v>6311548.35662788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第十五期!Y12*第十五期!CQ59</f>
        <v>0</v>
      </c>
      <c r="CR83" s="65">
        <f>第十五期!Z12*第十五期!CR59</f>
        <v>0</v>
      </c>
      <c r="CS83" s="65">
        <f>第十五期!AA12*第十五期!CS59</f>
        <v>0</v>
      </c>
      <c r="CT83" s="65">
        <f>第十五期!AB12*第十五期!CT59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367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258</v>
      </c>
      <c r="BS84" s="130">
        <f>第十五期!K13*比赛参数!D70/4</f>
        <v>0</v>
      </c>
      <c r="BT84" s="329">
        <f>BT77+BS84</f>
        <v>0</v>
      </c>
      <c r="BU84" s="130"/>
      <c r="BV84" s="130">
        <f>BV83+BS84</f>
        <v>6311548.35662788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370</v>
      </c>
      <c r="BS85" s="130">
        <f>第十五期!AH14</f>
        <v>0</v>
      </c>
      <c r="BT85" s="130"/>
      <c r="BU85" s="130"/>
      <c r="BV85" s="130">
        <f t="shared" ref="BV85:BV90" si="53">BV84-BS85</f>
        <v>6311548.35662788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第十五期!DS33</f>
        <v>0</v>
      </c>
      <c r="AG86" s="131">
        <f>第十五期!DW33</f>
        <v>0</v>
      </c>
      <c r="AH86" s="131">
        <f>第十五期!EA33</f>
        <v>0</v>
      </c>
      <c r="AI86" s="131">
        <f>第十五期!EE33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371</v>
      </c>
      <c r="BS86" s="130">
        <f>第十五期!AH14*比赛参数!D69/4</f>
        <v>0</v>
      </c>
      <c r="BT86" s="130"/>
      <c r="BU86" s="329">
        <f>BU82+BS86</f>
        <v>4110807.683625</v>
      </c>
      <c r="BV86" s="130">
        <f t="shared" si="53"/>
        <v>6311548.35662788</v>
      </c>
      <c r="BW86" s="126"/>
      <c r="CB86" s="196" t="s">
        <v>372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第十五期!DT33</f>
        <v>0</v>
      </c>
      <c r="AG87" s="131">
        <f>第十五期!DX33</f>
        <v>0</v>
      </c>
      <c r="AH87" s="131">
        <f>第十五期!EB33</f>
        <v>0</v>
      </c>
      <c r="AI87" s="131">
        <f>第十五期!EF33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376</v>
      </c>
      <c r="BS87" s="130" t="b">
        <f>IF(第十五期!BW92&gt;0,IF((第十五期!K15+第十五期!BW92*比赛参数!D72)&gt;0,第十五期!K15+第十五期!BW92*比赛参数!D72,0))</f>
        <v>0</v>
      </c>
      <c r="BT87" s="130"/>
      <c r="BU87" s="130"/>
      <c r="BV87" s="130">
        <f t="shared" si="53"/>
        <v>6311548.35662788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377</v>
      </c>
      <c r="AE88" s="11" t="s">
        <v>57</v>
      </c>
      <c r="AF88" s="131">
        <f>第十五期!DU33</f>
        <v>0</v>
      </c>
      <c r="AG88" s="131">
        <f>第十五期!DY33</f>
        <v>0</v>
      </c>
      <c r="AH88" s="131">
        <f>第十五期!EC33</f>
        <v>0</v>
      </c>
      <c r="AI88" s="131">
        <f>第十五期!EG33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282</v>
      </c>
      <c r="BS88" s="130">
        <f>第十五期!AF18*比赛参数!D30</f>
        <v>0</v>
      </c>
      <c r="BT88" s="130"/>
      <c r="BU88" s="130"/>
      <c r="BV88" s="130">
        <f t="shared" si="53"/>
        <v>6311548.35662788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378</v>
      </c>
      <c r="AE89" s="11" t="s">
        <v>58</v>
      </c>
      <c r="AF89" s="131">
        <f>第十五期!DV33</f>
        <v>0</v>
      </c>
      <c r="AG89" s="131">
        <f>第十五期!DZ33</f>
        <v>0</v>
      </c>
      <c r="AH89" s="131">
        <f>第十五期!ED33</f>
        <v>0</v>
      </c>
      <c r="AI89" s="131">
        <f>第十五期!EH33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238</v>
      </c>
      <c r="BS89" s="130">
        <f>第十五期!AJ18</f>
        <v>0</v>
      </c>
      <c r="BT89" s="130"/>
      <c r="BU89" s="130"/>
      <c r="BV89" s="130">
        <f t="shared" si="53"/>
        <v>6311548.35662788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379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251</v>
      </c>
      <c r="BS90" s="130">
        <f>第十五期!AF20</f>
        <v>0</v>
      </c>
      <c r="BT90" s="130"/>
      <c r="BU90" s="130"/>
      <c r="BV90" s="329">
        <f t="shared" si="53"/>
        <v>6311548.35662788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322</v>
      </c>
      <c r="BS92" s="130">
        <f>第十五期!BT84</f>
        <v>0</v>
      </c>
      <c r="BT92" s="330" t="s">
        <v>178</v>
      </c>
      <c r="BU92" s="130">
        <f>第十五期!BU86</f>
        <v>4110807.683625</v>
      </c>
      <c r="BV92" s="332" t="s">
        <v>100</v>
      </c>
      <c r="BW92" s="333">
        <f>第十五期!BT84-第十五期!BU86</f>
        <v>-4110807.683625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AC9*比赛参数!D6+第十五期!DU26</f>
        <v>178</v>
      </c>
      <c r="Z93" s="37">
        <f>AC10*比赛参数!D6+第十五期!DU27</f>
        <v>154</v>
      </c>
      <c r="AA93" s="37">
        <f>AC11*比赛参数!D6+第十五期!DU28</f>
        <v>53</v>
      </c>
      <c r="AB93" s="37">
        <f>AC12*比赛参数!D6+第十五期!DU29</f>
        <v>65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IF(第十五期!$AC$9&gt;0,第十五期!$K$9*比赛参数!$D$30*比赛参数!$F$30*$CU$87/第十五期!$AC$9,0)</f>
        <v>0</v>
      </c>
      <c r="CR93" s="65">
        <f>IF(第十五期!$AC$9&gt;0,第十五期!$K$9*比赛参数!$D$30*比赛参数!$F$30*$CU$87/第十五期!$AC$9,0)</f>
        <v>0</v>
      </c>
      <c r="CS93" s="65">
        <f>IF(第十五期!$AC$9&gt;0,第十五期!$K$9*比赛参数!$D$30*比赛参数!$F$30*$CU$87/第十五期!$AC$9,0)</f>
        <v>0</v>
      </c>
      <c r="CT93" s="65">
        <f>IF(第十五期!$AC$9&gt;0,第十五期!$K$9*比赛参数!$D$30*比赛参数!$F$30*$CU$87/第十五期!$AC$9,0)</f>
        <v>0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IF(第十五期!$AC$10&gt;0,第十五期!$K$9*比赛参数!$D$30*比赛参数!$F$30*$CU$88/第十五期!$AC$10,0)</f>
        <v>0</v>
      </c>
      <c r="CR94" s="65">
        <f>IF(第十五期!$AC$10&gt;0,第十五期!$K$9*比赛参数!$D$30*比赛参数!$F$30*$CU$88/第十五期!$AC$10,0)</f>
        <v>0</v>
      </c>
      <c r="CS94" s="65">
        <f>IF(第十五期!$AC$10&gt;0,第十五期!$K$9*比赛参数!$D$30*比赛参数!$F$30*$CU$88/第十五期!$AC$10,0)</f>
        <v>0</v>
      </c>
      <c r="CT94" s="65">
        <f>IF(第十五期!$AC$10&gt;0,第十五期!$K$9*比赛参数!$D$30*比赛参数!$F$30*$CU$88/第十五期!$AC$10,0)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IF(第十五期!$AC$11&gt;0,第十五期!$K$9*比赛参数!$D$30*比赛参数!$F$30*$CU$89/第十五期!$AC$11,0)</f>
        <v>0</v>
      </c>
      <c r="CR95" s="65">
        <f>IF(第十五期!$AC$11&gt;0,第十五期!$K$9*比赛参数!$D$30*比赛参数!$F$30*$CU$89/第十五期!$AC$11,0)</f>
        <v>0</v>
      </c>
      <c r="CS95" s="65">
        <f>IF(第十五期!$AC$11&gt;0,第十五期!$K$9*比赛参数!$D$30*比赛参数!$F$30*$CU$89/第十五期!$AC$11,0)</f>
        <v>0</v>
      </c>
      <c r="CT95" s="65">
        <f>IF(第十五期!$AC$11&gt;0,第十五期!$K$9*比赛参数!$D$30*比赛参数!$F$30*$CU$89/第十五期!$AC$11,0)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>
        <f>第十五期!CX62</f>
        <v>0</v>
      </c>
      <c r="Z96" s="94">
        <f>第十五期!CX63</f>
        <v>0</v>
      </c>
      <c r="AA96" s="94">
        <f>第十五期!CX64</f>
        <v>0</v>
      </c>
      <c r="AB96" s="94">
        <f>第十五期!CX65</f>
        <v>0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IF(第十五期!$AC$12&gt;0,第十五期!$K$9*比赛参数!$D$30*比赛参数!$F$30*$CU$90/第十五期!$AC$12,0)</f>
        <v>0</v>
      </c>
      <c r="CR96" s="65">
        <f>IF(第十五期!$AC$12&gt;0,第十五期!$K$9*比赛参数!$D$30*比赛参数!$F$30*$CU$90/第十五期!$AC$12,0)</f>
        <v>0</v>
      </c>
      <c r="CS96" s="65">
        <f>IF(第十五期!$AC$12&gt;0,第十五期!$K$9*比赛参数!$D$30*比赛参数!$F$30*$CU$90/第十五期!$AC$12,0)</f>
        <v>0</v>
      </c>
      <c r="CT96" s="65">
        <f>IF(第十五期!$AC$12&gt;0,第十五期!$K$9*比赛参数!$D$30*比赛参数!$F$30*$CU$90/第十五期!$AC$12,0)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>
        <f>第十五期!CY62</f>
        <v>0</v>
      </c>
      <c r="Z97" s="94">
        <f>第十五期!CY63</f>
        <v>0</v>
      </c>
      <c r="AA97" s="94">
        <f>第十五期!CY64</f>
        <v>0</v>
      </c>
      <c r="AB97" s="94">
        <f>第十五期!CY65</f>
        <v>0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>
        <f>第十五期!CZ62</f>
        <v>0</v>
      </c>
      <c r="Z98" s="94">
        <f>第十五期!CZ63</f>
        <v>0</v>
      </c>
      <c r="AA98" s="94">
        <f>第十五期!CZ64</f>
        <v>0</v>
      </c>
      <c r="AB98" s="94">
        <f>第十五期!CZ65</f>
        <v>0</v>
      </c>
      <c r="AC98" s="126" t="s">
        <v>367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>
        <f>第十五期!DA62</f>
        <v>0</v>
      </c>
      <c r="Z99" s="94">
        <f>第十五期!DA63</f>
        <v>0</v>
      </c>
      <c r="AA99" s="94">
        <f>第十五期!DA64</f>
        <v>0</v>
      </c>
      <c r="AB99" s="94">
        <f>第十五期!DA65</f>
        <v>0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-4110807.683625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6311548.35662788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239</v>
      </c>
      <c r="AL109" s="145">
        <f>AA20</f>
        <v>338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246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246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253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253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261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110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113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403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406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407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>
        <f>SUM(AB154:AB173)/比赛参数!$G$4</f>
        <v>0</v>
      </c>
      <c r="AH233" s="113">
        <f>SUM(AC154:AC173)/比赛参数!$G$4</f>
        <v>0</v>
      </c>
      <c r="AI233" s="113">
        <f>SUM(AD154:AD173)/比赛参数!$G$4</f>
        <v>0</v>
      </c>
      <c r="AJ233" s="113">
        <f>SUM(AE154:AE173)/比赛参数!$G$4</f>
        <v>0</v>
      </c>
      <c r="AK233" s="113">
        <f>SUM(AL154:AL173)/比赛参数!$G$4</f>
        <v>0</v>
      </c>
      <c r="AL233" s="113">
        <f>SUM(AM154:AM173)/比赛参数!$G$4</f>
        <v>0</v>
      </c>
      <c r="AM233" s="113">
        <f>SUM(AN154:AN173)/比赛参数!$G$4</f>
        <v>0</v>
      </c>
      <c r="AN233" s="113">
        <f>SUM(AO154:AO173)/比赛参数!$G$4</f>
        <v>0</v>
      </c>
    </row>
    <row r="234" customHeight="1" spans="24:40">
      <c r="X234" s="11" t="s">
        <v>408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410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(第十五期!#REF!-$BE$54)&lt;0</formula>
    </cfRule>
  </conditionalFormatting>
  <conditionalFormatting sqref="BF132:BF133">
    <cfRule type="expression" dxfId="6" priority="26" stopIfTrue="1">
      <formula>(第十五期!#REF!-$BF$54)&lt;0</formula>
    </cfRule>
  </conditionalFormatting>
  <conditionalFormatting sqref="BG132:BG133">
    <cfRule type="expression" dxfId="6" priority="25" stopIfTrue="1">
      <formula>(第十五期!#REF!-$BG$54)&lt;0</formula>
    </cfRule>
  </conditionalFormatting>
  <conditionalFormatting sqref="BH132:BH133">
    <cfRule type="expression" dxfId="6" priority="24" stopIfTrue="1">
      <formula>(第十五期!#REF!-$BH$54)&lt;0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O1" workbookViewId="0">
      <selection activeCell="AA24" sqref="AA24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/>
      <c r="E4" s="9"/>
      <c r="F4" s="10"/>
      <c r="G4" s="11" t="s">
        <v>153</v>
      </c>
      <c r="H4" s="12"/>
      <c r="W4" s="43">
        <f>AC4-X4</f>
        <v>0</v>
      </c>
      <c r="X4" s="32">
        <f>SUM(AF70:AF73)</f>
        <v>0</v>
      </c>
      <c r="Y4" s="67" t="e">
        <f>AVERAGE(Y76:Y79)</f>
        <v>#DIV/0!</v>
      </c>
      <c r="Z4" s="67">
        <f>1/比赛参数!$G$4</f>
        <v>0.0526315789473684</v>
      </c>
      <c r="AA4" s="68" t="e">
        <f>(AC4-X4)/X4</f>
        <v>#DIV/0!</v>
      </c>
      <c r="AB4" s="69" t="e">
        <f>SUM(Y232:AB232)/比赛参数!$G$4</f>
        <v>#DIV/0!</v>
      </c>
      <c r="AC4" s="70">
        <f>AN4+SUM(Y57:Y60)-SUM(AF57:AF60)-SUM(Y108:Y111)</f>
        <v>0</v>
      </c>
      <c r="AD4" s="2">
        <v>571</v>
      </c>
      <c r="AE4" s="71" t="e">
        <f>DK29</f>
        <v>#DIV/0!</v>
      </c>
      <c r="AF4" s="72" t="e">
        <f>DK41</f>
        <v>#DIV/0!</v>
      </c>
      <c r="AG4" s="71" t="e">
        <f>DQ29</f>
        <v>#DIV/0!</v>
      </c>
      <c r="AH4" s="77" t="e">
        <f>DK35*15</f>
        <v>#DIV/0!</v>
      </c>
      <c r="AJ4" s="72" t="e">
        <f>DD29</f>
        <v>#DIV/0!</v>
      </c>
      <c r="AK4" s="77" t="e">
        <f>DD35*15</f>
        <v>#DIV/0!</v>
      </c>
      <c r="AL4" s="132" t="e">
        <f>CJ24/比赛参数!D26</f>
        <v>#DIV/0!</v>
      </c>
      <c r="AM4" s="32">
        <f>AF68</f>
        <v>0</v>
      </c>
      <c r="AN4" s="32">
        <f>Y93</f>
        <v>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/>
      <c r="E5" s="9"/>
      <c r="F5" s="10"/>
      <c r="G5" s="11" t="s">
        <v>155</v>
      </c>
      <c r="H5" s="13"/>
      <c r="M5" s="27"/>
      <c r="N5" s="28"/>
      <c r="O5" s="29"/>
      <c r="P5" s="29"/>
      <c r="Q5" s="44"/>
      <c r="W5" s="43">
        <f>AC5-X5</f>
        <v>0</v>
      </c>
      <c r="X5" s="32">
        <f>SUM(AG70:AG73)</f>
        <v>0</v>
      </c>
      <c r="Y5" s="67" t="e">
        <f>AVERAGE(Z76:Z79)</f>
        <v>#DIV/0!</v>
      </c>
      <c r="Z5" s="67">
        <f>1/比赛参数!$G$4</f>
        <v>0.0526315789473684</v>
      </c>
      <c r="AA5" s="68" t="e">
        <f>(AC5-X5)/X5</f>
        <v>#DIV/0!</v>
      </c>
      <c r="AB5" s="69" t="e">
        <f>SUM(AC232:AF232)/比赛参数!$G$4</f>
        <v>#DIV/0!</v>
      </c>
      <c r="AC5" s="70">
        <f>AN5+SUM(Z57:Z60)-SUM(AG57:AG60)-SUM(Z108:Z111)</f>
        <v>0</v>
      </c>
      <c r="AD5" s="2">
        <v>679.25</v>
      </c>
      <c r="AE5" s="71" t="e">
        <f>DK30</f>
        <v>#DIV/0!</v>
      </c>
      <c r="AF5" s="72" t="e">
        <f>DK42</f>
        <v>#DIV/0!</v>
      </c>
      <c r="AG5" s="71" t="e">
        <f>DQ30</f>
        <v>#DIV/0!</v>
      </c>
      <c r="AH5" s="77" t="e">
        <f>DK36*15</f>
        <v>#DIV/0!</v>
      </c>
      <c r="AJ5" s="72" t="e">
        <f>DD30</f>
        <v>#DIV/0!</v>
      </c>
      <c r="AK5" s="77" t="e">
        <f>DD36*15</f>
        <v>#DIV/0!</v>
      </c>
      <c r="AL5" s="132" t="e">
        <f>CK24/比赛参数!E26</f>
        <v>#DIV/0!</v>
      </c>
      <c r="AM5" s="32">
        <f>AG68</f>
        <v>0</v>
      </c>
      <c r="AN5" s="32">
        <f>Z93</f>
        <v>0</v>
      </c>
      <c r="AO5" s="32">
        <f>AC10+D43-Z92</f>
        <v>0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/>
      <c r="E6" s="9"/>
      <c r="F6" s="10"/>
      <c r="M6" s="30"/>
      <c r="N6" s="31" t="s">
        <v>162</v>
      </c>
      <c r="O6" s="32">
        <f>K8+Y18-AA18</f>
        <v>0</v>
      </c>
      <c r="P6" s="33" t="s">
        <v>163</v>
      </c>
      <c r="Q6" s="32">
        <f>AH15</f>
        <v>0</v>
      </c>
      <c r="W6" s="43">
        <f>AC6-X6</f>
        <v>0</v>
      </c>
      <c r="X6" s="32">
        <f>SUM(AH70:AH73)</f>
        <v>0</v>
      </c>
      <c r="Y6" s="67" t="e">
        <f>AVERAGE(AA76:AA79)</f>
        <v>#DIV/0!</v>
      </c>
      <c r="Z6" s="67">
        <f>1/比赛参数!$G$4</f>
        <v>0.0526315789473684</v>
      </c>
      <c r="AA6" s="68" t="e">
        <f>(AC6-X6)/X6</f>
        <v>#DIV/0!</v>
      </c>
      <c r="AB6" s="69">
        <f>SUM(AG232:AJ232)/比赛参数!$G$4</f>
        <v>0</v>
      </c>
      <c r="AC6" s="70">
        <f>AN6+SUM(AA57:AA60)-SUM(AH57:AH60)-SUM(AA108:AA111)</f>
        <v>0</v>
      </c>
      <c r="AD6" s="2">
        <v>294</v>
      </c>
      <c r="AE6" s="71" t="e">
        <f>DK31</f>
        <v>#DIV/0!</v>
      </c>
      <c r="AF6" s="72" t="e">
        <f>DK43</f>
        <v>#DIV/0!</v>
      </c>
      <c r="AG6" s="71" t="e">
        <f>DQ31</f>
        <v>#DIV/0!</v>
      </c>
      <c r="AH6" s="77" t="e">
        <f>DK37*15</f>
        <v>#DIV/0!</v>
      </c>
      <c r="AJ6" s="72" t="e">
        <f>DD31</f>
        <v>#DIV/0!</v>
      </c>
      <c r="AK6" s="77" t="e">
        <f>DD37*15</f>
        <v>#DIV/0!</v>
      </c>
      <c r="AL6" s="132" t="e">
        <f>CL24/比赛参数!F26</f>
        <v>#DIV/0!</v>
      </c>
      <c r="AM6" s="32">
        <f>AH68</f>
        <v>0</v>
      </c>
      <c r="AN6" s="32">
        <f>AA93</f>
        <v>0</v>
      </c>
      <c r="AO6" s="32">
        <f>AC11+D44-AA92</f>
        <v>0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0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430</v>
      </c>
      <c r="D7" s="14"/>
      <c r="E7" s="9"/>
      <c r="F7" s="10"/>
      <c r="M7" s="30"/>
      <c r="N7" s="31" t="s">
        <v>154</v>
      </c>
      <c r="O7" s="32"/>
      <c r="P7" s="33" t="s">
        <v>167</v>
      </c>
      <c r="Q7" s="32">
        <f>BS58</f>
        <v>0</v>
      </c>
      <c r="W7" s="43">
        <f>AC7-X7</f>
        <v>0</v>
      </c>
      <c r="X7" s="32">
        <f>SUM(AI70:AI73)</f>
        <v>0</v>
      </c>
      <c r="Y7" s="67" t="e">
        <f>AVERAGE(AB76:AB79)</f>
        <v>#DIV/0!</v>
      </c>
      <c r="Z7" s="67">
        <f>1/比赛参数!$G$4</f>
        <v>0.0526315789473684</v>
      </c>
      <c r="AA7" s="68" t="e">
        <f>(AC7-X7)/X7</f>
        <v>#DIV/0!</v>
      </c>
      <c r="AB7" s="69">
        <f>SUM(AK232:AN232)/比赛参数!$G$4</f>
        <v>0</v>
      </c>
      <c r="AC7" s="70">
        <f>AN7+SUM(AB57:AB60)-SUM(AI57:AI60)-SUM(AB108:AB111)</f>
        <v>0</v>
      </c>
      <c r="AE7" s="71" t="e">
        <f>DK32</f>
        <v>#DIV/0!</v>
      </c>
      <c r="AF7" s="72" t="e">
        <f>DK44</f>
        <v>#DIV/0!</v>
      </c>
      <c r="AG7" s="71" t="e">
        <f>DQ32</f>
        <v>#DIV/0!</v>
      </c>
      <c r="AH7" s="77" t="e">
        <f>DK38*15</f>
        <v>#DIV/0!</v>
      </c>
      <c r="AJ7" s="72" t="e">
        <f>DD32</f>
        <v>#DIV/0!</v>
      </c>
      <c r="AK7" s="77" t="e">
        <f>DD38*15</f>
        <v>#DIV/0!</v>
      </c>
      <c r="AL7" s="132" t="e">
        <f>CM24/比赛参数!G26</f>
        <v>#DIV/0!</v>
      </c>
      <c r="AM7" s="32">
        <f>AI68</f>
        <v>0</v>
      </c>
      <c r="AN7" s="32">
        <f>AB93</f>
        <v>0</v>
      </c>
      <c r="AO7" s="32">
        <f>AC12+D45-AB92</f>
        <v>0</v>
      </c>
      <c r="AR7" s="174" t="s">
        <v>107</v>
      </c>
      <c r="BR7" s="197" t="s">
        <v>21</v>
      </c>
      <c r="BS7" s="198">
        <f>第十六期!AF76</f>
        <v>0</v>
      </c>
      <c r="BT7" s="198">
        <f>第十六期!AF77</f>
        <v>0</v>
      </c>
      <c r="BU7" s="198">
        <f>第十六期!AF78</f>
        <v>0</v>
      </c>
      <c r="BV7" s="198">
        <f>第十六期!AF79</f>
        <v>0</v>
      </c>
      <c r="BW7" s="200">
        <f>第十六期!$AF$80</f>
        <v>0</v>
      </c>
      <c r="DT7" s="252" t="s">
        <v>21</v>
      </c>
      <c r="DU7" s="250">
        <v>2</v>
      </c>
      <c r="DV7" s="251">
        <f t="shared" si="0"/>
        <v>0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168</v>
      </c>
      <c r="D8" s="14"/>
      <c r="E8" s="9"/>
      <c r="F8" s="10"/>
      <c r="J8" s="11" t="s">
        <v>162</v>
      </c>
      <c r="K8" s="34">
        <f>D4</f>
        <v>0</v>
      </c>
      <c r="M8" s="30"/>
      <c r="N8" s="31" t="s">
        <v>161</v>
      </c>
      <c r="O8" s="32">
        <f>AL23</f>
        <v>0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第十六期!$AG$76</f>
        <v>0</v>
      </c>
      <c r="BT8" s="198">
        <f>第十六期!$AG$77</f>
        <v>0</v>
      </c>
      <c r="BU8" s="198">
        <f>第十六期!$AG$78</f>
        <v>0</v>
      </c>
      <c r="BV8" s="198">
        <f>第十六期!$AG$79</f>
        <v>0</v>
      </c>
      <c r="BW8" s="200">
        <f>第十六期!$AG$80</f>
        <v>0</v>
      </c>
      <c r="BX8" s="173"/>
      <c r="DT8" s="253" t="s">
        <v>21</v>
      </c>
      <c r="DU8" s="254">
        <v>3</v>
      </c>
      <c r="DV8" s="255">
        <f t="shared" si="0"/>
        <v>0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187</v>
      </c>
      <c r="D9" s="14"/>
      <c r="E9" s="9"/>
      <c r="F9" s="10"/>
      <c r="J9" s="11" t="s">
        <v>154</v>
      </c>
      <c r="K9" s="34">
        <f>D5</f>
        <v>0</v>
      </c>
      <c r="M9" s="36" t="s">
        <v>188</v>
      </c>
      <c r="N9" s="31" t="s">
        <v>189</v>
      </c>
      <c r="O9" s="32">
        <f>AJ20</f>
        <v>0</v>
      </c>
      <c r="P9" s="35"/>
      <c r="Q9" s="45"/>
      <c r="X9" s="47" t="s">
        <v>190</v>
      </c>
      <c r="Y9" s="75"/>
      <c r="Z9" s="75"/>
      <c r="AA9" s="75"/>
      <c r="AB9" s="75"/>
      <c r="AC9" s="76">
        <f>SUM(Y9:AB9)</f>
        <v>0</v>
      </c>
      <c r="AE9" s="72" t="e">
        <f>SUMPRODUCT(Y96:Y99,AF64:AF67)/SUM(AF64:AF67)</f>
        <v>#DIV/0!</v>
      </c>
      <c r="AF9" s="77" t="e">
        <f>CC24*15</f>
        <v>#DIV/0!</v>
      </c>
      <c r="AG9" s="133" t="e">
        <f>SUMPRODUCT(Y102:Y105,AF64:AF67)/SUM(AF64:AF67)*20</f>
        <v>#DIV/0!</v>
      </c>
      <c r="AH9" s="32">
        <f>AC9*比赛参数!D26</f>
        <v>0</v>
      </c>
      <c r="AI9" s="134">
        <f>第十六期!DB56</f>
        <v>0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第十六期!$AH$76</f>
        <v>0</v>
      </c>
      <c r="BT9" s="198">
        <f>第十六期!$AH$77</f>
        <v>0</v>
      </c>
      <c r="BU9" s="198">
        <f>第十六期!$AH$78</f>
        <v>0</v>
      </c>
      <c r="BV9" s="198">
        <f>第十六期!$AH$79</f>
        <v>0</v>
      </c>
      <c r="BW9" s="200">
        <f>第十六期!$AH$80</f>
        <v>0</v>
      </c>
      <c r="BX9" s="173"/>
      <c r="DT9" s="256" t="s">
        <v>21</v>
      </c>
      <c r="DU9" s="257">
        <v>4</v>
      </c>
      <c r="DV9" s="258">
        <f t="shared" si="0"/>
        <v>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431</v>
      </c>
      <c r="D10" s="9"/>
      <c r="E10" s="9"/>
      <c r="F10" s="10"/>
      <c r="J10" s="11" t="s">
        <v>161</v>
      </c>
      <c r="K10" s="34">
        <f>D6</f>
        <v>0</v>
      </c>
      <c r="M10" s="30"/>
      <c r="N10" s="31" t="s">
        <v>168</v>
      </c>
      <c r="O10" s="37"/>
      <c r="P10" s="35"/>
      <c r="Q10" s="45"/>
      <c r="X10" s="11" t="s">
        <v>192</v>
      </c>
      <c r="Y10" s="75"/>
      <c r="Z10" s="75"/>
      <c r="AA10" s="75"/>
      <c r="AB10" s="75"/>
      <c r="AC10" s="76">
        <f>SUM(Y10:AB10)</f>
        <v>0</v>
      </c>
      <c r="AE10" s="72" t="e">
        <f>SUMPRODUCT(Z96:Z99,AG64:AG67)/SUM(AG64:AG67)</f>
        <v>#DIV/0!</v>
      </c>
      <c r="AF10" s="77" t="e">
        <f>CD24*15</f>
        <v>#DIV/0!</v>
      </c>
      <c r="AG10" s="133" t="e">
        <f>SUMPRODUCT(Z102:Z105,AG64:AG67)/SUM(AG64:AG67)*20</f>
        <v>#DIV/0!</v>
      </c>
      <c r="AH10" s="32">
        <f>AC10*比赛参数!E26</f>
        <v>0</v>
      </c>
      <c r="AI10" s="134">
        <f>第十六期!DB57</f>
        <v>0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第十六期!$AI$76</f>
        <v>0</v>
      </c>
      <c r="BT10" s="198">
        <f>第十六期!$AI$77</f>
        <v>0</v>
      </c>
      <c r="BU10" s="198">
        <f>第十六期!$AI$78</f>
        <v>0</v>
      </c>
      <c r="BV10" s="198">
        <f>第十六期!$AI$79</f>
        <v>0</v>
      </c>
      <c r="BW10" s="200">
        <f>第十六期!$AI$80</f>
        <v>0</v>
      </c>
      <c r="BX10" s="173"/>
      <c r="DT10" s="249" t="s">
        <v>22</v>
      </c>
      <c r="DU10" s="260">
        <v>1</v>
      </c>
      <c r="DV10" s="261">
        <f t="shared" si="0"/>
        <v>0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432</v>
      </c>
      <c r="D11" s="14"/>
      <c r="E11" s="9"/>
      <c r="F11" s="10"/>
      <c r="J11" s="11" t="s">
        <v>166</v>
      </c>
      <c r="K11" s="34">
        <f>D7</f>
        <v>0</v>
      </c>
      <c r="M11" s="36" t="s">
        <v>194</v>
      </c>
      <c r="N11" s="32" t="s">
        <v>195</v>
      </c>
      <c r="O11" s="32">
        <f>AL14</f>
        <v>0</v>
      </c>
      <c r="P11" s="35"/>
      <c r="Q11" s="45"/>
      <c r="X11" s="11" t="s">
        <v>196</v>
      </c>
      <c r="Y11" s="75"/>
      <c r="Z11" s="75"/>
      <c r="AA11" s="75"/>
      <c r="AB11" s="75"/>
      <c r="AC11" s="76">
        <f>SUM(Y11:AB11)</f>
        <v>0</v>
      </c>
      <c r="AE11" s="72" t="e">
        <f>SUMPRODUCT(AA96:AA99,AH64:AH67)/SUM(AH64:AH67)</f>
        <v>#DIV/0!</v>
      </c>
      <c r="AF11" s="77" t="e">
        <f>CE24*15</f>
        <v>#DIV/0!</v>
      </c>
      <c r="AG11" s="133" t="e">
        <f>SUMPRODUCT(AA102:AA105,AH64:AH67)/SUM(AH64:AH67)*20</f>
        <v>#DIV/0!</v>
      </c>
      <c r="AH11" s="32">
        <f>AC11*比赛参数!F26</f>
        <v>0</v>
      </c>
      <c r="AI11" s="134">
        <f>第十六期!DB58</f>
        <v>0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197</v>
      </c>
      <c r="BS11" s="200">
        <f>第十六期!$AJ$76</f>
        <v>0</v>
      </c>
      <c r="BT11" s="200">
        <f>第十六期!$AJ$77</f>
        <v>0</v>
      </c>
      <c r="BU11" s="200">
        <f>第十六期!$AJ$78</f>
        <v>0</v>
      </c>
      <c r="BV11" s="200">
        <f>第十六期!$AJ$79</f>
        <v>0</v>
      </c>
      <c r="BW11" s="210"/>
      <c r="BX11" s="173"/>
      <c r="DT11" s="252" t="s">
        <v>22</v>
      </c>
      <c r="DU11" s="250">
        <v>2</v>
      </c>
      <c r="DV11" s="251">
        <f t="shared" si="0"/>
        <v>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198</v>
      </c>
      <c r="D12" s="14"/>
      <c r="E12" s="9"/>
      <c r="F12" s="10"/>
      <c r="J12" s="11" t="s">
        <v>187</v>
      </c>
      <c r="K12" s="34">
        <f>D9</f>
        <v>0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/>
      <c r="AB12" s="75"/>
      <c r="AC12" s="78">
        <f>SUM(Y12:AB12)</f>
        <v>0</v>
      </c>
      <c r="AE12" s="72" t="e">
        <f>SUMPRODUCT(AB96:AB99,AI64:AI67)/SUM(AI64:AI67)</f>
        <v>#DIV/0!</v>
      </c>
      <c r="AF12" s="77" t="e">
        <f>CF24*15</f>
        <v>#DIV/0!</v>
      </c>
      <c r="AG12" s="133" t="e">
        <f>SUMPRODUCT(AB102:AB105,AI64:AI67)/SUM(AI64:AI67)*20</f>
        <v>#DIV/0!</v>
      </c>
      <c r="AH12" s="32">
        <f>AC12*比赛参数!G26</f>
        <v>0</v>
      </c>
      <c r="AI12" s="134">
        <f>第十六期!DB59</f>
        <v>0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0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100</v>
      </c>
      <c r="D13" s="14"/>
      <c r="E13" s="9"/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0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0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0</v>
      </c>
      <c r="AB13" s="79">
        <f>(AB9*比赛参数!D27+AB10*比赛参数!E27+AB11*比赛参数!F27+AB12*比赛参数!G27)/260</f>
        <v>0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第十六期!BU86</f>
        <v>0</v>
      </c>
      <c r="AG13" s="135" t="s">
        <v>203</v>
      </c>
      <c r="AH13" s="136">
        <f>第十六期!BV76</f>
        <v>0</v>
      </c>
      <c r="AI13" s="42" t="s">
        <v>204</v>
      </c>
      <c r="AJ13" s="137" t="e">
        <f>SUMPRODUCT(AE4:AE7,AH9:AH12)</f>
        <v>#DIV/0!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206</v>
      </c>
      <c r="D14" s="9"/>
      <c r="E14" s="9"/>
      <c r="F14" s="10"/>
      <c r="J14" s="11" t="s">
        <v>193</v>
      </c>
      <c r="K14" s="34">
        <f>D11</f>
        <v>0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0</v>
      </c>
      <c r="AB14" s="79">
        <f>(AB9*比赛参数!D26+AB10*比赛参数!E26+AB11*比赛参数!F26+AB12*比赛参数!G26)/260</f>
        <v>0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第十六期!BW92</f>
        <v>0</v>
      </c>
      <c r="AG14" s="73" t="s">
        <v>208</v>
      </c>
      <c r="AH14" s="138"/>
      <c r="AI14" s="42" t="s">
        <v>93</v>
      </c>
      <c r="AJ14" s="139">
        <f>第十六期!K12</f>
        <v>0</v>
      </c>
      <c r="AK14" s="42" t="s">
        <v>209</v>
      </c>
      <c r="AL14" s="91">
        <f>AJ14-AH14</f>
        <v>0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第十六期!Y88</f>
        <v>0</v>
      </c>
      <c r="BT14" s="198">
        <f>第十六期!Y89</f>
        <v>0</v>
      </c>
      <c r="BU14" s="198">
        <f>第十六期!Y90</f>
        <v>0</v>
      </c>
      <c r="BV14" s="198">
        <f>第十六期!Y91</f>
        <v>0</v>
      </c>
      <c r="BW14" s="202"/>
      <c r="BX14" s="173"/>
      <c r="DT14" s="249" t="s">
        <v>23</v>
      </c>
      <c r="DU14" s="260">
        <v>1</v>
      </c>
      <c r="DV14" s="261">
        <f t="shared" si="0"/>
        <v>0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210</v>
      </c>
      <c r="D15" s="9"/>
      <c r="E15" s="9"/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 t="e">
        <f>Y14/AA20</f>
        <v>#DIV/0!</v>
      </c>
      <c r="Z15" s="86" t="e">
        <f>(Z14+AA14)/AA20</f>
        <v>#DIV/0!</v>
      </c>
      <c r="AA15" s="87"/>
      <c r="AB15" s="88" t="e">
        <f>AB14/AA20</f>
        <v>#DIV/0!</v>
      </c>
      <c r="AC15" s="89" t="str">
        <f>IF(AC21&lt;=AC20,"材料 YES","材料 NO")</f>
        <v>材料 YES</v>
      </c>
      <c r="AE15" s="83" t="s">
        <v>105</v>
      </c>
      <c r="AF15" s="90" t="e">
        <f>AF14/(Y18+第十六期!K8-AA18)</f>
        <v>#DIV/0!</v>
      </c>
      <c r="AG15" s="73" t="s">
        <v>214</v>
      </c>
      <c r="AH15" s="138"/>
      <c r="AI15" s="42" t="s">
        <v>215</v>
      </c>
      <c r="AJ15" s="139">
        <f>第十六期!K16*0.5-第十六期!K14</f>
        <v>0</v>
      </c>
      <c r="AK15" s="42" t="s">
        <v>216</v>
      </c>
      <c r="AL15" s="111">
        <f>O20*0.5-O13</f>
        <v>0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第十六期!Z88</f>
        <v>0</v>
      </c>
      <c r="BT15" s="198">
        <f>第十六期!Z89</f>
        <v>0</v>
      </c>
      <c r="BU15" s="198">
        <f>第十六期!Z90</f>
        <v>0</v>
      </c>
      <c r="BV15" s="198">
        <f>第十六期!Z91</f>
        <v>0</v>
      </c>
      <c r="BW15" s="202"/>
      <c r="BX15" s="173"/>
      <c r="DT15" s="252" t="s">
        <v>23</v>
      </c>
      <c r="DU15" s="250">
        <v>2</v>
      </c>
      <c r="DV15" s="251">
        <f t="shared" si="0"/>
        <v>0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211</v>
      </c>
      <c r="D16" s="14"/>
      <c r="E16" s="9"/>
      <c r="F16" s="10">
        <f>D16*4</f>
        <v>0</v>
      </c>
      <c r="J16" s="11" t="s">
        <v>104</v>
      </c>
      <c r="K16" s="34">
        <f>D18</f>
        <v>0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第十六期!DM60</f>
        <v>0</v>
      </c>
      <c r="Z16" s="92" t="s">
        <v>218</v>
      </c>
      <c r="AA16" s="93">
        <f>AH20+Y16+第十六期!K9*比赛参数!D30*比赛参数!F30</f>
        <v>0</v>
      </c>
      <c r="AB16" s="73" t="s">
        <v>219</v>
      </c>
      <c r="AC16" s="94">
        <f>Y20-Y21</f>
        <v>0</v>
      </c>
      <c r="AE16" s="83" t="s">
        <v>220</v>
      </c>
      <c r="AF16" s="95" t="e">
        <f>AJ13/SUM(AH9:AH12)</f>
        <v>#DIV/0!</v>
      </c>
      <c r="AG16" s="83" t="s">
        <v>221</v>
      </c>
      <c r="AH16" s="140" t="e">
        <f>AF14/AL111</f>
        <v>#DIV/0!</v>
      </c>
      <c r="AI16" s="42" t="s">
        <v>222</v>
      </c>
      <c r="AJ16" s="141">
        <f>BS75+BS76</f>
        <v>0</v>
      </c>
      <c r="AK16" s="142" t="e">
        <f>AJ16/BS77</f>
        <v>#DIV/0!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第十六期!AA88</f>
        <v>0</v>
      </c>
      <c r="BT16" s="198">
        <f>第十六期!AA89</f>
        <v>0</v>
      </c>
      <c r="BU16" s="198">
        <f>第十六期!AA90</f>
        <v>0</v>
      </c>
      <c r="BV16" s="198">
        <f>第十六期!AA91</f>
        <v>0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0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9"/>
      <c r="E17" s="9"/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0</v>
      </c>
      <c r="AE17" s="83" t="s">
        <v>233</v>
      </c>
      <c r="AF17" s="100" t="e">
        <f>(AE9*SUM(AF64:AF67)+AE10*SUM(AG64:AG67)+AE11*SUM(AH64:AH67)+AE12*SUM(AI64:AI67))/SUM(AF64:AI67)</f>
        <v>#DIV/0!</v>
      </c>
      <c r="AG17" s="2" t="s">
        <v>106</v>
      </c>
      <c r="AH17" s="2" t="e">
        <f>AF14/(O20+O13)</f>
        <v>#DIV/0!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第十六期!AB88</f>
        <v>0</v>
      </c>
      <c r="BT17" s="198">
        <f>第十六期!AB89</f>
        <v>0</v>
      </c>
      <c r="BU17" s="198">
        <f>第十六期!AB90</f>
        <v>0</v>
      </c>
      <c r="BV17" s="198">
        <f>第十六期!AB91</f>
        <v>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104</v>
      </c>
      <c r="D18" s="14"/>
      <c r="E18" s="9"/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/>
      <c r="Z18" s="11" t="s">
        <v>235</v>
      </c>
      <c r="AA18" s="101"/>
      <c r="AB18" s="11" t="s">
        <v>236</v>
      </c>
      <c r="AC18" s="102"/>
      <c r="AE18" s="11" t="s">
        <v>237</v>
      </c>
      <c r="AF18" s="103"/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0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/>
      <c r="E19" s="9"/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第十六期!K8*比赛参数!D57</f>
        <v>0</v>
      </c>
      <c r="Z19" s="104" t="s">
        <v>244</v>
      </c>
      <c r="AA19" s="99">
        <f>第十六期!K8*比赛参数!D60</f>
        <v>0</v>
      </c>
      <c r="AB19" s="104" t="s">
        <v>244</v>
      </c>
      <c r="AC19" s="105">
        <f>IF((AC21-第十六期!K10)/比赛参数!D41&gt;0,(AC21-第十六期!K10)/比赛参数!D41,0)</f>
        <v>0</v>
      </c>
      <c r="AE19" s="42" t="s">
        <v>36</v>
      </c>
      <c r="AF19" s="106">
        <f>BS67</f>
        <v>0</v>
      </c>
      <c r="AG19" s="48"/>
      <c r="AH19" s="48"/>
      <c r="AI19" s="146" t="s">
        <v>245</v>
      </c>
      <c r="AJ19" s="105">
        <f>IF((第十六期!BW92-第十六期!BS87)&gt;0,第十六期!BW92-第十六期!BS87,0)</f>
        <v>0</v>
      </c>
      <c r="AK19" s="42" t="s">
        <v>246</v>
      </c>
      <c r="AL19" s="145">
        <f>AL110</f>
        <v>0</v>
      </c>
      <c r="AM19" s="2" t="s">
        <v>247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第十六期!$CX$68</f>
        <v>0</v>
      </c>
      <c r="CD19" s="110">
        <f>第十六期!$CX$69</f>
        <v>0</v>
      </c>
      <c r="CE19" s="110">
        <f>第十六期!$CX$70</f>
        <v>0</v>
      </c>
      <c r="CF19" s="110">
        <f>第十六期!$CX$71</f>
        <v>0</v>
      </c>
      <c r="CG19" s="219"/>
      <c r="CH19" s="225"/>
      <c r="CI19" s="226" t="s">
        <v>55</v>
      </c>
      <c r="CJ19" s="110">
        <f>第十六期!$CX$50</f>
        <v>0</v>
      </c>
      <c r="CK19" s="110">
        <f>第十六期!$CX$51</f>
        <v>0</v>
      </c>
      <c r="CL19" s="110">
        <f>第十六期!$CX$52</f>
        <v>0</v>
      </c>
      <c r="CM19" s="110">
        <f>第十六期!$CX$53</f>
        <v>0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0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262</v>
      </c>
      <c r="D20" s="9"/>
      <c r="E20" s="9"/>
      <c r="F20" s="10"/>
      <c r="M20" s="30"/>
      <c r="N20" s="32" t="s">
        <v>104</v>
      </c>
      <c r="O20" s="38">
        <f>K16+AJ19-AJ18</f>
        <v>0</v>
      </c>
      <c r="P20" s="35"/>
      <c r="Q20" s="45"/>
      <c r="W20" s="50"/>
      <c r="X20" s="42" t="s">
        <v>249</v>
      </c>
      <c r="Y20" s="107">
        <f>第十六期!K8+第十六期!Y18*比赛参数!D59-第十六期!AA18</f>
        <v>0</v>
      </c>
      <c r="Z20" s="42" t="s">
        <v>239</v>
      </c>
      <c r="AA20" s="108">
        <f>第十六期!K9</f>
        <v>0</v>
      </c>
      <c r="AB20" s="42" t="s">
        <v>250</v>
      </c>
      <c r="AC20" s="109">
        <f>AC18*比赛参数!D41+第十六期!K10</f>
        <v>0</v>
      </c>
      <c r="AE20" s="11" t="s">
        <v>251</v>
      </c>
      <c r="AF20" s="101"/>
      <c r="AG20" s="42" t="s">
        <v>87</v>
      </c>
      <c r="AH20" s="147">
        <f>第十六期!BS62+第十六期!BS71</f>
        <v>0</v>
      </c>
      <c r="AI20" s="73" t="s">
        <v>252</v>
      </c>
      <c r="AJ20" s="111">
        <f>第十六期!BV90</f>
        <v>0</v>
      </c>
      <c r="AK20" s="148" t="s">
        <v>253</v>
      </c>
      <c r="AL20" s="145">
        <f>AL111</f>
        <v>0</v>
      </c>
      <c r="AM20" s="2" t="e">
        <f>AF14/AL20/1300</f>
        <v>#DIV/0!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第十六期!Y9</f>
        <v>0</v>
      </c>
      <c r="BT20" s="198">
        <f>第十六期!Z9</f>
        <v>0</v>
      </c>
      <c r="BU20" s="198">
        <f>第十六期!AA9</f>
        <v>0</v>
      </c>
      <c r="BV20" s="198">
        <f>第十六期!AB9</f>
        <v>0</v>
      </c>
      <c r="BW20" s="200">
        <f>第十六期!AJ34</f>
        <v>0</v>
      </c>
      <c r="BX20" s="215"/>
      <c r="CA20" s="213"/>
      <c r="CB20" s="196" t="s">
        <v>56</v>
      </c>
      <c r="CC20" s="110">
        <f>第十六期!$CY$68</f>
        <v>0</v>
      </c>
      <c r="CD20" s="110">
        <f>第十六期!$CY$69</f>
        <v>0</v>
      </c>
      <c r="CE20" s="110">
        <f>第十六期!$CY$70</f>
        <v>0</v>
      </c>
      <c r="CF20" s="110">
        <f>第十六期!$CY$71</f>
        <v>0</v>
      </c>
      <c r="CG20" s="219"/>
      <c r="CH20" s="225"/>
      <c r="CI20" s="227" t="s">
        <v>56</v>
      </c>
      <c r="CJ20" s="110">
        <f>第十六期!$CY$50</f>
        <v>0</v>
      </c>
      <c r="CK20" s="110">
        <f>第十六期!$CY$51</f>
        <v>0</v>
      </c>
      <c r="CL20" s="110">
        <f>第十六期!$CY$52</f>
        <v>0</v>
      </c>
      <c r="CM20" s="110">
        <f>第十六期!$CY$53</f>
        <v>0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/>
      <c r="E21" s="9"/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0</v>
      </c>
      <c r="Z21" s="42" t="s">
        <v>256</v>
      </c>
      <c r="AA21" s="110">
        <f>MAX(Y14,Z14+AA14,AB14)</f>
        <v>0</v>
      </c>
      <c r="AB21" s="42" t="s">
        <v>257</v>
      </c>
      <c r="AC21" s="111">
        <f>AC9*比赛参数!D28+AC10*比赛参数!E28+AC11*比赛参数!F28+AC12*比赛参数!G28</f>
        <v>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0</v>
      </c>
      <c r="AI21" s="42" t="s">
        <v>260</v>
      </c>
      <c r="AJ21" s="139">
        <f>比赛参数!D67</f>
        <v>2500000</v>
      </c>
      <c r="AK21" s="148" t="s">
        <v>261</v>
      </c>
      <c r="AL21" s="150" t="e">
        <f>AL112</f>
        <v>#DIV/0!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第十六期!Y10</f>
        <v>0</v>
      </c>
      <c r="BT21" s="198">
        <f>第十六期!Z10</f>
        <v>0</v>
      </c>
      <c r="BU21" s="198">
        <f>第十六期!AA10</f>
        <v>0</v>
      </c>
      <c r="BV21" s="198">
        <f>第十六期!AB10</f>
        <v>0</v>
      </c>
      <c r="BW21" s="200">
        <f>第十六期!AJ35</f>
        <v>0</v>
      </c>
      <c r="BX21" s="215"/>
      <c r="CA21" s="213"/>
      <c r="CB21" s="196" t="s">
        <v>57</v>
      </c>
      <c r="CC21" s="110">
        <f>第十六期!$CZ$68</f>
        <v>0</v>
      </c>
      <c r="CD21" s="110">
        <f>第十六期!$CZ$69</f>
        <v>0</v>
      </c>
      <c r="CE21" s="110">
        <f>第十六期!$CZ$70</f>
        <v>0</v>
      </c>
      <c r="CF21" s="110">
        <f>第十六期!$CZ$71</f>
        <v>0</v>
      </c>
      <c r="CG21" s="219"/>
      <c r="CH21" s="225"/>
      <c r="CI21" s="227" t="s">
        <v>57</v>
      </c>
      <c r="CJ21" s="110">
        <f>第十六期!$CZ$50</f>
        <v>0</v>
      </c>
      <c r="CK21" s="110">
        <f>第十六期!$CZ$51</f>
        <v>0</v>
      </c>
      <c r="CL21" s="110">
        <f>第十六期!$CZ$52</f>
        <v>0</v>
      </c>
      <c r="CM21" s="110">
        <f>第十六期!$CZ$53</f>
        <v>0</v>
      </c>
      <c r="CN21" s="48"/>
      <c r="CO21" s="239"/>
      <c r="DT21" s="252" t="s">
        <v>24</v>
      </c>
      <c r="DU21" s="250">
        <v>4</v>
      </c>
      <c r="DV21" s="251">
        <f t="shared" si="0"/>
        <v>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0</v>
      </c>
      <c r="AB22" s="114" t="e">
        <f>AA22/AA20</f>
        <v>#DIV/0!</v>
      </c>
      <c r="AD22" s="115"/>
      <c r="AH22" s="151">
        <f>AH20+AH21</f>
        <v>0</v>
      </c>
      <c r="AI22" s="42" t="s">
        <v>264</v>
      </c>
      <c r="AJ22" s="139">
        <f>K11</f>
        <v>0</v>
      </c>
      <c r="AK22" s="2" t="s">
        <v>265</v>
      </c>
      <c r="AL22" s="152">
        <f>K10</f>
        <v>0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第十六期!Y11</f>
        <v>0</v>
      </c>
      <c r="BT22" s="198">
        <f>第十六期!Z11</f>
        <v>0</v>
      </c>
      <c r="BU22" s="198">
        <f>第十六期!AA11</f>
        <v>0</v>
      </c>
      <c r="BV22" s="198">
        <f>第十六期!AB11</f>
        <v>0</v>
      </c>
      <c r="BW22" s="200">
        <f>第十六期!AJ36</f>
        <v>0</v>
      </c>
      <c r="BX22" s="215"/>
      <c r="CA22" s="213"/>
      <c r="CB22" s="196" t="s">
        <v>58</v>
      </c>
      <c r="CC22" s="110">
        <f>第十六期!$DA$68</f>
        <v>0</v>
      </c>
      <c r="CD22" s="110">
        <f>第十六期!$DA$69</f>
        <v>0</v>
      </c>
      <c r="CE22" s="110">
        <f>第十六期!$DA$70</f>
        <v>0</v>
      </c>
      <c r="CF22" s="110">
        <f>第十六期!$DA$71</f>
        <v>0</v>
      </c>
      <c r="CG22" s="219"/>
      <c r="CH22" s="225"/>
      <c r="CI22" s="227" t="s">
        <v>58</v>
      </c>
      <c r="CJ22" s="110">
        <f>第十六期!$DA$50</f>
        <v>0</v>
      </c>
      <c r="CK22" s="110">
        <f>第十六期!$DA$51</f>
        <v>0</v>
      </c>
      <c r="CL22" s="110">
        <f>第十六期!$DA$52</f>
        <v>0</v>
      </c>
      <c r="CM22" s="110">
        <f>第十六期!$DA$53</f>
        <v>0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0</v>
      </c>
      <c r="AK23" s="2" t="s">
        <v>272</v>
      </c>
      <c r="AL23" s="152">
        <f>AL22+AC18-AC21</f>
        <v>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第十六期!Y12</f>
        <v>0</v>
      </c>
      <c r="BT23" s="198">
        <f>第十六期!Z12</f>
        <v>0</v>
      </c>
      <c r="BU23" s="198">
        <f>第十六期!AA12</f>
        <v>0</v>
      </c>
      <c r="BV23" s="198">
        <f>第十六期!AB12</f>
        <v>0</v>
      </c>
      <c r="BW23" s="200">
        <f>第十六期!AJ37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-2640.23076923077</v>
      </c>
      <c r="DA23" s="2">
        <f t="shared" si="14"/>
        <v>-2599.23076923077</v>
      </c>
      <c r="DB23" s="2">
        <f t="shared" si="14"/>
        <v>-2757.23076923077</v>
      </c>
      <c r="DC23" s="2">
        <f t="shared" si="14"/>
        <v>-2807.23076923077</v>
      </c>
      <c r="DF23" s="2" t="s">
        <v>38</v>
      </c>
      <c r="DG23" s="2">
        <f t="shared" ref="DG23:DJ26" si="15">BS7-DG17</f>
        <v>-1850.5</v>
      </c>
      <c r="DH23" s="2">
        <f t="shared" si="15"/>
        <v>-1850.5</v>
      </c>
      <c r="DI23" s="2">
        <f t="shared" si="15"/>
        <v>-2013</v>
      </c>
      <c r="DJ23" s="2">
        <f t="shared" si="15"/>
        <v>-2013</v>
      </c>
      <c r="DM23" s="2">
        <f t="shared" ref="DM23:DP26" si="16">DG23/CS23</f>
        <v>-18.505</v>
      </c>
      <c r="DN23" s="2">
        <f t="shared" si="16"/>
        <v>-18.505</v>
      </c>
      <c r="DO23" s="2">
        <f t="shared" si="16"/>
        <v>-20.13</v>
      </c>
      <c r="DP23" s="2">
        <f t="shared" si="16"/>
        <v>-20.13</v>
      </c>
      <c r="DQ23" s="2" t="e">
        <f>SUMPRODUCT(DM23:DP23,BS14:BV14)/SUM(BS14:BV14)</f>
        <v>#DIV/0!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/>
      <c r="G24" s="9"/>
      <c r="H24" s="19"/>
      <c r="I24" s="9"/>
      <c r="J24" s="9"/>
      <c r="K24" s="9"/>
      <c r="L24" s="10"/>
      <c r="M24" s="39">
        <f>AF64-AF104</f>
        <v>0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274</v>
      </c>
      <c r="CC24" s="110" t="e">
        <f>SUMPRODUCT(CC19:CC22,AF64:AF67)/SUM(AF64:AF67)</f>
        <v>#DIV/0!</v>
      </c>
      <c r="CD24" s="110" t="e">
        <f>SUMPRODUCT(CD19:CD22,AG64:AG67)/SUM(AG64:AG67)</f>
        <v>#DIV/0!</v>
      </c>
      <c r="CE24" s="110" t="e">
        <f>SUMPRODUCT(CE19:CE22,AH64:AH67)/SUM(AH64:AH67)</f>
        <v>#DIV/0!</v>
      </c>
      <c r="CF24" s="110" t="e">
        <f>SUMPRODUCT(CF19:CF22,AI64:AI67)/SUM(AI64:AI67)</f>
        <v>#DIV/0!</v>
      </c>
      <c r="CG24" s="219"/>
      <c r="CH24" s="225"/>
      <c r="CI24" s="227" t="s">
        <v>274</v>
      </c>
      <c r="CJ24" s="110" t="e">
        <f>SUMPRODUCT(CJ19:CJ22,AF64:AF67)/SUM(AF64:AF67)</f>
        <v>#DIV/0!</v>
      </c>
      <c r="CK24" s="110" t="e">
        <f>SUMPRODUCT(CK19:CK22,AG64:AG67)/SUM(AG64:AG67)</f>
        <v>#DIV/0!</v>
      </c>
      <c r="CL24" s="110" t="e">
        <f>SUMPRODUCT(CL19:CL22,AH64:AH67)/SUM(AH64:AH67)</f>
        <v>#DIV/0!</v>
      </c>
      <c r="CM24" s="110" t="e">
        <f>SUMPRODUCT(CM19:CM22,AI64:AI67)/SUM(AI64:AI67)</f>
        <v>#DIV/0!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-5450.07692307692</v>
      </c>
      <c r="DA24" s="2">
        <f t="shared" si="14"/>
        <v>-5366.07692307692</v>
      </c>
      <c r="DB24" s="2">
        <f t="shared" si="14"/>
        <v>-5583.07692307692</v>
      </c>
      <c r="DC24" s="2">
        <f t="shared" si="14"/>
        <v>-5633.07692307692</v>
      </c>
      <c r="DF24" s="2" t="s">
        <v>39</v>
      </c>
      <c r="DG24" s="2">
        <f t="shared" si="15"/>
        <v>-3485</v>
      </c>
      <c r="DH24" s="2">
        <f t="shared" si="15"/>
        <v>-3485</v>
      </c>
      <c r="DI24" s="2">
        <f t="shared" si="15"/>
        <v>-3685</v>
      </c>
      <c r="DJ24" s="2">
        <f t="shared" si="15"/>
        <v>-3685</v>
      </c>
      <c r="DM24" s="2">
        <f t="shared" si="16"/>
        <v>-13.94</v>
      </c>
      <c r="DN24" s="2">
        <f t="shared" si="16"/>
        <v>-13.94</v>
      </c>
      <c r="DO24" s="2">
        <f t="shared" si="16"/>
        <v>-14.74</v>
      </c>
      <c r="DP24" s="2">
        <f t="shared" si="16"/>
        <v>-14.74</v>
      </c>
      <c r="DQ24" s="2" t="e">
        <f>SUMPRODUCT(DM24:DP24,BS15:BV15)/SUM(BS15:BV15)</f>
        <v>#DIV/0!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/>
      <c r="G25" s="9"/>
      <c r="H25" s="19"/>
      <c r="I25" s="9"/>
      <c r="J25" s="9"/>
      <c r="K25" s="9"/>
      <c r="L25" s="10"/>
      <c r="M25" s="39">
        <f>AF65-AF105</f>
        <v>0</v>
      </c>
      <c r="N25" s="35"/>
      <c r="O25" s="35"/>
      <c r="P25" s="35"/>
      <c r="Q25" s="45"/>
      <c r="W25" s="3"/>
      <c r="AD25" s="116" t="s">
        <v>275</v>
      </c>
      <c r="AE25" s="117" t="e">
        <f>AC5/AC$4</f>
        <v>#DIV/0!</v>
      </c>
      <c r="AF25" s="117" t="e">
        <f>AC6/AC$4</f>
        <v>#DIV/0!</v>
      </c>
      <c r="AG25" s="117" t="e">
        <f>AC7/AC$4</f>
        <v>#DIV/0!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-7763.07692307692</v>
      </c>
      <c r="DA25" s="2">
        <f t="shared" si="14"/>
        <v>-7651.07692307692</v>
      </c>
      <c r="DB25" s="2">
        <f t="shared" si="14"/>
        <v>-7907.07692307692</v>
      </c>
      <c r="DC25" s="2">
        <f t="shared" si="14"/>
        <v>-7957.07692307692</v>
      </c>
      <c r="DF25" s="2" t="s">
        <v>40</v>
      </c>
      <c r="DG25" s="2">
        <f t="shared" si="15"/>
        <v>-4784</v>
      </c>
      <c r="DH25" s="2">
        <f t="shared" si="15"/>
        <v>-4784</v>
      </c>
      <c r="DI25" s="2">
        <f t="shared" si="15"/>
        <v>-5009</v>
      </c>
      <c r="DJ25" s="2">
        <f t="shared" si="15"/>
        <v>-5009</v>
      </c>
      <c r="DM25" s="2">
        <f t="shared" si="16"/>
        <v>-12.5894736842105</v>
      </c>
      <c r="DN25" s="2">
        <f t="shared" si="16"/>
        <v>-12.5894736842105</v>
      </c>
      <c r="DO25" s="2">
        <f t="shared" si="16"/>
        <v>-13.1815789473684</v>
      </c>
      <c r="DP25" s="2">
        <f t="shared" si="16"/>
        <v>-13.1815789473684</v>
      </c>
      <c r="DQ25" s="2" t="e">
        <f>SUMPRODUCT(DM25:DP25,BS16:BV16)/SUM(BS16:BV16)</f>
        <v>#DIV/0!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/>
      <c r="F26" s="9"/>
      <c r="G26" s="9"/>
      <c r="H26" s="19"/>
      <c r="I26" s="9"/>
      <c r="J26" s="9"/>
      <c r="K26" s="9"/>
      <c r="L26" s="10"/>
      <c r="M26" s="39">
        <f>AF66-AF106</f>
        <v>0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第十六期!BV57-第十六期!BV76</f>
        <v>0</v>
      </c>
      <c r="AJ26" s="65">
        <f>第十六期!K9</f>
        <v>0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第十六期!DB50</f>
        <v>0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第十六期!Y18</f>
        <v>0</v>
      </c>
      <c r="BT26" s="198">
        <f>第十六期!AA18</f>
        <v>0</v>
      </c>
      <c r="BU26" s="198">
        <f>第十六期!AF18</f>
        <v>0</v>
      </c>
      <c r="BV26" s="204">
        <f>第十六期!AC18</f>
        <v>0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-10226</v>
      </c>
      <c r="DA26" s="2">
        <f t="shared" si="14"/>
        <v>-10088</v>
      </c>
      <c r="DB26" s="2">
        <f t="shared" si="14"/>
        <v>-10432</v>
      </c>
      <c r="DC26" s="2">
        <f t="shared" si="14"/>
        <v>-10482</v>
      </c>
      <c r="DF26" s="2" t="s">
        <v>41</v>
      </c>
      <c r="DG26" s="2">
        <f t="shared" si="15"/>
        <v>-6157</v>
      </c>
      <c r="DH26" s="2">
        <f t="shared" si="15"/>
        <v>-6157</v>
      </c>
      <c r="DI26" s="2">
        <f t="shared" si="15"/>
        <v>-6457</v>
      </c>
      <c r="DJ26" s="2">
        <f t="shared" si="15"/>
        <v>-6457</v>
      </c>
      <c r="DM26" s="2">
        <f t="shared" si="16"/>
        <v>-11.8403846153846</v>
      </c>
      <c r="DN26" s="2">
        <f t="shared" si="16"/>
        <v>-11.8403846153846</v>
      </c>
      <c r="DO26" s="2">
        <f t="shared" si="16"/>
        <v>-12.4173076923077</v>
      </c>
      <c r="DP26" s="2">
        <f t="shared" si="16"/>
        <v>-12.4173076923077</v>
      </c>
      <c r="DQ26" s="2" t="e">
        <f>SUMPRODUCT(DM26:DP26,BS17:BV17)/SUM(BS17:BV17)</f>
        <v>#DIV/0!</v>
      </c>
      <c r="DT26" s="127" t="s">
        <v>21</v>
      </c>
      <c r="DU26" s="251">
        <f>D42</f>
        <v>0</v>
      </c>
      <c r="DV26" s="270">
        <f>G42</f>
        <v>0</v>
      </c>
    </row>
    <row r="27" ht="17.1" spans="2:126">
      <c r="B27" s="7"/>
      <c r="C27" s="18">
        <v>1</v>
      </c>
      <c r="D27" s="18">
        <v>4</v>
      </c>
      <c r="E27" s="9"/>
      <c r="F27" s="9"/>
      <c r="G27" s="9"/>
      <c r="H27" s="19"/>
      <c r="I27" s="9"/>
      <c r="J27" s="9"/>
      <c r="K27" s="9"/>
      <c r="L27" s="10"/>
      <c r="M27" s="39">
        <f>AF67-AF107</f>
        <v>0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293</v>
      </c>
      <c r="AJ27" s="159" t="e">
        <f>AI26/AJ26*AK26</f>
        <v>#DIV/0!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第十六期!DB51</f>
        <v>0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0</v>
      </c>
      <c r="CD27" s="107">
        <f t="shared" si="23"/>
        <v>0</v>
      </c>
      <c r="CE27" s="107">
        <f t="shared" si="23"/>
        <v>0</v>
      </c>
      <c r="CF27" s="107">
        <f t="shared" si="23"/>
        <v>0</v>
      </c>
      <c r="CG27" s="225"/>
      <c r="CH27" s="225"/>
      <c r="CI27" s="226" t="s">
        <v>55</v>
      </c>
      <c r="CJ27" s="110">
        <f t="shared" ref="CJ27:CM30" si="24">IF(AF64&gt;0,CJ19+CC27,0)</f>
        <v>0</v>
      </c>
      <c r="CK27" s="110">
        <f t="shared" si="24"/>
        <v>0</v>
      </c>
      <c r="CL27" s="110">
        <f t="shared" si="24"/>
        <v>0</v>
      </c>
      <c r="CM27" s="110">
        <f t="shared" si="24"/>
        <v>0</v>
      </c>
      <c r="CN27" s="48"/>
      <c r="CO27" s="239"/>
      <c r="DT27" s="271" t="s">
        <v>22</v>
      </c>
      <c r="DU27" s="251">
        <f>D43</f>
        <v>0</v>
      </c>
      <c r="DV27" s="270">
        <f>G43</f>
        <v>0</v>
      </c>
    </row>
    <row r="28" ht="17.1" spans="2:126">
      <c r="B28" s="7"/>
      <c r="C28" s="18">
        <v>2</v>
      </c>
      <c r="D28" s="18">
        <v>1</v>
      </c>
      <c r="E28" s="9"/>
      <c r="F28" s="9"/>
      <c r="G28" s="9"/>
      <c r="H28" s="19"/>
      <c r="I28" s="9"/>
      <c r="J28" s="9"/>
      <c r="K28" s="9"/>
      <c r="L28" s="10"/>
      <c r="M28" s="39">
        <f>AG64-AG104</f>
        <v>0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第十六期!DB52</f>
        <v>0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0</v>
      </c>
      <c r="CD28" s="107">
        <f t="shared" si="23"/>
        <v>0</v>
      </c>
      <c r="CE28" s="107">
        <f t="shared" si="23"/>
        <v>0</v>
      </c>
      <c r="CF28" s="107">
        <f t="shared" si="23"/>
        <v>0</v>
      </c>
      <c r="CG28" s="225"/>
      <c r="CH28" s="225"/>
      <c r="CI28" s="227" t="s">
        <v>56</v>
      </c>
      <c r="CJ28" s="110">
        <f t="shared" si="24"/>
        <v>0</v>
      </c>
      <c r="CK28" s="110">
        <f t="shared" si="24"/>
        <v>0</v>
      </c>
      <c r="CL28" s="110">
        <f t="shared" si="24"/>
        <v>0</v>
      </c>
      <c r="CM28" s="110">
        <f t="shared" si="24"/>
        <v>0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/>
      <c r="F29" s="9"/>
      <c r="G29" s="9"/>
      <c r="H29" s="19"/>
      <c r="I29" s="9"/>
      <c r="J29" s="9"/>
      <c r="K29" s="9"/>
      <c r="L29" s="10"/>
      <c r="M29" s="39">
        <f>AG65-AG105</f>
        <v>0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第十六期!DB53</f>
        <v>0</v>
      </c>
      <c r="BQ29" s="177"/>
      <c r="BR29" s="201"/>
      <c r="BS29" s="204">
        <f>第十六期!AH14</f>
        <v>0</v>
      </c>
      <c r="BT29" s="204">
        <f>第十六期!AH15</f>
        <v>0</v>
      </c>
      <c r="BU29" s="198">
        <f>第十六期!AF20</f>
        <v>0</v>
      </c>
      <c r="BV29" s="204">
        <f>第十六期!AJ18</f>
        <v>0</v>
      </c>
      <c r="BW29" s="218">
        <f>第十六期!AH18</f>
        <v>1</v>
      </c>
      <c r="BX29" s="215"/>
      <c r="CA29" s="213"/>
      <c r="CB29" s="196" t="s">
        <v>57</v>
      </c>
      <c r="CC29" s="107">
        <f t="shared" si="23"/>
        <v>0</v>
      </c>
      <c r="CD29" s="107">
        <f t="shared" si="23"/>
        <v>0</v>
      </c>
      <c r="CE29" s="107">
        <f t="shared" si="23"/>
        <v>0</v>
      </c>
      <c r="CF29" s="107">
        <f t="shared" si="23"/>
        <v>0</v>
      </c>
      <c r="CG29" s="225"/>
      <c r="CH29" s="225"/>
      <c r="CI29" s="227" t="s">
        <v>57</v>
      </c>
      <c r="CJ29" s="110">
        <f t="shared" si="24"/>
        <v>0</v>
      </c>
      <c r="CK29" s="110">
        <f t="shared" si="24"/>
        <v>0</v>
      </c>
      <c r="CL29" s="110">
        <f t="shared" si="24"/>
        <v>0</v>
      </c>
      <c r="CM29" s="110">
        <f t="shared" si="24"/>
        <v>0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-26.4023076923077</v>
      </c>
      <c r="DA29" s="2">
        <f t="shared" si="25"/>
        <v>-25.9923076923077</v>
      </c>
      <c r="DB29" s="2">
        <f t="shared" si="25"/>
        <v>-27.5723076923077</v>
      </c>
      <c r="DC29" s="2">
        <f t="shared" si="25"/>
        <v>-28.0723076923077</v>
      </c>
      <c r="DD29" s="2" t="e">
        <f>SUMPRODUCT(CZ29:DC29,BS14:BV14)/SUM(BS14:BV14)</f>
        <v>#DIV/0!</v>
      </c>
      <c r="DF29" s="2" t="s">
        <v>38</v>
      </c>
      <c r="DG29" s="2">
        <f t="shared" ref="DG29:DJ32" si="26">DG23/CS23</f>
        <v>-18.505</v>
      </c>
      <c r="DH29" s="2">
        <f t="shared" si="26"/>
        <v>-18.505</v>
      </c>
      <c r="DI29" s="2">
        <f t="shared" si="26"/>
        <v>-20.13</v>
      </c>
      <c r="DJ29" s="2">
        <f t="shared" si="26"/>
        <v>-20.13</v>
      </c>
      <c r="DK29" s="2" t="e">
        <f>SUMPRODUCT(DG29:DJ29,BS14:BV14)/SUM(BS14:BV14)</f>
        <v>#DIV/0!</v>
      </c>
      <c r="DM29" s="2">
        <f t="shared" ref="DM29:DP32" si="27">DG23/CS29</f>
        <v>-15.4208333333333</v>
      </c>
      <c r="DN29" s="2">
        <f t="shared" si="27"/>
        <v>-15.4208333333333</v>
      </c>
      <c r="DO29" s="2">
        <f t="shared" si="27"/>
        <v>-16.775</v>
      </c>
      <c r="DP29" s="2">
        <f t="shared" si="27"/>
        <v>-16.775</v>
      </c>
      <c r="DQ29" s="2" t="e">
        <f>SUMPRODUCT(DM29:DP29,BS14:BV14)/SUM(BS14:BV14)</f>
        <v>#DIV/0!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/>
      <c r="F30" s="9"/>
      <c r="G30" s="9"/>
      <c r="H30" s="19"/>
      <c r="I30" s="9"/>
      <c r="J30" s="9"/>
      <c r="K30" s="9"/>
      <c r="L30" s="10"/>
      <c r="M30" s="39">
        <f>AG66-AG106</f>
        <v>0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0</v>
      </c>
      <c r="CD30" s="107">
        <f t="shared" si="23"/>
        <v>0</v>
      </c>
      <c r="CE30" s="107">
        <f t="shared" si="23"/>
        <v>0</v>
      </c>
      <c r="CF30" s="107">
        <f t="shared" si="23"/>
        <v>0</v>
      </c>
      <c r="CG30" s="225"/>
      <c r="CH30" s="225"/>
      <c r="CI30" s="227" t="s">
        <v>58</v>
      </c>
      <c r="CJ30" s="110">
        <f t="shared" si="24"/>
        <v>0</v>
      </c>
      <c r="CK30" s="110">
        <f t="shared" si="24"/>
        <v>0</v>
      </c>
      <c r="CL30" s="110">
        <f t="shared" si="24"/>
        <v>0</v>
      </c>
      <c r="CM30" s="110">
        <f t="shared" si="24"/>
        <v>0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-21.8003076923077</v>
      </c>
      <c r="DA30" s="2">
        <f t="shared" si="25"/>
        <v>-21.4643076923077</v>
      </c>
      <c r="DB30" s="2">
        <f t="shared" si="25"/>
        <v>-22.3323076923077</v>
      </c>
      <c r="DC30" s="2">
        <f t="shared" si="25"/>
        <v>-22.5323076923077</v>
      </c>
      <c r="DD30" s="2" t="e">
        <f>SUMPRODUCT(CZ30:DC30,BS15:BV15)/SUM(BS15:BV15)</f>
        <v>#DIV/0!</v>
      </c>
      <c r="DF30" s="2" t="s">
        <v>39</v>
      </c>
      <c r="DG30" s="2">
        <f t="shared" si="26"/>
        <v>-13.94</v>
      </c>
      <c r="DH30" s="2">
        <f t="shared" si="26"/>
        <v>-13.94</v>
      </c>
      <c r="DI30" s="2">
        <f t="shared" si="26"/>
        <v>-14.74</v>
      </c>
      <c r="DJ30" s="2">
        <f t="shared" si="26"/>
        <v>-14.74</v>
      </c>
      <c r="DK30" s="2" t="e">
        <f>SUMPRODUCT(DG30:DJ30,BS15:BV15)/SUM(BS15:BV15)</f>
        <v>#DIV/0!</v>
      </c>
      <c r="DM30" s="2">
        <f t="shared" si="27"/>
        <v>-23.2333333333333</v>
      </c>
      <c r="DN30" s="2">
        <f t="shared" si="27"/>
        <v>-23.2333333333333</v>
      </c>
      <c r="DO30" s="2">
        <f t="shared" si="27"/>
        <v>-24.5666666666667</v>
      </c>
      <c r="DP30" s="2">
        <f t="shared" si="27"/>
        <v>-24.5666666666667</v>
      </c>
      <c r="DQ30" s="2" t="e">
        <f>SUMPRODUCT(DM30:DP30,BS15:BV15)/SUM(BS15:BV15)</f>
        <v>#DIV/0!</v>
      </c>
    </row>
    <row r="31" ht="16.35" spans="2:138">
      <c r="B31" s="7"/>
      <c r="C31" s="18">
        <v>2</v>
      </c>
      <c r="D31" s="18">
        <v>4</v>
      </c>
      <c r="E31" s="9"/>
      <c r="F31" s="9"/>
      <c r="G31" s="9"/>
      <c r="H31" s="19"/>
      <c r="I31" s="9"/>
      <c r="J31" s="9"/>
      <c r="K31" s="9"/>
      <c r="L31" s="10"/>
      <c r="M31" s="39">
        <f>AG67-AG107</f>
        <v>0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 t="e">
        <f>Y20/AA20/2</f>
        <v>#DIV/0!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-20.4291497975709</v>
      </c>
      <c r="DA31" s="2">
        <f t="shared" si="25"/>
        <v>-20.1344129554656</v>
      </c>
      <c r="DB31" s="2">
        <f t="shared" si="25"/>
        <v>-20.8080971659919</v>
      </c>
      <c r="DC31" s="2">
        <f t="shared" si="25"/>
        <v>-20.9396761133603</v>
      </c>
      <c r="DD31" s="2" t="e">
        <f>SUMPRODUCT(CZ31:DC31,BS16:BV16)/SUM(BS16:BV16)</f>
        <v>#DIV/0!</v>
      </c>
      <c r="DF31" s="2" t="s">
        <v>40</v>
      </c>
      <c r="DG31" s="2">
        <f t="shared" si="26"/>
        <v>-12.5894736842105</v>
      </c>
      <c r="DH31" s="2">
        <f t="shared" si="26"/>
        <v>-12.5894736842105</v>
      </c>
      <c r="DI31" s="2">
        <f t="shared" si="26"/>
        <v>-13.1815789473684</v>
      </c>
      <c r="DJ31" s="2">
        <f t="shared" si="26"/>
        <v>-13.1815789473684</v>
      </c>
      <c r="DK31" s="2" t="e">
        <f>SUMPRODUCT(DG31:DJ31,BS16:BV16)/SUM(BS16:BV16)</f>
        <v>#DIV/0!</v>
      </c>
      <c r="DM31" s="2">
        <f t="shared" si="27"/>
        <v>-29.9</v>
      </c>
      <c r="DN31" s="2">
        <f t="shared" si="27"/>
        <v>-29.9</v>
      </c>
      <c r="DO31" s="2">
        <f t="shared" si="27"/>
        <v>-31.30625</v>
      </c>
      <c r="DP31" s="2">
        <f t="shared" si="27"/>
        <v>-31.30625</v>
      </c>
      <c r="DQ31" s="2" t="e">
        <f>SUMPRODUCT(DM31:DP31,BS16:BV16)/SUM(BS16:BV16)</f>
        <v>#DIV/0!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/>
      <c r="G32" s="9"/>
      <c r="H32" s="19"/>
      <c r="I32" s="9"/>
      <c r="J32" s="9"/>
      <c r="K32" s="9"/>
      <c r="L32" s="10"/>
      <c r="M32" s="39">
        <f>AH64-AH104</f>
        <v>0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-19.6653846153846</v>
      </c>
      <c r="DA32" s="2">
        <f t="shared" si="25"/>
        <v>-19.4</v>
      </c>
      <c r="DB32" s="2">
        <f t="shared" si="25"/>
        <v>-20.0615384615385</v>
      </c>
      <c r="DC32" s="2">
        <f t="shared" si="25"/>
        <v>-20.1576923076923</v>
      </c>
      <c r="DD32" s="2" t="e">
        <f>SUMPRODUCT(CZ32:DC32,BS17:BV17)/SUM(BS17:BV17)</f>
        <v>#DIV/0!</v>
      </c>
      <c r="DF32" s="2" t="s">
        <v>41</v>
      </c>
      <c r="DG32" s="2">
        <f t="shared" si="26"/>
        <v>-11.8403846153846</v>
      </c>
      <c r="DH32" s="2">
        <f t="shared" si="26"/>
        <v>-11.8403846153846</v>
      </c>
      <c r="DI32" s="2">
        <f t="shared" si="26"/>
        <v>-12.4173076923077</v>
      </c>
      <c r="DJ32" s="2">
        <f t="shared" si="26"/>
        <v>-12.4173076923077</v>
      </c>
      <c r="DK32" s="2" t="e">
        <f>SUMPRODUCT(DG32:DJ32,BS17:BV17)/SUM(BS17:BV17)</f>
        <v>#DIV/0!</v>
      </c>
      <c r="DM32" s="2">
        <f t="shared" si="27"/>
        <v>-34.2055555555556</v>
      </c>
      <c r="DN32" s="2">
        <f t="shared" si="27"/>
        <v>-34.2055555555556</v>
      </c>
      <c r="DO32" s="2">
        <f t="shared" si="27"/>
        <v>-35.8722222222222</v>
      </c>
      <c r="DP32" s="2">
        <f t="shared" si="27"/>
        <v>-35.8722222222222</v>
      </c>
      <c r="DQ32" s="2" t="e">
        <f>SUMPRODUCT(DM32:DP32,BS17:BV17)/SUM(BS17:BV17)</f>
        <v>#DIV/0!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/>
      <c r="G33" s="9"/>
      <c r="H33" s="19"/>
      <c r="I33" s="9"/>
      <c r="J33" s="9"/>
      <c r="K33" s="9"/>
      <c r="L33" s="10"/>
      <c r="M33" s="39">
        <f>AH65-AH105</f>
        <v>0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304</v>
      </c>
      <c r="CC33" s="230">
        <f t="shared" ref="CC33:CF35" si="29">CC70</f>
        <v>0</v>
      </c>
      <c r="CD33" s="230">
        <f t="shared" si="29"/>
        <v>0</v>
      </c>
      <c r="CE33" s="230">
        <f t="shared" si="29"/>
        <v>0</v>
      </c>
      <c r="CF33" s="230">
        <f t="shared" si="29"/>
        <v>0</v>
      </c>
      <c r="CG33" s="225"/>
      <c r="CH33" s="225"/>
      <c r="CI33" s="197" t="s">
        <v>55</v>
      </c>
      <c r="CJ33" s="231">
        <f t="shared" ref="CJ33:CM36" si="30">IF(CJ27&gt;0,(AF76-CJ27)/CJ27,0)</f>
        <v>0</v>
      </c>
      <c r="CK33" s="231">
        <f t="shared" si="30"/>
        <v>0</v>
      </c>
      <c r="CL33" s="231">
        <f t="shared" si="30"/>
        <v>0</v>
      </c>
      <c r="CM33" s="231">
        <f t="shared" si="30"/>
        <v>0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0</v>
      </c>
      <c r="DT33" s="37">
        <f t="shared" si="31"/>
        <v>0</v>
      </c>
      <c r="DU33" s="37">
        <f t="shared" si="31"/>
        <v>0</v>
      </c>
      <c r="DV33" s="37">
        <f t="shared" si="31"/>
        <v>0</v>
      </c>
      <c r="DW33" s="37">
        <f t="shared" si="31"/>
        <v>0</v>
      </c>
      <c r="DX33" s="37">
        <f t="shared" si="31"/>
        <v>0</v>
      </c>
      <c r="DY33" s="37">
        <f t="shared" si="31"/>
        <v>0</v>
      </c>
      <c r="DZ33" s="37">
        <f t="shared" si="31"/>
        <v>0</v>
      </c>
      <c r="EA33" s="37">
        <f t="shared" si="31"/>
        <v>0</v>
      </c>
      <c r="EB33" s="37">
        <f t="shared" si="31"/>
        <v>0</v>
      </c>
      <c r="EC33" s="37">
        <f t="shared" si="31"/>
        <v>0</v>
      </c>
      <c r="ED33" s="37">
        <f t="shared" si="31"/>
        <v>0</v>
      </c>
      <c r="EE33" s="37">
        <f t="shared" si="31"/>
        <v>0</v>
      </c>
      <c r="EF33" s="37">
        <f t="shared" si="31"/>
        <v>0</v>
      </c>
      <c r="EG33" s="37">
        <f t="shared" si="31"/>
        <v>0</v>
      </c>
      <c r="EH33" s="37">
        <f t="shared" si="31"/>
        <v>0</v>
      </c>
    </row>
    <row r="34" ht="16.35" spans="2:110">
      <c r="B34" s="7"/>
      <c r="C34" s="18">
        <v>3</v>
      </c>
      <c r="D34" s="18">
        <v>3</v>
      </c>
      <c r="E34" s="9"/>
      <c r="F34" s="9"/>
      <c r="G34" s="9"/>
      <c r="H34" s="19"/>
      <c r="I34" s="9"/>
      <c r="J34" s="9"/>
      <c r="K34" s="9"/>
      <c r="L34" s="10"/>
      <c r="M34" s="39">
        <f>AH66-AH106</f>
        <v>0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0</v>
      </c>
      <c r="AL34" s="162"/>
      <c r="AM34" s="65">
        <f>INT(第十六期!DV26)</f>
        <v>0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305</v>
      </c>
      <c r="CC34" s="230">
        <f t="shared" si="29"/>
        <v>0</v>
      </c>
      <c r="CD34" s="230">
        <f t="shared" si="29"/>
        <v>0</v>
      </c>
      <c r="CE34" s="230">
        <f t="shared" si="29"/>
        <v>0</v>
      </c>
      <c r="CF34" s="230">
        <f t="shared" si="29"/>
        <v>0</v>
      </c>
      <c r="CG34" s="232"/>
      <c r="CH34" s="225"/>
      <c r="CI34" s="196" t="s">
        <v>56</v>
      </c>
      <c r="CJ34" s="231">
        <f t="shared" si="30"/>
        <v>0</v>
      </c>
      <c r="CK34" s="231">
        <f t="shared" si="30"/>
        <v>0</v>
      </c>
      <c r="CL34" s="231">
        <f t="shared" si="30"/>
        <v>0</v>
      </c>
      <c r="CM34" s="231">
        <f t="shared" si="30"/>
        <v>0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/>
      <c r="F35" s="9"/>
      <c r="G35" s="9"/>
      <c r="H35" s="19"/>
      <c r="I35" s="9"/>
      <c r="J35" s="9"/>
      <c r="K35" s="9"/>
      <c r="L35" s="10"/>
      <c r="M35" s="39">
        <f>AH67-AH107</f>
        <v>0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0</v>
      </c>
      <c r="AL35" s="165"/>
      <c r="AM35" s="65">
        <f>INT(第十六期!DV27)</f>
        <v>0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307</v>
      </c>
      <c r="CC35" s="230">
        <f t="shared" si="29"/>
        <v>0</v>
      </c>
      <c r="CD35" s="230">
        <f t="shared" si="29"/>
        <v>0</v>
      </c>
      <c r="CE35" s="230">
        <f t="shared" si="29"/>
        <v>0</v>
      </c>
      <c r="CF35" s="230">
        <f t="shared" si="29"/>
        <v>0</v>
      </c>
      <c r="CG35" s="232"/>
      <c r="CH35" s="225"/>
      <c r="CI35" s="196" t="s">
        <v>57</v>
      </c>
      <c r="CJ35" s="231">
        <f t="shared" si="30"/>
        <v>0</v>
      </c>
      <c r="CK35" s="231">
        <f t="shared" si="30"/>
        <v>0</v>
      </c>
      <c r="CL35" s="231">
        <f t="shared" si="30"/>
        <v>0</v>
      </c>
      <c r="CM35" s="231">
        <f t="shared" si="30"/>
        <v>0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-1</v>
      </c>
      <c r="DA35" s="2">
        <f t="shared" si="32"/>
        <v>-1</v>
      </c>
      <c r="DB35" s="2">
        <f t="shared" si="32"/>
        <v>-1</v>
      </c>
      <c r="DC35" s="2">
        <f t="shared" si="32"/>
        <v>-1</v>
      </c>
      <c r="DD35" s="2" t="e">
        <f>SUMPRODUCT(CZ35:DC35,BS14:BV14)/SUM(BS14:BV14)</f>
        <v>#DIV/0!</v>
      </c>
      <c r="DG35" s="2">
        <f t="shared" ref="DG35:DJ38" si="33">DG23/DG17</f>
        <v>-1</v>
      </c>
      <c r="DH35" s="2">
        <f t="shared" si="33"/>
        <v>-1</v>
      </c>
      <c r="DI35" s="2">
        <f t="shared" si="33"/>
        <v>-1</v>
      </c>
      <c r="DJ35" s="2">
        <f t="shared" si="33"/>
        <v>-1</v>
      </c>
      <c r="DK35" s="2" t="e">
        <f>SUMPRODUCT(DG35:DJ35,BS14:BV14)/SUM(BS14:BV14)</f>
        <v>#DIV/0!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/>
      <c r="G36" s="9"/>
      <c r="H36" s="19"/>
      <c r="I36" s="9"/>
      <c r="J36" s="9"/>
      <c r="K36" s="9"/>
      <c r="L36" s="10"/>
      <c r="M36" s="39">
        <f>AI64-AI104</f>
        <v>0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300000</v>
      </c>
      <c r="AL36" s="42" t="s">
        <v>308</v>
      </c>
      <c r="AM36" s="65">
        <f>INT(第十六期!DV28)</f>
        <v>0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</v>
      </c>
      <c r="CK36" s="231">
        <f t="shared" si="30"/>
        <v>0</v>
      </c>
      <c r="CL36" s="231">
        <f t="shared" si="30"/>
        <v>0</v>
      </c>
      <c r="CM36" s="231">
        <f t="shared" si="30"/>
        <v>0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-1</v>
      </c>
      <c r="DA36" s="2">
        <f t="shared" si="32"/>
        <v>-1</v>
      </c>
      <c r="DB36" s="2">
        <f t="shared" si="32"/>
        <v>-1</v>
      </c>
      <c r="DC36" s="2">
        <f t="shared" si="32"/>
        <v>-1</v>
      </c>
      <c r="DD36" s="2" t="e">
        <f>SUMPRODUCT(CZ36:DC36,BS15:BV15)/SUM(BS15:BV15)</f>
        <v>#DIV/0!</v>
      </c>
      <c r="DG36" s="2">
        <f t="shared" si="33"/>
        <v>-1</v>
      </c>
      <c r="DH36" s="2">
        <f t="shared" si="33"/>
        <v>-1</v>
      </c>
      <c r="DI36" s="2">
        <f t="shared" si="33"/>
        <v>-1</v>
      </c>
      <c r="DJ36" s="2">
        <f t="shared" si="33"/>
        <v>-1</v>
      </c>
      <c r="DK36" s="2" t="e">
        <f>SUMPRODUCT(DG36:DJ36,BS15:BV15)/SUM(BS15:BV15)</f>
        <v>#DIV/0!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/>
      <c r="G37" s="9"/>
      <c r="H37" s="19"/>
      <c r="I37" s="9"/>
      <c r="J37" s="9"/>
      <c r="K37" s="9"/>
      <c r="L37" s="10"/>
      <c r="M37" s="39">
        <f>AI65-AI105</f>
        <v>0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500000</v>
      </c>
      <c r="AL37" s="154">
        <f>SUM(AJ34:AJ37)</f>
        <v>0</v>
      </c>
      <c r="AM37" s="65">
        <f>INT(第十六期!DV29)</f>
        <v>0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-1</v>
      </c>
      <c r="DA37" s="2">
        <f t="shared" si="32"/>
        <v>-1</v>
      </c>
      <c r="DB37" s="2">
        <f t="shared" si="32"/>
        <v>-1</v>
      </c>
      <c r="DC37" s="2">
        <f t="shared" si="32"/>
        <v>-1</v>
      </c>
      <c r="DD37" s="2" t="e">
        <f>SUMPRODUCT(CZ37:DC37,BS16:BV16)/SUM(BS16:BV16)</f>
        <v>#DIV/0!</v>
      </c>
      <c r="DG37" s="2">
        <f t="shared" si="33"/>
        <v>-1</v>
      </c>
      <c r="DH37" s="2">
        <f t="shared" si="33"/>
        <v>-1</v>
      </c>
      <c r="DI37" s="2">
        <f t="shared" si="33"/>
        <v>-1</v>
      </c>
      <c r="DJ37" s="2">
        <f t="shared" si="33"/>
        <v>-1</v>
      </c>
      <c r="DK37" s="2" t="e">
        <f>SUMPRODUCT(DG37:DJ37,BS16:BV16)/SUM(BS16:BV16)</f>
        <v>#DIV/0!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/>
      <c r="G38" s="9"/>
      <c r="H38" s="19"/>
      <c r="I38" s="9"/>
      <c r="J38" s="9"/>
      <c r="K38" s="9"/>
      <c r="L38" s="10"/>
      <c r="M38" s="39">
        <f>AI66-AI106</f>
        <v>0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第十六期!DG56*第十六期!DG50+第十六期!DG64*第十六期!Y88</f>
        <v>0</v>
      </c>
      <c r="CD38" s="108">
        <f>第十六期!DH56*第十六期!DH50+第十六期!DH64*第十六期!Z88</f>
        <v>0</v>
      </c>
      <c r="CE38" s="108">
        <f>第十六期!DI56*第十六期!DI50+第十六期!DI64*第十六期!AA88</f>
        <v>0</v>
      </c>
      <c r="CF38" s="108">
        <f>第十六期!DJ56*第十六期!DJ50+第十六期!DJ64*第十六期!AB88</f>
        <v>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-1</v>
      </c>
      <c r="DA38" s="2">
        <f t="shared" si="32"/>
        <v>-1</v>
      </c>
      <c r="DB38" s="2">
        <f t="shared" si="32"/>
        <v>-1</v>
      </c>
      <c r="DC38" s="2">
        <f t="shared" si="32"/>
        <v>-1</v>
      </c>
      <c r="DD38" s="2" t="e">
        <f>SUMPRODUCT(CZ38:DC38,BS17:BV17)/SUM(BS17:BV17)</f>
        <v>#DIV/0!</v>
      </c>
      <c r="DG38" s="2">
        <f t="shared" si="33"/>
        <v>-1</v>
      </c>
      <c r="DH38" s="2">
        <f t="shared" si="33"/>
        <v>-1</v>
      </c>
      <c r="DI38" s="2">
        <f t="shared" si="33"/>
        <v>-1</v>
      </c>
      <c r="DJ38" s="2">
        <f t="shared" si="33"/>
        <v>-1</v>
      </c>
      <c r="DK38" s="2" t="e">
        <f>SUMPRODUCT(DG38:DJ38,BS17:BV17)/SUM(BS17:BV17)</f>
        <v>#DIV/0!</v>
      </c>
    </row>
    <row r="39" ht="17.1" spans="2:93">
      <c r="B39" s="7"/>
      <c r="C39" s="18">
        <v>4</v>
      </c>
      <c r="D39" s="18">
        <v>4</v>
      </c>
      <c r="E39" s="9"/>
      <c r="F39" s="9"/>
      <c r="G39" s="9"/>
      <c r="H39" s="19"/>
      <c r="I39" s="9"/>
      <c r="J39" s="9"/>
      <c r="K39" s="9"/>
      <c r="L39" s="10"/>
      <c r="M39" s="39">
        <f>AI67-AI107</f>
        <v>0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第十六期!DG57*第十六期!DG51+第十六期!DG65*第十六期!Y89</f>
        <v>0</v>
      </c>
      <c r="CD39" s="108">
        <f>第十六期!DH57*第十六期!DH51+第十六期!DH65*第十六期!Z89</f>
        <v>0</v>
      </c>
      <c r="CE39" s="108">
        <f>第十六期!DI57*第十六期!DI51+第十六期!DI65*第十六期!AA89</f>
        <v>0</v>
      </c>
      <c r="CF39" s="108">
        <f>第十六期!DJ57*第十六期!DJ51+第十六期!DJ65*第十六期!AB89</f>
        <v>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第十六期!DG58*第十六期!DG52+第十六期!DG66*第十六期!Y90</f>
        <v>0</v>
      </c>
      <c r="CD40" s="108">
        <f>第十六期!DH58*第十六期!DH52+第十六期!DH66*第十六期!Z90</f>
        <v>0</v>
      </c>
      <c r="CE40" s="108">
        <f>第十六期!DI58*第十六期!DI52+第十六期!DI66*第十六期!AA90</f>
        <v>0</v>
      </c>
      <c r="CF40" s="108">
        <f>第十六期!DJ58*第十六期!DJ52+第十六期!DJ66*第十六期!AB90</f>
        <v>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第十六期!DG59*第十六期!DG53+第十六期!DG67*第十六期!Y91</f>
        <v>0</v>
      </c>
      <c r="CD41" s="108">
        <f>第十六期!DH59*第十六期!DH53+第十六期!DH67*第十六期!Z91</f>
        <v>0</v>
      </c>
      <c r="CE41" s="108">
        <f>第十六期!DI59*第十六期!DI53+第十六期!DI67*第十六期!AA91</f>
        <v>0</v>
      </c>
      <c r="CF41" s="108">
        <f>第十六期!DJ59*第十六期!DJ53+第十六期!DJ67*第十六期!AB91</f>
        <v>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 t="e">
        <f>SUMPRODUCT(DG41:DJ41,BS14:BV14)/SUM(BS14:BV14)</f>
        <v>#DIV/0!</v>
      </c>
    </row>
    <row r="42" ht="15.6" spans="2:115">
      <c r="B42" s="7"/>
      <c r="C42" s="18" t="s">
        <v>433</v>
      </c>
      <c r="D42" s="9"/>
      <c r="E42" s="9"/>
      <c r="F42" s="14"/>
      <c r="G42" s="9"/>
      <c r="H42" s="9"/>
      <c r="I42" s="10"/>
      <c r="M42" s="30"/>
      <c r="N42" s="39" t="s">
        <v>287</v>
      </c>
      <c r="O42" s="39">
        <f>AO4</f>
        <v>0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308</v>
      </c>
      <c r="CC42" s="127">
        <f>SUM(CC38:CC41)</f>
        <v>0</v>
      </c>
      <c r="CD42" s="127">
        <f>SUM(CD38:CD41)</f>
        <v>0</v>
      </c>
      <c r="CE42" s="127">
        <f>SUM(CE38:CE41)</f>
        <v>0</v>
      </c>
      <c r="CF42" s="127">
        <f>SUM(CF38:CF41)</f>
        <v>0</v>
      </c>
      <c r="CG42" s="108">
        <f>SUM(CC42:CF42)</f>
        <v>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 t="e">
        <f>SUMPRODUCT(DG42:DJ42,BS15:BV15)/SUM(BS15:BV15)</f>
        <v>#DIV/0!</v>
      </c>
    </row>
    <row r="43" ht="16.35" spans="2:115">
      <c r="B43" s="7"/>
      <c r="C43" s="18" t="s">
        <v>434</v>
      </c>
      <c r="D43" s="9"/>
      <c r="E43" s="9"/>
      <c r="F43" s="14"/>
      <c r="G43" s="9"/>
      <c r="H43" s="9"/>
      <c r="I43" s="10"/>
      <c r="M43" s="30"/>
      <c r="N43" s="39" t="s">
        <v>288</v>
      </c>
      <c r="O43" s="39">
        <f>AO5</f>
        <v>0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 t="e">
        <f>SUMPRODUCT(DG43:DJ43,BS16:BV16)/SUM(BS16:BV16)</f>
        <v>#DIV/0!</v>
      </c>
    </row>
    <row r="44" ht="16.35" spans="2:115">
      <c r="B44" s="7"/>
      <c r="C44" s="18" t="s">
        <v>435</v>
      </c>
      <c r="D44" s="9"/>
      <c r="E44" s="9"/>
      <c r="F44" s="9"/>
      <c r="G44" s="9"/>
      <c r="H44" s="9"/>
      <c r="I44" s="10"/>
      <c r="M44" s="30"/>
      <c r="N44" s="39" t="s">
        <v>289</v>
      </c>
      <c r="O44" s="39">
        <f>AO6</f>
        <v>0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 t="e">
        <f>SUMPRODUCT(DG44:DJ44,BS17:BV17)/SUM(BS17:BV17)</f>
        <v>#DIV/0!</v>
      </c>
    </row>
    <row r="45" ht="16.35" spans="2:60">
      <c r="B45" s="7"/>
      <c r="C45" s="18" t="s">
        <v>436</v>
      </c>
      <c r="D45" s="9"/>
      <c r="E45" s="9"/>
      <c r="F45" s="9"/>
      <c r="G45" s="9"/>
      <c r="H45" s="9"/>
      <c r="I45" s="10"/>
      <c r="M45" s="30"/>
      <c r="N45" s="39" t="s">
        <v>290</v>
      </c>
      <c r="O45" s="39">
        <f>AO7</f>
        <v>0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0</v>
      </c>
      <c r="CD50" s="108">
        <f t="shared" si="37"/>
        <v>0</v>
      </c>
      <c r="CE50" s="108">
        <f t="shared" si="37"/>
        <v>0</v>
      </c>
      <c r="CF50" s="108">
        <f t="shared" si="37"/>
        <v>0</v>
      </c>
      <c r="CG50" s="219"/>
      <c r="CH50" s="219"/>
      <c r="CI50" s="197" t="s">
        <v>55</v>
      </c>
      <c r="CJ50" s="108">
        <f t="shared" ref="CJ50:CM53" si="38">Y108*AF76*0.4</f>
        <v>0</v>
      </c>
      <c r="CK50" s="108">
        <f t="shared" si="38"/>
        <v>0</v>
      </c>
      <c r="CL50" s="108">
        <f t="shared" si="38"/>
        <v>0</v>
      </c>
      <c r="CM50" s="108">
        <f t="shared" si="38"/>
        <v>0</v>
      </c>
      <c r="CN50" s="219"/>
      <c r="CO50" s="219"/>
      <c r="CP50" s="65" t="s">
        <v>38</v>
      </c>
      <c r="CQ50" s="65">
        <f>第十六期!Y9*第十六期!CQ62*比赛参数!D65</f>
        <v>0</v>
      </c>
      <c r="CR50" s="65">
        <f>第十六期!Z9*第十六期!CR62*比赛参数!E65</f>
        <v>0</v>
      </c>
      <c r="CS50" s="65">
        <f>第十六期!AA9*第十六期!CS62*比赛参数!F65</f>
        <v>0</v>
      </c>
      <c r="CT50" s="65">
        <f>第十六期!AB9*第十六期!CT62*比赛参数!G65</f>
        <v>0</v>
      </c>
      <c r="CU50" s="65">
        <f>IF(第十六期!AC9&gt;0,SUM(CQ50:CT50)/第十六期!AC9,0)</f>
        <v>0</v>
      </c>
      <c r="CW50" s="11" t="s">
        <v>38</v>
      </c>
      <c r="CX50" s="242">
        <f>IF(第十六期!$CU$50*第十六期!CQ93&gt;0,第十六期!$CU$50+第十六期!CQ68+第十六期!CQ93+第十六期!CQ74,0)</f>
        <v>0</v>
      </c>
      <c r="CY50" s="242">
        <f>IF(第十六期!$CU$50*第十六期!CR93&gt;0,第十六期!$CU$50+第十六期!CR68+第十六期!CR93+第十六期!CR74,0)</f>
        <v>0</v>
      </c>
      <c r="CZ50" s="242">
        <f>IF(第十六期!$CU$50*第十六期!CS93&gt;0,第十六期!$CU$50+第十六期!CS68+第十六期!CS93+第十六期!CS74,0)</f>
        <v>0</v>
      </c>
      <c r="DA50" s="242">
        <f>IF(第十六期!$CU$50*第十六期!CT93&gt;0,第十六期!$CU$50+第十六期!CT68+第十六期!CT93+第十六期!CT74,0)</f>
        <v>0</v>
      </c>
      <c r="DB50" s="242">
        <f>AVERAGE(CX50:DA50)</f>
        <v>0</v>
      </c>
      <c r="DF50" s="65" t="s">
        <v>55</v>
      </c>
      <c r="DG50" s="245">
        <f>IF(第十六期!Y88&gt;0,1,0)</f>
        <v>0</v>
      </c>
      <c r="DH50" s="245">
        <f>IF(第十六期!Z88&gt;0,1,0)</f>
        <v>0</v>
      </c>
      <c r="DI50" s="245">
        <f>IF(第十六期!AA88&gt;0,1,0)</f>
        <v>0</v>
      </c>
      <c r="DJ50" s="245">
        <f>IF(第十六期!AB88&gt;0,1,0)</f>
        <v>0</v>
      </c>
      <c r="DL50" s="245" t="s">
        <v>21</v>
      </c>
      <c r="DM50" s="248">
        <f>IF(第十六期!Y9+第十六期!Z9&gt;0,1,0)</f>
        <v>0</v>
      </c>
      <c r="DN50" s="248">
        <f>IF(第十六期!AA9+第十六期!AB9&gt;0,1,0)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0</v>
      </c>
      <c r="CD51" s="108">
        <f t="shared" si="37"/>
        <v>0</v>
      </c>
      <c r="CE51" s="108">
        <f t="shared" si="37"/>
        <v>0</v>
      </c>
      <c r="CF51" s="108">
        <f t="shared" si="37"/>
        <v>0</v>
      </c>
      <c r="CG51" s="219"/>
      <c r="CH51" s="219"/>
      <c r="CI51" s="196" t="s">
        <v>56</v>
      </c>
      <c r="CJ51" s="108">
        <f t="shared" si="38"/>
        <v>0</v>
      </c>
      <c r="CK51" s="108">
        <f t="shared" si="38"/>
        <v>0</v>
      </c>
      <c r="CL51" s="108">
        <f t="shared" si="38"/>
        <v>0</v>
      </c>
      <c r="CM51" s="108">
        <f t="shared" si="38"/>
        <v>0</v>
      </c>
      <c r="CN51" s="219"/>
      <c r="CO51" s="219"/>
      <c r="CP51" s="65" t="s">
        <v>39</v>
      </c>
      <c r="CQ51" s="65">
        <f>第十六期!Y10*第十六期!CQ63*比赛参数!D65</f>
        <v>0</v>
      </c>
      <c r="CR51" s="65">
        <f>第十六期!Z10*第十六期!CR63*比赛参数!E65</f>
        <v>0</v>
      </c>
      <c r="CS51" s="65">
        <f>第十六期!AA10*第十六期!CS63*比赛参数!F65</f>
        <v>0</v>
      </c>
      <c r="CT51" s="65">
        <f>第十六期!AB10*第十六期!CT63*比赛参数!G65</f>
        <v>0</v>
      </c>
      <c r="CU51" s="65">
        <f>IF(第十六期!AC10&gt;0,SUM(CQ51:CT51)/第十六期!AC10,0)</f>
        <v>0</v>
      </c>
      <c r="CW51" s="11" t="s">
        <v>39</v>
      </c>
      <c r="CX51" s="242">
        <f>IF(第十六期!$CU$51*第十六期!CQ94&gt;0,第十六期!$CU$51+第十六期!CQ69+第十六期!CQ94+第十六期!CQ75,0)</f>
        <v>0</v>
      </c>
      <c r="CY51" s="242">
        <f>IF(第十六期!$CU$51*第十六期!CR94&gt;0,第十六期!$CU$51+第十六期!CR69+第十六期!CR94+第十六期!CR75,0)</f>
        <v>0</v>
      </c>
      <c r="CZ51" s="242">
        <f>IF(第十六期!$CU$51*第十六期!CS94&gt;0,第十六期!$CU$51+第十六期!CS69+第十六期!CS94+第十六期!CS75,0)</f>
        <v>0</v>
      </c>
      <c r="DA51" s="242">
        <f>IF(第十六期!$CU$51*第十六期!CT94&gt;0,第十六期!$CU$51+第十六期!CT69+第十六期!CT94+第十六期!CT75,0)</f>
        <v>0</v>
      </c>
      <c r="DB51" s="242">
        <f>AVERAGE(CX51:DA51)</f>
        <v>0</v>
      </c>
      <c r="DF51" s="65" t="s">
        <v>56</v>
      </c>
      <c r="DG51" s="245">
        <f>IF(第十六期!Y89&gt;0,1,0)</f>
        <v>0</v>
      </c>
      <c r="DH51" s="245">
        <f>IF(第十六期!Z89&gt;0,1,0)</f>
        <v>0</v>
      </c>
      <c r="DI51" s="245">
        <f>IF(第十六期!AA89&gt;0,1,0)</f>
        <v>0</v>
      </c>
      <c r="DJ51" s="245">
        <f>IF(第十六期!AB89&gt;0,1,0)</f>
        <v>0</v>
      </c>
      <c r="DL51" s="245" t="s">
        <v>22</v>
      </c>
      <c r="DM51" s="248">
        <f>IF(第十六期!Y10+第十六期!Z10&gt;0,1,0)</f>
        <v>0</v>
      </c>
      <c r="DN51" s="248">
        <f>IF(第十六期!AA10+第十六期!AB10&gt;0,1,0)</f>
        <v>0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0</v>
      </c>
      <c r="CD52" s="108">
        <f t="shared" si="37"/>
        <v>0</v>
      </c>
      <c r="CE52" s="108">
        <f t="shared" si="37"/>
        <v>0</v>
      </c>
      <c r="CF52" s="108">
        <f t="shared" si="37"/>
        <v>0</v>
      </c>
      <c r="CG52" s="108" t="s">
        <v>308</v>
      </c>
      <c r="CH52" s="219"/>
      <c r="CI52" s="196" t="s">
        <v>57</v>
      </c>
      <c r="CJ52" s="108">
        <f t="shared" si="38"/>
        <v>0</v>
      </c>
      <c r="CK52" s="108">
        <f t="shared" si="38"/>
        <v>0</v>
      </c>
      <c r="CL52" s="108">
        <f t="shared" si="38"/>
        <v>0</v>
      </c>
      <c r="CM52" s="108">
        <f t="shared" si="38"/>
        <v>0</v>
      </c>
      <c r="CN52" s="108" t="s">
        <v>308</v>
      </c>
      <c r="CO52" s="219"/>
      <c r="CP52" s="65" t="s">
        <v>40</v>
      </c>
      <c r="CQ52" s="65">
        <f>第十六期!Y11*第十六期!CQ64*比赛参数!D65</f>
        <v>0</v>
      </c>
      <c r="CR52" s="65">
        <f>第十六期!Z11*第十六期!CR64*比赛参数!E65</f>
        <v>0</v>
      </c>
      <c r="CS52" s="65">
        <f>第十六期!AA11*第十六期!CS64*比赛参数!F65</f>
        <v>0</v>
      </c>
      <c r="CT52" s="65">
        <f>第十六期!AB11*第十六期!CT64*比赛参数!G65</f>
        <v>0</v>
      </c>
      <c r="CU52" s="65">
        <f>IF(第十六期!AC11&gt;0,SUM(CQ52:CT52)/第十六期!AC11,0)</f>
        <v>0</v>
      </c>
      <c r="CW52" s="11" t="s">
        <v>40</v>
      </c>
      <c r="CX52" s="242">
        <f>IF(第十六期!$CU$52*第十六期!CQ95&gt;0,第十六期!$CU$52+第十六期!CQ70+第十六期!CQ95+第十六期!CQ76,0)</f>
        <v>0</v>
      </c>
      <c r="CY52" s="242">
        <f>IF(第十六期!$CU$52*第十六期!CR95&gt;0,第十六期!$CU$52+第十六期!CR70+第十六期!CR95+第十六期!CR76,0)</f>
        <v>0</v>
      </c>
      <c r="CZ52" s="242">
        <f>IF(第十六期!$CU$52*第十六期!CS95&gt;0,第十六期!$CU$52+第十六期!CS70+第十六期!CS95+第十六期!CS76,0)</f>
        <v>0</v>
      </c>
      <c r="DA52" s="242">
        <f>IF(第十六期!$CU$52*第十六期!CT95&gt;0,第十六期!$CU$52+第十六期!CT70+第十六期!CT95+第十六期!CT76,0)</f>
        <v>0</v>
      </c>
      <c r="DB52" s="242">
        <f>AVERAGE(CX52:DA52)</f>
        <v>0</v>
      </c>
      <c r="DF52" s="65" t="s">
        <v>57</v>
      </c>
      <c r="DG52" s="245">
        <f>IF(第十六期!Y90&gt;0,1,0)</f>
        <v>0</v>
      </c>
      <c r="DH52" s="245">
        <f>IF(第十六期!Z90&gt;0,1,0)</f>
        <v>0</v>
      </c>
      <c r="DI52" s="245">
        <f>IF(第十六期!AA90&gt;0,1,0)</f>
        <v>0</v>
      </c>
      <c r="DJ52" s="245">
        <f>IF(第十六期!AB90&gt;0,1,0)</f>
        <v>0</v>
      </c>
      <c r="DL52" s="245" t="s">
        <v>23</v>
      </c>
      <c r="DM52" s="248">
        <f>IF(第十六期!Y11+第十六期!Z11&gt;0,1,0)</f>
        <v>0</v>
      </c>
      <c r="DN52" s="248">
        <f>IF(第十六期!AA11+第十六期!AB11&gt;0,1,0)</f>
        <v>0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0</v>
      </c>
      <c r="AL53" s="168"/>
      <c r="AM53" s="168"/>
      <c r="AN53" s="169"/>
      <c r="CB53" s="196" t="s">
        <v>58</v>
      </c>
      <c r="CC53" s="108">
        <f t="shared" si="37"/>
        <v>0</v>
      </c>
      <c r="CD53" s="108">
        <f t="shared" si="37"/>
        <v>0</v>
      </c>
      <c r="CE53" s="108">
        <f t="shared" si="37"/>
        <v>0</v>
      </c>
      <c r="CF53" s="108">
        <f t="shared" si="37"/>
        <v>0</v>
      </c>
      <c r="CG53" s="108">
        <f>SUM(CC50:CF53)</f>
        <v>0</v>
      </c>
      <c r="CH53" s="219"/>
      <c r="CI53" s="196" t="s">
        <v>58</v>
      </c>
      <c r="CJ53" s="108">
        <f t="shared" si="38"/>
        <v>0</v>
      </c>
      <c r="CK53" s="108">
        <f t="shared" si="38"/>
        <v>0</v>
      </c>
      <c r="CL53" s="108">
        <f t="shared" si="38"/>
        <v>0</v>
      </c>
      <c r="CM53" s="108">
        <f t="shared" si="38"/>
        <v>0</v>
      </c>
      <c r="CN53" s="108">
        <f>SUM(CJ50:CM53)</f>
        <v>0</v>
      </c>
      <c r="CO53" s="219"/>
      <c r="CP53" s="65" t="s">
        <v>41</v>
      </c>
      <c r="CQ53" s="65">
        <f>第十六期!Y12*第十六期!CQ65*比赛参数!D65</f>
        <v>0</v>
      </c>
      <c r="CR53" s="65">
        <f>第十六期!Z12*第十六期!CR65*比赛参数!E65</f>
        <v>0</v>
      </c>
      <c r="CS53" s="65">
        <f>第十六期!AA12*第十六期!CS65*比赛参数!F65</f>
        <v>0</v>
      </c>
      <c r="CT53" s="65">
        <f>第十六期!AB12*第十六期!CT65*比赛参数!G65</f>
        <v>0</v>
      </c>
      <c r="CU53" s="65">
        <f>IF(第十六期!AC12&gt;0,SUM(CQ53:CT53)/第十六期!AC12,0)</f>
        <v>0</v>
      </c>
      <c r="CW53" s="11" t="s">
        <v>41</v>
      </c>
      <c r="CX53" s="242">
        <f>IF(第十六期!$CU$53*第十六期!CQ96&gt;0,第十六期!$CU$53+第十六期!CQ71+第十六期!CQ96+第十六期!CQ77,0)</f>
        <v>0</v>
      </c>
      <c r="CY53" s="242">
        <f>IF(第十六期!$CU$53*第十六期!CR96&gt;0,第十六期!$CU$53+第十六期!CR71+第十六期!CR96+第十六期!CR77,0)</f>
        <v>0</v>
      </c>
      <c r="CZ53" s="242">
        <f>IF(第十六期!$CU$53*第十六期!CS96&gt;0,第十六期!$CU$53+第十六期!CS71+第十六期!CS96+第十六期!CS77,0)</f>
        <v>0</v>
      </c>
      <c r="DA53" s="242">
        <f>IF(第十六期!$CU$53*第十六期!CT96&gt;0,第十六期!$CU$53+第十六期!CT71+第十六期!CT96+第十六期!CT77,0)</f>
        <v>0</v>
      </c>
      <c r="DB53" s="242">
        <f>AVERAGE(CX53:DA53)</f>
        <v>0</v>
      </c>
      <c r="DF53" s="65" t="s">
        <v>58</v>
      </c>
      <c r="DG53" s="245">
        <f>IF(第十六期!Y91&gt;0,1,0)</f>
        <v>0</v>
      </c>
      <c r="DH53" s="245">
        <f>IF(第十六期!Z91&gt;0,1,0)</f>
        <v>0</v>
      </c>
      <c r="DI53" s="245">
        <f>IF(第十六期!AA91&gt;0,1,0)</f>
        <v>0</v>
      </c>
      <c r="DJ53" s="245">
        <f>IF(第十六期!AB91&gt;0,1,0)</f>
        <v>0</v>
      </c>
      <c r="DL53" s="245" t="s">
        <v>24</v>
      </c>
      <c r="DM53" s="248">
        <f>IF(第十六期!Y12+第十六期!Z12&gt;0,1,0)</f>
        <v>0</v>
      </c>
      <c r="DN53" s="248">
        <f>IF(第十六期!AA12+第十六期!AB12&gt;0,1,0)</f>
        <v>0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0</v>
      </c>
      <c r="AL54" s="48"/>
      <c r="AM54" s="48"/>
      <c r="AN54" s="50"/>
      <c r="AR54" s="2" t="s">
        <v>25</v>
      </c>
      <c r="AS54" s="114">
        <f>SUM(AS33:AS52)/比赛参数!$G$4</f>
        <v>0</v>
      </c>
      <c r="AT54" s="114">
        <f>SUM(AT33:AT52)/比赛参数!$G$4</f>
        <v>0</v>
      </c>
      <c r="AU54" s="114">
        <f>SUM(AU33:AU52)/比赛参数!$G$4</f>
        <v>0</v>
      </c>
      <c r="AV54" s="114">
        <f>SUM(AV33:AV52)/比赛参数!$G$4</f>
        <v>0</v>
      </c>
      <c r="AW54" s="114">
        <f>SUM(AW33:AW52)/比赛参数!$G$4</f>
        <v>0</v>
      </c>
      <c r="AX54" s="114">
        <f>SUM(AX33:AX52)/比赛参数!$G$4</f>
        <v>0</v>
      </c>
      <c r="AY54" s="114">
        <f>SUM(AY33:AY52)/比赛参数!$G$4</f>
        <v>0</v>
      </c>
      <c r="AZ54" s="114">
        <f>SUM(AZ33:AZ52)/比赛参数!$G$4</f>
        <v>0</v>
      </c>
      <c r="BA54" s="114">
        <f>SUM(BA33:BA52)/比赛参数!$G$4</f>
        <v>0</v>
      </c>
      <c r="BB54" s="114">
        <f>SUM(BB33:BB52)/比赛参数!$G$4</f>
        <v>0</v>
      </c>
      <c r="BC54" s="114">
        <f>SUM(BC33:BC52)/比赛参数!$G$4</f>
        <v>0</v>
      </c>
      <c r="BD54" s="114">
        <f>SUM(BD33:BD52)/比赛参数!$G$4</f>
        <v>0</v>
      </c>
      <c r="BE54" s="114">
        <f>SUM(BE33:BE52)/比赛参数!$G$4</f>
        <v>0</v>
      </c>
      <c r="BF54" s="114">
        <f>SUM(BF33:BF52)/比赛参数!$G$4</f>
        <v>0</v>
      </c>
      <c r="BG54" s="114">
        <f>SUM(BG33:BG52)/比赛参数!$G$4</f>
        <v>0</v>
      </c>
      <c r="BH54" s="114">
        <f>SUM(BH33:BH52)/比赛参数!$G$4</f>
        <v>0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0</v>
      </c>
      <c r="CD54" s="219">
        <f>SUM(CD50:CD53)</f>
        <v>0</v>
      </c>
      <c r="CE54" s="219">
        <f>SUM(CE50:CE53)</f>
        <v>0</v>
      </c>
      <c r="CF54" s="219">
        <f>SUM(CF50:CF53)</f>
        <v>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第十六期!K11</f>
        <v>0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第十六期!AH14</f>
        <v>0</v>
      </c>
      <c r="BT56" s="130"/>
      <c r="BU56" s="130"/>
      <c r="BV56" s="130">
        <f>BV55+BS56</f>
        <v>0</v>
      </c>
      <c r="BW56" s="126"/>
      <c r="CB56" s="196" t="s">
        <v>151</v>
      </c>
      <c r="CC56" s="108">
        <f>第十六期!DU26</f>
        <v>0</v>
      </c>
      <c r="CD56" s="108">
        <f>第十六期!DU27</f>
        <v>0</v>
      </c>
      <c r="CE56" s="108">
        <f>第十六期!DU28</f>
        <v>0</v>
      </c>
      <c r="CF56" s="108">
        <f>第十六期!DU29</f>
        <v>0</v>
      </c>
      <c r="CG56" s="219"/>
      <c r="CH56" s="219"/>
      <c r="CI56" s="197" t="s">
        <v>55</v>
      </c>
      <c r="CJ56" s="108">
        <f t="shared" ref="CJ56:CM59" si="39">Y108*(CJ19+CC27)</f>
        <v>0</v>
      </c>
      <c r="CK56" s="108">
        <f t="shared" si="39"/>
        <v>0</v>
      </c>
      <c r="CL56" s="108">
        <f t="shared" si="39"/>
        <v>0</v>
      </c>
      <c r="CM56" s="108">
        <f t="shared" si="39"/>
        <v>0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第十六期!BS7-第十六期!CX50</f>
        <v>0</v>
      </c>
      <c r="CY56" s="242">
        <f>第十六期!BT7-第十六期!CY50</f>
        <v>0</v>
      </c>
      <c r="CZ56" s="242">
        <f>第十六期!BU7-第十六期!CZ50</f>
        <v>0</v>
      </c>
      <c r="DA56" s="242">
        <f>第十六期!BV7-第十六期!DA50</f>
        <v>0</v>
      </c>
      <c r="DB56" s="242">
        <f>AVERAGE(CX56:DA56)</f>
        <v>0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第十六期!DX6</f>
        <v>0</v>
      </c>
      <c r="Z57" s="127">
        <f>第十六期!DX10</f>
        <v>0</v>
      </c>
      <c r="AA57" s="127">
        <f>第十六期!DX14</f>
        <v>0</v>
      </c>
      <c r="AB57" s="127">
        <f>第十六期!DX18</f>
        <v>0</v>
      </c>
      <c r="AC57" s="128"/>
      <c r="AE57" s="64" t="s">
        <v>55</v>
      </c>
      <c r="AF57" s="127">
        <f>第十六期!DW6</f>
        <v>0</v>
      </c>
      <c r="AG57" s="127">
        <f>第十六期!DW10</f>
        <v>0</v>
      </c>
      <c r="AH57" s="127">
        <f>第十六期!DW14</f>
        <v>0</v>
      </c>
      <c r="AI57" s="127">
        <f>第十六期!DW18</f>
        <v>0</v>
      </c>
      <c r="AJ57" s="126"/>
      <c r="AK57" s="126">
        <f>D42</f>
        <v>0</v>
      </c>
      <c r="AL57" s="48">
        <f>D43</f>
        <v>0</v>
      </c>
      <c r="AM57" s="48">
        <f>D44</f>
        <v>0</v>
      </c>
      <c r="AN57" s="50">
        <f>D45</f>
        <v>0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295</v>
      </c>
      <c r="BS57" s="130">
        <f>第十六期!AH15</f>
        <v>0</v>
      </c>
      <c r="BT57" s="130"/>
      <c r="BU57" s="130"/>
      <c r="BV57" s="130">
        <f>BV56+BS57</f>
        <v>0</v>
      </c>
      <c r="BW57" s="126"/>
      <c r="CB57" s="196" t="s">
        <v>327</v>
      </c>
      <c r="CC57" s="108">
        <f>AC9</f>
        <v>0</v>
      </c>
      <c r="CD57" s="108">
        <f>AC10</f>
        <v>0</v>
      </c>
      <c r="CE57" s="108">
        <f>AC11</f>
        <v>0</v>
      </c>
      <c r="CF57" s="108">
        <f>AC12</f>
        <v>0</v>
      </c>
      <c r="CG57" s="219"/>
      <c r="CH57" s="219"/>
      <c r="CI57" s="196" t="s">
        <v>56</v>
      </c>
      <c r="CJ57" s="108">
        <f t="shared" si="39"/>
        <v>0</v>
      </c>
      <c r="CK57" s="108">
        <f t="shared" si="39"/>
        <v>0</v>
      </c>
      <c r="CL57" s="108">
        <f t="shared" si="39"/>
        <v>0</v>
      </c>
      <c r="CM57" s="108">
        <f t="shared" si="39"/>
        <v>0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第十六期!BS8-第十六期!CX51</f>
        <v>0</v>
      </c>
      <c r="CY57" s="242">
        <f>第十六期!BT8-第十六期!CY51</f>
        <v>0</v>
      </c>
      <c r="CZ57" s="242">
        <f>第十六期!BU8-第十六期!CZ51</f>
        <v>0</v>
      </c>
      <c r="DA57" s="242">
        <f>第十六期!BV8-第十六期!DA51</f>
        <v>0</v>
      </c>
      <c r="DB57" s="242">
        <f>AVERAGE(CX57:DA57)</f>
        <v>0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0</v>
      </c>
      <c r="DN57" s="245">
        <f>比赛参数!E45*DN51</f>
        <v>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第十六期!DX7</f>
        <v>0</v>
      </c>
      <c r="Z58" s="127">
        <f>第十六期!DX11</f>
        <v>0</v>
      </c>
      <c r="AA58" s="127">
        <f>第十六期!DX15</f>
        <v>0</v>
      </c>
      <c r="AB58" s="127">
        <f>第十六期!DX19</f>
        <v>0</v>
      </c>
      <c r="AC58" s="128"/>
      <c r="AE58" s="11" t="s">
        <v>56</v>
      </c>
      <c r="AF58" s="127">
        <f>第十六期!DW7</f>
        <v>0</v>
      </c>
      <c r="AG58" s="127">
        <f>第十六期!DW11</f>
        <v>0</v>
      </c>
      <c r="AH58" s="127">
        <f>第十六期!DW15</f>
        <v>0</v>
      </c>
      <c r="AI58" s="127">
        <f>第十六期!DW19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328</v>
      </c>
      <c r="BS58" s="130">
        <f>第十六期!H5+第十六期!H4*比赛参数!F71</f>
        <v>0</v>
      </c>
      <c r="BT58" s="130"/>
      <c r="BU58" s="130"/>
      <c r="BV58" s="130">
        <f t="shared" ref="BV58:BV64" si="41">BV57-BS58</f>
        <v>0</v>
      </c>
      <c r="BW58" s="126"/>
      <c r="CB58" s="196" t="s">
        <v>329</v>
      </c>
      <c r="CC58" s="108">
        <f>Y92</f>
        <v>0</v>
      </c>
      <c r="CD58" s="108">
        <f>Z92</f>
        <v>0</v>
      </c>
      <c r="CE58" s="108">
        <f>AA92</f>
        <v>0</v>
      </c>
      <c r="CF58" s="108">
        <f>AB92</f>
        <v>0</v>
      </c>
      <c r="CG58" s="219"/>
      <c r="CH58" s="219"/>
      <c r="CI58" s="196" t="s">
        <v>57</v>
      </c>
      <c r="CJ58" s="108">
        <f t="shared" si="39"/>
        <v>0</v>
      </c>
      <c r="CK58" s="108">
        <f t="shared" si="39"/>
        <v>0</v>
      </c>
      <c r="CL58" s="108">
        <f t="shared" si="39"/>
        <v>0</v>
      </c>
      <c r="CM58" s="108">
        <f t="shared" si="39"/>
        <v>0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第十六期!BS9-第十六期!CX52</f>
        <v>0</v>
      </c>
      <c r="CY58" s="242">
        <f>第十六期!BT9-第十六期!CY52</f>
        <v>0</v>
      </c>
      <c r="CZ58" s="242">
        <f>第十六期!BU9-第十六期!CZ52</f>
        <v>0</v>
      </c>
      <c r="DA58" s="242">
        <f>第十六期!BV9-第十六期!DA52</f>
        <v>0</v>
      </c>
      <c r="DB58" s="242">
        <f>AVERAGE(CX58:DA58)</f>
        <v>0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第十六期!DX8</f>
        <v>0</v>
      </c>
      <c r="Z59" s="127">
        <f>第十六期!DX12</f>
        <v>0</v>
      </c>
      <c r="AA59" s="127">
        <f>第十六期!DX16</f>
        <v>0</v>
      </c>
      <c r="AB59" s="127">
        <f>第十六期!DX20</f>
        <v>0</v>
      </c>
      <c r="AC59" s="129"/>
      <c r="AE59" s="11" t="s">
        <v>57</v>
      </c>
      <c r="AF59" s="127">
        <f>第十六期!DW8</f>
        <v>0</v>
      </c>
      <c r="AG59" s="127">
        <f>第十六期!DW12</f>
        <v>0</v>
      </c>
      <c r="AH59" s="127">
        <f>第十六期!DW16</f>
        <v>0</v>
      </c>
      <c r="AI59" s="127">
        <f>第十六期!DW20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330</v>
      </c>
      <c r="BS59" s="130">
        <f>第十六期!K14*比赛参数!D71/4</f>
        <v>0</v>
      </c>
      <c r="BT59" s="130"/>
      <c r="BU59" s="130">
        <f>BS59</f>
        <v>0</v>
      </c>
      <c r="BV59" s="130">
        <f t="shared" si="41"/>
        <v>0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0</v>
      </c>
      <c r="CK59" s="108">
        <f t="shared" si="39"/>
        <v>0</v>
      </c>
      <c r="CL59" s="108">
        <f t="shared" si="39"/>
        <v>0</v>
      </c>
      <c r="CM59" s="108">
        <f t="shared" si="39"/>
        <v>0</v>
      </c>
      <c r="CN59" s="108">
        <f>SUM(CJ56:CM59)</f>
        <v>0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第十六期!BS10-第十六期!CX53</f>
        <v>0</v>
      </c>
      <c r="CY59" s="242">
        <f>第十六期!BT10-第十六期!CY53</f>
        <v>0</v>
      </c>
      <c r="CZ59" s="242">
        <f>第十六期!BU10-第十六期!CZ53</f>
        <v>0</v>
      </c>
      <c r="DA59" s="242">
        <f>第十六期!BV10-第十六期!DA53</f>
        <v>0</v>
      </c>
      <c r="DB59" s="242">
        <f>AVERAGE(CX59:DA59)</f>
        <v>0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0</v>
      </c>
    </row>
    <row r="60" customHeight="1" spans="2:118">
      <c r="B60" s="7"/>
      <c r="C60" s="25">
        <v>11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10"/>
      <c r="X60" s="11" t="s">
        <v>58</v>
      </c>
      <c r="Y60" s="127">
        <f>第十六期!DX9</f>
        <v>0</v>
      </c>
      <c r="Z60" s="127">
        <f>第十六期!DX13</f>
        <v>0</v>
      </c>
      <c r="AA60" s="127">
        <f>第十六期!DX17</f>
        <v>0</v>
      </c>
      <c r="AB60" s="127">
        <f>第十六期!DX21</f>
        <v>0</v>
      </c>
      <c r="AC60" s="108" t="s">
        <v>308</v>
      </c>
      <c r="AE60" s="11" t="s">
        <v>58</v>
      </c>
      <c r="AF60" s="127">
        <f>第十六期!DW9</f>
        <v>0</v>
      </c>
      <c r="AG60" s="127">
        <f>第十六期!DW13</f>
        <v>0</v>
      </c>
      <c r="AH60" s="127">
        <f>第十六期!DW17</f>
        <v>0</v>
      </c>
      <c r="AI60" s="127">
        <f>第十六期!DW21</f>
        <v>0</v>
      </c>
      <c r="AK60" s="126">
        <f>AF74</f>
        <v>0</v>
      </c>
      <c r="AL60" s="48">
        <f>AG74</f>
        <v>0</v>
      </c>
      <c r="AM60" s="48">
        <f>AH74</f>
        <v>0</v>
      </c>
      <c r="AN60" s="50">
        <f>AI74</f>
        <v>0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332</v>
      </c>
      <c r="BS60" s="130">
        <f>第十六期!Y18*比赛参数!D58</f>
        <v>0</v>
      </c>
      <c r="BT60" s="130"/>
      <c r="BU60" s="130">
        <f>BU59+BS60</f>
        <v>0</v>
      </c>
      <c r="BV60" s="130">
        <f t="shared" si="41"/>
        <v>0</v>
      </c>
      <c r="BW60" s="126"/>
      <c r="CB60" s="196" t="s">
        <v>333</v>
      </c>
      <c r="CC60" s="108">
        <f>SUM(Y57:Y60)+CC56</f>
        <v>0</v>
      </c>
      <c r="CD60" s="108">
        <f>SUM(Z57:Z60)+CD56</f>
        <v>0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334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 t="e">
        <f>AF82</f>
        <v>#DIV/0!</v>
      </c>
      <c r="AL61" s="171" t="e">
        <f>AG82</f>
        <v>#DIV/0!</v>
      </c>
      <c r="AM61" s="171" t="e">
        <f>AH82</f>
        <v>#DIV/0!</v>
      </c>
      <c r="AN61" s="172" t="e">
        <f>AI82</f>
        <v>#DIV/0!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335</v>
      </c>
      <c r="BS61" s="130">
        <f>第十六期!AA18*比赛参数!D62</f>
        <v>0</v>
      </c>
      <c r="BT61" s="130"/>
      <c r="BU61" s="130">
        <f>BU60+BS61</f>
        <v>0</v>
      </c>
      <c r="BV61" s="130">
        <f t="shared" si="41"/>
        <v>0</v>
      </c>
      <c r="BW61" s="126"/>
      <c r="CB61" s="196" t="s">
        <v>35</v>
      </c>
      <c r="CC61" s="108">
        <f>CC56+CC57-CC58+CC59</f>
        <v>0</v>
      </c>
      <c r="CD61" s="108">
        <f>CD56+CD57-CD58+CD59</f>
        <v>0</v>
      </c>
      <c r="CE61" s="108">
        <f>CE56+CE57-CE58+CE59</f>
        <v>0</v>
      </c>
      <c r="CF61" s="108">
        <f>CF56+CF57-CF58+CF59</f>
        <v>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336</v>
      </c>
      <c r="BS62" s="130">
        <f>((第十六期!K8-第十六期!AA18)*比赛参数!D65+第十六期!Y18*比赛参数!D59*比赛参数!D65)*第十六期!AH18*520</f>
        <v>0</v>
      </c>
      <c r="BT62" s="130"/>
      <c r="BU62" s="130">
        <f>BU61+BS62</f>
        <v>0</v>
      </c>
      <c r="BV62" s="130">
        <f t="shared" si="41"/>
        <v>0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CX56/第十六期!CQ56</f>
        <v>0</v>
      </c>
      <c r="CY62" s="242">
        <f>CY56/第十六期!CR56</f>
        <v>0</v>
      </c>
      <c r="CZ62" s="242">
        <f>CZ56/第十六期!CS56</f>
        <v>0</v>
      </c>
      <c r="DA62" s="242">
        <f>DA56/第十六期!CT56</f>
        <v>0</v>
      </c>
      <c r="DB62" s="242">
        <f>AVERAGE(CX62:DA62)</f>
        <v>0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第十六期!K9*比赛参数!D49</f>
        <v>0</v>
      </c>
      <c r="BT63" s="130"/>
      <c r="BU63" s="130">
        <f>BU62+BS63</f>
        <v>0</v>
      </c>
      <c r="BV63" s="130">
        <f t="shared" si="41"/>
        <v>0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CX57/第十六期!CQ57</f>
        <v>0</v>
      </c>
      <c r="CY63" s="242">
        <f>CY57/第十六期!CR57</f>
        <v>0</v>
      </c>
      <c r="CZ63" s="242">
        <f>CZ57/第十六期!CS57</f>
        <v>0</v>
      </c>
      <c r="DA63" s="242">
        <f>DA57/第十六期!CT57</f>
        <v>0</v>
      </c>
      <c r="DB63" s="242">
        <f>AVERAGE(CX63:DA63)</f>
        <v>0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0</v>
      </c>
      <c r="Z64" s="108">
        <f t="shared" si="42"/>
        <v>0</v>
      </c>
      <c r="AA64" s="108">
        <f t="shared" si="42"/>
        <v>0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0</v>
      </c>
      <c r="AG64" s="131">
        <f t="shared" si="43"/>
        <v>0</v>
      </c>
      <c r="AH64" s="131">
        <f t="shared" si="43"/>
        <v>0</v>
      </c>
      <c r="AI64" s="131">
        <f t="shared" si="43"/>
        <v>0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301</v>
      </c>
      <c r="BS64" s="130">
        <f>第十六期!AL37</f>
        <v>0</v>
      </c>
      <c r="BT64" s="130"/>
      <c r="BU64" s="130"/>
      <c r="BV64" s="130">
        <f t="shared" si="41"/>
        <v>0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CX58/第十六期!CQ58</f>
        <v>0</v>
      </c>
      <c r="CY64" s="242">
        <f>CY58/第十六期!CR58</f>
        <v>0</v>
      </c>
      <c r="CZ64" s="242">
        <f>CZ58/第十六期!CS58</f>
        <v>0</v>
      </c>
      <c r="DA64" s="242">
        <f>DA58/第十六期!CT58</f>
        <v>0</v>
      </c>
      <c r="DB64" s="242">
        <f>AVERAGE(CX64:DA64)</f>
        <v>0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0</v>
      </c>
      <c r="Z65" s="108">
        <f t="shared" si="42"/>
        <v>0</v>
      </c>
      <c r="AA65" s="108">
        <f t="shared" si="42"/>
        <v>0</v>
      </c>
      <c r="AB65" s="108">
        <f t="shared" si="42"/>
        <v>0</v>
      </c>
      <c r="AC65" s="126"/>
      <c r="AE65" s="11" t="s">
        <v>56</v>
      </c>
      <c r="AF65" s="131">
        <f t="shared" si="43"/>
        <v>0</v>
      </c>
      <c r="AG65" s="131">
        <f t="shared" si="43"/>
        <v>0</v>
      </c>
      <c r="AH65" s="131">
        <f t="shared" si="43"/>
        <v>0</v>
      </c>
      <c r="AI65" s="131">
        <f t="shared" si="43"/>
        <v>0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340</v>
      </c>
      <c r="BS65" s="91">
        <f>0.5*第十六期!AL37+0.5*第十六期!DV23</f>
        <v>0</v>
      </c>
      <c r="BT65" s="130"/>
      <c r="BU65" s="130">
        <f>BU63+BS65</f>
        <v>0</v>
      </c>
      <c r="BV65" s="130"/>
      <c r="BW65" s="126"/>
      <c r="CB65" s="196" t="s">
        <v>341</v>
      </c>
      <c r="CC65" s="108">
        <f>(CC60-CC61)*CC63</f>
        <v>0</v>
      </c>
      <c r="CD65" s="108">
        <f>(CD60-CD61)*CD63</f>
        <v>0</v>
      </c>
      <c r="CE65" s="108">
        <f>(CE60-CE61)*CE63</f>
        <v>0</v>
      </c>
      <c r="CF65" s="108">
        <f>(CF60-CF61)*CF63</f>
        <v>0</v>
      </c>
      <c r="CG65" s="108">
        <f>SUM(CC65:CF65)</f>
        <v>0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CX59/第十六期!CQ59</f>
        <v>0</v>
      </c>
      <c r="CY65" s="242">
        <f>CY59/第十六期!CR59</f>
        <v>0</v>
      </c>
      <c r="CZ65" s="242">
        <f>CZ59/第十六期!CS59</f>
        <v>0</v>
      </c>
      <c r="DA65" s="242">
        <f>DA59/第十六期!CT59</f>
        <v>0</v>
      </c>
      <c r="DB65" s="242">
        <f>AVERAGE(CX65:DA65)</f>
        <v>0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0</v>
      </c>
      <c r="Z66" s="108">
        <f t="shared" si="42"/>
        <v>0</v>
      </c>
      <c r="AA66" s="108">
        <f t="shared" si="42"/>
        <v>0</v>
      </c>
      <c r="AB66" s="108">
        <f t="shared" si="42"/>
        <v>0</v>
      </c>
      <c r="AC66" s="126"/>
      <c r="AE66" s="11" t="s">
        <v>57</v>
      </c>
      <c r="AF66" s="131">
        <f t="shared" si="43"/>
        <v>0</v>
      </c>
      <c r="AG66" s="131">
        <f t="shared" si="43"/>
        <v>0</v>
      </c>
      <c r="AH66" s="131">
        <f t="shared" si="43"/>
        <v>0</v>
      </c>
      <c r="AI66" s="131">
        <f t="shared" si="43"/>
        <v>0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236</v>
      </c>
      <c r="BS66" s="130">
        <f>第十六期!AC18</f>
        <v>0</v>
      </c>
      <c r="BT66" s="130"/>
      <c r="BU66" s="130"/>
      <c r="BV66" s="130">
        <f>BV64-BS66</f>
        <v>0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0</v>
      </c>
      <c r="Z67" s="108">
        <f t="shared" si="42"/>
        <v>0</v>
      </c>
      <c r="AA67" s="108">
        <f t="shared" si="42"/>
        <v>0</v>
      </c>
      <c r="AB67" s="108">
        <f t="shared" si="42"/>
        <v>0</v>
      </c>
      <c r="AC67" s="126"/>
      <c r="AE67" s="11" t="s">
        <v>58</v>
      </c>
      <c r="AF67" s="131">
        <f t="shared" si="43"/>
        <v>0</v>
      </c>
      <c r="AG67" s="131">
        <f t="shared" si="43"/>
        <v>0</v>
      </c>
      <c r="AH67" s="131">
        <f t="shared" si="43"/>
        <v>0</v>
      </c>
      <c r="AI67" s="131">
        <f t="shared" si="43"/>
        <v>0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342</v>
      </c>
      <c r="BS67" s="130">
        <f>IF(第十六期!AC18&gt;=比赛参数!D33,(1-比赛参数!E33)*第十六期!AC18,0)+IF(AND(第十六期!AC18&gt;=比赛参数!D34,第十六期!AC18&lt;比赛参数!D33),(1-比赛参数!E34)*第十六期!AC18,0)+IF(AND(第十六期!AC18&gt;=比赛参数!D35,第十六期!AC18&lt;比赛参数!D34),(1-比赛参数!E35)*第十六期!AC18,0)+IF(AND(第十六期!AC18&gt;=比赛参数!D36,第十六期!AC18&lt;比赛参数!D35),(1-比赛参数!E36)*第十六期!AC18,0)</f>
        <v>0</v>
      </c>
      <c r="BT67" s="130">
        <f>BS67</f>
        <v>0</v>
      </c>
      <c r="BU67" s="130"/>
      <c r="BV67" s="130">
        <f>BV66+BS67</f>
        <v>0</v>
      </c>
      <c r="BW67" s="126"/>
      <c r="CB67" s="196" t="s">
        <v>343</v>
      </c>
      <c r="CC67" s="108">
        <f>(CC60+CC61)/2*CC62</f>
        <v>0</v>
      </c>
      <c r="CD67" s="108">
        <f>(CD60+CD61)/2*CD62</f>
        <v>0</v>
      </c>
      <c r="CE67" s="108">
        <f>(CE60+CE61)/2*CE62</f>
        <v>0</v>
      </c>
      <c r="CF67" s="108">
        <f>(CF60+CF61)/2*CF62</f>
        <v>0</v>
      </c>
      <c r="CG67" s="108">
        <f>SUM(CC67:CF67)</f>
        <v>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0</v>
      </c>
      <c r="AG68" s="48">
        <f>SUM(AG64:AG67)</f>
        <v>0</v>
      </c>
      <c r="AH68" s="48">
        <f>SUM(AH64:AH67)</f>
        <v>0</v>
      </c>
      <c r="AI68" s="48">
        <f>SUM(AI64:AI67)</f>
        <v>0</v>
      </c>
      <c r="AJ68" s="48">
        <f>AF68/4</f>
        <v>0</v>
      </c>
      <c r="AK68" s="48">
        <f>AG68/4</f>
        <v>0</v>
      </c>
      <c r="AL68" s="48">
        <f>AH68/4</f>
        <v>0</v>
      </c>
      <c r="AM68" s="48">
        <f>AI68/4</f>
        <v>0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</v>
      </c>
      <c r="CY68" s="242">
        <f t="shared" si="44"/>
        <v>0</v>
      </c>
      <c r="CZ68" s="242">
        <f t="shared" si="44"/>
        <v>0</v>
      </c>
      <c r="DA68" s="242">
        <f t="shared" si="44"/>
        <v>0</v>
      </c>
      <c r="DB68" s="242">
        <f t="shared" si="44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</v>
      </c>
      <c r="CY69" s="242">
        <f t="shared" si="44"/>
        <v>0</v>
      </c>
      <c r="CZ69" s="242">
        <f t="shared" si="44"/>
        <v>0</v>
      </c>
      <c r="DA69" s="242">
        <f t="shared" si="44"/>
        <v>0</v>
      </c>
      <c r="DB69" s="242">
        <f t="shared" si="44"/>
        <v>0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第十六期!DV6</f>
        <v>0</v>
      </c>
      <c r="AG70" s="131">
        <f>第十六期!DV10</f>
        <v>0</v>
      </c>
      <c r="AH70" s="131">
        <f>第十六期!DV14</f>
        <v>0</v>
      </c>
      <c r="AI70" s="131">
        <f>第十六期!DV18</f>
        <v>0</v>
      </c>
      <c r="AJ70" s="126">
        <f>AF70-Y57+AF57</f>
        <v>0</v>
      </c>
      <c r="AK70" s="126">
        <f t="shared" ref="AK70:AM73" si="45">AG70-Z57+AG57</f>
        <v>0</v>
      </c>
      <c r="AL70" s="126">
        <f t="shared" si="45"/>
        <v>0</v>
      </c>
      <c r="AM70" s="126">
        <f t="shared" si="45"/>
        <v>0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344</v>
      </c>
      <c r="BS70" s="130">
        <f>IF(第十六期!AC18&gt;0,第十六期!AC18*比赛参数!E40+比赛参数!E39,0)</f>
        <v>0</v>
      </c>
      <c r="BT70" s="130"/>
      <c r="BU70" s="130">
        <f>BU65+BS70</f>
        <v>0</v>
      </c>
      <c r="BV70" s="130">
        <f>BV67-BS70</f>
        <v>0</v>
      </c>
      <c r="BW70" s="126"/>
      <c r="CB70" s="196" t="s">
        <v>304</v>
      </c>
      <c r="CC70" s="108">
        <f>CC79-CC86</f>
        <v>0</v>
      </c>
      <c r="CD70" s="108">
        <f>CD79-CD86</f>
        <v>0</v>
      </c>
      <c r="CE70" s="108">
        <f>CE79-CE86</f>
        <v>0</v>
      </c>
      <c r="CF70" s="108">
        <f>CF79-CF86</f>
        <v>0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</v>
      </c>
      <c r="CY70" s="242">
        <f t="shared" si="44"/>
        <v>0</v>
      </c>
      <c r="CZ70" s="242">
        <f t="shared" si="44"/>
        <v>0</v>
      </c>
      <c r="DA70" s="242">
        <f t="shared" si="44"/>
        <v>0</v>
      </c>
      <c r="DB70" s="242">
        <f t="shared" si="44"/>
        <v>0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第十六期!DV7</f>
        <v>0</v>
      </c>
      <c r="AG71" s="131">
        <f>第十六期!DV11</f>
        <v>0</v>
      </c>
      <c r="AH71" s="131">
        <f>第十六期!DV15</f>
        <v>0</v>
      </c>
      <c r="AI71" s="131">
        <f>第十六期!DV19</f>
        <v>0</v>
      </c>
      <c r="AJ71" s="126">
        <f>AF71-Y58+AF58</f>
        <v>0</v>
      </c>
      <c r="AK71" s="126">
        <f t="shared" si="45"/>
        <v>0</v>
      </c>
      <c r="AL71" s="126">
        <f t="shared" si="45"/>
        <v>0</v>
      </c>
      <c r="AM71" s="126">
        <f t="shared" si="45"/>
        <v>0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345</v>
      </c>
      <c r="BS71" s="130">
        <f>(第十六期!Z13*比赛参数!E65*260+第十六期!AA13*(比赛参数!F65-比赛参数!D65)*520+第十六期!AB13*比赛参数!G65*260)*第十六期!AH18</f>
        <v>0</v>
      </c>
      <c r="BT71" s="130"/>
      <c r="BU71" s="130">
        <f t="shared" ref="BU71:BU76" si="46">BU70+BS71</f>
        <v>0</v>
      </c>
      <c r="BV71" s="130">
        <f>BV70-BS71</f>
        <v>0</v>
      </c>
      <c r="BW71" s="126"/>
      <c r="CB71" s="196" t="s">
        <v>305</v>
      </c>
      <c r="CC71" s="108">
        <f>CC70/比赛参数!D26</f>
        <v>0</v>
      </c>
      <c r="CD71" s="108">
        <f>CD70/比赛参数!E26</f>
        <v>0</v>
      </c>
      <c r="CE71" s="108">
        <f>CE70/比赛参数!F26</f>
        <v>0</v>
      </c>
      <c r="CF71" s="108">
        <f>CF70/比赛参数!G26</f>
        <v>0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</v>
      </c>
      <c r="CY71" s="242">
        <f t="shared" si="44"/>
        <v>0</v>
      </c>
      <c r="CZ71" s="242">
        <f t="shared" si="44"/>
        <v>0</v>
      </c>
      <c r="DA71" s="242">
        <f t="shared" si="44"/>
        <v>0</v>
      </c>
      <c r="DB71" s="242">
        <f t="shared" si="44"/>
        <v>0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第十六期!DV8</f>
        <v>0</v>
      </c>
      <c r="AG72" s="131">
        <f>第十六期!DV12</f>
        <v>0</v>
      </c>
      <c r="AH72" s="131">
        <f>第十六期!DV16</f>
        <v>0</v>
      </c>
      <c r="AI72" s="131">
        <f>第十六期!DV20</f>
        <v>0</v>
      </c>
      <c r="AJ72" s="126">
        <f>AF72-Y59+AF59</f>
        <v>0</v>
      </c>
      <c r="AK72" s="126">
        <f t="shared" si="45"/>
        <v>0</v>
      </c>
      <c r="AL72" s="126">
        <f t="shared" si="45"/>
        <v>0</v>
      </c>
      <c r="AM72" s="126">
        <f t="shared" si="45"/>
        <v>0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第十六期!DM60</f>
        <v>0</v>
      </c>
      <c r="BT72" s="130"/>
      <c r="BU72" s="130">
        <f t="shared" si="46"/>
        <v>0</v>
      </c>
      <c r="BV72" s="130">
        <f>BV71-BS72</f>
        <v>0</v>
      </c>
      <c r="BW72" s="126"/>
      <c r="CB72" s="196" t="s">
        <v>307</v>
      </c>
      <c r="CC72" s="108">
        <f>IF(CC79&gt;0,CC70/CC79,0)</f>
        <v>0</v>
      </c>
      <c r="CD72" s="108">
        <f>IF(CD79&gt;0,CD70/CD79,0)</f>
        <v>0</v>
      </c>
      <c r="CE72" s="108">
        <f>IF(CE79&gt;0,CE70/CE79,0)</f>
        <v>0</v>
      </c>
      <c r="CF72" s="108">
        <f>IF(CF79&gt;0,CF70/CF79,0)</f>
        <v>0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第十六期!DV9</f>
        <v>0</v>
      </c>
      <c r="AG73" s="131">
        <f>第十六期!DV13</f>
        <v>0</v>
      </c>
      <c r="AH73" s="131">
        <f>第十六期!DV17</f>
        <v>0</v>
      </c>
      <c r="AI73" s="131">
        <f>第十六期!DV21</f>
        <v>0</v>
      </c>
      <c r="AJ73" s="126">
        <f>AF73-Y60+AF60</f>
        <v>0</v>
      </c>
      <c r="AK73" s="126">
        <f t="shared" si="45"/>
        <v>0</v>
      </c>
      <c r="AL73" s="126">
        <f t="shared" si="45"/>
        <v>0</v>
      </c>
      <c r="AM73" s="126">
        <f t="shared" si="45"/>
        <v>0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346</v>
      </c>
      <c r="BS73" s="130">
        <f>第十六期!AC21</f>
        <v>0</v>
      </c>
      <c r="BT73" s="130"/>
      <c r="BU73" s="130">
        <f t="shared" si="46"/>
        <v>0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0</v>
      </c>
      <c r="AG74" s="2">
        <f>AVERAGE(AG70:AG73)</f>
        <v>0</v>
      </c>
      <c r="AH74" s="2">
        <f>AVERAGE(AH70:AH73)</f>
        <v>0</v>
      </c>
      <c r="AI74" s="2">
        <f>AVERAGE(AI70:AI73)</f>
        <v>0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347</v>
      </c>
      <c r="BS74" s="130">
        <f>第十六期!CG42</f>
        <v>0</v>
      </c>
      <c r="BT74" s="130"/>
      <c r="BU74" s="130">
        <f t="shared" si="46"/>
        <v>0</v>
      </c>
      <c r="BV74" s="130">
        <f>BV72-BS74</f>
        <v>0</v>
      </c>
      <c r="BW74" s="126"/>
      <c r="CB74" s="219"/>
      <c r="CC74" s="219">
        <f t="shared" ref="CC74:CF77" si="48">AF64*AF76</f>
        <v>0</v>
      </c>
      <c r="CD74" s="219">
        <f t="shared" si="48"/>
        <v>0</v>
      </c>
      <c r="CE74" s="219">
        <f t="shared" si="48"/>
        <v>0</v>
      </c>
      <c r="CF74" s="219">
        <f t="shared" si="48"/>
        <v>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351</v>
      </c>
      <c r="BS75" s="130">
        <f>SUM(第十六期!AF80:AI80)</f>
        <v>0</v>
      </c>
      <c r="BT75" s="130"/>
      <c r="BU75" s="130">
        <f t="shared" si="46"/>
        <v>0</v>
      </c>
      <c r="BV75" s="130">
        <f>BV74-BS75</f>
        <v>0</v>
      </c>
      <c r="BW75" s="126"/>
      <c r="CB75" s="219"/>
      <c r="CC75" s="219">
        <f t="shared" si="48"/>
        <v>0</v>
      </c>
      <c r="CD75" s="219">
        <f t="shared" si="48"/>
        <v>0</v>
      </c>
      <c r="CE75" s="219">
        <f t="shared" si="48"/>
        <v>0</v>
      </c>
      <c r="CF75" s="219">
        <f t="shared" si="48"/>
        <v>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/>
      <c r="AG76" s="101"/>
      <c r="AH76" s="101"/>
      <c r="AI76" s="101"/>
      <c r="AJ76" s="300"/>
      <c r="AK76" s="301" t="e">
        <f>AJ76/SUM(AF64:AI64)</f>
        <v>#DIV/0!</v>
      </c>
      <c r="AL76" s="114" t="e">
        <f>AJ76/SUMPRODUCT(AF76:AI76,AF64:AI64)</f>
        <v>#DIV/0!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SUM(第十六期!AJ76:AJ79)</f>
        <v>0</v>
      </c>
      <c r="BT76" s="327"/>
      <c r="BU76" s="327">
        <f t="shared" si="46"/>
        <v>0</v>
      </c>
      <c r="BV76" s="327">
        <f>BV75-BS76</f>
        <v>0</v>
      </c>
      <c r="BW76" s="331" t="str">
        <f>IF(BV76&gt;=0,"YES","NO")</f>
        <v>YES</v>
      </c>
      <c r="CB76" s="219"/>
      <c r="CC76" s="219">
        <f t="shared" si="48"/>
        <v>0</v>
      </c>
      <c r="CD76" s="219">
        <f t="shared" si="48"/>
        <v>0</v>
      </c>
      <c r="CE76" s="219">
        <f t="shared" si="48"/>
        <v>0</v>
      </c>
      <c r="CF76" s="219">
        <f t="shared" si="48"/>
        <v>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/>
      <c r="AG77" s="101"/>
      <c r="AH77" s="101"/>
      <c r="AI77" s="101"/>
      <c r="AJ77" s="300"/>
      <c r="AK77" s="301" t="e">
        <f>AJ77/SUM(AF65:AI65)</f>
        <v>#DIV/0!</v>
      </c>
      <c r="AL77" s="114" t="e">
        <f>AJ77/SUMPRODUCT(AF77:AI77,AF65:AI65)</f>
        <v>#DIV/0!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第十六期!CG53</f>
        <v>0</v>
      </c>
      <c r="BT77" s="328">
        <f>BT67+BS77</f>
        <v>0</v>
      </c>
      <c r="BU77" s="328"/>
      <c r="BV77" s="328">
        <f>BV76+BS77</f>
        <v>0</v>
      </c>
      <c r="BW77" s="126"/>
      <c r="CB77" s="219"/>
      <c r="CC77" s="219">
        <f t="shared" si="48"/>
        <v>0</v>
      </c>
      <c r="CD77" s="219">
        <f t="shared" si="48"/>
        <v>0</v>
      </c>
      <c r="CE77" s="219">
        <f t="shared" si="48"/>
        <v>0</v>
      </c>
      <c r="CF77" s="219">
        <f t="shared" si="48"/>
        <v>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/>
      <c r="AG78" s="101"/>
      <c r="AH78" s="101"/>
      <c r="AI78" s="101"/>
      <c r="AJ78" s="300"/>
      <c r="AK78" s="301" t="e">
        <f>AJ78/SUM(AF66:AI66)</f>
        <v>#DIV/0!</v>
      </c>
      <c r="AL78" s="114" t="e">
        <f>AJ78/SUMPRODUCT(AF78:AI78,AF66:AI66)</f>
        <v>#DIV/0!</v>
      </c>
      <c r="AM78" s="2">
        <v>8500</v>
      </c>
      <c r="AN78" s="2">
        <v>12300</v>
      </c>
      <c r="AO78" s="2">
        <v>14000</v>
      </c>
      <c r="AR78" s="65" t="s">
        <v>353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259</v>
      </c>
      <c r="BS78" s="130">
        <f>第十六期!CN53</f>
        <v>0</v>
      </c>
      <c r="BT78" s="130"/>
      <c r="BU78" s="130">
        <f>BU76+BS78</f>
        <v>0</v>
      </c>
      <c r="BV78" s="130">
        <f>BV77-BS78</f>
        <v>0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/>
      <c r="AG79" s="101"/>
      <c r="AH79" s="101"/>
      <c r="AI79" s="101"/>
      <c r="AJ79" s="300"/>
      <c r="AK79" s="301" t="e">
        <f>AJ79/SUM(AF67:AI67)</f>
        <v>#DIV/0!</v>
      </c>
      <c r="AL79" s="114" t="e">
        <f>AJ79/SUMPRODUCT(AF79:AI79,AF67:AI67)</f>
        <v>#DIV/0!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第十六期!K9*比赛参数!D30*比赛参数!F30</f>
        <v>0</v>
      </c>
      <c r="BT79" s="130"/>
      <c r="BU79" s="130">
        <f>BU78+BS79</f>
        <v>0</v>
      </c>
      <c r="BV79" s="130"/>
      <c r="BW79" s="126"/>
      <c r="CB79" s="196" t="s">
        <v>355</v>
      </c>
      <c r="CC79" s="108">
        <f>IF(SUM(AF64:AF67)&gt;0,SUM(CC74:CC77)/SUM(AF64:AF67),0)</f>
        <v>0</v>
      </c>
      <c r="CD79" s="108">
        <f>IF(SUM(AG64:AG67)&gt;0,SUM(CD74:CD77)/SUM(AG64:AG67),0)</f>
        <v>0</v>
      </c>
      <c r="CE79" s="108">
        <f>IF(SUM(AH64:AH67)&gt;0,SUM(CE74:CE77)/SUM(AH64:AH67),0)</f>
        <v>0</v>
      </c>
      <c r="CF79" s="108">
        <f>IF(SUM(AI64:AI67)&gt;0,SUM(CF74:CF77)/SUM(AI64:AI67),0)</f>
        <v>0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165</v>
      </c>
      <c r="AF80" s="284"/>
      <c r="AG80" s="284"/>
      <c r="AH80" s="284"/>
      <c r="AI80" s="284"/>
      <c r="AJ80" s="42" t="s">
        <v>357</v>
      </c>
      <c r="AK80" s="302" t="e">
        <f>BS75/BS77</f>
        <v>#DIV/0!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第十六期!CG65</f>
        <v>0</v>
      </c>
      <c r="BT80" s="130"/>
      <c r="BU80" s="130">
        <f>BU79+BS80</f>
        <v>0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第十六期!Y9*第十六期!CQ56</f>
        <v>0</v>
      </c>
      <c r="CR80" s="65">
        <f>第十六期!Z9*第十六期!CR56</f>
        <v>0</v>
      </c>
      <c r="CS80" s="65">
        <f>第十六期!AA9*第十六期!CS56</f>
        <v>0</v>
      </c>
      <c r="CT80" s="65">
        <f>第十六期!AB9*第十六期!CT56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0</v>
      </c>
      <c r="AG81" s="285">
        <f>IF(SUM(AG64:AG67)&gt;0,AG80/SUM(AG64:AG67),0)</f>
        <v>0</v>
      </c>
      <c r="AH81" s="285">
        <f>IF(SUM(AH64:AH67)&gt;0,AH80/SUM(AH64:AH67),0)</f>
        <v>0</v>
      </c>
      <c r="AI81" s="303">
        <f>IF(SUM(AI64:AI67)&gt;0,AI80/SUM(AI64:AI67),0)</f>
        <v>0</v>
      </c>
      <c r="AJ81" s="42" t="s">
        <v>361</v>
      </c>
      <c r="AK81" s="302" t="e">
        <f>BS76/BS77</f>
        <v>#DIV/0!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(第十六期!K10+(第十六期!AC18+第十六期!K10-第十六期!AC21))/2*比赛参数!D16</f>
        <v>0</v>
      </c>
      <c r="BT81" s="130"/>
      <c r="BU81" s="130">
        <f>BU80+BS81</f>
        <v>0</v>
      </c>
      <c r="BV81" s="130">
        <f>BV78-BS81</f>
        <v>0</v>
      </c>
      <c r="BW81" s="126"/>
      <c r="CB81" s="219"/>
      <c r="CC81" s="219">
        <f t="shared" ref="CC81:CF84" si="50">CJ19*AF64</f>
        <v>0</v>
      </c>
      <c r="CD81" s="219">
        <f t="shared" si="50"/>
        <v>0</v>
      </c>
      <c r="CE81" s="219">
        <f t="shared" si="50"/>
        <v>0</v>
      </c>
      <c r="CF81" s="219">
        <f t="shared" si="50"/>
        <v>0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第十六期!Y10*第十六期!CQ57</f>
        <v>0</v>
      </c>
      <c r="CR81" s="65">
        <f>第十六期!Z10*第十六期!CR57</f>
        <v>0</v>
      </c>
      <c r="CS81" s="65">
        <f>第十六期!AA10*第十六期!CS57</f>
        <v>0</v>
      </c>
      <c r="CT81" s="65">
        <f>第十六期!AB10*第十六期!CT57</f>
        <v>0</v>
      </c>
      <c r="CU81" s="65">
        <f>SUM(CQ81:CT81)</f>
        <v>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 t="e">
        <f>SUMPRODUCT(AF70:AF73,AF86:AF89)/SUM(AF70:AF73)</f>
        <v>#DIV/0!</v>
      </c>
      <c r="AG82" s="48" t="e">
        <f>SUMPRODUCT(AG70:AG73,AG86:AG89)/SUM(AG70:AG73)</f>
        <v>#DIV/0!</v>
      </c>
      <c r="AH82" s="48" t="e">
        <f>SUMPRODUCT(AH70:AH73,AH86:AH89)/SUM(AH70:AH73)</f>
        <v>#DIV/0!</v>
      </c>
      <c r="AI82" s="48" t="e">
        <f>SUMPRODUCT(AI70:AI73,AI86:AI89)/SUM(AI70:AI73)</f>
        <v>#DIV/0!</v>
      </c>
      <c r="AJ82" s="42" t="s">
        <v>100</v>
      </c>
      <c r="AK82" s="84">
        <f>AF14</f>
        <v>0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364</v>
      </c>
      <c r="BS82" s="130">
        <f>第十六期!CG67</f>
        <v>0</v>
      </c>
      <c r="BT82" s="130"/>
      <c r="BU82" s="91">
        <f>BU81+BS82</f>
        <v>0</v>
      </c>
      <c r="BV82" s="130">
        <f>BV81-BS82</f>
        <v>0</v>
      </c>
      <c r="BW82" s="126"/>
      <c r="CB82" s="219"/>
      <c r="CC82" s="219">
        <f t="shared" si="50"/>
        <v>0</v>
      </c>
      <c r="CD82" s="219">
        <f t="shared" si="50"/>
        <v>0</v>
      </c>
      <c r="CE82" s="219">
        <f t="shared" si="50"/>
        <v>0</v>
      </c>
      <c r="CF82" s="219">
        <f t="shared" si="50"/>
        <v>0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第十六期!Y11*第十六期!CQ58</f>
        <v>0</v>
      </c>
      <c r="CR82" s="65">
        <f>第十六期!Z11*第十六期!CR58</f>
        <v>0</v>
      </c>
      <c r="CS82" s="65">
        <f>第十六期!AA11*第十六期!CS58</f>
        <v>0</v>
      </c>
      <c r="CT82" s="65">
        <f>第十六期!AB11*第十六期!CT58</f>
        <v>0</v>
      </c>
      <c r="CU82" s="65">
        <f>SUM(CQ82:CT82)</f>
        <v>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365</v>
      </c>
      <c r="AF83" s="285" t="e">
        <f>SUMPRODUCT(Y96:Y99,AF64:AF67)/SUM(AF64:AF67)</f>
        <v>#DIV/0!</v>
      </c>
      <c r="AG83" s="285" t="e">
        <f>SUMPRODUCT(Z96:Z99,AG64:AG67)/SUM(AG64:AG67)</f>
        <v>#DIV/0!</v>
      </c>
      <c r="AH83" s="285" t="e">
        <f>SUMPRODUCT(AA96:AA99,AH64:AH67)/SUM(AH64:AH67)</f>
        <v>#DIV/0!</v>
      </c>
      <c r="AI83" s="285" t="e">
        <f>SUMPRODUCT(AB96:AB99,AI64:AI67)/SUM(AI64:AI67)</f>
        <v>#DIV/0!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366</v>
      </c>
      <c r="BS83" s="130">
        <f>第十六期!K13</f>
        <v>0</v>
      </c>
      <c r="BT83" s="130"/>
      <c r="BU83" s="130"/>
      <c r="BV83" s="130">
        <f>BV82+BS83</f>
        <v>0</v>
      </c>
      <c r="BW83" s="126"/>
      <c r="CB83" s="219"/>
      <c r="CC83" s="219">
        <f t="shared" si="50"/>
        <v>0</v>
      </c>
      <c r="CD83" s="219">
        <f t="shared" si="50"/>
        <v>0</v>
      </c>
      <c r="CE83" s="219">
        <f t="shared" si="50"/>
        <v>0</v>
      </c>
      <c r="CF83" s="219">
        <f t="shared" si="50"/>
        <v>0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第十六期!Y12*第十六期!CQ59</f>
        <v>0</v>
      </c>
      <c r="CR83" s="65">
        <f>第十六期!Z12*第十六期!CR59</f>
        <v>0</v>
      </c>
      <c r="CS83" s="65">
        <f>第十六期!AA12*第十六期!CS59</f>
        <v>0</v>
      </c>
      <c r="CT83" s="65">
        <f>第十六期!AB12*第十六期!CT59</f>
        <v>0</v>
      </c>
      <c r="CU83" s="65">
        <f>SUM(CQ83:CT83)</f>
        <v>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 t="e">
        <f>AF80/SUMPRODUCT(AF76:AF79,AF64:AF67)</f>
        <v>#DIV/0!</v>
      </c>
      <c r="AG84" s="114" t="e">
        <f>AG80/SUMPRODUCT(AG76:AG79,AG64:AG67)</f>
        <v>#DIV/0!</v>
      </c>
      <c r="AH84" s="114" t="e">
        <f>AH80/SUMPRODUCT(AH76:AH79,AH64:AH67)</f>
        <v>#DIV/0!</v>
      </c>
      <c r="AI84" s="114" t="e">
        <f>AI80/SUMPRODUCT(AI76:AI79,AI64:AI67)</f>
        <v>#DIV/0!</v>
      </c>
      <c r="AJ84" s="48"/>
      <c r="AK84" s="2" t="s">
        <v>367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258</v>
      </c>
      <c r="BS84" s="130">
        <f>第十六期!K13*比赛参数!D70/4</f>
        <v>0</v>
      </c>
      <c r="BT84" s="329">
        <f>BT77+BS84</f>
        <v>0</v>
      </c>
      <c r="BU84" s="130"/>
      <c r="BV84" s="130">
        <f>BV83+BS84</f>
        <v>0</v>
      </c>
      <c r="BW84" s="126"/>
      <c r="CB84" s="219"/>
      <c r="CC84" s="219">
        <f t="shared" si="50"/>
        <v>0</v>
      </c>
      <c r="CD84" s="219">
        <f t="shared" si="50"/>
        <v>0</v>
      </c>
      <c r="CE84" s="219">
        <f t="shared" si="50"/>
        <v>0</v>
      </c>
      <c r="CF84" s="219">
        <f t="shared" si="50"/>
        <v>0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0</v>
      </c>
      <c r="CR84" s="65">
        <f>SUM(CR80:CR83)</f>
        <v>0</v>
      </c>
      <c r="CS84" s="65">
        <f>SUM(CS80:CS83)</f>
        <v>0</v>
      </c>
      <c r="CT84" s="65">
        <f>SUM(CT80:CT83)</f>
        <v>0</v>
      </c>
      <c r="CU84" s="65">
        <f>SUM(CU80:CU83)</f>
        <v>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370</v>
      </c>
      <c r="BS85" s="130">
        <f>第十六期!AH14</f>
        <v>0</v>
      </c>
      <c r="BT85" s="130"/>
      <c r="BU85" s="130"/>
      <c r="BV85" s="130">
        <f t="shared" ref="BV85:BV90" si="53">BV84-BS85</f>
        <v>0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第十六期!DS33</f>
        <v>0</v>
      </c>
      <c r="AG86" s="131">
        <f>第十六期!DW33</f>
        <v>0</v>
      </c>
      <c r="AH86" s="131">
        <f>第十六期!EA33</f>
        <v>0</v>
      </c>
      <c r="AI86" s="131">
        <f>第十六期!EE33</f>
        <v>0</v>
      </c>
      <c r="AJ86" s="64" t="s">
        <v>55</v>
      </c>
      <c r="AK86" s="108">
        <f t="shared" ref="AK86:AN89" si="54">AF76-AF86</f>
        <v>0</v>
      </c>
      <c r="AL86" s="108">
        <f t="shared" si="54"/>
        <v>0</v>
      </c>
      <c r="AM86" s="108">
        <f t="shared" si="54"/>
        <v>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371</v>
      </c>
      <c r="BS86" s="130">
        <f>第十六期!AH14*比赛参数!D69/4</f>
        <v>0</v>
      </c>
      <c r="BT86" s="130"/>
      <c r="BU86" s="329">
        <f>BU82+BS86</f>
        <v>0</v>
      </c>
      <c r="BV86" s="130">
        <f t="shared" si="53"/>
        <v>0</v>
      </c>
      <c r="BW86" s="126"/>
      <c r="CB86" s="196" t="s">
        <v>372</v>
      </c>
      <c r="CC86" s="108">
        <f>IF(SUM(AF64:AF67)&gt;0,SUM(CC81:CC84)/SUM(AF64:AF67),0)</f>
        <v>0</v>
      </c>
      <c r="CD86" s="108">
        <f>IF(SUM(AG64:AG67)&gt;0,SUM(CD81:CD84)/SUM(AG64:AG67),0)</f>
        <v>0</v>
      </c>
      <c r="CE86" s="108">
        <f>IF(SUM(AH64:AH67)&gt;0,SUM(CE81:CE84)/SUM(AH64:AH67),0)</f>
        <v>0</v>
      </c>
      <c r="CF86" s="108">
        <f>IF(SUM(AI64:AI67)&gt;0,SUM(CF81:CF84)/SUM(AI64:AI67),0)</f>
        <v>0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第十六期!DT33</f>
        <v>0</v>
      </c>
      <c r="AG87" s="131">
        <f>第十六期!DX33</f>
        <v>0</v>
      </c>
      <c r="AH87" s="131">
        <f>第十六期!EB33</f>
        <v>0</v>
      </c>
      <c r="AI87" s="131">
        <f>第十六期!EF33</f>
        <v>0</v>
      </c>
      <c r="AJ87" s="11" t="s">
        <v>56</v>
      </c>
      <c r="AK87" s="108">
        <f t="shared" si="54"/>
        <v>0</v>
      </c>
      <c r="AL87" s="108">
        <f t="shared" si="54"/>
        <v>0</v>
      </c>
      <c r="AM87" s="108">
        <f t="shared" si="54"/>
        <v>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376</v>
      </c>
      <c r="BS87" s="130" t="b">
        <f>IF(第十六期!BW92&gt;0,IF((第十六期!K15+第十六期!BW92*比赛参数!D72)&gt;0,第十六期!K15+第十六期!BW92*比赛参数!D72,0))</f>
        <v>0</v>
      </c>
      <c r="BT87" s="130"/>
      <c r="BU87" s="130"/>
      <c r="BV87" s="130">
        <f t="shared" si="53"/>
        <v>0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 t="e">
        <f>CQ80/$CQ$84</f>
        <v>#DIV/0!</v>
      </c>
      <c r="CR87" s="65" t="e">
        <f>CR80/$CR$84</f>
        <v>#DIV/0!</v>
      </c>
      <c r="CS87" s="65" t="e">
        <f>CS80/$CS$84</f>
        <v>#DIV/0!</v>
      </c>
      <c r="CT87" s="65" t="e">
        <f>CT80/$CT$84</f>
        <v>#DIV/0!</v>
      </c>
      <c r="CU87" s="65" t="e">
        <f>CU80/$CU$84</f>
        <v>#DIV/0!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/>
      <c r="Z88" s="101"/>
      <c r="AA88" s="101"/>
      <c r="AB88" s="101"/>
      <c r="AC88" s="288" t="s">
        <v>377</v>
      </c>
      <c r="AE88" s="11" t="s">
        <v>57</v>
      </c>
      <c r="AF88" s="131">
        <f>第十六期!DU33</f>
        <v>0</v>
      </c>
      <c r="AG88" s="131">
        <f>第十六期!DY33</f>
        <v>0</v>
      </c>
      <c r="AH88" s="131">
        <f>第十六期!EC33</f>
        <v>0</v>
      </c>
      <c r="AI88" s="131">
        <f>第十六期!EG33</f>
        <v>0</v>
      </c>
      <c r="AJ88" s="11" t="s">
        <v>57</v>
      </c>
      <c r="AK88" s="108">
        <f t="shared" si="54"/>
        <v>0</v>
      </c>
      <c r="AL88" s="108">
        <f t="shared" si="54"/>
        <v>0</v>
      </c>
      <c r="AM88" s="108">
        <f t="shared" si="54"/>
        <v>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282</v>
      </c>
      <c r="BS88" s="130">
        <f>第十六期!AF18*比赛参数!D30</f>
        <v>0</v>
      </c>
      <c r="BT88" s="130"/>
      <c r="BU88" s="130"/>
      <c r="BV88" s="130">
        <f t="shared" si="53"/>
        <v>0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 t="e">
        <f>CQ81/$CQ$84</f>
        <v>#DIV/0!</v>
      </c>
      <c r="CR88" s="65" t="e">
        <f>CR81/$CR$84</f>
        <v>#DIV/0!</v>
      </c>
      <c r="CS88" s="65" t="e">
        <f>CS81/$CS$84</f>
        <v>#DIV/0!</v>
      </c>
      <c r="CT88" s="65" t="e">
        <f>CT81/$CT$84</f>
        <v>#DIV/0!</v>
      </c>
      <c r="CU88" s="65" t="e">
        <f>CU81/$CU$84</f>
        <v>#DIV/0!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/>
      <c r="Z89" s="101"/>
      <c r="AA89" s="101"/>
      <c r="AB89" s="101"/>
      <c r="AC89" s="288" t="s">
        <v>378</v>
      </c>
      <c r="AE89" s="11" t="s">
        <v>58</v>
      </c>
      <c r="AF89" s="131">
        <f>第十六期!DV33</f>
        <v>0</v>
      </c>
      <c r="AG89" s="131">
        <f>第十六期!DZ33</f>
        <v>0</v>
      </c>
      <c r="AH89" s="131">
        <f>第十六期!ED33</f>
        <v>0</v>
      </c>
      <c r="AI89" s="131">
        <f>第十六期!EH33</f>
        <v>0</v>
      </c>
      <c r="AJ89" s="11" t="s">
        <v>58</v>
      </c>
      <c r="AK89" s="108">
        <f t="shared" si="54"/>
        <v>0</v>
      </c>
      <c r="AL89" s="108">
        <f t="shared" si="54"/>
        <v>0</v>
      </c>
      <c r="AM89" s="108">
        <f t="shared" si="54"/>
        <v>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238</v>
      </c>
      <c r="BS89" s="130">
        <f>第十六期!AJ18</f>
        <v>0</v>
      </c>
      <c r="BT89" s="130"/>
      <c r="BU89" s="130"/>
      <c r="BV89" s="130">
        <f t="shared" si="53"/>
        <v>0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 t="e">
        <f>CQ82/$CQ$84</f>
        <v>#DIV/0!</v>
      </c>
      <c r="CR89" s="65" t="e">
        <f>CR82/$CR$84</f>
        <v>#DIV/0!</v>
      </c>
      <c r="CS89" s="65" t="e">
        <f>CS82/$CS$84</f>
        <v>#DIV/0!</v>
      </c>
      <c r="CT89" s="65" t="e">
        <f>CT82/$CT$84</f>
        <v>#DIV/0!</v>
      </c>
      <c r="CU89" s="65" t="e">
        <f>CU82/$CU$84</f>
        <v>#DIV/0!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/>
      <c r="Z90" s="101"/>
      <c r="AA90" s="101"/>
      <c r="AB90" s="101"/>
      <c r="AC90" s="288" t="s">
        <v>379</v>
      </c>
      <c r="AF90" s="48" t="e">
        <f>SUMPRODUCT(AF64:AF67,AF76:AF79)/SUM(AF64:AF67)</f>
        <v>#DIV/0!</v>
      </c>
      <c r="AG90" s="48" t="e">
        <f>SUMPRODUCT(AG64:AG67,AG76:AG79)/SUM(AG64:AG67)</f>
        <v>#DIV/0!</v>
      </c>
      <c r="AH90" s="48" t="e">
        <f>SUMPRODUCT(AH64:AH67,AH76:AH79)/SUM(AH64:AH67)</f>
        <v>#DIV/0!</v>
      </c>
      <c r="AI90" s="48" t="e">
        <f>SUMPRODUCT(AI64:AI67,AI76:AI79)/SUM(AI64:AI67)</f>
        <v>#DIV/0!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251</v>
      </c>
      <c r="BS90" s="130">
        <f>第十六期!AF20</f>
        <v>0</v>
      </c>
      <c r="BT90" s="130"/>
      <c r="BU90" s="130"/>
      <c r="BV90" s="329">
        <f t="shared" si="53"/>
        <v>0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 t="e">
        <f>CQ83/$CQ$84</f>
        <v>#DIV/0!</v>
      </c>
      <c r="CR90" s="65" t="e">
        <f>CR83/$CR$84</f>
        <v>#DIV/0!</v>
      </c>
      <c r="CS90" s="65" t="e">
        <f>CS83/$CS$84</f>
        <v>#DIV/0!</v>
      </c>
      <c r="CT90" s="65" t="e">
        <f>CT83/$CT$84</f>
        <v>#DIV/0!</v>
      </c>
      <c r="CU90" s="65" t="e">
        <f>CU83/$CU$84</f>
        <v>#DIV/0!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/>
      <c r="Z91" s="101"/>
      <c r="AA91" s="101"/>
      <c r="AB91" s="101"/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0</v>
      </c>
      <c r="Z92" s="76">
        <f>SUM(Z88:Z91)</f>
        <v>0</v>
      </c>
      <c r="AA92" s="76">
        <f>SUM(AA88:AA91)</f>
        <v>0</v>
      </c>
      <c r="AB92" s="289">
        <f>SUM(AB88:AB91)</f>
        <v>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0</v>
      </c>
      <c r="AL92" s="304">
        <f t="shared" si="55"/>
        <v>0</v>
      </c>
      <c r="AM92" s="304">
        <f t="shared" si="55"/>
        <v>0</v>
      </c>
      <c r="AN92" s="304">
        <f t="shared" si="55"/>
        <v>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322</v>
      </c>
      <c r="BS92" s="130">
        <f>第十六期!BT84</f>
        <v>0</v>
      </c>
      <c r="BT92" s="330" t="s">
        <v>178</v>
      </c>
      <c r="BU92" s="130">
        <f>第十六期!BU86</f>
        <v>0</v>
      </c>
      <c r="BV92" s="332" t="s">
        <v>100</v>
      </c>
      <c r="BW92" s="333">
        <f>第十六期!BT84-第十六期!BU86</f>
        <v>0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AC9*比赛参数!D6+第十六期!DU26</f>
        <v>0</v>
      </c>
      <c r="Z93" s="37">
        <f>AC10*比赛参数!D6+第十六期!DU27</f>
        <v>0</v>
      </c>
      <c r="AA93" s="37">
        <f>AC11*比赛参数!D6+第十六期!DU28</f>
        <v>0</v>
      </c>
      <c r="AB93" s="37">
        <f>AC12*比赛参数!D6+第十六期!DU29</f>
        <v>0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0</v>
      </c>
      <c r="AL93" s="304">
        <f t="shared" si="55"/>
        <v>0</v>
      </c>
      <c r="AM93" s="304">
        <f t="shared" si="55"/>
        <v>0</v>
      </c>
      <c r="AN93" s="304">
        <f t="shared" si="55"/>
        <v>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IF(第十六期!$AC$9&gt;0,第十六期!$K$9*比赛参数!$D$30*比赛参数!$F$30*$CU$87/第十六期!$AC$9,0)</f>
        <v>0</v>
      </c>
      <c r="CR93" s="65">
        <f>IF(第十六期!$AC$9&gt;0,第十六期!$K$9*比赛参数!$D$30*比赛参数!$F$30*$CU$87/第十六期!$AC$9,0)</f>
        <v>0</v>
      </c>
      <c r="CS93" s="65">
        <f>IF(第十六期!$AC$9&gt;0,第十六期!$K$9*比赛参数!$D$30*比赛参数!$F$30*$CU$87/第十六期!$AC$9,0)</f>
        <v>0</v>
      </c>
      <c r="CT93" s="65">
        <f>IF(第十六期!$AC$9&gt;0,第十六期!$K$9*比赛参数!$D$30*比赛参数!$F$30*$CU$87/第十六期!$AC$9,0)</f>
        <v>0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0</v>
      </c>
      <c r="AL94" s="304">
        <f t="shared" si="55"/>
        <v>0</v>
      </c>
      <c r="AM94" s="304">
        <f t="shared" si="55"/>
        <v>0</v>
      </c>
      <c r="AN94" s="304">
        <f t="shared" si="55"/>
        <v>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IF(第十六期!$AC$10&gt;0,第十六期!$K$9*比赛参数!$D$30*比赛参数!$F$30*$CU$88/第十六期!$AC$10,0)</f>
        <v>0</v>
      </c>
      <c r="CR94" s="65">
        <f>IF(第十六期!$AC$10&gt;0,第十六期!$K$9*比赛参数!$D$30*比赛参数!$F$30*$CU$88/第十六期!$AC$10,0)</f>
        <v>0</v>
      </c>
      <c r="CS94" s="65">
        <f>IF(第十六期!$AC$10&gt;0,第十六期!$K$9*比赛参数!$D$30*比赛参数!$F$30*$CU$88/第十六期!$AC$10,0)</f>
        <v>0</v>
      </c>
      <c r="CT94" s="65">
        <f>IF(第十六期!$AC$10&gt;0,第十六期!$K$9*比赛参数!$D$30*比赛参数!$F$30*$CU$88/第十六期!$AC$10,0)</f>
        <v>0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0</v>
      </c>
      <c r="AL95" s="304">
        <f t="shared" si="55"/>
        <v>0</v>
      </c>
      <c r="AM95" s="304">
        <f t="shared" si="55"/>
        <v>0</v>
      </c>
      <c r="AN95" s="304">
        <f t="shared" si="55"/>
        <v>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IF(第十六期!$AC$11&gt;0,第十六期!$K$9*比赛参数!$D$30*比赛参数!$F$30*$CU$89/第十六期!$AC$11,0)</f>
        <v>0</v>
      </c>
      <c r="CR95" s="65">
        <f>IF(第十六期!$AC$11&gt;0,第十六期!$K$9*比赛参数!$D$30*比赛参数!$F$30*$CU$89/第十六期!$AC$11,0)</f>
        <v>0</v>
      </c>
      <c r="CS95" s="65">
        <f>IF(第十六期!$AC$11&gt;0,第十六期!$K$9*比赛参数!$D$30*比赛参数!$F$30*$CU$89/第十六期!$AC$11,0)</f>
        <v>0</v>
      </c>
      <c r="CT95" s="65">
        <f>IF(第十六期!$AC$11&gt;0,第十六期!$K$9*比赛参数!$D$30*比赛参数!$F$30*$CU$89/第十六期!$AC$11,0)</f>
        <v>0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>
        <f>第十六期!CX62</f>
        <v>0</v>
      </c>
      <c r="Z96" s="94">
        <f>第十六期!CX63</f>
        <v>0</v>
      </c>
      <c r="AA96" s="94">
        <f>第十六期!CX64</f>
        <v>0</v>
      </c>
      <c r="AB96" s="94">
        <f>第十六期!CX65</f>
        <v>0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IF(第十六期!$AC$12&gt;0,第十六期!$K$9*比赛参数!$D$30*比赛参数!$F$30*$CU$90/第十六期!$AC$12,0)</f>
        <v>0</v>
      </c>
      <c r="CR96" s="65">
        <f>IF(第十六期!$AC$12&gt;0,第十六期!$K$9*比赛参数!$D$30*比赛参数!$F$30*$CU$90/第十六期!$AC$12,0)</f>
        <v>0</v>
      </c>
      <c r="CS96" s="65">
        <f>IF(第十六期!$AC$12&gt;0,第十六期!$K$9*比赛参数!$D$30*比赛参数!$F$30*$CU$90/第十六期!$AC$12,0)</f>
        <v>0</v>
      </c>
      <c r="CT96" s="65">
        <f>IF(第十六期!$AC$12&gt;0,第十六期!$K$9*比赛参数!$D$30*比赛参数!$F$30*$CU$90/第十六期!$AC$12,0)</f>
        <v>0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>
        <f>第十六期!CY62</f>
        <v>0</v>
      </c>
      <c r="Z97" s="94">
        <f>第十六期!CY63</f>
        <v>0</v>
      </c>
      <c r="AA97" s="94">
        <f>第十六期!CY64</f>
        <v>0</v>
      </c>
      <c r="AB97" s="94">
        <f>第十六期!CY65</f>
        <v>0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>
        <f>第十六期!CZ62</f>
        <v>0</v>
      </c>
      <c r="Z98" s="94">
        <f>第十六期!CZ63</f>
        <v>0</v>
      </c>
      <c r="AA98" s="94">
        <f>第十六期!CZ64</f>
        <v>0</v>
      </c>
      <c r="AB98" s="94">
        <f>第十六期!CZ65</f>
        <v>0</v>
      </c>
      <c r="AC98" s="126" t="s">
        <v>367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0</v>
      </c>
      <c r="AL98" s="304">
        <f t="shared" si="56"/>
        <v>0</v>
      </c>
      <c r="AM98" s="304">
        <f t="shared" si="56"/>
        <v>0</v>
      </c>
      <c r="AN98" s="304">
        <f t="shared" si="56"/>
        <v>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>
        <f>第十六期!DA62</f>
        <v>0</v>
      </c>
      <c r="Z99" s="94">
        <f>第十六期!DA63</f>
        <v>0</v>
      </c>
      <c r="AA99" s="94">
        <f>第十六期!DA64</f>
        <v>0</v>
      </c>
      <c r="AB99" s="94">
        <f>第十六期!DA65</f>
        <v>0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0</v>
      </c>
      <c r="AL99" s="304">
        <f t="shared" si="56"/>
        <v>0</v>
      </c>
      <c r="AM99" s="304">
        <f t="shared" si="56"/>
        <v>0</v>
      </c>
      <c r="AN99" s="304">
        <f t="shared" si="56"/>
        <v>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0</v>
      </c>
      <c r="AL100" s="304">
        <f t="shared" si="56"/>
        <v>0</v>
      </c>
      <c r="AM100" s="304">
        <f t="shared" si="56"/>
        <v>0</v>
      </c>
      <c r="AN100" s="304">
        <f t="shared" si="56"/>
        <v>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0</v>
      </c>
      <c r="AL101" s="304">
        <f t="shared" si="56"/>
        <v>0</v>
      </c>
      <c r="AM101" s="304">
        <f t="shared" si="56"/>
        <v>0</v>
      </c>
      <c r="AN101" s="304">
        <f t="shared" si="56"/>
        <v>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 t="e">
        <f t="shared" ref="Y102:AB105" si="58">(AF76-CJ19)/AF76</f>
        <v>#DIV/0!</v>
      </c>
      <c r="Z102" s="94" t="e">
        <f t="shared" si="58"/>
        <v>#DIV/0!</v>
      </c>
      <c r="AA102" s="94" t="e">
        <f t="shared" si="58"/>
        <v>#DIV/0!</v>
      </c>
      <c r="AB102" s="94" t="e">
        <f t="shared" si="58"/>
        <v>#DIV/0!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 t="e">
        <f t="shared" si="58"/>
        <v>#DIV/0!</v>
      </c>
      <c r="Z103" s="94" t="e">
        <f t="shared" si="58"/>
        <v>#DIV/0!</v>
      </c>
      <c r="AA103" s="94" t="e">
        <f t="shared" si="58"/>
        <v>#DIV/0!</v>
      </c>
      <c r="AB103" s="94" t="e">
        <f t="shared" si="58"/>
        <v>#DIV/0!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 t="e">
        <f t="shared" si="58"/>
        <v>#DIV/0!</v>
      </c>
      <c r="Z104" s="94" t="e">
        <f t="shared" si="58"/>
        <v>#DIV/0!</v>
      </c>
      <c r="AA104" s="94" t="e">
        <f t="shared" si="58"/>
        <v>#DIV/0!</v>
      </c>
      <c r="AB104" s="94" t="e">
        <f t="shared" si="58"/>
        <v>#DIV/0!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0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 t="e">
        <f t="shared" si="58"/>
        <v>#DIV/0!</v>
      </c>
      <c r="Z105" s="94" t="e">
        <f t="shared" si="58"/>
        <v>#DIV/0!</v>
      </c>
      <c r="AA105" s="94" t="e">
        <f t="shared" si="58"/>
        <v>#DIV/0!</v>
      </c>
      <c r="AB105" s="94" t="e">
        <f t="shared" si="58"/>
        <v>#DIV/0!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0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0</v>
      </c>
      <c r="AA108" s="65">
        <f>IF(AA88*$AA$113-INT(AA88*$AA$113)&lt;0.5,INT(AA88*$AA$113),INT(AA88*$AA$113)+1)</f>
        <v>0</v>
      </c>
      <c r="AB108" s="65">
        <f>IF(AB88*$AB$113-INT(AB88*$AB$113)&lt;0.5,INT(AB88*$AB$113),INT(AB88*$AB$113)+1)</f>
        <v>0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0</v>
      </c>
      <c r="Z109" s="65">
        <f>IF(Z89*$Z$113-INT(Z89*$Z$113)&lt;0.5,INT(Z89*$Z$113),INT(Z89*$Z$113)+1)</f>
        <v>0</v>
      </c>
      <c r="AA109" s="65">
        <f>IF(AA89*$AA$113-INT(AA89*$AA$113)&lt;0.5,INT(AA89*$AA$113),INT(AA89*$AA$113)+1)</f>
        <v>0</v>
      </c>
      <c r="AB109" s="65">
        <f>IF(AB89*$AB$113-INT(AB89*$AB$113)&lt;0.5,INT(AB89*$AB$113),INT(AB89*$AB$113)+1)</f>
        <v>0</v>
      </c>
      <c r="AC109" s="48"/>
      <c r="AK109" s="42" t="s">
        <v>239</v>
      </c>
      <c r="AL109" s="145">
        <f>AA20</f>
        <v>0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0</v>
      </c>
      <c r="Z110" s="65">
        <f>IF(Z90*$Z$113-INT(Z90*$Z$113)&lt;0.5,INT(Z90*$Z$113),INT(Z90*$Z$113)+1)</f>
        <v>0</v>
      </c>
      <c r="AA110" s="65">
        <f>IF(AA90*$AA$113-INT(AA90*$AA$113)&lt;0.5,INT(AA90*$AA$113),INT(AA90*$AA$113)+1)</f>
        <v>0</v>
      </c>
      <c r="AB110" s="65">
        <f>IF(AB90*$AB$113-INT(AB90*$AB$113)&lt;0.5,INT(AB90*$AB$113),INT(AB90*$AB$113)+1)</f>
        <v>0</v>
      </c>
      <c r="AC110" s="48"/>
      <c r="AE110" s="42" t="s">
        <v>246</v>
      </c>
      <c r="AF110" s="65">
        <f>SUM(AF64:AF67)*比赛参数!D26/1300</f>
        <v>0</v>
      </c>
      <c r="AG110" s="65">
        <f>SUM(AG64:AG67)*比赛参数!E26/1300</f>
        <v>0</v>
      </c>
      <c r="AH110" s="65">
        <f>SUM(AH64:AH67)*比赛参数!F26/1300</f>
        <v>0</v>
      </c>
      <c r="AI110" s="65">
        <f>SUM(AI64:AI67)*比赛参数!G26/1300</f>
        <v>0</v>
      </c>
      <c r="AJ110" s="65">
        <f>SUM(AF110:AI110)</f>
        <v>0</v>
      </c>
      <c r="AK110" s="42" t="s">
        <v>246</v>
      </c>
      <c r="AL110" s="145">
        <f>SUM(AF110:AI110)</f>
        <v>0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0</v>
      </c>
      <c r="Z111" s="65">
        <f>IF(Z91*$Z$113-INT(Z91*$Z$113)&lt;0.5,INT(Z91*$Z$113),INT(Z91*$Z$113)+1)</f>
        <v>0</v>
      </c>
      <c r="AA111" s="65">
        <f>IF(AA91*$AA$113-INT(AA91*$AA$113)&lt;0.5,INT(AA91*$AA$113),INT(AA91*$AA$113)+1)</f>
        <v>0</v>
      </c>
      <c r="AB111" s="65">
        <f>IF(AB91*$AB$113-INT(AB91*$AB$113)&lt;0.5,INT(AB91*$AB$113),INT(AB91*$AB$113)+1)</f>
        <v>0</v>
      </c>
      <c r="AC111" s="48"/>
      <c r="AE111" s="148" t="s">
        <v>253</v>
      </c>
      <c r="AF111" s="65">
        <f>(SUM(AF64:AF67)-SUM(AF104:AF107))*比赛参数!D26/1300</f>
        <v>0</v>
      </c>
      <c r="AG111" s="65">
        <f>(SUM(AG64:AG67)-SUM(AG104:AG107))*比赛参数!E26/1300</f>
        <v>0</v>
      </c>
      <c r="AH111" s="65">
        <f>(SUM(AH64:AH67)-SUM(AH104:AH107))*比赛参数!F26/1300</f>
        <v>0</v>
      </c>
      <c r="AI111" s="65">
        <f>(SUM(AI64:AI67)-SUM(AI104:AI107))*比赛参数!G26/1300</f>
        <v>0</v>
      </c>
      <c r="AJ111" s="65">
        <f>SUM(AF111:AI111)</f>
        <v>0</v>
      </c>
      <c r="AK111" s="148" t="s">
        <v>253</v>
      </c>
      <c r="AL111" s="145">
        <f>AJ111</f>
        <v>0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 t="e">
        <f>AF111/AF110</f>
        <v>#DIV/0!</v>
      </c>
      <c r="AG112" s="142" t="e">
        <f>AG111/AG110</f>
        <v>#DIV/0!</v>
      </c>
      <c r="AH112" s="142" t="e">
        <f>AH111/AH110</f>
        <v>#DIV/0!</v>
      </c>
      <c r="AI112" s="142" t="e">
        <f>AI111/AI110</f>
        <v>#DIV/0!</v>
      </c>
      <c r="AJ112" s="142" t="e">
        <f>AJ111/AJ110</f>
        <v>#DIV/0!</v>
      </c>
      <c r="AK112" s="148" t="s">
        <v>261</v>
      </c>
      <c r="AL112" s="306" t="e">
        <f>AL111/AL110</f>
        <v>#DIV/0!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110</v>
      </c>
      <c r="Y113" s="295">
        <f>Y122</f>
        <v>0.335</v>
      </c>
      <c r="Z113" s="295">
        <f>Z122</f>
        <v>0.335</v>
      </c>
      <c r="AA113" s="295">
        <f>AA122</f>
        <v>0.335</v>
      </c>
      <c r="AB113" s="295">
        <f>AB122</f>
        <v>0.335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 t="e">
        <f>(AF76-CJ27-$AF$81-AK76)/(CJ27+$AF$81+AK76)</f>
        <v>#DIV/0!</v>
      </c>
      <c r="Z116" s="296" t="e">
        <f>(AG76-CK27-$AG$81-AK76)/(CK27+$AG$81+AK76)</f>
        <v>#DIV/0!</v>
      </c>
      <c r="AA116" s="296" t="e">
        <f>(AH76-CL27-$AH$81-AK76)/(CL27+$AH$81+AK76)</f>
        <v>#DIV/0!</v>
      </c>
      <c r="AB116" s="296" t="e">
        <f>(AI76-CM27-$AI$81-AK76)/(CM27+$AI$81+AK76)</f>
        <v>#DIV/0!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 t="e">
        <f>(AF77-CJ28-$AF$81-AK77)/(CJ28+$AF$81+AK77)</f>
        <v>#DIV/0!</v>
      </c>
      <c r="Z117" s="296" t="e">
        <f>(AG77-CK28-$AG$81-AK77)/(CK28+$AG$81+AK77)</f>
        <v>#DIV/0!</v>
      </c>
      <c r="AA117" s="296" t="e">
        <f>(AH77-CL28-$AH$81-AK77)/(CL28+$AH$81+AK77)</f>
        <v>#DIV/0!</v>
      </c>
      <c r="AB117" s="296" t="e">
        <f>(AI77-CM28-$AI$81-AK77)/(CM28+$AI$81+AK77)</f>
        <v>#DIV/0!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 t="e">
        <f>(AF78-CJ29-$AF$81-AK78)/(CJ29+$AF$81+AK78)</f>
        <v>#DIV/0!</v>
      </c>
      <c r="Z118" s="296" t="e">
        <f>(AG78-CK29-$AG$81-AK78)/(CK29+$AG$81+AK78)</f>
        <v>#DIV/0!</v>
      </c>
      <c r="AA118" s="296" t="e">
        <f>(AH78-CL29-$AH$81-AK78)/(CL29+$AH$81+AK78)</f>
        <v>#DIV/0!</v>
      </c>
      <c r="AB118" s="296" t="e">
        <f>(AI78-CM29-$AI$81-AK78)/(CM29+$AI$81+AK78)</f>
        <v>#DIV/0!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 t="e">
        <f>(AF79-CJ30-$AF$81-AK79)/(CJ30+$AF$81+AK79)</f>
        <v>#DIV/0!</v>
      </c>
      <c r="Z119" s="296" t="e">
        <f>(AG79-CK30-$AG$81-AK79)/(CK30+$AG$81+AK79)</f>
        <v>#DIV/0!</v>
      </c>
      <c r="AA119" s="296" t="e">
        <f>(AH79-CL30-$AH$81-AK79)/(CL30+$AH$81+AK79)</f>
        <v>#DIV/0!</v>
      </c>
      <c r="AB119" s="296" t="e">
        <f>(AI79-CM30-$AI$81-AK79)/(CM30+$AI$81+AK79)</f>
        <v>#DIV/0!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0.335</v>
      </c>
      <c r="Z122" s="299">
        <f>IF(1-(($AH$18-1)*Z125/10+0.95+(H43-0.95)*Z124)&gt;0,1-(($AH$18-1)*Z125/10+0.95+(H43-0.95)*Z124),0)</f>
        <v>0.335</v>
      </c>
      <c r="AA122" s="299">
        <f>1-(($AH$18-1)*AA125/10+0.95+(H44-0.95)*AA124)</f>
        <v>0.335</v>
      </c>
      <c r="AB122" s="299">
        <f>1-(($AH$18-1)*AB125/10+0.95+(H45-0.95)*AB124)</f>
        <v>0.335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113</v>
      </c>
      <c r="Y123" s="299">
        <f>1-Y122</f>
        <v>0.665</v>
      </c>
      <c r="Z123" s="299">
        <f>1-Z122</f>
        <v>0.665</v>
      </c>
      <c r="AA123" s="299">
        <f>1-AA122</f>
        <v>0.665</v>
      </c>
      <c r="AB123" s="299">
        <f>1-AB122</f>
        <v>0.665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0</v>
      </c>
      <c r="AC130" s="338">
        <f>AF65</f>
        <v>0</v>
      </c>
      <c r="AD130" s="338">
        <f>AF66</f>
        <v>0</v>
      </c>
      <c r="AE130" s="338">
        <f>AF67</f>
        <v>0</v>
      </c>
      <c r="AH130" s="101"/>
      <c r="AI130" s="101"/>
      <c r="AJ130" s="101"/>
      <c r="AK130" s="101"/>
      <c r="AL130" s="338">
        <f>AG64</f>
        <v>0</v>
      </c>
      <c r="AM130" s="338">
        <f>AG65</f>
        <v>0</v>
      </c>
      <c r="AN130" s="338">
        <f>AG66</f>
        <v>0</v>
      </c>
      <c r="AO130" s="338">
        <f>AG67</f>
        <v>0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403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0</v>
      </c>
      <c r="Y141" s="335">
        <f t="shared" si="70"/>
        <v>0</v>
      </c>
      <c r="Z141" s="335">
        <f t="shared" si="70"/>
        <v>0</v>
      </c>
      <c r="AA141" s="335">
        <f t="shared" si="70"/>
        <v>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0</v>
      </c>
      <c r="AI141" s="340">
        <f t="shared" si="72"/>
        <v>0</v>
      </c>
      <c r="AJ141" s="340">
        <f t="shared" si="72"/>
        <v>0</v>
      </c>
      <c r="AK141" s="340">
        <f t="shared" si="72"/>
        <v>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0</v>
      </c>
      <c r="AC153" s="338">
        <f>AH65</f>
        <v>0</v>
      </c>
      <c r="AD153" s="338">
        <f>AH66</f>
        <v>0</v>
      </c>
      <c r="AE153" s="338">
        <f>AH67</f>
        <v>0</v>
      </c>
      <c r="AH153" s="101"/>
      <c r="AI153" s="101"/>
      <c r="AJ153" s="101"/>
      <c r="AK153" s="101"/>
      <c r="AL153" s="338">
        <f>AI64</f>
        <v>0</v>
      </c>
      <c r="AM153" s="338">
        <f>AI65</f>
        <v>0</v>
      </c>
      <c r="AN153" s="338">
        <f>AI66</f>
        <v>0</v>
      </c>
      <c r="AO153" s="338">
        <f>AI67</f>
        <v>0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0</v>
      </c>
      <c r="Y164" s="335">
        <f t="shared" si="81"/>
        <v>0</v>
      </c>
      <c r="Z164" s="335">
        <f t="shared" si="81"/>
        <v>0</v>
      </c>
      <c r="AA164" s="335">
        <f t="shared" si="81"/>
        <v>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0</v>
      </c>
      <c r="AI164" s="340">
        <f t="shared" si="83"/>
        <v>0</v>
      </c>
      <c r="AJ164" s="340">
        <f t="shared" si="83"/>
        <v>0</v>
      </c>
      <c r="AK164" s="340">
        <f t="shared" si="83"/>
        <v>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406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407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>
        <f>SUM(AB154:AB173)/比赛参数!$G$4</f>
        <v>0</v>
      </c>
      <c r="AH233" s="113">
        <f>SUM(AC154:AC173)/比赛参数!$G$4</f>
        <v>0</v>
      </c>
      <c r="AI233" s="113">
        <f>SUM(AD154:AD173)/比赛参数!$G$4</f>
        <v>0</v>
      </c>
      <c r="AJ233" s="113">
        <f>SUM(AE154:AE173)/比赛参数!$G$4</f>
        <v>0</v>
      </c>
      <c r="AK233" s="113">
        <f>SUM(AL154:AL173)/比赛参数!$G$4</f>
        <v>0</v>
      </c>
      <c r="AL233" s="113">
        <f>SUM(AM154:AM173)/比赛参数!$G$4</f>
        <v>0</v>
      </c>
      <c r="AM233" s="113">
        <f>SUM(AN154:AN173)/比赛参数!$G$4</f>
        <v>0</v>
      </c>
      <c r="AN233" s="113">
        <f>SUM(AO154:AO173)/比赛参数!$G$4</f>
        <v>0</v>
      </c>
    </row>
    <row r="234" customHeight="1" spans="24:40">
      <c r="X234" s="11" t="s">
        <v>408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0</v>
      </c>
      <c r="Z235" s="113">
        <f t="shared" si="94"/>
        <v>0</v>
      </c>
      <c r="AA235" s="113">
        <f t="shared" si="94"/>
        <v>0</v>
      </c>
      <c r="AB235" s="113">
        <f t="shared" si="94"/>
        <v>0</v>
      </c>
      <c r="AC235" s="113">
        <f t="shared" si="94"/>
        <v>0</v>
      </c>
      <c r="AD235" s="113">
        <f t="shared" si="94"/>
        <v>0</v>
      </c>
      <c r="AE235" s="113">
        <f t="shared" si="94"/>
        <v>0</v>
      </c>
      <c r="AF235" s="113">
        <f t="shared" si="94"/>
        <v>0</v>
      </c>
      <c r="AG235" s="113">
        <f t="shared" si="94"/>
        <v>0</v>
      </c>
      <c r="AH235" s="113">
        <f t="shared" si="94"/>
        <v>0</v>
      </c>
      <c r="AI235" s="113">
        <f t="shared" si="94"/>
        <v>0</v>
      </c>
      <c r="AJ235" s="113">
        <f t="shared" si="94"/>
        <v>0</v>
      </c>
      <c r="AK235" s="113">
        <f t="shared" si="94"/>
        <v>0</v>
      </c>
      <c r="AL235" s="113">
        <f t="shared" si="94"/>
        <v>0</v>
      </c>
      <c r="AM235" s="113">
        <f t="shared" si="94"/>
        <v>0</v>
      </c>
      <c r="AN235" s="113">
        <f t="shared" si="94"/>
        <v>0</v>
      </c>
    </row>
    <row r="236" customHeight="1" spans="24:40">
      <c r="X236" s="2" t="s">
        <v>410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(第十六期!#REF!-$BE$54)&lt;0</formula>
    </cfRule>
  </conditionalFormatting>
  <conditionalFormatting sqref="BF132:BF133">
    <cfRule type="expression" dxfId="6" priority="26" stopIfTrue="1">
      <formula>(第十六期!#REF!-$BF$54)&lt;0</formula>
    </cfRule>
  </conditionalFormatting>
  <conditionalFormatting sqref="BG132:BG133">
    <cfRule type="expression" dxfId="6" priority="25" stopIfTrue="1">
      <formula>(第十六期!#REF!-$BG$54)&lt;0</formula>
    </cfRule>
  </conditionalFormatting>
  <conditionalFormatting sqref="BH132:BH133">
    <cfRule type="expression" dxfId="6" priority="24" stopIfTrue="1">
      <formula>(第十六期!#REF!-$BH$54)&lt;0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63"/>
  </sheetPr>
  <dimension ref="B1:L82"/>
  <sheetViews>
    <sheetView zoomScale="85" zoomScaleNormal="85" topLeftCell="C67" workbookViewId="0">
      <selection activeCell="F79" sqref="F79"/>
    </sheetView>
  </sheetViews>
  <sheetFormatPr defaultColWidth="9" defaultRowHeight="15.6"/>
  <cols>
    <col min="1" max="1" width="2.5" style="362" customWidth="1"/>
    <col min="2" max="2" width="1" style="362" customWidth="1"/>
    <col min="3" max="3" width="20.1" style="362" customWidth="1"/>
    <col min="4" max="7" width="12.1" style="362"/>
    <col min="8" max="8" width="14.5" style="362"/>
    <col min="9" max="9" width="11.7" style="362" customWidth="1"/>
    <col min="10" max="11" width="12" style="362" customWidth="1"/>
    <col min="12" max="12" width="1" style="362" customWidth="1"/>
    <col min="13" max="13" width="9.6" style="362"/>
    <col min="14" max="16384" width="9" style="362"/>
  </cols>
  <sheetData>
    <row r="1" s="362" customFormat="1" ht="11.25" customHeight="1"/>
    <row r="2" ht="18.75" customHeight="1" spans="2:12">
      <c r="B2" s="363" t="s">
        <v>50</v>
      </c>
      <c r="C2" s="364"/>
      <c r="D2" s="364"/>
      <c r="E2" s="364"/>
      <c r="F2" s="364"/>
      <c r="G2" s="364"/>
      <c r="H2" s="364"/>
      <c r="I2" s="364"/>
      <c r="J2" s="364"/>
      <c r="K2" s="364"/>
      <c r="L2" s="383"/>
    </row>
    <row r="3" ht="6" customHeight="1" spans="2:12">
      <c r="B3" s="365"/>
      <c r="C3" s="366"/>
      <c r="D3" s="366"/>
      <c r="E3" s="366"/>
      <c r="F3" s="366"/>
      <c r="G3" s="366"/>
      <c r="H3" s="269"/>
      <c r="I3" s="269"/>
      <c r="J3" s="269"/>
      <c r="K3" s="269"/>
      <c r="L3" s="384"/>
    </row>
    <row r="4" spans="2:12">
      <c r="B4" s="365"/>
      <c r="C4" s="196" t="s">
        <v>51</v>
      </c>
      <c r="D4" s="367">
        <v>11</v>
      </c>
      <c r="F4" s="196" t="s">
        <v>52</v>
      </c>
      <c r="G4" s="367">
        <v>19</v>
      </c>
      <c r="H4" s="269"/>
      <c r="I4" s="269"/>
      <c r="J4" s="269"/>
      <c r="K4" s="269"/>
      <c r="L4" s="384"/>
    </row>
    <row r="5" ht="6" customHeight="1" spans="2:12">
      <c r="B5" s="365"/>
      <c r="E5" s="269"/>
      <c r="F5" s="269"/>
      <c r="G5" s="269"/>
      <c r="H5" s="269"/>
      <c r="I5" s="269"/>
      <c r="J5" s="269"/>
      <c r="K5" s="269"/>
      <c r="L5" s="384"/>
    </row>
    <row r="6" spans="2:12">
      <c r="B6" s="365"/>
      <c r="C6" s="196" t="s">
        <v>53</v>
      </c>
      <c r="D6" s="368">
        <v>0.75</v>
      </c>
      <c r="E6" s="269"/>
      <c r="F6" s="269"/>
      <c r="G6" s="269"/>
      <c r="H6" s="269"/>
      <c r="I6" s="269"/>
      <c r="J6" s="269"/>
      <c r="K6" s="269"/>
      <c r="L6" s="384"/>
    </row>
    <row r="7" ht="6" customHeight="1" spans="2:12">
      <c r="B7" s="365"/>
      <c r="C7" s="269"/>
      <c r="D7" s="269"/>
      <c r="E7" s="269"/>
      <c r="F7" s="269"/>
      <c r="G7" s="269"/>
      <c r="H7" s="269"/>
      <c r="I7" s="269"/>
      <c r="J7" s="269"/>
      <c r="K7" s="269"/>
      <c r="L7" s="384"/>
    </row>
    <row r="8" spans="2:12">
      <c r="B8" s="365"/>
      <c r="C8" s="196" t="s">
        <v>54</v>
      </c>
      <c r="D8" s="369" t="s">
        <v>55</v>
      </c>
      <c r="E8" s="250" t="s">
        <v>56</v>
      </c>
      <c r="F8" s="250" t="s">
        <v>57</v>
      </c>
      <c r="G8" s="250" t="s">
        <v>58</v>
      </c>
      <c r="H8" s="369" t="s">
        <v>55</v>
      </c>
      <c r="I8" s="250" t="s">
        <v>56</v>
      </c>
      <c r="J8" s="250" t="s">
        <v>57</v>
      </c>
      <c r="K8" s="250" t="s">
        <v>58</v>
      </c>
      <c r="L8" s="384"/>
    </row>
    <row r="9" spans="2:12">
      <c r="B9" s="365"/>
      <c r="C9" s="250" t="s">
        <v>59</v>
      </c>
      <c r="D9" s="370">
        <v>2011</v>
      </c>
      <c r="E9" s="371">
        <v>1289</v>
      </c>
      <c r="F9" s="371">
        <v>4100</v>
      </c>
      <c r="G9" s="371">
        <v>5000</v>
      </c>
      <c r="H9" s="370">
        <v>9544</v>
      </c>
      <c r="I9" s="371">
        <v>7156</v>
      </c>
      <c r="J9" s="371">
        <v>12000</v>
      </c>
      <c r="K9" s="371">
        <v>13000</v>
      </c>
      <c r="L9" s="384"/>
    </row>
    <row r="10" spans="2:12">
      <c r="B10" s="365"/>
      <c r="C10" s="250" t="s">
        <v>60</v>
      </c>
      <c r="D10" s="370">
        <v>13222</v>
      </c>
      <c r="E10" s="371">
        <v>11278</v>
      </c>
      <c r="F10" s="371">
        <v>16000</v>
      </c>
      <c r="G10" s="371">
        <v>17000</v>
      </c>
      <c r="H10" s="370">
        <v>15500</v>
      </c>
      <c r="I10" s="371">
        <v>13000</v>
      </c>
      <c r="J10" s="371">
        <v>18000</v>
      </c>
      <c r="K10" s="371">
        <v>19500</v>
      </c>
      <c r="L10" s="384"/>
    </row>
    <row r="11" ht="6" customHeight="1" spans="2:12">
      <c r="B11" s="365"/>
      <c r="C11" s="269"/>
      <c r="D11" s="269"/>
      <c r="E11" s="269"/>
      <c r="F11" s="269"/>
      <c r="G11" s="269"/>
      <c r="H11" s="269"/>
      <c r="I11" s="269"/>
      <c r="J11" s="269"/>
      <c r="K11" s="269"/>
      <c r="L11" s="384"/>
    </row>
    <row r="12" spans="2:12">
      <c r="B12" s="365"/>
      <c r="C12" s="196" t="s">
        <v>61</v>
      </c>
      <c r="D12" s="369" t="s">
        <v>55</v>
      </c>
      <c r="E12" s="250" t="s">
        <v>56</v>
      </c>
      <c r="F12" s="250" t="s">
        <v>57</v>
      </c>
      <c r="G12" s="250" t="s">
        <v>58</v>
      </c>
      <c r="H12" s="369" t="s">
        <v>55</v>
      </c>
      <c r="I12" s="250" t="s">
        <v>56</v>
      </c>
      <c r="J12" s="250" t="s">
        <v>57</v>
      </c>
      <c r="K12" s="250" t="s">
        <v>58</v>
      </c>
      <c r="L12" s="384"/>
    </row>
    <row r="13" spans="2:12">
      <c r="B13" s="365"/>
      <c r="C13" s="250" t="s">
        <v>59</v>
      </c>
      <c r="D13" s="372">
        <v>83</v>
      </c>
      <c r="E13" s="373">
        <v>42</v>
      </c>
      <c r="F13" s="373">
        <v>200</v>
      </c>
      <c r="G13" s="373">
        <v>250</v>
      </c>
      <c r="H13" s="372">
        <v>467</v>
      </c>
      <c r="I13" s="373">
        <v>383</v>
      </c>
      <c r="J13" s="373">
        <v>600</v>
      </c>
      <c r="K13" s="373">
        <v>650</v>
      </c>
      <c r="L13" s="384"/>
    </row>
    <row r="14" spans="2:12">
      <c r="B14" s="365"/>
      <c r="C14" s="250" t="s">
        <v>60</v>
      </c>
      <c r="D14" s="372">
        <v>656</v>
      </c>
      <c r="E14" s="373">
        <v>544</v>
      </c>
      <c r="F14" s="373">
        <v>800</v>
      </c>
      <c r="G14" s="373">
        <v>850</v>
      </c>
      <c r="H14" s="372">
        <v>794</v>
      </c>
      <c r="I14" s="373">
        <v>656</v>
      </c>
      <c r="J14" s="371">
        <v>1000</v>
      </c>
      <c r="K14" s="371">
        <v>1050</v>
      </c>
      <c r="L14" s="384"/>
    </row>
    <row r="15" ht="6" customHeight="1" spans="2:12">
      <c r="B15" s="365"/>
      <c r="C15" s="269"/>
      <c r="D15" s="269"/>
      <c r="E15" s="269"/>
      <c r="F15" s="269"/>
      <c r="G15" s="269"/>
      <c r="H15" s="269"/>
      <c r="I15" s="269"/>
      <c r="J15" s="269"/>
      <c r="K15" s="269"/>
      <c r="L15" s="384"/>
    </row>
    <row r="16" spans="2:12">
      <c r="B16" s="365"/>
      <c r="C16" s="196" t="s">
        <v>62</v>
      </c>
      <c r="D16" s="372">
        <v>0.03</v>
      </c>
      <c r="E16" s="269"/>
      <c r="F16" s="269"/>
      <c r="G16" s="269"/>
      <c r="H16" s="269"/>
      <c r="I16" s="269"/>
      <c r="J16" s="269"/>
      <c r="K16" s="269"/>
      <c r="L16" s="384"/>
    </row>
    <row r="17" ht="6" customHeight="1" spans="2:12">
      <c r="B17" s="365"/>
      <c r="C17" s="269"/>
      <c r="D17" s="269"/>
      <c r="E17" s="269"/>
      <c r="F17" s="269"/>
      <c r="G17" s="269"/>
      <c r="H17" s="269"/>
      <c r="I17" s="269"/>
      <c r="J17" s="269"/>
      <c r="K17" s="269"/>
      <c r="L17" s="384"/>
    </row>
    <row r="18" spans="2:12">
      <c r="B18" s="365"/>
      <c r="C18" s="196" t="s">
        <v>63</v>
      </c>
      <c r="D18" s="269"/>
      <c r="E18" s="269"/>
      <c r="F18" s="269"/>
      <c r="G18" s="269"/>
      <c r="H18" s="269"/>
      <c r="I18" s="269"/>
      <c r="J18" s="269"/>
      <c r="K18" s="269"/>
      <c r="L18" s="384"/>
    </row>
    <row r="19" spans="2:12">
      <c r="B19" s="365"/>
      <c r="C19" s="250" t="s">
        <v>21</v>
      </c>
      <c r="D19" s="372">
        <v>40</v>
      </c>
      <c r="E19" s="269"/>
      <c r="F19" s="269"/>
      <c r="G19" s="269"/>
      <c r="H19" s="269"/>
      <c r="I19" s="269"/>
      <c r="J19" s="269"/>
      <c r="K19" s="269"/>
      <c r="L19" s="384"/>
    </row>
    <row r="20" spans="2:12">
      <c r="B20" s="365"/>
      <c r="C20" s="250" t="s">
        <v>22</v>
      </c>
      <c r="D20" s="372">
        <v>60</v>
      </c>
      <c r="E20" s="269"/>
      <c r="F20" s="269"/>
      <c r="G20" s="269"/>
      <c r="H20" s="269"/>
      <c r="I20" s="269"/>
      <c r="J20" s="269"/>
      <c r="K20" s="269"/>
      <c r="L20" s="384"/>
    </row>
    <row r="21" spans="2:12">
      <c r="B21" s="365"/>
      <c r="C21" s="250" t="s">
        <v>23</v>
      </c>
      <c r="D21" s="372">
        <v>120</v>
      </c>
      <c r="E21" s="269"/>
      <c r="F21" s="269"/>
      <c r="G21" s="269"/>
      <c r="H21" s="269"/>
      <c r="I21" s="269"/>
      <c r="J21" s="269"/>
      <c r="K21" s="269"/>
      <c r="L21" s="384"/>
    </row>
    <row r="22" spans="2:12">
      <c r="B22" s="365"/>
      <c r="C22" s="250" t="s">
        <v>24</v>
      </c>
      <c r="D22" s="372">
        <v>140</v>
      </c>
      <c r="E22" s="269"/>
      <c r="F22" s="269"/>
      <c r="G22" s="269"/>
      <c r="H22" s="269"/>
      <c r="I22" s="269"/>
      <c r="J22" s="269"/>
      <c r="K22" s="269"/>
      <c r="L22" s="384"/>
    </row>
    <row r="23" ht="6" customHeight="1" spans="2:12">
      <c r="B23" s="365"/>
      <c r="C23" s="269"/>
      <c r="D23" s="269"/>
      <c r="E23" s="269"/>
      <c r="F23" s="269"/>
      <c r="G23" s="269"/>
      <c r="H23" s="269"/>
      <c r="I23" s="269"/>
      <c r="J23" s="269"/>
      <c r="K23" s="269"/>
      <c r="L23" s="384"/>
    </row>
    <row r="24" ht="6" customHeight="1" spans="2:12">
      <c r="B24" s="365"/>
      <c r="C24" s="269"/>
      <c r="D24" s="269"/>
      <c r="E24" s="269"/>
      <c r="F24" s="269"/>
      <c r="G24" s="269"/>
      <c r="H24" s="269"/>
      <c r="I24" s="269"/>
      <c r="J24" s="269"/>
      <c r="K24" s="269"/>
      <c r="L24" s="384"/>
    </row>
    <row r="25" spans="2:12">
      <c r="B25" s="365"/>
      <c r="C25" s="196" t="s">
        <v>64</v>
      </c>
      <c r="D25" s="369" t="s">
        <v>21</v>
      </c>
      <c r="E25" s="250" t="s">
        <v>22</v>
      </c>
      <c r="F25" s="250" t="s">
        <v>23</v>
      </c>
      <c r="G25" s="250" t="s">
        <v>24</v>
      </c>
      <c r="H25" s="269"/>
      <c r="I25" s="269"/>
      <c r="J25" s="269"/>
      <c r="K25" s="269"/>
      <c r="L25" s="384"/>
    </row>
    <row r="26" spans="2:12">
      <c r="B26" s="365"/>
      <c r="C26" s="250" t="s">
        <v>65</v>
      </c>
      <c r="D26" s="372">
        <v>100</v>
      </c>
      <c r="E26" s="373">
        <v>250</v>
      </c>
      <c r="F26" s="373">
        <v>380</v>
      </c>
      <c r="G26" s="373">
        <v>520</v>
      </c>
      <c r="H26" s="269"/>
      <c r="I26" s="269"/>
      <c r="J26" s="269"/>
      <c r="K26" s="269"/>
      <c r="L26" s="384"/>
    </row>
    <row r="27" spans="2:12">
      <c r="B27" s="365"/>
      <c r="C27" s="250" t="s">
        <v>66</v>
      </c>
      <c r="D27" s="372">
        <v>120</v>
      </c>
      <c r="E27" s="373">
        <v>150</v>
      </c>
      <c r="F27" s="373">
        <v>160</v>
      </c>
      <c r="G27" s="373">
        <v>180</v>
      </c>
      <c r="H27" s="269"/>
      <c r="I27" s="269"/>
      <c r="J27" s="269"/>
      <c r="K27" s="269"/>
      <c r="L27" s="384"/>
    </row>
    <row r="28" spans="2:12">
      <c r="B28" s="365"/>
      <c r="C28" s="250" t="s">
        <v>67</v>
      </c>
      <c r="D28" s="372">
        <v>300</v>
      </c>
      <c r="E28" s="373">
        <v>1200</v>
      </c>
      <c r="F28" s="373">
        <v>2200</v>
      </c>
      <c r="G28" s="373">
        <v>3200</v>
      </c>
      <c r="H28" s="269"/>
      <c r="I28" s="269"/>
      <c r="J28" s="269"/>
      <c r="K28" s="269"/>
      <c r="L28" s="384"/>
    </row>
    <row r="29" ht="6" customHeight="1" spans="2:12">
      <c r="B29" s="365"/>
      <c r="C29" s="269"/>
      <c r="D29" s="269"/>
      <c r="E29" s="269"/>
      <c r="F29" s="269"/>
      <c r="G29" s="269"/>
      <c r="H29" s="269"/>
      <c r="I29" s="269"/>
      <c r="J29" s="269"/>
      <c r="K29" s="269"/>
      <c r="L29" s="384"/>
    </row>
    <row r="30" spans="2:12">
      <c r="B30" s="365"/>
      <c r="C30" s="196" t="s">
        <v>68</v>
      </c>
      <c r="D30" s="374">
        <v>80000</v>
      </c>
      <c r="E30" s="196" t="s">
        <v>69</v>
      </c>
      <c r="F30" s="368">
        <v>0.05</v>
      </c>
      <c r="G30" s="269"/>
      <c r="H30" s="269"/>
      <c r="I30" s="269"/>
      <c r="J30" s="269"/>
      <c r="K30" s="269"/>
      <c r="L30" s="384"/>
    </row>
    <row r="31" ht="6" customHeight="1" spans="2:12">
      <c r="B31" s="365"/>
      <c r="C31" s="269"/>
      <c r="D31" s="269"/>
      <c r="E31" s="269"/>
      <c r="F31" s="269"/>
      <c r="G31" s="269"/>
      <c r="H31" s="269"/>
      <c r="I31" s="269"/>
      <c r="J31" s="269"/>
      <c r="K31" s="269"/>
      <c r="L31" s="384"/>
    </row>
    <row r="32" spans="2:12">
      <c r="B32" s="365"/>
      <c r="C32" s="196" t="s">
        <v>70</v>
      </c>
      <c r="D32" s="250" t="s">
        <v>71</v>
      </c>
      <c r="E32" s="250" t="s">
        <v>72</v>
      </c>
      <c r="F32" s="269"/>
      <c r="G32" s="269"/>
      <c r="H32" s="269"/>
      <c r="I32" s="269"/>
      <c r="J32" s="269"/>
      <c r="K32" s="269"/>
      <c r="L32" s="384"/>
    </row>
    <row r="33" spans="2:12">
      <c r="B33" s="365"/>
      <c r="C33" s="269"/>
      <c r="D33" s="373">
        <v>9.99999999999999e+22</v>
      </c>
      <c r="E33" s="373">
        <v>0.9</v>
      </c>
      <c r="H33" s="269"/>
      <c r="I33" s="269"/>
      <c r="K33" s="269">
        <f>D37*(1-E37)</f>
        <v>0</v>
      </c>
      <c r="L33" s="384"/>
    </row>
    <row r="34" spans="2:12">
      <c r="B34" s="365"/>
      <c r="C34" s="269"/>
      <c r="D34" s="373">
        <v>2000000</v>
      </c>
      <c r="E34" s="373">
        <v>0.92</v>
      </c>
      <c r="H34" s="269"/>
      <c r="I34" s="269"/>
      <c r="K34" s="269">
        <f>D36*(1-E36)</f>
        <v>30000</v>
      </c>
      <c r="L34" s="384"/>
    </row>
    <row r="35" spans="2:12">
      <c r="B35" s="365"/>
      <c r="C35" s="269"/>
      <c r="D35" s="373">
        <v>1500000</v>
      </c>
      <c r="E35" s="373">
        <v>0.95</v>
      </c>
      <c r="H35" s="269"/>
      <c r="I35" s="269"/>
      <c r="K35" s="269">
        <f>D35*(1-E35)</f>
        <v>75000.0000000001</v>
      </c>
      <c r="L35" s="384"/>
    </row>
    <row r="36" spans="2:12">
      <c r="B36" s="365"/>
      <c r="C36" s="269"/>
      <c r="D36" s="373">
        <v>1000000</v>
      </c>
      <c r="E36" s="373">
        <v>0.97</v>
      </c>
      <c r="H36" s="269"/>
      <c r="I36" s="269"/>
      <c r="K36" s="269">
        <f>D34*(1-E34)</f>
        <v>160000</v>
      </c>
      <c r="L36" s="384"/>
    </row>
    <row r="37" spans="2:12">
      <c r="B37" s="365"/>
      <c r="C37" s="269"/>
      <c r="D37" s="373">
        <v>0</v>
      </c>
      <c r="E37" s="373">
        <v>1</v>
      </c>
      <c r="H37" s="269"/>
      <c r="I37" s="269"/>
      <c r="K37" s="269"/>
      <c r="L37" s="384"/>
    </row>
    <row r="38" ht="6" customHeight="1" spans="2:12">
      <c r="B38" s="365"/>
      <c r="C38" s="269"/>
      <c r="D38" s="269"/>
      <c r="E38" s="269"/>
      <c r="F38" s="269"/>
      <c r="G38" s="269"/>
      <c r="H38" s="269"/>
      <c r="I38" s="269"/>
      <c r="J38" s="269"/>
      <c r="K38" s="269"/>
      <c r="L38" s="384"/>
    </row>
    <row r="39" spans="2:12">
      <c r="B39" s="365"/>
      <c r="C39" s="196" t="s">
        <v>73</v>
      </c>
      <c r="D39" s="250" t="s">
        <v>74</v>
      </c>
      <c r="E39" s="375">
        <v>10000</v>
      </c>
      <c r="F39" s="269"/>
      <c r="G39" s="269"/>
      <c r="H39" s="269"/>
      <c r="I39" s="269"/>
      <c r="J39" s="269"/>
      <c r="K39" s="269"/>
      <c r="L39" s="384"/>
    </row>
    <row r="40" spans="2:12">
      <c r="B40" s="365"/>
      <c r="C40" s="269"/>
      <c r="D40" s="254" t="s">
        <v>75</v>
      </c>
      <c r="E40" s="376">
        <v>0.01</v>
      </c>
      <c r="F40" s="269"/>
      <c r="G40" s="269"/>
      <c r="H40" s="269"/>
      <c r="I40" s="269"/>
      <c r="J40" s="269"/>
      <c r="K40" s="269"/>
      <c r="L40" s="384"/>
    </row>
    <row r="41" spans="2:12">
      <c r="B41" s="365"/>
      <c r="C41" s="196" t="s">
        <v>76</v>
      </c>
      <c r="D41" s="377">
        <v>0.8</v>
      </c>
      <c r="E41" s="269"/>
      <c r="F41" s="269"/>
      <c r="G41" s="269"/>
      <c r="H41" s="269"/>
      <c r="I41" s="269"/>
      <c r="J41" s="269"/>
      <c r="K41" s="269"/>
      <c r="L41" s="384"/>
    </row>
    <row r="42" ht="6" customHeight="1" spans="2:12">
      <c r="B42" s="365"/>
      <c r="C42" s="269"/>
      <c r="D42" s="269"/>
      <c r="E42" s="269"/>
      <c r="F42" s="269"/>
      <c r="G42" s="269"/>
      <c r="H42" s="269"/>
      <c r="I42" s="269"/>
      <c r="J42" s="269"/>
      <c r="K42" s="269"/>
      <c r="L42" s="384"/>
    </row>
    <row r="43" spans="2:12">
      <c r="B43" s="365"/>
      <c r="C43" s="196" t="s">
        <v>77</v>
      </c>
      <c r="D43" s="250" t="s">
        <v>78</v>
      </c>
      <c r="E43" s="250" t="s">
        <v>79</v>
      </c>
      <c r="F43" s="269"/>
      <c r="G43" s="269"/>
      <c r="H43" s="269"/>
      <c r="I43" s="269"/>
      <c r="J43" s="269"/>
      <c r="K43" s="269"/>
      <c r="L43" s="384"/>
    </row>
    <row r="44" spans="2:12">
      <c r="B44" s="365"/>
      <c r="C44" s="250" t="s">
        <v>21</v>
      </c>
      <c r="D44" s="375">
        <v>10000</v>
      </c>
      <c r="E44" s="375">
        <v>12000</v>
      </c>
      <c r="F44" s="269"/>
      <c r="G44" s="269"/>
      <c r="H44" s="269"/>
      <c r="I44" s="269"/>
      <c r="J44" s="269"/>
      <c r="K44" s="269"/>
      <c r="L44" s="384"/>
    </row>
    <row r="45" spans="2:12">
      <c r="B45" s="365"/>
      <c r="C45" s="250" t="s">
        <v>22</v>
      </c>
      <c r="D45" s="375">
        <v>15000</v>
      </c>
      <c r="E45" s="375">
        <v>18000</v>
      </c>
      <c r="F45" s="269"/>
      <c r="G45" s="269"/>
      <c r="H45" s="269"/>
      <c r="I45" s="269"/>
      <c r="J45" s="269"/>
      <c r="K45" s="269"/>
      <c r="L45" s="384"/>
    </row>
    <row r="46" spans="2:12">
      <c r="B46" s="365"/>
      <c r="C46" s="250" t="s">
        <v>23</v>
      </c>
      <c r="D46" s="375">
        <v>20000</v>
      </c>
      <c r="E46" s="378">
        <v>24000</v>
      </c>
      <c r="F46" s="269"/>
      <c r="G46" s="269"/>
      <c r="H46" s="269"/>
      <c r="I46" s="269"/>
      <c r="J46" s="269"/>
      <c r="K46" s="269"/>
      <c r="L46" s="384"/>
    </row>
    <row r="47" spans="2:12">
      <c r="B47" s="365"/>
      <c r="C47" s="250" t="s">
        <v>24</v>
      </c>
      <c r="D47" s="375">
        <v>30000</v>
      </c>
      <c r="E47" s="378">
        <v>35000</v>
      </c>
      <c r="F47" s="269"/>
      <c r="G47" s="269"/>
      <c r="H47" s="269"/>
      <c r="I47" s="269"/>
      <c r="J47" s="269"/>
      <c r="K47" s="269"/>
      <c r="L47" s="384"/>
    </row>
    <row r="48" ht="6" customHeight="1" spans="2:12">
      <c r="B48" s="365"/>
      <c r="C48" s="269"/>
      <c r="D48" s="269"/>
      <c r="E48" s="269"/>
      <c r="F48" s="269"/>
      <c r="G48" s="269"/>
      <c r="H48" s="269"/>
      <c r="I48" s="269"/>
      <c r="J48" s="269"/>
      <c r="K48" s="269"/>
      <c r="L48" s="384"/>
    </row>
    <row r="49" spans="2:12">
      <c r="B49" s="365"/>
      <c r="C49" s="196" t="s">
        <v>80</v>
      </c>
      <c r="D49" s="375">
        <v>300</v>
      </c>
      <c r="E49" s="269"/>
      <c r="F49" s="269"/>
      <c r="G49" s="269"/>
      <c r="H49" s="269"/>
      <c r="I49" s="269"/>
      <c r="J49" s="269"/>
      <c r="K49" s="269"/>
      <c r="L49" s="384"/>
    </row>
    <row r="50" ht="6" customHeight="1" spans="2:12">
      <c r="B50" s="365"/>
      <c r="C50" s="269"/>
      <c r="D50" s="269"/>
      <c r="E50" s="269"/>
      <c r="F50" s="269"/>
      <c r="G50" s="269"/>
      <c r="H50" s="269"/>
      <c r="I50" s="269"/>
      <c r="J50" s="269"/>
      <c r="K50" s="269"/>
      <c r="L50" s="384"/>
    </row>
    <row r="51" spans="2:12">
      <c r="B51" s="365"/>
      <c r="C51" s="196" t="s">
        <v>44</v>
      </c>
      <c r="D51" s="250" t="s">
        <v>45</v>
      </c>
      <c r="E51" s="250" t="s">
        <v>46</v>
      </c>
      <c r="F51" s="250" t="s">
        <v>47</v>
      </c>
      <c r="G51" s="250" t="s">
        <v>48</v>
      </c>
      <c r="H51" s="250" t="s">
        <v>49</v>
      </c>
      <c r="I51" s="269"/>
      <c r="J51" s="269"/>
      <c r="K51" s="269"/>
      <c r="L51" s="384"/>
    </row>
    <row r="52" spans="2:12">
      <c r="B52" s="365"/>
      <c r="C52" s="379" t="s">
        <v>21</v>
      </c>
      <c r="D52" s="380">
        <v>100000</v>
      </c>
      <c r="E52" s="380">
        <v>220000</v>
      </c>
      <c r="F52" s="380">
        <v>350000</v>
      </c>
      <c r="G52" s="380">
        <v>450000</v>
      </c>
      <c r="H52" s="353">
        <v>550000</v>
      </c>
      <c r="I52" s="269"/>
      <c r="J52" s="269"/>
      <c r="K52" s="269"/>
      <c r="L52" s="384"/>
    </row>
    <row r="53" spans="2:12">
      <c r="B53" s="365"/>
      <c r="C53" s="379" t="s">
        <v>22</v>
      </c>
      <c r="D53" s="380">
        <v>200000</v>
      </c>
      <c r="E53" s="380">
        <v>350000</v>
      </c>
      <c r="F53" s="380">
        <v>500000</v>
      </c>
      <c r="G53" s="380">
        <v>650000</v>
      </c>
      <c r="H53" s="353">
        <v>700000</v>
      </c>
      <c r="I53" s="269"/>
      <c r="J53" s="269"/>
      <c r="K53" s="269"/>
      <c r="L53" s="384"/>
    </row>
    <row r="54" spans="2:12">
      <c r="B54" s="365"/>
      <c r="C54" s="379" t="s">
        <v>23</v>
      </c>
      <c r="D54" s="380">
        <v>300000</v>
      </c>
      <c r="E54" s="380">
        <v>450000</v>
      </c>
      <c r="F54" s="380">
        <v>580000</v>
      </c>
      <c r="G54" s="380">
        <v>700000</v>
      </c>
      <c r="H54" s="353">
        <v>800000</v>
      </c>
      <c r="I54" s="269"/>
      <c r="J54" s="269"/>
      <c r="K54" s="269"/>
      <c r="L54" s="384"/>
    </row>
    <row r="55" spans="2:12">
      <c r="B55" s="365"/>
      <c r="C55" s="379" t="s">
        <v>24</v>
      </c>
      <c r="D55" s="380">
        <v>500000</v>
      </c>
      <c r="E55" s="380">
        <v>600000</v>
      </c>
      <c r="F55" s="380">
        <v>700000</v>
      </c>
      <c r="G55" s="380">
        <v>850000</v>
      </c>
      <c r="H55" s="353">
        <v>1000000</v>
      </c>
      <c r="I55" s="269"/>
      <c r="J55" s="269"/>
      <c r="K55" s="269"/>
      <c r="L55" s="384"/>
    </row>
    <row r="56" ht="6" customHeight="1" spans="2:12">
      <c r="B56" s="365"/>
      <c r="C56" s="269"/>
      <c r="D56" s="269"/>
      <c r="E56" s="269"/>
      <c r="F56" s="269"/>
      <c r="G56" s="269"/>
      <c r="H56" s="269"/>
      <c r="I56" s="269"/>
      <c r="J56" s="269"/>
      <c r="K56" s="269"/>
      <c r="L56" s="384"/>
    </row>
    <row r="57" spans="2:12">
      <c r="B57" s="365"/>
      <c r="C57" s="196" t="s">
        <v>81</v>
      </c>
      <c r="D57" s="381">
        <v>0.5</v>
      </c>
      <c r="E57" s="269"/>
      <c r="F57" s="269"/>
      <c r="G57" s="269"/>
      <c r="H57" s="269"/>
      <c r="I57" s="269"/>
      <c r="J57" s="269"/>
      <c r="K57" s="269"/>
      <c r="L57" s="384"/>
    </row>
    <row r="58" spans="2:12">
      <c r="B58" s="365"/>
      <c r="C58" s="196" t="s">
        <v>82</v>
      </c>
      <c r="D58" s="375">
        <v>1000</v>
      </c>
      <c r="E58" s="269"/>
      <c r="F58" s="269"/>
      <c r="G58" s="269"/>
      <c r="H58" s="269"/>
      <c r="I58" s="269"/>
      <c r="J58" s="269"/>
      <c r="K58" s="269"/>
      <c r="L58" s="384"/>
    </row>
    <row r="59" spans="2:12">
      <c r="B59" s="365"/>
      <c r="C59" s="196" t="s">
        <v>83</v>
      </c>
      <c r="D59" s="382">
        <v>0.25</v>
      </c>
      <c r="E59" s="269"/>
      <c r="F59" s="269"/>
      <c r="G59" s="269"/>
      <c r="H59" s="269"/>
      <c r="I59" s="269"/>
      <c r="J59" s="269"/>
      <c r="K59" s="269"/>
      <c r="L59" s="384"/>
    </row>
    <row r="60" spans="2:12">
      <c r="B60" s="365"/>
      <c r="C60" s="196" t="s">
        <v>84</v>
      </c>
      <c r="D60" s="382">
        <v>0.03</v>
      </c>
      <c r="E60" s="269"/>
      <c r="F60" s="269"/>
      <c r="G60" s="269"/>
      <c r="H60" s="269"/>
      <c r="I60" s="269"/>
      <c r="J60" s="269"/>
      <c r="K60" s="269"/>
      <c r="L60" s="384"/>
    </row>
    <row r="61" spans="2:12">
      <c r="B61" s="365"/>
      <c r="C61" s="196" t="s">
        <v>85</v>
      </c>
      <c r="D61" s="382">
        <v>0.1</v>
      </c>
      <c r="E61" s="269"/>
      <c r="F61" s="269"/>
      <c r="G61" s="269"/>
      <c r="H61" s="269"/>
      <c r="I61" s="269"/>
      <c r="J61" s="269"/>
      <c r="K61" s="269"/>
      <c r="L61" s="384"/>
    </row>
    <row r="62" spans="2:12">
      <c r="B62" s="365"/>
      <c r="C62" s="196" t="s">
        <v>86</v>
      </c>
      <c r="D62" s="375">
        <v>2000</v>
      </c>
      <c r="E62" s="269"/>
      <c r="F62" s="269"/>
      <c r="G62" s="269"/>
      <c r="H62" s="269"/>
      <c r="I62" s="269"/>
      <c r="J62" s="269"/>
      <c r="K62" s="269"/>
      <c r="L62" s="384"/>
    </row>
    <row r="63" ht="6" customHeight="1" spans="2:12">
      <c r="B63" s="365"/>
      <c r="C63" s="269"/>
      <c r="D63" s="269"/>
      <c r="E63" s="269"/>
      <c r="F63" s="269"/>
      <c r="G63" s="269"/>
      <c r="H63" s="269"/>
      <c r="I63" s="269"/>
      <c r="J63" s="269"/>
      <c r="K63" s="269"/>
      <c r="L63" s="384"/>
    </row>
    <row r="64" spans="2:12">
      <c r="B64" s="365"/>
      <c r="C64" s="196" t="s">
        <v>87</v>
      </c>
      <c r="D64" s="250" t="s">
        <v>88</v>
      </c>
      <c r="E64" s="250" t="s">
        <v>89</v>
      </c>
      <c r="F64" s="250" t="s">
        <v>90</v>
      </c>
      <c r="G64" s="250" t="s">
        <v>91</v>
      </c>
      <c r="H64" s="269"/>
      <c r="I64" s="269"/>
      <c r="J64" s="269"/>
      <c r="K64" s="269"/>
      <c r="L64" s="384"/>
    </row>
    <row r="65" spans="2:12">
      <c r="B65" s="365"/>
      <c r="C65" s="269"/>
      <c r="D65" s="375">
        <v>10</v>
      </c>
      <c r="E65" s="375">
        <v>15</v>
      </c>
      <c r="F65" s="375">
        <v>12</v>
      </c>
      <c r="G65" s="375">
        <v>18</v>
      </c>
      <c r="H65" s="269"/>
      <c r="I65" s="269"/>
      <c r="J65" s="269"/>
      <c r="K65" s="269"/>
      <c r="L65" s="384"/>
    </row>
    <row r="66" ht="6" customHeight="1" spans="2:12">
      <c r="B66" s="365"/>
      <c r="C66" s="269"/>
      <c r="D66" s="269"/>
      <c r="E66" s="269"/>
      <c r="F66" s="269"/>
      <c r="G66" s="269"/>
      <c r="H66" s="269"/>
      <c r="I66" s="269"/>
      <c r="J66" s="269"/>
      <c r="K66" s="269"/>
      <c r="L66" s="384"/>
    </row>
    <row r="67" spans="2:12">
      <c r="B67" s="365"/>
      <c r="C67" s="196" t="s">
        <v>92</v>
      </c>
      <c r="D67" s="385">
        <v>2500000</v>
      </c>
      <c r="E67" s="269"/>
      <c r="F67" s="269"/>
      <c r="G67" s="269"/>
      <c r="H67" s="269"/>
      <c r="I67" s="269"/>
      <c r="J67" s="269"/>
      <c r="K67" s="269"/>
      <c r="L67" s="384"/>
    </row>
    <row r="68" spans="2:12">
      <c r="B68" s="365"/>
      <c r="C68" s="196" t="s">
        <v>93</v>
      </c>
      <c r="D68" s="380">
        <v>12000000</v>
      </c>
      <c r="E68" s="269"/>
      <c r="F68" s="269"/>
      <c r="G68" s="269"/>
      <c r="H68" s="269"/>
      <c r="I68" s="269"/>
      <c r="J68" s="269"/>
      <c r="K68" s="269"/>
      <c r="L68" s="384"/>
    </row>
    <row r="69" spans="2:12">
      <c r="B69" s="365"/>
      <c r="C69" s="196" t="s">
        <v>94</v>
      </c>
      <c r="D69" s="381">
        <v>0.09</v>
      </c>
      <c r="E69" s="269"/>
      <c r="F69" s="269"/>
      <c r="G69" s="269"/>
      <c r="H69" s="269"/>
      <c r="I69" s="269"/>
      <c r="J69" s="269"/>
      <c r="K69" s="269"/>
      <c r="L69" s="384"/>
    </row>
    <row r="70" spans="2:12">
      <c r="B70" s="365"/>
      <c r="C70" s="196" t="s">
        <v>95</v>
      </c>
      <c r="D70" s="381">
        <v>0.06</v>
      </c>
      <c r="E70" s="269"/>
      <c r="F70" s="269"/>
      <c r="G70" s="269"/>
      <c r="H70" s="269"/>
      <c r="I70" s="269"/>
      <c r="J70" s="269"/>
      <c r="K70" s="269"/>
      <c r="L70" s="384"/>
    </row>
    <row r="71" spans="2:12">
      <c r="B71" s="365"/>
      <c r="C71" s="196" t="s">
        <v>96</v>
      </c>
      <c r="D71" s="386">
        <v>0.13</v>
      </c>
      <c r="E71" s="196" t="s">
        <v>97</v>
      </c>
      <c r="F71" s="377">
        <v>0.05</v>
      </c>
      <c r="G71" s="269"/>
      <c r="H71" s="269"/>
      <c r="I71" s="269"/>
      <c r="J71" s="269"/>
      <c r="K71" s="269"/>
      <c r="L71" s="384"/>
    </row>
    <row r="72" spans="2:12">
      <c r="B72" s="365"/>
      <c r="C72" s="196" t="s">
        <v>98</v>
      </c>
      <c r="D72" s="377">
        <v>0.3</v>
      </c>
      <c r="E72" s="269"/>
      <c r="F72" s="269"/>
      <c r="G72" s="269"/>
      <c r="H72" s="269"/>
      <c r="I72" s="269"/>
      <c r="J72" s="269"/>
      <c r="K72" s="269"/>
      <c r="L72" s="384"/>
    </row>
    <row r="73" ht="6" customHeight="1" spans="2:12">
      <c r="B73" s="365"/>
      <c r="C73" s="269"/>
      <c r="D73" s="269"/>
      <c r="E73" s="269"/>
      <c r="F73" s="269"/>
      <c r="G73" s="269"/>
      <c r="H73" s="269"/>
      <c r="I73" s="269"/>
      <c r="J73" s="269"/>
      <c r="K73" s="269"/>
      <c r="L73" s="384"/>
    </row>
    <row r="74" spans="2:12">
      <c r="B74" s="365"/>
      <c r="C74" s="196" t="s">
        <v>99</v>
      </c>
      <c r="D74" s="252" t="s">
        <v>100</v>
      </c>
      <c r="E74" s="252" t="s">
        <v>101</v>
      </c>
      <c r="F74" s="252" t="s">
        <v>102</v>
      </c>
      <c r="G74" s="252" t="s">
        <v>103</v>
      </c>
      <c r="H74" s="252" t="s">
        <v>104</v>
      </c>
      <c r="I74" s="252" t="s">
        <v>105</v>
      </c>
      <c r="J74" s="390" t="s">
        <v>106</v>
      </c>
      <c r="K74" s="391"/>
      <c r="L74" s="384"/>
    </row>
    <row r="75" spans="2:12">
      <c r="B75" s="365"/>
      <c r="C75" s="127" t="s">
        <v>107</v>
      </c>
      <c r="D75" s="12">
        <v>0.2</v>
      </c>
      <c r="E75" s="387">
        <v>0.15</v>
      </c>
      <c r="F75" s="387">
        <v>0.12</v>
      </c>
      <c r="G75" s="387">
        <v>0.12</v>
      </c>
      <c r="H75" s="387">
        <v>0.16</v>
      </c>
      <c r="I75" s="387">
        <v>0.12</v>
      </c>
      <c r="J75" s="387">
        <v>0.13</v>
      </c>
      <c r="K75" s="391">
        <f>SUM(D75:J75)</f>
        <v>1</v>
      </c>
      <c r="L75" s="384"/>
    </row>
    <row r="76" ht="6" customHeight="1" spans="2:12">
      <c r="B76" s="388"/>
      <c r="C76" s="389"/>
      <c r="D76" s="389"/>
      <c r="E76" s="389"/>
      <c r="F76" s="389"/>
      <c r="G76" s="389"/>
      <c r="H76" s="389"/>
      <c r="I76" s="389"/>
      <c r="J76" s="389"/>
      <c r="K76" s="389"/>
      <c r="L76" s="392"/>
    </row>
    <row r="77" ht="16.35"/>
    <row r="82" spans="12:12">
      <c r="L82" s="362">
        <v>0.16</v>
      </c>
    </row>
  </sheetData>
  <protectedRanges>
    <protectedRange sqref="C8:K14" name="比赛参数_1"/>
    <protectedRange sqref="C18:G30" name="比赛参数_2"/>
    <protectedRange sqref="C39:E47" name="比赛参数_3"/>
    <protectedRange sqref="D34:E37" name="比赛参数_4"/>
    <protectedRange sqref="D52:H55" name="比赛参数_5"/>
    <protectedRange sqref="D57:D62" name="比赛参数_6"/>
    <protectedRange sqref="D65:G65" name="比赛参数_7"/>
    <protectedRange sqref="D67:D72" name="比赛参数_8"/>
  </protectedRanges>
  <mergeCells count="1">
    <mergeCell ref="B2:L2"/>
  </mergeCells>
  <pageMargins left="0.75" right="0.75" top="1" bottom="1" header="0.5" footer="0.5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2"/>
  <sheetViews>
    <sheetView workbookViewId="0">
      <selection activeCell="H10" sqref="H10"/>
    </sheetView>
  </sheetViews>
  <sheetFormatPr defaultColWidth="8.8" defaultRowHeight="15.6"/>
  <cols>
    <col min="1" max="1" width="4.6" customWidth="1"/>
    <col min="2" max="2" width="11.1" customWidth="1"/>
    <col min="3" max="3" width="9.6"/>
  </cols>
  <sheetData>
    <row r="2" spans="2:3">
      <c r="B2" s="355" t="s">
        <v>108</v>
      </c>
      <c r="C2" s="356"/>
    </row>
    <row r="3" ht="16.35" spans="2:6">
      <c r="B3" s="355" t="s">
        <v>109</v>
      </c>
      <c r="C3" s="357"/>
      <c r="D3" s="357"/>
      <c r="E3" s="357"/>
      <c r="F3" s="357"/>
    </row>
    <row r="4" ht="17.1" spans="2:6">
      <c r="B4" s="63" t="s">
        <v>110</v>
      </c>
      <c r="C4" s="298" t="s">
        <v>38</v>
      </c>
      <c r="D4" s="298" t="s">
        <v>39</v>
      </c>
      <c r="E4" s="298" t="s">
        <v>40</v>
      </c>
      <c r="F4" s="298" t="s">
        <v>41</v>
      </c>
    </row>
    <row r="5" ht="16.35" spans="2:11">
      <c r="B5" s="282" t="s">
        <v>111</v>
      </c>
      <c r="C5" s="299">
        <f>IF(1-(($C$2-1)*C8/10+0.95+(C3-0.95)*C7)&gt;0,1-(($C$2-1)*C8/10+0.95+(C3-0.95)*C7),0)</f>
        <v>1.0005</v>
      </c>
      <c r="D5" s="299">
        <f>IF(1-(($C$2-1)*D8/10+0.95+(D3-0.95)*D7)&gt;0,1-(($C$2-1)*D8/10+0.95+(D3-0.95)*D7),0)</f>
        <v>1.0005</v>
      </c>
      <c r="E5" s="299">
        <f>IF(1-(($C$2-1)*E8/10+0.95+(E3-0.95)*E7)&gt;0,1-(($C$2-1)*E8/10+0.95+(E3-0.95)*E7),0)</f>
        <v>1.0005</v>
      </c>
      <c r="F5" s="299">
        <f>IF(1-(($C$2-1)*F8/10+0.95+(F3-0.95)*F7)&gt;0,1-(($C$2-1)*F8/10+0.95+(F3-0.95)*F7),0)</f>
        <v>1.0005</v>
      </c>
      <c r="G5" s="355" t="s">
        <v>112</v>
      </c>
      <c r="H5" s="357"/>
      <c r="I5" s="357"/>
      <c r="J5" s="357"/>
      <c r="K5" s="357"/>
    </row>
    <row r="6" spans="2:11">
      <c r="B6" s="282" t="s">
        <v>113</v>
      </c>
      <c r="C6" s="299">
        <f>1-C5</f>
        <v>-0.000499999999999945</v>
      </c>
      <c r="D6" s="299">
        <f>1-D5</f>
        <v>-0.000499999999999945</v>
      </c>
      <c r="E6" s="299">
        <f>1-E5</f>
        <v>-0.000499999999999945</v>
      </c>
      <c r="F6" s="299">
        <f>1-F5</f>
        <v>-0.000499999999999945</v>
      </c>
      <c r="H6">
        <f>H5-0.0005</f>
        <v>-0.0005</v>
      </c>
      <c r="I6">
        <f>I5-0.0005</f>
        <v>-0.0005</v>
      </c>
      <c r="J6">
        <f>J5-0.0005</f>
        <v>-0.0005</v>
      </c>
      <c r="K6">
        <f>K5-0.0005</f>
        <v>-0.0005</v>
      </c>
    </row>
    <row r="7" spans="2:11">
      <c r="B7" s="282" t="s">
        <v>114</v>
      </c>
      <c r="C7" s="101">
        <v>0.3</v>
      </c>
      <c r="D7" s="101">
        <v>0.3</v>
      </c>
      <c r="E7" s="101">
        <v>0.3</v>
      </c>
      <c r="F7" s="101">
        <v>0.3</v>
      </c>
      <c r="H7">
        <f>H5+0.0005</f>
        <v>0.0005</v>
      </c>
      <c r="I7">
        <f>I5+0.0005</f>
        <v>0.0005</v>
      </c>
      <c r="J7">
        <f>J5+0.0005</f>
        <v>0.0005</v>
      </c>
      <c r="K7">
        <f>K5+0.0005</f>
        <v>0.0005</v>
      </c>
    </row>
    <row r="8" spans="2:6">
      <c r="B8" s="282" t="s">
        <v>114</v>
      </c>
      <c r="C8" s="358">
        <f>(H6-(C3-0.95)*C7-0.95)*10/($C$2-1)</f>
        <v>6.655</v>
      </c>
      <c r="D8" s="358">
        <f>(I6-(D3-0.95)*D7-0.95)*10/($C$2-1)</f>
        <v>6.655</v>
      </c>
      <c r="E8" s="358">
        <f>(J6-(E3-0.95)*E7-0.95)*10/($C$2-1)</f>
        <v>6.655</v>
      </c>
      <c r="F8" s="358">
        <f>(K6-(F3-0.95)*F7-0.95)*10/($C$2-1)</f>
        <v>6.655</v>
      </c>
    </row>
    <row r="14" spans="2:6">
      <c r="B14" s="282" t="s">
        <v>115</v>
      </c>
      <c r="C14" s="359">
        <f>MAX(C15:C32)</f>
        <v>0</v>
      </c>
      <c r="D14" s="359">
        <f>MAX(D15:D32)</f>
        <v>0</v>
      </c>
      <c r="E14" s="359">
        <f>MAX(E15:E32)</f>
        <v>0</v>
      </c>
      <c r="F14" s="359">
        <f>MAX(F15:F32)</f>
        <v>0</v>
      </c>
    </row>
    <row r="15" spans="2:6">
      <c r="B15" s="360" t="s">
        <v>116</v>
      </c>
      <c r="C15" s="361"/>
      <c r="D15" s="361"/>
      <c r="E15" s="361"/>
      <c r="F15" s="361"/>
    </row>
    <row r="16" spans="2:6">
      <c r="B16" s="360" t="s">
        <v>117</v>
      </c>
      <c r="C16" s="361"/>
      <c r="D16" s="361"/>
      <c r="E16" s="361"/>
      <c r="F16" s="361"/>
    </row>
    <row r="17" spans="2:6">
      <c r="B17" s="360" t="s">
        <v>118</v>
      </c>
      <c r="C17" s="361"/>
      <c r="D17" s="361"/>
      <c r="E17" s="361"/>
      <c r="F17" s="361"/>
    </row>
    <row r="18" spans="2:6">
      <c r="B18" s="360" t="s">
        <v>119</v>
      </c>
      <c r="C18" s="361"/>
      <c r="D18" s="361"/>
      <c r="E18" s="361"/>
      <c r="F18" s="361"/>
    </row>
    <row r="19" spans="2:6">
      <c r="B19" s="360" t="s">
        <v>120</v>
      </c>
      <c r="C19" s="361"/>
      <c r="D19" s="361"/>
      <c r="E19" s="361"/>
      <c r="F19" s="361"/>
    </row>
    <row r="20" spans="2:6">
      <c r="B20" s="360" t="s">
        <v>121</v>
      </c>
      <c r="C20" s="361"/>
      <c r="D20" s="361"/>
      <c r="E20" s="361"/>
      <c r="F20" s="361"/>
    </row>
    <row r="21" spans="2:6">
      <c r="B21" s="360" t="s">
        <v>122</v>
      </c>
      <c r="C21" s="361"/>
      <c r="D21" s="361"/>
      <c r="E21" s="361"/>
      <c r="F21" s="361"/>
    </row>
    <row r="22" spans="2:6">
      <c r="B22" s="360" t="s">
        <v>123</v>
      </c>
      <c r="C22" s="361"/>
      <c r="D22" s="361"/>
      <c r="E22" s="361"/>
      <c r="F22" s="361"/>
    </row>
    <row r="23" spans="2:6">
      <c r="B23" s="360" t="s">
        <v>124</v>
      </c>
      <c r="C23" s="361"/>
      <c r="D23" s="361"/>
      <c r="E23" s="361"/>
      <c r="F23" s="361"/>
    </row>
    <row r="24" spans="2:6">
      <c r="B24" s="360" t="s">
        <v>125</v>
      </c>
      <c r="C24" s="361"/>
      <c r="D24" s="361"/>
      <c r="E24" s="361"/>
      <c r="F24" s="361"/>
    </row>
    <row r="25" spans="2:6">
      <c r="B25" s="360" t="s">
        <v>126</v>
      </c>
      <c r="C25" s="361"/>
      <c r="D25" s="361"/>
      <c r="E25" s="361"/>
      <c r="F25" s="361"/>
    </row>
    <row r="26" spans="2:6">
      <c r="B26" s="360" t="s">
        <v>127</v>
      </c>
      <c r="C26" s="361"/>
      <c r="D26" s="361"/>
      <c r="E26" s="361"/>
      <c r="F26" s="361"/>
    </row>
    <row r="27" spans="2:6">
      <c r="B27" s="360" t="s">
        <v>128</v>
      </c>
      <c r="C27" s="361"/>
      <c r="D27" s="361"/>
      <c r="E27" s="361"/>
      <c r="F27" s="361"/>
    </row>
    <row r="28" spans="2:6">
      <c r="B28" s="360" t="s">
        <v>129</v>
      </c>
      <c r="C28" s="361"/>
      <c r="D28" s="361"/>
      <c r="E28" s="361"/>
      <c r="F28" s="361"/>
    </row>
    <row r="29" spans="2:6">
      <c r="B29" s="360" t="s">
        <v>130</v>
      </c>
      <c r="C29" s="361"/>
      <c r="D29" s="361"/>
      <c r="E29" s="361"/>
      <c r="F29" s="361"/>
    </row>
    <row r="30" spans="2:6">
      <c r="B30" s="360" t="s">
        <v>131</v>
      </c>
      <c r="C30" s="361"/>
      <c r="D30" s="361"/>
      <c r="E30" s="361"/>
      <c r="F30" s="361"/>
    </row>
    <row r="31" spans="2:6">
      <c r="B31" s="360" t="s">
        <v>132</v>
      </c>
      <c r="C31" s="361"/>
      <c r="D31" s="361"/>
      <c r="E31" s="361"/>
      <c r="F31" s="361"/>
    </row>
    <row r="32" spans="2:6">
      <c r="B32" s="360" t="s">
        <v>133</v>
      </c>
      <c r="C32" s="361"/>
      <c r="D32" s="361"/>
      <c r="E32" s="361"/>
      <c r="F32" s="361"/>
    </row>
  </sheetData>
  <protectedRanges>
    <protectedRange sqref="B14:F32" name="区域2"/>
    <protectedRange sqref="C2 C7:F8 C3:F3 H5:K5" name="区域1"/>
  </protectedRange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0" zoomScaleNormal="70" topLeftCell="X40" workbookViewId="0">
      <selection activeCell="AE7" sqref="AE7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152</v>
      </c>
      <c r="D4" s="9">
        <v>130</v>
      </c>
      <c r="E4" s="9">
        <v>1</v>
      </c>
      <c r="F4" s="10"/>
      <c r="G4" s="11" t="s">
        <v>153</v>
      </c>
      <c r="H4" s="12">
        <v>0</v>
      </c>
      <c r="W4" s="43">
        <f>AC4-X4</f>
        <v>210</v>
      </c>
      <c r="X4" s="32">
        <f>SUM(AF70:AF73)</f>
        <v>397</v>
      </c>
      <c r="Y4" s="67">
        <f>AVERAGE(Y76:Y79)</f>
        <v>0.0830184060400233</v>
      </c>
      <c r="Z4" s="67">
        <f>1/比赛参数!$G$4</f>
        <v>0.0526315789473684</v>
      </c>
      <c r="AA4" s="68">
        <f>(AC4-X4)/X4</f>
        <v>0.52896725440806</v>
      </c>
      <c r="AB4" s="69">
        <f>SUM(Y232:AB232)/比赛参数!$G$4</f>
        <v>397.210526315789</v>
      </c>
      <c r="AC4" s="70">
        <f>AN4+SUM(Y57:Y60)-SUM(AF57:AF60)-SUM(Y108:Y111)</f>
        <v>607</v>
      </c>
      <c r="AD4" s="2">
        <v>571</v>
      </c>
      <c r="AE4" s="71">
        <f>DK29</f>
        <v>13.85125</v>
      </c>
      <c r="AF4" s="72">
        <f>DK41</f>
        <v>19.72375</v>
      </c>
      <c r="AG4" s="71">
        <f>DQ29</f>
        <v>11.5427083333333</v>
      </c>
      <c r="AH4" s="77">
        <f>DK35*15</f>
        <v>10.5339314987571</v>
      </c>
      <c r="AJ4" s="72">
        <f>DD29</f>
        <v>6.11352564102564</v>
      </c>
      <c r="AK4" s="77">
        <f>DD35*15</f>
        <v>3.33536171233212</v>
      </c>
      <c r="AL4" s="132">
        <f>CJ24/比赛参数!D26</f>
        <v>0</v>
      </c>
      <c r="AM4" s="32">
        <f>AF68</f>
        <v>607</v>
      </c>
      <c r="AN4" s="32">
        <f>Y93</f>
        <v>120</v>
      </c>
      <c r="AO4" s="32">
        <f>AC9+D42-Y92</f>
        <v>0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150</v>
      </c>
      <c r="E5" s="9">
        <v>1</v>
      </c>
      <c r="F5" s="10"/>
      <c r="G5" s="11" t="s">
        <v>155</v>
      </c>
      <c r="H5" s="13">
        <v>50000</v>
      </c>
      <c r="M5" s="27"/>
      <c r="N5" s="28"/>
      <c r="O5" s="29"/>
      <c r="P5" s="29"/>
      <c r="Q5" s="44"/>
      <c r="W5" s="43">
        <f>AC5-X5</f>
        <v>-162</v>
      </c>
      <c r="X5" s="32">
        <f>SUM(AG70:AG73)</f>
        <v>348</v>
      </c>
      <c r="Y5" s="67">
        <f>AVERAGE(Z76:Z79)</f>
        <v>0.0370162601316205</v>
      </c>
      <c r="Z5" s="67">
        <f>1/比赛参数!$G$4</f>
        <v>0.0526315789473684</v>
      </c>
      <c r="AA5" s="68">
        <f>(AC5-X5)/X5</f>
        <v>-0.46551724137931</v>
      </c>
      <c r="AB5" s="69">
        <f>SUM(AC232:AF232)/比赛参数!$G$4</f>
        <v>262.210526315789</v>
      </c>
      <c r="AC5" s="70">
        <f>AN5+SUM(Z57:Z60)-SUM(AG57:AG60)-SUM(Z108:Z111)</f>
        <v>186</v>
      </c>
      <c r="AD5" s="2">
        <v>679.25</v>
      </c>
      <c r="AE5" s="71">
        <f>DK30</f>
        <v>14.4219047619048</v>
      </c>
      <c r="AF5" s="72">
        <f>DK42</f>
        <v>14.4213852813853</v>
      </c>
      <c r="AG5" s="71">
        <f>DQ30</f>
        <v>24.0365079365079</v>
      </c>
      <c r="AH5" s="77">
        <f>DK36*15</f>
        <v>15.0033197609357</v>
      </c>
      <c r="AJ5" s="72">
        <f>DD30</f>
        <v>6.72916416916417</v>
      </c>
      <c r="AK5" s="77">
        <f>DD36*15</f>
        <v>4.56261337271804</v>
      </c>
      <c r="AL5" s="132">
        <f>CK24/比赛参数!E26</f>
        <v>16.0545797913006</v>
      </c>
      <c r="AM5" s="32">
        <f>AG68</f>
        <v>186</v>
      </c>
      <c r="AN5" s="32">
        <f>Z93</f>
        <v>231</v>
      </c>
      <c r="AO5" s="32">
        <f>AC10+D43-Z92</f>
        <v>54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324800</v>
      </c>
      <c r="E6" s="9">
        <v>1</v>
      </c>
      <c r="F6" s="10"/>
      <c r="M6" s="30"/>
      <c r="N6" s="31" t="s">
        <v>162</v>
      </c>
      <c r="O6" s="32">
        <f>K8+Y18-AA18</f>
        <v>180</v>
      </c>
      <c r="P6" s="33" t="s">
        <v>163</v>
      </c>
      <c r="Q6" s="32">
        <f>AH15</f>
        <v>1400000</v>
      </c>
      <c r="W6" s="43">
        <f>AC6-X6</f>
        <v>-156.25</v>
      </c>
      <c r="X6" s="32">
        <f>SUM(AH70:AH73)</f>
        <v>295</v>
      </c>
      <c r="Y6" s="67" t="e">
        <f>AVERAGE(AA76:AA79)</f>
        <v>#DIV/0!</v>
      </c>
      <c r="Z6" s="67">
        <f>1/比赛参数!$G$4</f>
        <v>0.0526315789473684</v>
      </c>
      <c r="AA6" s="68">
        <f>(AC6-X6)/X6</f>
        <v>-0.529661016949153</v>
      </c>
      <c r="AB6" s="69">
        <f>SUM(AG232:AJ232)/比赛参数!$G$4</f>
        <v>0</v>
      </c>
      <c r="AC6" s="70">
        <f>AN6+SUM(AA57:AA60)-SUM(AH57:AH60)-SUM(AA108:AA111)</f>
        <v>138.75</v>
      </c>
      <c r="AD6" s="2">
        <v>294</v>
      </c>
      <c r="AE6" s="71">
        <f>DK31</f>
        <v>12.5064692982456</v>
      </c>
      <c r="AF6" s="72">
        <f>DK43</f>
        <v>12.9430921052632</v>
      </c>
      <c r="AG6" s="71">
        <f>DQ31</f>
        <v>29.7028645833333</v>
      </c>
      <c r="AH6" s="77">
        <f>DK37*15</f>
        <v>14.5021232371197</v>
      </c>
      <c r="AJ6" s="72">
        <f>DD31</f>
        <v>4.81324786324786</v>
      </c>
      <c r="AK6" s="77">
        <f>DD37*15</f>
        <v>3.49978372148976</v>
      </c>
      <c r="AL6" s="132">
        <f>CL24/比赛参数!F26</f>
        <v>15.917155475291</v>
      </c>
      <c r="AM6" s="32">
        <f>AH68</f>
        <v>138</v>
      </c>
      <c r="AN6" s="32">
        <f>AA93</f>
        <v>144.75</v>
      </c>
      <c r="AO6" s="32">
        <f>AC11+D44-AA92</f>
        <v>49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79</v>
      </c>
      <c r="DW6" s="251">
        <f t="shared" ref="DW6:DX21" si="1">I24</f>
        <v>0</v>
      </c>
      <c r="DX6" s="251">
        <f t="shared" si="1"/>
        <v>133</v>
      </c>
    </row>
    <row r="7" customHeight="1" spans="2:128">
      <c r="B7" s="7"/>
      <c r="C7" s="8" t="s">
        <v>166</v>
      </c>
      <c r="D7" s="14">
        <v>6071252.62</v>
      </c>
      <c r="E7" s="9">
        <v>1</v>
      </c>
      <c r="F7" s="10"/>
      <c r="M7" s="30"/>
      <c r="N7" s="31" t="s">
        <v>154</v>
      </c>
      <c r="O7" s="32"/>
      <c r="P7" s="33" t="s">
        <v>167</v>
      </c>
      <c r="Q7" s="32">
        <f>BS58</f>
        <v>50000</v>
      </c>
      <c r="W7" s="43">
        <f>AC7-X7</f>
        <v>-240.5</v>
      </c>
      <c r="X7" s="32">
        <f>SUM(AI70:AI73)</f>
        <v>334</v>
      </c>
      <c r="Y7" s="67" t="e">
        <f>AVERAGE(AB76:AB79)</f>
        <v>#DIV/0!</v>
      </c>
      <c r="Z7" s="67">
        <f>1/比赛参数!$G$4</f>
        <v>0.0526315789473684</v>
      </c>
      <c r="AA7" s="68">
        <f>(AC7-X7)/X7</f>
        <v>-0.720059880239521</v>
      </c>
      <c r="AB7" s="69">
        <f>SUM(AK232:AN232)/比赛参数!$G$4</f>
        <v>0</v>
      </c>
      <c r="AC7" s="70">
        <f>AN7+SUM(AB57:AB60)-SUM(AI57:AI60)-SUM(AB108:AB111)</f>
        <v>93.5</v>
      </c>
      <c r="AE7" s="71">
        <f>DK32</f>
        <v>10.8677835051546</v>
      </c>
      <c r="AF7" s="72">
        <f>DK44</f>
        <v>12.1794012688343</v>
      </c>
      <c r="AG7" s="71">
        <f>DQ32</f>
        <v>31.3958190148912</v>
      </c>
      <c r="AH7" s="77">
        <f>DK38*15</f>
        <v>13.3939190937783</v>
      </c>
      <c r="AJ7" s="72">
        <f>DD32</f>
        <v>3.17398889770024</v>
      </c>
      <c r="AK7" s="77">
        <f>DD38*15</f>
        <v>2.39716347254855</v>
      </c>
      <c r="AL7" s="132">
        <f>CM24/比赛参数!G26</f>
        <v>16.0172096825012</v>
      </c>
      <c r="AM7" s="32">
        <f>AI68</f>
        <v>93</v>
      </c>
      <c r="AN7" s="32">
        <f>AB93</f>
        <v>97.5</v>
      </c>
      <c r="AO7" s="32">
        <f>AC12+D45-AB92</f>
        <v>33</v>
      </c>
      <c r="AR7" s="174" t="s">
        <v>107</v>
      </c>
      <c r="BR7" s="197" t="s">
        <v>21</v>
      </c>
      <c r="BS7" s="198">
        <f>第九期!AF76</f>
        <v>3150</v>
      </c>
      <c r="BT7" s="198">
        <f>第九期!AF77</f>
        <v>3150</v>
      </c>
      <c r="BU7" s="198">
        <f>第九期!AF78</f>
        <v>3380</v>
      </c>
      <c r="BV7" s="198">
        <f>第九期!AF79</f>
        <v>3450</v>
      </c>
      <c r="BW7" s="200">
        <f>第九期!$AF$80</f>
        <v>67760</v>
      </c>
      <c r="DT7" s="252" t="s">
        <v>21</v>
      </c>
      <c r="DU7" s="250">
        <v>2</v>
      </c>
      <c r="DV7" s="251">
        <f t="shared" si="0"/>
        <v>80</v>
      </c>
      <c r="DW7" s="251">
        <f t="shared" si="1"/>
        <v>0</v>
      </c>
      <c r="DX7" s="251">
        <f t="shared" si="1"/>
        <v>125</v>
      </c>
    </row>
    <row r="8" customHeight="1" spans="2:128">
      <c r="B8" s="7"/>
      <c r="C8" s="8" t="s">
        <v>168</v>
      </c>
      <c r="D8" s="14">
        <v>4800000</v>
      </c>
      <c r="E8" s="9">
        <v>1</v>
      </c>
      <c r="F8" s="10"/>
      <c r="J8" s="11" t="s">
        <v>162</v>
      </c>
      <c r="K8" s="34">
        <f>D4</f>
        <v>130</v>
      </c>
      <c r="M8" s="30"/>
      <c r="N8" s="31" t="s">
        <v>161</v>
      </c>
      <c r="O8" s="32">
        <f>AL23</f>
        <v>193750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第九期!$AG$76</f>
        <v>7000</v>
      </c>
      <c r="BT8" s="198">
        <f>第九期!$AG$77</f>
        <v>7000</v>
      </c>
      <c r="BU8" s="198">
        <f>第九期!$AG$78</f>
        <v>7300</v>
      </c>
      <c r="BV8" s="198">
        <f>第九期!$AG$79</f>
        <v>7400</v>
      </c>
      <c r="BW8" s="200">
        <f>第九期!$AG$80</f>
        <v>45520</v>
      </c>
      <c r="BX8" s="173"/>
      <c r="DT8" s="253" t="s">
        <v>21</v>
      </c>
      <c r="DU8" s="254">
        <v>3</v>
      </c>
      <c r="DV8" s="255">
        <f t="shared" si="0"/>
        <v>115</v>
      </c>
      <c r="DW8" s="255">
        <f t="shared" si="1"/>
        <v>0</v>
      </c>
      <c r="DX8" s="255">
        <f t="shared" si="1"/>
        <v>150</v>
      </c>
    </row>
    <row r="9" customHeight="1" spans="2:128">
      <c r="B9" s="7"/>
      <c r="C9" s="8" t="s">
        <v>187</v>
      </c>
      <c r="D9" s="14">
        <v>12000000</v>
      </c>
      <c r="E9" s="9">
        <v>1</v>
      </c>
      <c r="F9" s="10"/>
      <c r="J9" s="11" t="s">
        <v>154</v>
      </c>
      <c r="K9" s="34">
        <f>D5</f>
        <v>150</v>
      </c>
      <c r="M9" s="36" t="s">
        <v>188</v>
      </c>
      <c r="N9" s="31" t="s">
        <v>189</v>
      </c>
      <c r="O9" s="32">
        <f>AJ20</f>
        <v>3556492.57961539</v>
      </c>
      <c r="P9" s="35"/>
      <c r="Q9" s="45"/>
      <c r="X9" s="47" t="s">
        <v>190</v>
      </c>
      <c r="Y9" s="75"/>
      <c r="Z9" s="75"/>
      <c r="AA9" s="75"/>
      <c r="AB9" s="75"/>
      <c r="AC9" s="76">
        <f>SUM(Y9:AB9)</f>
        <v>0</v>
      </c>
      <c r="AE9" s="72">
        <f>SUMPRODUCT(Y96:Y99,AF64:AF67)/SUM(AF64:AF67)</f>
        <v>32.8751235584843</v>
      </c>
      <c r="AF9" s="77">
        <f>CC24*15</f>
        <v>0</v>
      </c>
      <c r="AG9" s="133">
        <f>SUMPRODUCT(Y102:Y105,AF64:AF67)/SUM(AF64:AF67)*20</f>
        <v>20</v>
      </c>
      <c r="AH9" s="32">
        <f>AC9*比赛参数!D26</f>
        <v>0</v>
      </c>
      <c r="AI9" s="134">
        <f>第九期!DB56</f>
        <v>3282.5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>
        <f>SUM(AB131:AE131)*比赛参数!$D$26+SUM(AL131:AO131)*比赛参数!$E$26+SUM(AB154:AE154)*比赛参数!$F$26+SUM(AL154:AO154)*比赛参数!$G$26</f>
        <v>105200</v>
      </c>
      <c r="AT9" s="55">
        <f t="shared" ref="AT9:AT28" si="3">AS9/1300</f>
        <v>80.9230769230769</v>
      </c>
      <c r="AU9" s="175">
        <f t="shared" ref="AU9:AU28" si="4">F95</f>
        <v>1</v>
      </c>
      <c r="AV9" s="176">
        <f t="shared" ref="AV9:AV28" si="5">AU9/AS9</f>
        <v>9.50570342205323e-6</v>
      </c>
      <c r="AW9" s="175">
        <f t="shared" ref="AW9:AW28" si="6">E95</f>
        <v>1</v>
      </c>
      <c r="AX9" s="192">
        <f t="shared" ref="AX9:AX28" si="7">AU9/AW9</f>
        <v>1</v>
      </c>
      <c r="AY9" s="65">
        <f t="shared" ref="AY9:AY28" si="8">X131*AB131+Y131*AC131+Z131*AD131+AA131*AE131+AH131*AL131+AI131*AM131+AJ131*AN131+AK131*AO131+X154*AB154+Y154*AC154+Z154*AD154+AA154*AE154+AH154*AL154+AI154*AM154+AJ154*AN154+AK154*AO154</f>
        <v>2827500</v>
      </c>
      <c r="AZ9" s="193">
        <f t="shared" ref="AZ9:AZ28" si="9">D95</f>
        <v>0</v>
      </c>
      <c r="BA9" s="65">
        <f t="shared" ref="BA9:BA28" si="10">AZ9-AY9</f>
        <v>-2827500</v>
      </c>
      <c r="BB9" s="65">
        <f>IF(BA9&lt;比赛参数!$K$34,0,IF(BA9&lt;比赛参数!$K$35,BA9/(1-比赛参数!$E$36),IF(BA9&lt;比赛参数!$K$36,BA9/(1-比赛参数!$E$34))))</f>
        <v>0</v>
      </c>
      <c r="BC9" s="65">
        <f t="shared" ref="BC9:BC28" si="11">AU9-BA9</f>
        <v>2827501</v>
      </c>
      <c r="BD9" s="101"/>
      <c r="BE9" s="65">
        <f t="shared" ref="BE9:BE28" si="12">BC9-BD9</f>
        <v>2827501</v>
      </c>
      <c r="BF9" s="176">
        <f t="shared" ref="BF9:BF28" si="13">BE9/AS9</f>
        <v>26.8773859315589</v>
      </c>
      <c r="BQ9" s="173"/>
      <c r="BR9" s="196" t="s">
        <v>23</v>
      </c>
      <c r="BS9" s="198">
        <f>第九期!$AH$76</f>
        <v>9550</v>
      </c>
      <c r="BT9" s="198">
        <f>第九期!$AH$77</f>
        <v>9550</v>
      </c>
      <c r="BU9" s="198">
        <f>第九期!$AH$78</f>
        <v>9650</v>
      </c>
      <c r="BV9" s="198">
        <f>第九期!$AH$79</f>
        <v>9850</v>
      </c>
      <c r="BW9" s="200">
        <f>第九期!$AH$80</f>
        <v>45360</v>
      </c>
      <c r="BX9" s="173"/>
      <c r="DT9" s="256" t="s">
        <v>21</v>
      </c>
      <c r="DU9" s="257">
        <v>4</v>
      </c>
      <c r="DV9" s="258">
        <f t="shared" si="0"/>
        <v>123</v>
      </c>
      <c r="DW9" s="258">
        <f t="shared" si="1"/>
        <v>0</v>
      </c>
      <c r="DX9" s="259">
        <f t="shared" si="1"/>
        <v>84</v>
      </c>
    </row>
    <row r="10" customHeight="1" spans="2:128">
      <c r="B10" s="7"/>
      <c r="C10" s="8" t="s">
        <v>191</v>
      </c>
      <c r="D10" s="9">
        <v>0</v>
      </c>
      <c r="E10" s="9">
        <v>1</v>
      </c>
      <c r="F10" s="10"/>
      <c r="J10" s="11" t="s">
        <v>161</v>
      </c>
      <c r="K10" s="34">
        <f>D6</f>
        <v>324800</v>
      </c>
      <c r="M10" s="30"/>
      <c r="N10" s="31" t="s">
        <v>168</v>
      </c>
      <c r="O10" s="37"/>
      <c r="P10" s="35"/>
      <c r="Q10" s="45"/>
      <c r="X10" s="11" t="s">
        <v>192</v>
      </c>
      <c r="Y10" s="75">
        <v>216</v>
      </c>
      <c r="Z10" s="75"/>
      <c r="AA10" s="75"/>
      <c r="AB10" s="75"/>
      <c r="AC10" s="76">
        <f>SUM(Y10:AB10)</f>
        <v>216</v>
      </c>
      <c r="AE10" s="72">
        <f>SUMPRODUCT(Z96:Z99,AG64:AG67)/SUM(AG64:AG67)</f>
        <v>12.7776782732156</v>
      </c>
      <c r="AF10" s="77">
        <f>CD24*15</f>
        <v>11.9399185711337</v>
      </c>
      <c r="AG10" s="133">
        <f>SUMPRODUCT(Z102:Z105,AG64:AG67)/SUM(AG64:AG67)*20</f>
        <v>8.86357941212541</v>
      </c>
      <c r="AH10" s="32">
        <f>AC10*比赛参数!E26</f>
        <v>54000</v>
      </c>
      <c r="AI10" s="134">
        <f>第九期!DB57</f>
        <v>3180.5324715297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>
        <f>SUM(AB132:AE132)*比赛参数!$D$26+SUM(AL132:AO132)*比赛参数!$E$26+SUM(AB155:AE155)*比赛参数!$F$26+SUM(AL155:AO155)*比赛参数!$G$26</f>
        <v>105200</v>
      </c>
      <c r="AT10" s="55">
        <f t="shared" si="3"/>
        <v>80.9230769230769</v>
      </c>
      <c r="AU10" s="175">
        <f t="shared" si="4"/>
        <v>1</v>
      </c>
      <c r="AV10" s="176">
        <f t="shared" si="5"/>
        <v>9.50570342205323e-6</v>
      </c>
      <c r="AW10" s="175">
        <f t="shared" si="6"/>
        <v>1</v>
      </c>
      <c r="AX10" s="192">
        <f t="shared" si="7"/>
        <v>1</v>
      </c>
      <c r="AY10" s="65">
        <f t="shared" si="8"/>
        <v>2827500</v>
      </c>
      <c r="AZ10" s="193">
        <f t="shared" si="9"/>
        <v>0</v>
      </c>
      <c r="BA10" s="65">
        <f t="shared" si="10"/>
        <v>-2827500</v>
      </c>
      <c r="BB10" s="65">
        <f>IF(BA10&lt;比赛参数!$K$34,0,IF(BA10&lt;比赛参数!$K$35,BA10/(1-比赛参数!$E$36),IF(BA10&lt;比赛参数!$K$36,BA10/(1-比赛参数!$E$34))))</f>
        <v>0</v>
      </c>
      <c r="BC10" s="65">
        <f t="shared" si="11"/>
        <v>2827501</v>
      </c>
      <c r="BD10" s="101"/>
      <c r="BE10" s="65">
        <f t="shared" si="12"/>
        <v>2827501</v>
      </c>
      <c r="BF10" s="176">
        <f t="shared" si="13"/>
        <v>26.8773859315589</v>
      </c>
      <c r="BQ10" s="173"/>
      <c r="BR10" s="196" t="s">
        <v>24</v>
      </c>
      <c r="BS10" s="198">
        <f>第九期!$AI$76</f>
        <v>11850</v>
      </c>
      <c r="BT10" s="198">
        <f>第九期!$AI$77</f>
        <v>11850</v>
      </c>
      <c r="BU10" s="198">
        <f>第九期!$AI$78</f>
        <v>12000</v>
      </c>
      <c r="BV10" s="198">
        <f>第九期!$AI$79</f>
        <v>12150</v>
      </c>
      <c r="BW10" s="200">
        <f>第九期!$AI$80</f>
        <v>37860</v>
      </c>
      <c r="BX10" s="173"/>
      <c r="DT10" s="249" t="s">
        <v>22</v>
      </c>
      <c r="DU10" s="260">
        <v>1</v>
      </c>
      <c r="DV10" s="261">
        <f t="shared" si="0"/>
        <v>69</v>
      </c>
      <c r="DW10" s="261">
        <f t="shared" si="1"/>
        <v>6</v>
      </c>
      <c r="DX10" s="261">
        <f t="shared" si="1"/>
        <v>0</v>
      </c>
    </row>
    <row r="11" customHeight="1" spans="2:128">
      <c r="B11" s="7"/>
      <c r="C11" s="8" t="s">
        <v>193</v>
      </c>
      <c r="D11" s="14">
        <v>600000</v>
      </c>
      <c r="E11" s="9">
        <v>1</v>
      </c>
      <c r="F11" s="10"/>
      <c r="J11" s="11" t="s">
        <v>166</v>
      </c>
      <c r="K11" s="34">
        <f>D7</f>
        <v>6071252.62</v>
      </c>
      <c r="M11" s="36" t="s">
        <v>194</v>
      </c>
      <c r="N11" s="32" t="s">
        <v>195</v>
      </c>
      <c r="O11" s="32">
        <f>AL14</f>
        <v>12000000</v>
      </c>
      <c r="P11" s="35"/>
      <c r="Q11" s="45"/>
      <c r="X11" s="11" t="s">
        <v>196</v>
      </c>
      <c r="Y11" s="75">
        <v>63</v>
      </c>
      <c r="Z11" s="75"/>
      <c r="AA11" s="75">
        <v>104</v>
      </c>
      <c r="AB11" s="75">
        <v>26</v>
      </c>
      <c r="AC11" s="76">
        <f>SUM(Y11:AB11)</f>
        <v>193</v>
      </c>
      <c r="AE11" s="72">
        <f>SUMPRODUCT(AA96:AA99,AH64:AH67)/SUM(AH64:AH67)</f>
        <v>9.53097572226809</v>
      </c>
      <c r="AF11" s="77">
        <f>CE24*15</f>
        <v>8.98587668201657</v>
      </c>
      <c r="AG11" s="133">
        <f>SUMPRODUCT(AA102:AA105,AH64:AH67)/SUM(AH64:AH67)*20</f>
        <v>7.49107461990661</v>
      </c>
      <c r="AH11" s="32">
        <f>AC11*比赛参数!F26</f>
        <v>73340</v>
      </c>
      <c r="AI11" s="134">
        <f>第九期!DB58</f>
        <v>3623.0388904039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>
        <f>SUM(AB133:AE133)*比赛参数!$D$26+SUM(AL133:AO133)*比赛参数!$E$26+SUM(AB156:AE156)*比赛参数!$F$26+SUM(AL156:AO156)*比赛参数!$G$26</f>
        <v>105200</v>
      </c>
      <c r="AT11" s="55">
        <f t="shared" si="3"/>
        <v>80.9230769230769</v>
      </c>
      <c r="AU11" s="175">
        <f t="shared" si="4"/>
        <v>1</v>
      </c>
      <c r="AV11" s="176">
        <f t="shared" si="5"/>
        <v>9.50570342205323e-6</v>
      </c>
      <c r="AW11" s="175">
        <f t="shared" si="6"/>
        <v>1</v>
      </c>
      <c r="AX11" s="192">
        <f t="shared" si="7"/>
        <v>1</v>
      </c>
      <c r="AY11" s="65">
        <f t="shared" si="8"/>
        <v>2827500</v>
      </c>
      <c r="AZ11" s="193">
        <f t="shared" si="9"/>
        <v>0</v>
      </c>
      <c r="BA11" s="65">
        <f t="shared" si="10"/>
        <v>-2827500</v>
      </c>
      <c r="BB11" s="65">
        <f>IF(BA11&lt;比赛参数!$K$34,0,IF(BA11&lt;比赛参数!$K$35,BA11/(1-比赛参数!$E$36),IF(BA11&lt;比赛参数!$K$36,BA11/(1-比赛参数!$E$34))))</f>
        <v>0</v>
      </c>
      <c r="BC11" s="65">
        <f t="shared" si="11"/>
        <v>2827501</v>
      </c>
      <c r="BD11" s="101"/>
      <c r="BE11" s="65">
        <f t="shared" si="12"/>
        <v>2827501</v>
      </c>
      <c r="BF11" s="176">
        <f t="shared" si="13"/>
        <v>26.8773859315589</v>
      </c>
      <c r="BQ11" s="173"/>
      <c r="BR11" s="199" t="s">
        <v>197</v>
      </c>
      <c r="BS11" s="200">
        <f>第九期!$AJ$76</f>
        <v>41050</v>
      </c>
      <c r="BT11" s="200">
        <f>第九期!$AJ$77</f>
        <v>40940</v>
      </c>
      <c r="BU11" s="200">
        <f>第九期!$AJ$78</f>
        <v>58370</v>
      </c>
      <c r="BV11" s="200">
        <f>第九期!$AJ$79</f>
        <v>56090</v>
      </c>
      <c r="BW11" s="210"/>
      <c r="BX11" s="173"/>
      <c r="DT11" s="252" t="s">
        <v>22</v>
      </c>
      <c r="DU11" s="250">
        <v>2</v>
      </c>
      <c r="DV11" s="251">
        <f t="shared" si="0"/>
        <v>70</v>
      </c>
      <c r="DW11" s="251">
        <f t="shared" si="1"/>
        <v>7</v>
      </c>
      <c r="DX11" s="251">
        <f t="shared" si="1"/>
        <v>0</v>
      </c>
    </row>
    <row r="12" ht="17.25" customHeight="1" spans="2:128">
      <c r="B12" s="7"/>
      <c r="C12" s="8" t="s">
        <v>198</v>
      </c>
      <c r="D12" s="14">
        <v>300000</v>
      </c>
      <c r="E12" s="9">
        <v>1</v>
      </c>
      <c r="F12" s="10"/>
      <c r="J12" s="11" t="s">
        <v>187</v>
      </c>
      <c r="K12" s="34">
        <f>D9</f>
        <v>12000000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74</v>
      </c>
      <c r="AB12" s="75">
        <v>56</v>
      </c>
      <c r="AC12" s="78">
        <f>SUM(Y12:AB12)</f>
        <v>130</v>
      </c>
      <c r="AE12" s="72">
        <f>SUMPRODUCT(AB96:AB99,AI64:AI67)/SUM(AI64:AI67)</f>
        <v>7.03179776166757</v>
      </c>
      <c r="AF12" s="77">
        <f>CF24*15</f>
        <v>6.58898815649073</v>
      </c>
      <c r="AG12" s="133">
        <f>SUMPRODUCT(AB102:AB105,AI64:AI67)/SUM(AI64:AI67)*20</f>
        <v>6.10253865413171</v>
      </c>
      <c r="AH12" s="32">
        <f>AC12*比赛参数!G26</f>
        <v>67600</v>
      </c>
      <c r="AI12" s="134">
        <f>第九期!DB59</f>
        <v>3661.77677155101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>
        <f>SUM(AB134:AE134)*比赛参数!$D$26+SUM(AL134:AO134)*比赛参数!$E$26+SUM(AB157:AE157)*比赛参数!$F$26+SUM(AL157:AO157)*比赛参数!$G$26</f>
        <v>105200</v>
      </c>
      <c r="AT12" s="55">
        <f t="shared" si="3"/>
        <v>80.9230769230769</v>
      </c>
      <c r="AU12" s="175">
        <f t="shared" si="4"/>
        <v>1</v>
      </c>
      <c r="AV12" s="176">
        <f t="shared" si="5"/>
        <v>9.50570342205323e-6</v>
      </c>
      <c r="AW12" s="175">
        <f t="shared" si="6"/>
        <v>1</v>
      </c>
      <c r="AX12" s="192">
        <f t="shared" si="7"/>
        <v>1</v>
      </c>
      <c r="AY12" s="65">
        <f t="shared" si="8"/>
        <v>2827500</v>
      </c>
      <c r="AZ12" s="193">
        <f t="shared" si="9"/>
        <v>0</v>
      </c>
      <c r="BA12" s="65">
        <f t="shared" si="10"/>
        <v>-2827500</v>
      </c>
      <c r="BB12" s="65">
        <f>IF(BA12&lt;比赛参数!$K$34,0,IF(BA12&lt;比赛参数!$K$35,BA12/(1-比赛参数!$E$36),IF(BA12&lt;比赛参数!$K$36,BA12/(1-比赛参数!$E$34))))</f>
        <v>0</v>
      </c>
      <c r="BC12" s="65">
        <f t="shared" si="11"/>
        <v>2827501</v>
      </c>
      <c r="BD12" s="101"/>
      <c r="BE12" s="65">
        <f t="shared" si="12"/>
        <v>2827501</v>
      </c>
      <c r="BF12" s="176">
        <f t="shared" si="13"/>
        <v>26.8773859315589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103</v>
      </c>
      <c r="DW12" s="251">
        <f t="shared" si="1"/>
        <v>9</v>
      </c>
      <c r="DX12" s="251">
        <f t="shared" si="1"/>
        <v>0</v>
      </c>
    </row>
    <row r="13" customHeight="1" spans="2:128">
      <c r="B13" s="7"/>
      <c r="C13" s="8" t="s">
        <v>100</v>
      </c>
      <c r="D13" s="14">
        <v>116306.35</v>
      </c>
      <c r="E13" s="9">
        <v>1</v>
      </c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1950000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81.6923076923077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57.6153846153846</v>
      </c>
      <c r="AB13" s="79">
        <f>(AB9*比赛参数!D27+AB10*比赛参数!E27+AB11*比赛参数!F27+AB12*比赛参数!G27)/260</f>
        <v>54.7692307692308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第九期!BU86</f>
        <v>5367762.36538462</v>
      </c>
      <c r="AG13" s="135" t="s">
        <v>203</v>
      </c>
      <c r="AH13" s="136">
        <f>第九期!BV76</f>
        <v>3188155.12</v>
      </c>
      <c r="AI13" s="42" t="s">
        <v>204</v>
      </c>
      <c r="AJ13" s="137">
        <f>SUMPRODUCT(AE4:AE7,AH9:AH12)</f>
        <v>2430669.48042464</v>
      </c>
      <c r="AL13" s="48"/>
      <c r="AQ13" s="173"/>
      <c r="AR13" s="11">
        <v>5</v>
      </c>
      <c r="AS13" s="65">
        <f>SUM(AB135:AE135)*比赛参数!$D$26+SUM(AL135:AO135)*比赛参数!$E$26+SUM(AB158:AE158)*比赛参数!$F$26+SUM(AL158:AO158)*比赛参数!$G$26</f>
        <v>105200</v>
      </c>
      <c r="AT13" s="55">
        <f t="shared" si="3"/>
        <v>80.9230769230769</v>
      </c>
      <c r="AU13" s="175">
        <f t="shared" si="4"/>
        <v>1</v>
      </c>
      <c r="AV13" s="176">
        <f t="shared" si="5"/>
        <v>9.50570342205323e-6</v>
      </c>
      <c r="AW13" s="175">
        <f t="shared" si="6"/>
        <v>1</v>
      </c>
      <c r="AX13" s="192">
        <f t="shared" si="7"/>
        <v>1</v>
      </c>
      <c r="AY13" s="65">
        <f t="shared" si="8"/>
        <v>2827500</v>
      </c>
      <c r="AZ13" s="193">
        <f t="shared" si="9"/>
        <v>0</v>
      </c>
      <c r="BA13" s="65">
        <f t="shared" si="10"/>
        <v>-2827500</v>
      </c>
      <c r="BB13" s="65">
        <f>IF(BA13&lt;比赛参数!$K$34,0,IF(BA13&lt;比赛参数!$K$35,BA13/(1-比赛参数!$E$36),IF(BA13&lt;比赛参数!$K$36,BA13/(1-比赛参数!$E$34))))</f>
        <v>0</v>
      </c>
      <c r="BC13" s="65">
        <f t="shared" si="11"/>
        <v>2827501</v>
      </c>
      <c r="BD13" s="101"/>
      <c r="BE13" s="65">
        <f t="shared" si="12"/>
        <v>2827501</v>
      </c>
      <c r="BF13" s="176">
        <f t="shared" si="13"/>
        <v>26.8773859315589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106</v>
      </c>
      <c r="DW13" s="264">
        <f t="shared" si="1"/>
        <v>13</v>
      </c>
      <c r="DX13" s="265">
        <f t="shared" si="1"/>
        <v>0</v>
      </c>
    </row>
    <row r="14" customHeight="1" spans="2:128">
      <c r="B14" s="7"/>
      <c r="C14" s="8" t="s">
        <v>206</v>
      </c>
      <c r="D14" s="14">
        <v>4171.38</v>
      </c>
      <c r="E14" s="9">
        <v>1</v>
      </c>
      <c r="F14" s="10"/>
      <c r="J14" s="11" t="s">
        <v>193</v>
      </c>
      <c r="K14" s="34">
        <f>D11</f>
        <v>600000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149.884615384615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150</v>
      </c>
      <c r="AB14" s="79">
        <f>(AB9*比赛参数!D26+AB10*比赛参数!E26+AB11*比赛参数!F26+AB12*比赛参数!G26)/260</f>
        <v>150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第九期!BW92</f>
        <v>625007.634615384</v>
      </c>
      <c r="AG14" s="73" t="s">
        <v>208</v>
      </c>
      <c r="AH14" s="138"/>
      <c r="AI14" s="42" t="s">
        <v>93</v>
      </c>
      <c r="AJ14" s="139">
        <f>第九期!K12</f>
        <v>12000000</v>
      </c>
      <c r="AK14" s="42" t="s">
        <v>209</v>
      </c>
      <c r="AL14" s="91">
        <f>AJ14-AH14</f>
        <v>12000000</v>
      </c>
      <c r="AQ14" s="173"/>
      <c r="AR14" s="11">
        <v>6</v>
      </c>
      <c r="AS14" s="65">
        <f>SUM(AB136:AE136)*比赛参数!$D$26+SUM(AL136:AO136)*比赛参数!$E$26+SUM(AB159:AE159)*比赛参数!$F$26+SUM(AL159:AO159)*比赛参数!$G$26</f>
        <v>105200</v>
      </c>
      <c r="AT14" s="55">
        <f t="shared" si="3"/>
        <v>80.9230769230769</v>
      </c>
      <c r="AU14" s="175">
        <f t="shared" si="4"/>
        <v>1</v>
      </c>
      <c r="AV14" s="176">
        <f t="shared" si="5"/>
        <v>9.50570342205323e-6</v>
      </c>
      <c r="AW14" s="175">
        <f t="shared" si="6"/>
        <v>1</v>
      </c>
      <c r="AX14" s="192">
        <f t="shared" si="7"/>
        <v>1</v>
      </c>
      <c r="AY14" s="65">
        <f t="shared" si="8"/>
        <v>2827500</v>
      </c>
      <c r="AZ14" s="193">
        <f t="shared" si="9"/>
        <v>0</v>
      </c>
      <c r="BA14" s="65">
        <f t="shared" si="10"/>
        <v>-2827500</v>
      </c>
      <c r="BB14" s="65">
        <f>IF(BA14&lt;比赛参数!$K$34,0,IF(BA14&lt;比赛参数!$K$35,BA14/(1-比赛参数!$E$36),IF(BA14&lt;比赛参数!$K$36,BA14/(1-比赛参数!$E$34))))</f>
        <v>0</v>
      </c>
      <c r="BC14" s="65">
        <f t="shared" si="11"/>
        <v>2827501</v>
      </c>
      <c r="BD14" s="101"/>
      <c r="BE14" s="65">
        <f t="shared" si="12"/>
        <v>2827501</v>
      </c>
      <c r="BF14" s="176">
        <f t="shared" si="13"/>
        <v>26.8773859315589</v>
      </c>
      <c r="BQ14" s="173"/>
      <c r="BR14" s="197" t="s">
        <v>21</v>
      </c>
      <c r="BS14" s="198">
        <f>第九期!Y88</f>
        <v>10</v>
      </c>
      <c r="BT14" s="198">
        <f>第九期!Y89</f>
        <v>20</v>
      </c>
      <c r="BU14" s="198">
        <f>第九期!Y90</f>
        <v>30</v>
      </c>
      <c r="BV14" s="198">
        <f>第九期!Y91</f>
        <v>60</v>
      </c>
      <c r="BW14" s="202"/>
      <c r="BX14" s="173"/>
      <c r="DT14" s="249" t="s">
        <v>23</v>
      </c>
      <c r="DU14" s="260">
        <v>1</v>
      </c>
      <c r="DV14" s="261">
        <f t="shared" si="0"/>
        <v>74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210</v>
      </c>
      <c r="D15" s="14">
        <v>4171.38</v>
      </c>
      <c r="E15" s="9">
        <v>1</v>
      </c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0.999230769230769</v>
      </c>
      <c r="Z15" s="86">
        <f>(Z14+AA14)/AA20</f>
        <v>1</v>
      </c>
      <c r="AA15" s="87"/>
      <c r="AB15" s="88">
        <f>AB14/AA20</f>
        <v>1</v>
      </c>
      <c r="AC15" s="89" t="str">
        <f>IF(AC21&lt;=AC20,"材料 YES","材料 NO")</f>
        <v>材料 YES</v>
      </c>
      <c r="AE15" s="83" t="s">
        <v>105</v>
      </c>
      <c r="AF15" s="90">
        <f>AF14/(Y18+第九期!K8-AA18)</f>
        <v>3472.26463675213</v>
      </c>
      <c r="AG15" s="73" t="s">
        <v>214</v>
      </c>
      <c r="AH15" s="138">
        <v>1400000</v>
      </c>
      <c r="AI15" s="42" t="s">
        <v>215</v>
      </c>
      <c r="AJ15" s="139">
        <f>第九期!K16*0.5-第九期!K14</f>
        <v>6751907.075</v>
      </c>
      <c r="AK15" s="42" t="s">
        <v>216</v>
      </c>
      <c r="AL15" s="111">
        <f>O20*0.5-O13</f>
        <v>5515659.74711538</v>
      </c>
      <c r="AQ15" s="173"/>
      <c r="AR15" s="11">
        <v>7</v>
      </c>
      <c r="AS15" s="65">
        <f>SUM(AB137:AE137)*比赛参数!$D$26+SUM(AL137:AO137)*比赛参数!$E$26+SUM(AB160:AE160)*比赛参数!$F$26+SUM(AL160:AO160)*比赛参数!$G$26</f>
        <v>105200</v>
      </c>
      <c r="AT15" s="55">
        <f t="shared" si="3"/>
        <v>80.9230769230769</v>
      </c>
      <c r="AU15" s="175">
        <f t="shared" si="4"/>
        <v>1</v>
      </c>
      <c r="AV15" s="176">
        <f t="shared" si="5"/>
        <v>9.50570342205323e-6</v>
      </c>
      <c r="AW15" s="175">
        <f t="shared" si="6"/>
        <v>1</v>
      </c>
      <c r="AX15" s="192">
        <f t="shared" si="7"/>
        <v>1</v>
      </c>
      <c r="AY15" s="65">
        <f t="shared" si="8"/>
        <v>2827500</v>
      </c>
      <c r="AZ15" s="193">
        <f t="shared" si="9"/>
        <v>0</v>
      </c>
      <c r="BA15" s="65">
        <f t="shared" si="10"/>
        <v>-2827500</v>
      </c>
      <c r="BB15" s="65">
        <f>IF(BA15&lt;比赛参数!$K$34,0,IF(BA15&lt;比赛参数!$K$35,BA15/(1-比赛参数!$E$36),IF(BA15&lt;比赛参数!$K$36,BA15/(1-比赛参数!$E$34))))</f>
        <v>0</v>
      </c>
      <c r="BC15" s="65">
        <f t="shared" si="11"/>
        <v>2827501</v>
      </c>
      <c r="BD15" s="101"/>
      <c r="BE15" s="65">
        <f t="shared" si="12"/>
        <v>2827501</v>
      </c>
      <c r="BF15" s="176">
        <f t="shared" si="13"/>
        <v>26.8773859315589</v>
      </c>
      <c r="BQ15" s="173"/>
      <c r="BR15" s="196" t="s">
        <v>22</v>
      </c>
      <c r="BS15" s="198">
        <f>第九期!Z88</f>
        <v>46</v>
      </c>
      <c r="BT15" s="198">
        <f>第九期!Z89</f>
        <v>46</v>
      </c>
      <c r="BU15" s="198">
        <f>第九期!Z90</f>
        <v>69</v>
      </c>
      <c r="BV15" s="198">
        <f>第九期!Z91</f>
        <v>70</v>
      </c>
      <c r="BW15" s="202"/>
      <c r="BX15" s="173"/>
      <c r="DT15" s="252" t="s">
        <v>23</v>
      </c>
      <c r="DU15" s="250">
        <v>2</v>
      </c>
      <c r="DV15" s="251">
        <f t="shared" si="0"/>
        <v>74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211</v>
      </c>
      <c r="D16" s="14">
        <v>0</v>
      </c>
      <c r="E16" s="9">
        <v>1</v>
      </c>
      <c r="F16" s="10">
        <f>D16*4</f>
        <v>0</v>
      </c>
      <c r="J16" s="11" t="s">
        <v>104</v>
      </c>
      <c r="K16" s="34">
        <f>D18</f>
        <v>14703814.15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第九期!DM60</f>
        <v>94000</v>
      </c>
      <c r="Z16" s="92" t="s">
        <v>218</v>
      </c>
      <c r="AA16" s="93">
        <f>AH20+Y16+第九期!K9*比赛参数!D30*比赛参数!F30</f>
        <v>1735640</v>
      </c>
      <c r="AB16" s="73" t="s">
        <v>219</v>
      </c>
      <c r="AC16" s="94">
        <f>Y20-Y21</f>
        <v>0.192307692307679</v>
      </c>
      <c r="AE16" s="83" t="s">
        <v>220</v>
      </c>
      <c r="AF16" s="95">
        <f>AJ13/SUM(AH9:AH12)</f>
        <v>12.4688082508702</v>
      </c>
      <c r="AG16" s="83" t="s">
        <v>221</v>
      </c>
      <c r="AH16" s="140">
        <f>AF14/AL111</f>
        <v>3906.29771634615</v>
      </c>
      <c r="AI16" s="42" t="s">
        <v>222</v>
      </c>
      <c r="AJ16" s="141">
        <f>BS75+BS76</f>
        <v>392950</v>
      </c>
      <c r="AK16" s="142">
        <f>AJ16/BS77</f>
        <v>0.0655706793352657</v>
      </c>
      <c r="AL16" s="143"/>
      <c r="AQ16" s="173"/>
      <c r="AR16" s="11">
        <v>8</v>
      </c>
      <c r="AS16" s="65">
        <f>SUM(AB138:AE138)*比赛参数!$D$26+SUM(AL138:AO138)*比赛参数!$E$26+SUM(AB161:AE161)*比赛参数!$F$26+SUM(AL161:AO161)*比赛参数!$G$26</f>
        <v>105200</v>
      </c>
      <c r="AT16" s="55">
        <f t="shared" si="3"/>
        <v>80.9230769230769</v>
      </c>
      <c r="AU16" s="175">
        <f t="shared" si="4"/>
        <v>1</v>
      </c>
      <c r="AV16" s="176">
        <f t="shared" si="5"/>
        <v>9.50570342205323e-6</v>
      </c>
      <c r="AW16" s="175">
        <f t="shared" si="6"/>
        <v>1</v>
      </c>
      <c r="AX16" s="192">
        <f t="shared" si="7"/>
        <v>1</v>
      </c>
      <c r="AY16" s="65">
        <f t="shared" si="8"/>
        <v>2827500</v>
      </c>
      <c r="AZ16" s="193">
        <f t="shared" si="9"/>
        <v>0</v>
      </c>
      <c r="BA16" s="65">
        <f t="shared" si="10"/>
        <v>-2827500</v>
      </c>
      <c r="BB16" s="65">
        <f>IF(BA16&lt;比赛参数!$K$34,0,IF(BA16&lt;比赛参数!$K$35,BA16/(1-比赛参数!$E$36),IF(BA16&lt;比赛参数!$K$36,BA16/(1-比赛参数!$E$34))))</f>
        <v>0</v>
      </c>
      <c r="BC16" s="65">
        <f t="shared" si="11"/>
        <v>2827501</v>
      </c>
      <c r="BD16" s="101"/>
      <c r="BE16" s="65">
        <f t="shared" si="12"/>
        <v>2827501</v>
      </c>
      <c r="BF16" s="176">
        <f t="shared" si="13"/>
        <v>26.8773859315589</v>
      </c>
      <c r="BQ16" s="173"/>
      <c r="BR16" s="196" t="s">
        <v>23</v>
      </c>
      <c r="BS16" s="198">
        <f>第九期!AA88</f>
        <v>29</v>
      </c>
      <c r="BT16" s="198">
        <f>第九期!AA89</f>
        <v>29</v>
      </c>
      <c r="BU16" s="198">
        <f>第九期!AA90</f>
        <v>42</v>
      </c>
      <c r="BV16" s="198">
        <f>第九期!AA91</f>
        <v>44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67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9">
        <v>0</v>
      </c>
      <c r="E17" s="9">
        <v>1</v>
      </c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999.999999999932</v>
      </c>
      <c r="AE17" s="83" t="s">
        <v>233</v>
      </c>
      <c r="AF17" s="100">
        <f>(AE9*SUM(AF64:AF67)+AE10*SUM(AG64:AG67)+AE11*SUM(AH64:AH67)+AE12*SUM(AI64:AI67))/SUM(AF64:AI67)</f>
        <v>23.7315234378185</v>
      </c>
      <c r="AG17" s="2" t="s">
        <v>106</v>
      </c>
      <c r="AH17" s="2">
        <f>AF14/(O20+O13)</f>
        <v>0.0370236245353322</v>
      </c>
      <c r="AI17" s="48"/>
      <c r="AJ17" s="48"/>
      <c r="AK17" s="48"/>
      <c r="AL17" s="48"/>
      <c r="AQ17" s="173"/>
      <c r="AR17" s="11">
        <v>9</v>
      </c>
      <c r="AS17" s="65">
        <f>SUM(AB139:AE139)*比赛参数!$D$26+SUM(AL139:AO139)*比赛参数!$E$26+SUM(AB162:AE162)*比赛参数!$F$26+SUM(AL162:AO162)*比赛参数!$G$26</f>
        <v>105200</v>
      </c>
      <c r="AT17" s="55">
        <f t="shared" si="3"/>
        <v>80.9230769230769</v>
      </c>
      <c r="AU17" s="175">
        <f t="shared" si="4"/>
        <v>1</v>
      </c>
      <c r="AV17" s="176">
        <f t="shared" si="5"/>
        <v>9.50570342205323e-6</v>
      </c>
      <c r="AW17" s="175">
        <f t="shared" si="6"/>
        <v>1</v>
      </c>
      <c r="AX17" s="192">
        <f t="shared" si="7"/>
        <v>1</v>
      </c>
      <c r="AY17" s="65">
        <f t="shared" si="8"/>
        <v>2827500</v>
      </c>
      <c r="AZ17" s="193">
        <f t="shared" si="9"/>
        <v>0</v>
      </c>
      <c r="BA17" s="65">
        <f t="shared" si="10"/>
        <v>-2827500</v>
      </c>
      <c r="BB17" s="65">
        <f>IF(BA17&lt;比赛参数!$K$34,0,IF(BA17&lt;比赛参数!$K$35,BA17/(1-比赛参数!$E$36),IF(BA17&lt;比赛参数!$K$36,BA17/(1-比赛参数!$E$34))))</f>
        <v>0</v>
      </c>
      <c r="BC17" s="65">
        <f t="shared" si="11"/>
        <v>2827501</v>
      </c>
      <c r="BD17" s="101"/>
      <c r="BE17" s="65">
        <f t="shared" si="12"/>
        <v>2827501</v>
      </c>
      <c r="BF17" s="176">
        <f t="shared" si="13"/>
        <v>26.8773859315589</v>
      </c>
      <c r="BQ17" s="173"/>
      <c r="BR17" s="196" t="s">
        <v>24</v>
      </c>
      <c r="BS17" s="198">
        <f>第九期!AB88</f>
        <v>20</v>
      </c>
      <c r="BT17" s="198">
        <f>第九期!AB89</f>
        <v>20</v>
      </c>
      <c r="BU17" s="198">
        <f>第九期!AB90</f>
        <v>27</v>
      </c>
      <c r="BV17" s="198">
        <f>第九期!AB91</f>
        <v>30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80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104</v>
      </c>
      <c r="D18" s="14">
        <v>14703814.15</v>
      </c>
      <c r="E18" s="9">
        <v>1</v>
      </c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54</v>
      </c>
      <c r="Z18" s="11" t="s">
        <v>235</v>
      </c>
      <c r="AA18" s="101">
        <v>4</v>
      </c>
      <c r="AB18" s="11" t="s">
        <v>236</v>
      </c>
      <c r="AC18" s="102">
        <v>968750</v>
      </c>
      <c r="AE18" s="11" t="s">
        <v>237</v>
      </c>
      <c r="AF18" s="103">
        <v>64</v>
      </c>
      <c r="AG18" s="73" t="s">
        <v>108</v>
      </c>
      <c r="AH18" s="144">
        <v>1</v>
      </c>
      <c r="AI18" s="73" t="s">
        <v>238</v>
      </c>
      <c r="AJ18" s="102">
        <v>210000</v>
      </c>
      <c r="AK18" s="42" t="s">
        <v>239</v>
      </c>
      <c r="AL18" s="145">
        <f>AL109</f>
        <v>150</v>
      </c>
      <c r="AQ18" s="173"/>
      <c r="AR18" s="11">
        <v>10</v>
      </c>
      <c r="AS18" s="65">
        <f>SUM(AB140:AE140)*比赛参数!$D$26+SUM(AL140:AO140)*比赛参数!$E$26+SUM(AB163:AE163)*比赛参数!$F$26+SUM(AL163:AO163)*比赛参数!$G$26</f>
        <v>105200</v>
      </c>
      <c r="AT18" s="55">
        <f t="shared" si="3"/>
        <v>80.9230769230769</v>
      </c>
      <c r="AU18" s="175">
        <f t="shared" si="4"/>
        <v>1</v>
      </c>
      <c r="AV18" s="176">
        <f t="shared" si="5"/>
        <v>9.50570342205323e-6</v>
      </c>
      <c r="AW18" s="175">
        <f t="shared" si="6"/>
        <v>1</v>
      </c>
      <c r="AX18" s="192">
        <f t="shared" si="7"/>
        <v>1</v>
      </c>
      <c r="AY18" s="65">
        <f t="shared" si="8"/>
        <v>2827500</v>
      </c>
      <c r="AZ18" s="193">
        <f t="shared" si="9"/>
        <v>0</v>
      </c>
      <c r="BA18" s="65">
        <f t="shared" si="10"/>
        <v>-2827500</v>
      </c>
      <c r="BB18" s="65">
        <f>IF(BA18&lt;比赛参数!$K$34,0,IF(BA18&lt;比赛参数!$K$35,BA18/(1-比赛参数!$E$36),IF(BA18&lt;比赛参数!$K$36,BA18/(1-比赛参数!$E$34))))</f>
        <v>0</v>
      </c>
      <c r="BC18" s="65">
        <f t="shared" si="11"/>
        <v>2827501</v>
      </c>
      <c r="BD18" s="101"/>
      <c r="BE18" s="65">
        <f t="shared" si="12"/>
        <v>2827501</v>
      </c>
      <c r="BF18" s="176">
        <f t="shared" si="13"/>
        <v>26.8773859315589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80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>
        <v>894.66</v>
      </c>
      <c r="E19" s="9">
        <v>1</v>
      </c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第九期!K8*比赛参数!D57</f>
        <v>65</v>
      </c>
      <c r="Z19" s="104" t="s">
        <v>244</v>
      </c>
      <c r="AA19" s="99">
        <f>第九期!K8*比赛参数!D60</f>
        <v>3.9</v>
      </c>
      <c r="AB19" s="104" t="s">
        <v>244</v>
      </c>
      <c r="AC19" s="105">
        <f>IF((AC21-第九期!K10)/比赛参数!D41&gt;0,(AC21-第九期!K10)/比赛参数!D41,0)</f>
        <v>968750</v>
      </c>
      <c r="AE19" s="42" t="s">
        <v>36</v>
      </c>
      <c r="AF19" s="106">
        <f>BS67</f>
        <v>0</v>
      </c>
      <c r="AG19" s="48"/>
      <c r="AH19" s="48"/>
      <c r="AI19" s="146" t="s">
        <v>245</v>
      </c>
      <c r="AJ19" s="105">
        <f>IF((第九期!BW92-第九期!BS87)&gt;0,第九期!BW92-第九期!BS87,0)</f>
        <v>437505.344230769</v>
      </c>
      <c r="AK19" s="42" t="s">
        <v>246</v>
      </c>
      <c r="AL19" s="145">
        <f>AL110</f>
        <v>160</v>
      </c>
      <c r="AM19" s="2" t="s">
        <v>247</v>
      </c>
      <c r="AR19" s="11">
        <v>11</v>
      </c>
      <c r="AS19" s="65">
        <f>SUM(AB141:AE141)*比赛参数!$D$26+SUM(AL141:AO141)*比赛参数!$E$26+SUM(AB164:AE164)*比赛参数!$F$26+SUM(AL164:AO164)*比赛参数!$G$26</f>
        <v>105200</v>
      </c>
      <c r="AT19" s="55">
        <f t="shared" si="3"/>
        <v>80.9230769230769</v>
      </c>
      <c r="AU19" s="175">
        <f t="shared" si="4"/>
        <v>1</v>
      </c>
      <c r="AV19" s="176">
        <f t="shared" si="5"/>
        <v>9.50570342205323e-6</v>
      </c>
      <c r="AW19" s="175">
        <f t="shared" si="6"/>
        <v>1</v>
      </c>
      <c r="AX19" s="192">
        <f t="shared" si="7"/>
        <v>1</v>
      </c>
      <c r="AY19" s="65">
        <f t="shared" si="8"/>
        <v>2827500</v>
      </c>
      <c r="AZ19" s="193">
        <f t="shared" si="9"/>
        <v>0</v>
      </c>
      <c r="BA19" s="65">
        <f t="shared" si="10"/>
        <v>-2827500</v>
      </c>
      <c r="BB19" s="65">
        <f>IF(BA19&lt;比赛参数!$K$34,0,IF(BA19&lt;比赛参数!$K$35,BA19/(1-比赛参数!$E$36),IF(BA19&lt;比赛参数!$K$36,BA19/(1-比赛参数!$E$34))))</f>
        <v>0</v>
      </c>
      <c r="BC19" s="65">
        <f t="shared" si="11"/>
        <v>2827501</v>
      </c>
      <c r="BD19" s="101"/>
      <c r="BE19" s="65">
        <f t="shared" si="12"/>
        <v>2827501</v>
      </c>
      <c r="BF19" s="176">
        <f t="shared" si="13"/>
        <v>26.8773859315589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第九期!$CX$68</f>
        <v>0</v>
      </c>
      <c r="CD19" s="110">
        <f>第九期!$CX$69</f>
        <v>0.778244060029166</v>
      </c>
      <c r="CE19" s="110">
        <f>第九期!$CX$70</f>
        <v>0.599541446581177</v>
      </c>
      <c r="CF19" s="110">
        <f>第九期!$CX$71</f>
        <v>0.441654380647074</v>
      </c>
      <c r="CG19" s="219"/>
      <c r="CH19" s="225"/>
      <c r="CI19" s="226" t="s">
        <v>55</v>
      </c>
      <c r="CJ19" s="110">
        <f>第九期!$CX$50</f>
        <v>0</v>
      </c>
      <c r="CK19" s="110">
        <f>第九期!$CX$51</f>
        <v>3936.4675284703</v>
      </c>
      <c r="CL19" s="110">
        <f>第九期!$CX$52</f>
        <v>5970.4611095961</v>
      </c>
      <c r="CM19" s="110">
        <f>第九期!$CX$53</f>
        <v>8219.72322844899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81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106</v>
      </c>
      <c r="D20" s="9">
        <v>0.0076</v>
      </c>
      <c r="E20" s="9">
        <v>1</v>
      </c>
      <c r="F20" s="10"/>
      <c r="M20" s="30"/>
      <c r="N20" s="32" t="s">
        <v>104</v>
      </c>
      <c r="O20" s="38">
        <f>K16+AJ19-AJ18</f>
        <v>14931319.4942308</v>
      </c>
      <c r="P20" s="35"/>
      <c r="Q20" s="45"/>
      <c r="W20" s="50"/>
      <c r="X20" s="42" t="s">
        <v>249</v>
      </c>
      <c r="Y20" s="107">
        <f>第九期!K8+第九期!Y18*比赛参数!D59-第九期!AA18</f>
        <v>139.5</v>
      </c>
      <c r="Z20" s="42" t="s">
        <v>239</v>
      </c>
      <c r="AA20" s="108">
        <f>第九期!K9</f>
        <v>150</v>
      </c>
      <c r="AB20" s="42" t="s">
        <v>250</v>
      </c>
      <c r="AC20" s="109">
        <f>AC18*比赛参数!D41+第九期!K10</f>
        <v>1099800</v>
      </c>
      <c r="AE20" s="11" t="s">
        <v>251</v>
      </c>
      <c r="AF20" s="101"/>
      <c r="AG20" s="42" t="s">
        <v>87</v>
      </c>
      <c r="AH20" s="147">
        <f>第九期!BS62+第九期!BS71</f>
        <v>1041640</v>
      </c>
      <c r="AI20" s="73" t="s">
        <v>252</v>
      </c>
      <c r="AJ20" s="111">
        <f>第九期!BV90</f>
        <v>3556492.57961539</v>
      </c>
      <c r="AK20" s="148" t="s">
        <v>253</v>
      </c>
      <c r="AL20" s="145">
        <f>AL111</f>
        <v>160</v>
      </c>
      <c r="AM20" s="2">
        <f>AF14/AL20/1300</f>
        <v>3.00484439718935</v>
      </c>
      <c r="AR20" s="11">
        <v>12</v>
      </c>
      <c r="AS20" s="65">
        <f>SUM(AB142:AE142)*比赛参数!$D$26+SUM(AL142:AO142)*比赛参数!$E$26+SUM(AB165:AE165)*比赛参数!$F$26+SUM(AL165:AO165)*比赛参数!$G$26</f>
        <v>105200</v>
      </c>
      <c r="AT20" s="55">
        <f t="shared" si="3"/>
        <v>80.9230769230769</v>
      </c>
      <c r="AU20" s="175">
        <f t="shared" si="4"/>
        <v>1</v>
      </c>
      <c r="AV20" s="176">
        <f t="shared" si="5"/>
        <v>9.50570342205323e-6</v>
      </c>
      <c r="AW20" s="175">
        <f t="shared" si="6"/>
        <v>1</v>
      </c>
      <c r="AX20" s="192">
        <f t="shared" si="7"/>
        <v>1</v>
      </c>
      <c r="AY20" s="65">
        <f t="shared" si="8"/>
        <v>2827500</v>
      </c>
      <c r="AZ20" s="193">
        <f t="shared" si="9"/>
        <v>0</v>
      </c>
      <c r="BA20" s="65">
        <f t="shared" si="10"/>
        <v>-2827500</v>
      </c>
      <c r="BB20" s="65">
        <f>IF(BA20&lt;比赛参数!$K$34,0,IF(BA20&lt;比赛参数!$K$35,BA20/(1-比赛参数!$E$36),IF(BA20&lt;比赛参数!$K$36,BA20/(1-比赛参数!$E$34))))</f>
        <v>0</v>
      </c>
      <c r="BC20" s="65">
        <f t="shared" si="11"/>
        <v>2827501</v>
      </c>
      <c r="BD20" s="101"/>
      <c r="BE20" s="65">
        <f t="shared" si="12"/>
        <v>2827501</v>
      </c>
      <c r="BF20" s="176">
        <f t="shared" si="13"/>
        <v>26.8773859315589</v>
      </c>
      <c r="BR20" s="197" t="s">
        <v>21</v>
      </c>
      <c r="BS20" s="198">
        <f>第九期!Y9</f>
        <v>0</v>
      </c>
      <c r="BT20" s="198">
        <f>第九期!Z9</f>
        <v>0</v>
      </c>
      <c r="BU20" s="198">
        <f>第九期!AA9</f>
        <v>0</v>
      </c>
      <c r="BV20" s="198">
        <f>第九期!AB9</f>
        <v>0</v>
      </c>
      <c r="BW20" s="200">
        <f>第九期!AJ34</f>
        <v>120000</v>
      </c>
      <c r="BX20" s="215"/>
      <c r="CA20" s="213"/>
      <c r="CB20" s="196" t="s">
        <v>56</v>
      </c>
      <c r="CC20" s="110">
        <f>第九期!$CY$68</f>
        <v>0</v>
      </c>
      <c r="CD20" s="110">
        <f>第九期!$CY$69</f>
        <v>0.817017261863721</v>
      </c>
      <c r="CE20" s="110">
        <f>第九期!$CY$70</f>
        <v>0.630120917651429</v>
      </c>
      <c r="CF20" s="110">
        <f>第九期!$CY$71</f>
        <v>0.466271445461787</v>
      </c>
      <c r="CG20" s="219"/>
      <c r="CH20" s="225"/>
      <c r="CI20" s="227" t="s">
        <v>56</v>
      </c>
      <c r="CJ20" s="110">
        <f>第九期!$CY$50</f>
        <v>0</v>
      </c>
      <c r="CK20" s="110">
        <f>第九期!$CY$51</f>
        <v>3852.4675284703</v>
      </c>
      <c r="CL20" s="110">
        <f>第九期!$CY$52</f>
        <v>5858.4611095961</v>
      </c>
      <c r="CM20" s="110">
        <f>第九期!$CY$53</f>
        <v>8081.72322844899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80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>
        <v>0</v>
      </c>
      <c r="E21" s="9">
        <v>1</v>
      </c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139.307692307692</v>
      </c>
      <c r="Z21" s="42" t="s">
        <v>256</v>
      </c>
      <c r="AA21" s="110">
        <f>MAX(Y14,Z14+AA14,AB14)</f>
        <v>150</v>
      </c>
      <c r="AB21" s="42" t="s">
        <v>257</v>
      </c>
      <c r="AC21" s="111">
        <f>AC9*比赛参数!D28+AC10*比赛参数!E28+AC11*比赛参数!F28+AC12*比赛参数!G28</f>
        <v>1099800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209525.546754347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>
        <f>SUM(AB143:AE143)*比赛参数!$D$26+SUM(AL143:AO143)*比赛参数!$E$26+SUM(AB166:AE166)*比赛参数!$F$26+SUM(AL166:AO166)*比赛参数!$G$26</f>
        <v>105200</v>
      </c>
      <c r="AT21" s="55">
        <f t="shared" si="3"/>
        <v>80.9230769230769</v>
      </c>
      <c r="AU21" s="175">
        <f t="shared" si="4"/>
        <v>1</v>
      </c>
      <c r="AV21" s="176">
        <f t="shared" si="5"/>
        <v>9.50570342205323e-6</v>
      </c>
      <c r="AW21" s="175">
        <f t="shared" si="6"/>
        <v>1</v>
      </c>
      <c r="AX21" s="192">
        <f t="shared" si="7"/>
        <v>1</v>
      </c>
      <c r="AY21" s="65">
        <f t="shared" si="8"/>
        <v>2827500</v>
      </c>
      <c r="AZ21" s="193">
        <f t="shared" si="9"/>
        <v>0</v>
      </c>
      <c r="BA21" s="65">
        <f t="shared" si="10"/>
        <v>-2827500</v>
      </c>
      <c r="BB21" s="65">
        <f>IF(BA21&lt;比赛参数!$K$34,0,IF(BA21&lt;比赛参数!$K$35,BA21/(1-比赛参数!$E$36),IF(BA21&lt;比赛参数!$K$36,BA21/(1-比赛参数!$E$34))))</f>
        <v>0</v>
      </c>
      <c r="BC21" s="65">
        <f t="shared" si="11"/>
        <v>2827501</v>
      </c>
      <c r="BD21" s="101"/>
      <c r="BE21" s="65">
        <f t="shared" si="12"/>
        <v>2827501</v>
      </c>
      <c r="BF21" s="176">
        <f t="shared" si="13"/>
        <v>26.8773859315589</v>
      </c>
      <c r="BR21" s="196" t="s">
        <v>22</v>
      </c>
      <c r="BS21" s="198">
        <f>第九期!Y10</f>
        <v>216</v>
      </c>
      <c r="BT21" s="198">
        <f>第九期!Z10</f>
        <v>0</v>
      </c>
      <c r="BU21" s="198">
        <f>第九期!AA10</f>
        <v>0</v>
      </c>
      <c r="BV21" s="198">
        <f>第九期!AB10</f>
        <v>0</v>
      </c>
      <c r="BW21" s="200">
        <f>第九期!AJ35</f>
        <v>150000</v>
      </c>
      <c r="BX21" s="215"/>
      <c r="CA21" s="213"/>
      <c r="CB21" s="196" t="s">
        <v>57</v>
      </c>
      <c r="CC21" s="110">
        <f>第九期!$CZ$68</f>
        <v>0</v>
      </c>
      <c r="CD21" s="110">
        <f>第九期!$CZ$69</f>
        <v>0.793846479650877</v>
      </c>
      <c r="CE21" s="110">
        <f>第九期!$CZ$70</f>
        <v>0.578225754818391</v>
      </c>
      <c r="CF21" s="110">
        <f>第九期!$CZ$71</f>
        <v>0.424210085548818</v>
      </c>
      <c r="CG21" s="219"/>
      <c r="CH21" s="225"/>
      <c r="CI21" s="227" t="s">
        <v>57</v>
      </c>
      <c r="CJ21" s="110">
        <f>第九期!$CZ$50</f>
        <v>0</v>
      </c>
      <c r="CK21" s="110">
        <f>第九期!$CZ$51</f>
        <v>4069.4675284703</v>
      </c>
      <c r="CL21" s="110">
        <f>第九期!$CZ$52</f>
        <v>6114.4611095961</v>
      </c>
      <c r="CM21" s="110">
        <f>第九期!$CZ$53</f>
        <v>8425.72322844899</v>
      </c>
      <c r="CN21" s="48"/>
      <c r="CO21" s="239"/>
      <c r="DT21" s="252" t="s">
        <v>24</v>
      </c>
      <c r="DU21" s="250">
        <v>4</v>
      </c>
      <c r="DV21" s="251">
        <f t="shared" si="0"/>
        <v>93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149.953846153846</v>
      </c>
      <c r="AB22" s="114">
        <f>AA22/AA20</f>
        <v>0.999692307692308</v>
      </c>
      <c r="AD22" s="115"/>
      <c r="AH22" s="151">
        <f>AH20+AH21</f>
        <v>1251165.54675435</v>
      </c>
      <c r="AI22" s="42" t="s">
        <v>264</v>
      </c>
      <c r="AJ22" s="139">
        <f>K11</f>
        <v>6071252.62</v>
      </c>
      <c r="AK22" s="2" t="s">
        <v>265</v>
      </c>
      <c r="AL22" s="152">
        <f>K10</f>
        <v>324800</v>
      </c>
      <c r="AR22" s="11">
        <v>14</v>
      </c>
      <c r="AS22" s="65">
        <f>SUM(AB144:AE144)*比赛参数!$D$26+SUM(AL144:AO144)*比赛参数!$E$26+SUM(AB167:AE167)*比赛参数!$F$26+SUM(AL167:AO167)*比赛参数!$G$26</f>
        <v>105200</v>
      </c>
      <c r="AT22" s="55">
        <f t="shared" si="3"/>
        <v>80.9230769230769</v>
      </c>
      <c r="AU22" s="175">
        <f t="shared" si="4"/>
        <v>1</v>
      </c>
      <c r="AV22" s="176">
        <f t="shared" si="5"/>
        <v>9.50570342205323e-6</v>
      </c>
      <c r="AW22" s="175">
        <f t="shared" si="6"/>
        <v>1</v>
      </c>
      <c r="AX22" s="192">
        <f t="shared" si="7"/>
        <v>1</v>
      </c>
      <c r="AY22" s="65">
        <f t="shared" si="8"/>
        <v>2827500</v>
      </c>
      <c r="AZ22" s="193">
        <f t="shared" si="9"/>
        <v>0</v>
      </c>
      <c r="BA22" s="65">
        <f t="shared" si="10"/>
        <v>-2827500</v>
      </c>
      <c r="BB22" s="65">
        <f>IF(BA22&lt;比赛参数!$K$34,0,IF(BA22&lt;比赛参数!$K$35,BA22/(1-比赛参数!$E$36),IF(BA22&lt;比赛参数!$K$36,BA22/(1-比赛参数!$E$34))))</f>
        <v>0</v>
      </c>
      <c r="BC22" s="65">
        <f t="shared" si="11"/>
        <v>2827501</v>
      </c>
      <c r="BD22" s="101"/>
      <c r="BE22" s="65">
        <f t="shared" si="12"/>
        <v>2827501</v>
      </c>
      <c r="BF22" s="176">
        <f t="shared" si="13"/>
        <v>26.8773859315589</v>
      </c>
      <c r="BR22" s="196" t="s">
        <v>23</v>
      </c>
      <c r="BS22" s="198">
        <f>第九期!Y11</f>
        <v>63</v>
      </c>
      <c r="BT22" s="198">
        <f>第九期!Z11</f>
        <v>0</v>
      </c>
      <c r="BU22" s="198">
        <f>第九期!AA11</f>
        <v>104</v>
      </c>
      <c r="BV22" s="198">
        <f>第九期!AB11</f>
        <v>26</v>
      </c>
      <c r="BW22" s="200">
        <f>第九期!AJ36</f>
        <v>300000</v>
      </c>
      <c r="BX22" s="215"/>
      <c r="CA22" s="213"/>
      <c r="CB22" s="196" t="s">
        <v>58</v>
      </c>
      <c r="CC22" s="110">
        <f>第九期!$DA$68</f>
        <v>0</v>
      </c>
      <c r="CD22" s="110">
        <f>第九期!$DA$69</f>
        <v>0.79634866614615</v>
      </c>
      <c r="CE22" s="110">
        <f>第九期!$DA$70</f>
        <v>0.597868787697711</v>
      </c>
      <c r="CF22" s="110">
        <f>第九期!$DA$71</f>
        <v>0.433505987927756</v>
      </c>
      <c r="CG22" s="219"/>
      <c r="CH22" s="225"/>
      <c r="CI22" s="227" t="s">
        <v>58</v>
      </c>
      <c r="CJ22" s="110">
        <f>第九期!$DA$50</f>
        <v>0</v>
      </c>
      <c r="CK22" s="110">
        <f>第九期!$DA$51</f>
        <v>4119.4675284703</v>
      </c>
      <c r="CL22" s="110">
        <f>第九期!$DA$52</f>
        <v>6164.4611095961</v>
      </c>
      <c r="CM22" s="110">
        <f>第九期!$DA$53</f>
        <v>8475.72322844899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H23" s="2">
        <f>(AJ20+AJ15-AJ21)/比赛参数!D30</f>
        <v>97.6049956826923</v>
      </c>
      <c r="AI23" s="42" t="s">
        <v>271</v>
      </c>
      <c r="AJ23" s="139">
        <f>AF13</f>
        <v>5367762.36538462</v>
      </c>
      <c r="AK23" s="2" t="s">
        <v>272</v>
      </c>
      <c r="AL23" s="152">
        <f>AL22+AC18-AC21</f>
        <v>193750</v>
      </c>
      <c r="AQ23" s="177"/>
      <c r="AR23" s="11">
        <v>15</v>
      </c>
      <c r="AS23" s="65">
        <f>SUM(AB145:AE145)*比赛参数!$D$26+SUM(AL145:AO145)*比赛参数!$E$26+SUM(AB168:AE168)*比赛参数!$F$26+SUM(AL168:AO168)*比赛参数!$G$26</f>
        <v>105200</v>
      </c>
      <c r="AT23" s="55">
        <f t="shared" si="3"/>
        <v>80.9230769230769</v>
      </c>
      <c r="AU23" s="175">
        <f t="shared" si="4"/>
        <v>1</v>
      </c>
      <c r="AV23" s="176">
        <f t="shared" si="5"/>
        <v>9.50570342205323e-6</v>
      </c>
      <c r="AW23" s="175">
        <f t="shared" si="6"/>
        <v>1</v>
      </c>
      <c r="AX23" s="192">
        <f t="shared" si="7"/>
        <v>1</v>
      </c>
      <c r="AY23" s="65">
        <f t="shared" si="8"/>
        <v>2827500</v>
      </c>
      <c r="AZ23" s="193">
        <f t="shared" si="9"/>
        <v>0</v>
      </c>
      <c r="BA23" s="65">
        <f t="shared" si="10"/>
        <v>-2827500</v>
      </c>
      <c r="BB23" s="65">
        <f>IF(BA23&lt;比赛参数!$K$34,0,IF(BA23&lt;比赛参数!$K$35,BA23/(1-比赛参数!$E$36),IF(BA23&lt;比赛参数!$K$36,BA23/(1-比赛参数!$E$34))))</f>
        <v>0</v>
      </c>
      <c r="BC23" s="65">
        <f t="shared" si="11"/>
        <v>2827501</v>
      </c>
      <c r="BD23" s="101"/>
      <c r="BE23" s="65">
        <f t="shared" si="12"/>
        <v>2827501</v>
      </c>
      <c r="BF23" s="176">
        <f t="shared" si="13"/>
        <v>26.8773859315589</v>
      </c>
      <c r="BQ23" s="177"/>
      <c r="BR23" s="196" t="s">
        <v>24</v>
      </c>
      <c r="BS23" s="198">
        <f>第九期!Y12</f>
        <v>0</v>
      </c>
      <c r="BT23" s="198">
        <f>第九期!Z12</f>
        <v>0</v>
      </c>
      <c r="BU23" s="198">
        <f>第九期!AA12</f>
        <v>74</v>
      </c>
      <c r="BV23" s="198">
        <f>第九期!AB12</f>
        <v>56</v>
      </c>
      <c r="BW23" s="200">
        <f>第九期!AJ37</f>
        <v>500000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509.76923076923</v>
      </c>
      <c r="DA23" s="2">
        <f t="shared" si="14"/>
        <v>550.76923076923</v>
      </c>
      <c r="DB23" s="2">
        <f t="shared" si="14"/>
        <v>622.76923076923</v>
      </c>
      <c r="DC23" s="2">
        <f t="shared" si="14"/>
        <v>642.76923076923</v>
      </c>
      <c r="DF23" s="2" t="s">
        <v>38</v>
      </c>
      <c r="DG23" s="2">
        <f t="shared" ref="DG23:DJ26" si="15">BS7-DG17</f>
        <v>1299.5</v>
      </c>
      <c r="DH23" s="2">
        <f t="shared" si="15"/>
        <v>1299.5</v>
      </c>
      <c r="DI23" s="2">
        <f t="shared" si="15"/>
        <v>1367</v>
      </c>
      <c r="DJ23" s="2">
        <f t="shared" si="15"/>
        <v>1437</v>
      </c>
      <c r="DM23" s="2">
        <f t="shared" ref="DM23:DP26" si="16">DG23/CS23</f>
        <v>12.995</v>
      </c>
      <c r="DN23" s="2">
        <f t="shared" si="16"/>
        <v>12.995</v>
      </c>
      <c r="DO23" s="2">
        <f t="shared" si="16"/>
        <v>13.67</v>
      </c>
      <c r="DP23" s="2">
        <f t="shared" si="16"/>
        <v>14.37</v>
      </c>
      <c r="DQ23" s="2">
        <f>SUMPRODUCT(DM23:DP23,BS14:BV14)/SUM(BS14:BV14)</f>
        <v>13.85125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>
        <v>0</v>
      </c>
      <c r="F24" s="9">
        <v>79</v>
      </c>
      <c r="G24" s="9">
        <v>79</v>
      </c>
      <c r="H24" s="19">
        <v>0.0526</v>
      </c>
      <c r="I24" s="9">
        <v>0</v>
      </c>
      <c r="J24" s="9">
        <v>133</v>
      </c>
      <c r="K24" s="9">
        <v>4</v>
      </c>
      <c r="L24" s="10"/>
      <c r="M24" s="39">
        <f>AF64-AF104</f>
        <v>143</v>
      </c>
      <c r="N24" s="35"/>
      <c r="O24" s="35"/>
      <c r="P24" s="35"/>
      <c r="Q24" s="45"/>
      <c r="AH24" s="153"/>
      <c r="AQ24" s="177"/>
      <c r="AR24" s="11">
        <v>16</v>
      </c>
      <c r="AS24" s="65">
        <f>SUM(AB146:AE146)*比赛参数!$D$26+SUM(AL146:AO146)*比赛参数!$E$26+SUM(AB169:AE169)*比赛参数!$F$26+SUM(AL169:AO169)*比赛参数!$G$26</f>
        <v>105200</v>
      </c>
      <c r="AT24" s="55">
        <f t="shared" si="3"/>
        <v>80.9230769230769</v>
      </c>
      <c r="AU24" s="175">
        <f t="shared" si="4"/>
        <v>1</v>
      </c>
      <c r="AV24" s="176">
        <f t="shared" si="5"/>
        <v>9.50570342205323e-6</v>
      </c>
      <c r="AW24" s="175">
        <f t="shared" si="6"/>
        <v>1</v>
      </c>
      <c r="AX24" s="192">
        <f t="shared" si="7"/>
        <v>1</v>
      </c>
      <c r="AY24" s="65">
        <f t="shared" si="8"/>
        <v>2827500</v>
      </c>
      <c r="AZ24" s="193">
        <f t="shared" si="9"/>
        <v>0</v>
      </c>
      <c r="BA24" s="65">
        <f t="shared" si="10"/>
        <v>-2827500</v>
      </c>
      <c r="BB24" s="65">
        <f>IF(BA24&lt;比赛参数!$K$34,0,IF(BA24&lt;比赛参数!$K$35,BA24/(1-比赛参数!$E$36),IF(BA24&lt;比赛参数!$K$36,BA24/(1-比赛参数!$E$34))))</f>
        <v>0</v>
      </c>
      <c r="BC24" s="65">
        <f t="shared" si="11"/>
        <v>2827501</v>
      </c>
      <c r="BD24" s="101"/>
      <c r="BE24" s="65">
        <f t="shared" si="12"/>
        <v>2827501</v>
      </c>
      <c r="BF24" s="176">
        <f t="shared" si="13"/>
        <v>26.8773859315589</v>
      </c>
      <c r="BQ24" s="177"/>
      <c r="BX24" s="215"/>
      <c r="CA24" s="213"/>
      <c r="CB24" s="196" t="s">
        <v>274</v>
      </c>
      <c r="CC24" s="110">
        <f>SUMPRODUCT(CC19:CC22,AF64:AF67)/SUM(AF64:AF67)</f>
        <v>0</v>
      </c>
      <c r="CD24" s="110">
        <f>SUMPRODUCT(CD19:CD22,AG64:AG67)/SUM(AG64:AG67)</f>
        <v>0.795994571408914</v>
      </c>
      <c r="CE24" s="110">
        <f>SUMPRODUCT(CE19:CE22,AH64:AH67)/SUM(AH64:AH67)</f>
        <v>0.599058445467772</v>
      </c>
      <c r="CF24" s="110">
        <f>SUMPRODUCT(CF19:CF22,AI64:AI67)/SUM(AI64:AI67)</f>
        <v>0.439265877099382</v>
      </c>
      <c r="CG24" s="219"/>
      <c r="CH24" s="225"/>
      <c r="CI24" s="227" t="s">
        <v>274</v>
      </c>
      <c r="CJ24" s="110">
        <f>SUMPRODUCT(CJ19:CJ22,AF64:AF67)/SUM(AF64:AF67)</f>
        <v>0</v>
      </c>
      <c r="CK24" s="110">
        <f>SUMPRODUCT(CK19:CK22,AG64:AG67)/SUM(AG64:AG67)</f>
        <v>4013.64494782514</v>
      </c>
      <c r="CL24" s="110">
        <f>SUMPRODUCT(CL19:CL22,AH64:AH67)/SUM(AH64:AH67)</f>
        <v>6048.51908061059</v>
      </c>
      <c r="CM24" s="110">
        <f>SUMPRODUCT(CM19:CM22,AI64:AI67)/SUM(AI64:AI67)</f>
        <v>8328.9490349006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1549.92307692308</v>
      </c>
      <c r="DA24" s="2">
        <f t="shared" si="14"/>
        <v>1633.92307692308</v>
      </c>
      <c r="DB24" s="2">
        <f t="shared" si="14"/>
        <v>1716.92307692308</v>
      </c>
      <c r="DC24" s="2">
        <f t="shared" si="14"/>
        <v>1766.92307692308</v>
      </c>
      <c r="DF24" s="2" t="s">
        <v>39</v>
      </c>
      <c r="DG24" s="2">
        <f t="shared" si="15"/>
        <v>3515</v>
      </c>
      <c r="DH24" s="2">
        <f t="shared" si="15"/>
        <v>3515</v>
      </c>
      <c r="DI24" s="2">
        <f t="shared" si="15"/>
        <v>3615</v>
      </c>
      <c r="DJ24" s="2">
        <f t="shared" si="15"/>
        <v>3715</v>
      </c>
      <c r="DM24" s="2">
        <f t="shared" si="16"/>
        <v>14.06</v>
      </c>
      <c r="DN24" s="2">
        <f t="shared" si="16"/>
        <v>14.06</v>
      </c>
      <c r="DO24" s="2">
        <f t="shared" si="16"/>
        <v>14.46</v>
      </c>
      <c r="DP24" s="2">
        <f t="shared" si="16"/>
        <v>14.86</v>
      </c>
      <c r="DQ24" s="2">
        <f>SUMPRODUCT(DM24:DP24,BS15:BV15)/SUM(BS15:BV15)</f>
        <v>14.4219047619048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>
        <v>0</v>
      </c>
      <c r="F25" s="9">
        <v>80</v>
      </c>
      <c r="G25" s="9">
        <v>80</v>
      </c>
      <c r="H25" s="19">
        <v>0.0526</v>
      </c>
      <c r="I25" s="9">
        <v>0</v>
      </c>
      <c r="J25" s="9">
        <v>125</v>
      </c>
      <c r="K25" s="9">
        <v>4</v>
      </c>
      <c r="L25" s="10"/>
      <c r="M25" s="39">
        <f>AF65-AF105</f>
        <v>144</v>
      </c>
      <c r="N25" s="35"/>
      <c r="O25" s="35"/>
      <c r="P25" s="35"/>
      <c r="Q25" s="45"/>
      <c r="W25" s="3"/>
      <c r="AD25" s="116" t="s">
        <v>275</v>
      </c>
      <c r="AE25" s="117">
        <f>AC5/AC$4</f>
        <v>0.306425041186161</v>
      </c>
      <c r="AF25" s="117">
        <f>AC6/AC$4</f>
        <v>0.228583196046129</v>
      </c>
      <c r="AG25" s="117">
        <f>AC7/AC$4</f>
        <v>0.154036243822076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>
        <f>SUM(AB147:AE147)*比赛参数!$D$26+SUM(AL147:AO147)*比赛参数!$E$26+SUM(AB170:AE170)*比赛参数!$F$26+SUM(AL170:AO170)*比赛参数!$G$26</f>
        <v>105200</v>
      </c>
      <c r="AT25" s="55">
        <f t="shared" si="3"/>
        <v>80.9230769230769</v>
      </c>
      <c r="AU25" s="175">
        <f t="shared" si="4"/>
        <v>1</v>
      </c>
      <c r="AV25" s="176">
        <f t="shared" si="5"/>
        <v>9.50570342205323e-6</v>
      </c>
      <c r="AW25" s="175">
        <f t="shared" si="6"/>
        <v>1</v>
      </c>
      <c r="AX25" s="192">
        <f t="shared" si="7"/>
        <v>1</v>
      </c>
      <c r="AY25" s="65">
        <f t="shared" si="8"/>
        <v>2827500</v>
      </c>
      <c r="AZ25" s="193">
        <f t="shared" si="9"/>
        <v>0</v>
      </c>
      <c r="BA25" s="65">
        <f t="shared" si="10"/>
        <v>-2827500</v>
      </c>
      <c r="BB25" s="65">
        <f>IF(BA25&lt;比赛参数!$K$34,0,IF(BA25&lt;比赛参数!$K$35,BA25/(1-比赛参数!$E$36),IF(BA25&lt;比赛参数!$K$36,BA25/(1-比赛参数!$E$34))))</f>
        <v>0</v>
      </c>
      <c r="BC25" s="65">
        <f t="shared" si="11"/>
        <v>2827501</v>
      </c>
      <c r="BD25" s="101"/>
      <c r="BE25" s="65">
        <f t="shared" si="12"/>
        <v>2827501</v>
      </c>
      <c r="BF25" s="176">
        <f t="shared" si="13"/>
        <v>26.8773859315589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1786.92307692308</v>
      </c>
      <c r="DA25" s="2">
        <f t="shared" si="14"/>
        <v>1898.92307692308</v>
      </c>
      <c r="DB25" s="2">
        <f t="shared" si="14"/>
        <v>1742.92307692308</v>
      </c>
      <c r="DC25" s="2">
        <f t="shared" si="14"/>
        <v>1892.92307692308</v>
      </c>
      <c r="DF25" s="2" t="s">
        <v>40</v>
      </c>
      <c r="DG25" s="2">
        <f t="shared" si="15"/>
        <v>4766</v>
      </c>
      <c r="DH25" s="2">
        <f t="shared" si="15"/>
        <v>4766</v>
      </c>
      <c r="DI25" s="2">
        <f t="shared" si="15"/>
        <v>4641</v>
      </c>
      <c r="DJ25" s="2">
        <f t="shared" si="15"/>
        <v>4841</v>
      </c>
      <c r="DM25" s="2">
        <f t="shared" si="16"/>
        <v>12.5421052631579</v>
      </c>
      <c r="DN25" s="2">
        <f t="shared" si="16"/>
        <v>12.5421052631579</v>
      </c>
      <c r="DO25" s="2">
        <f t="shared" si="16"/>
        <v>12.2131578947368</v>
      </c>
      <c r="DP25" s="2">
        <f t="shared" si="16"/>
        <v>12.7394736842105</v>
      </c>
      <c r="DQ25" s="2">
        <f>SUMPRODUCT(DM25:DP25,BS16:BV16)/SUM(BS16:BV16)</f>
        <v>12.5064692982456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>
        <v>0</v>
      </c>
      <c r="F26" s="9">
        <v>115</v>
      </c>
      <c r="G26" s="9">
        <v>115</v>
      </c>
      <c r="H26" s="19">
        <v>0.0526</v>
      </c>
      <c r="I26" s="9">
        <v>0</v>
      </c>
      <c r="J26" s="9">
        <v>150</v>
      </c>
      <c r="K26" s="9">
        <v>6</v>
      </c>
      <c r="L26" s="10"/>
      <c r="M26" s="39">
        <f>AF66-AF106</f>
        <v>179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第九期!BV57-第九期!BV76</f>
        <v>4283097.5</v>
      </c>
      <c r="AJ26" s="65">
        <f>第九期!K9</f>
        <v>150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第九期!DB50</f>
        <v>0</v>
      </c>
      <c r="AQ26" s="177"/>
      <c r="AR26" s="11">
        <v>18</v>
      </c>
      <c r="AS26" s="65">
        <f>SUM(AB148:AE148)*比赛参数!$D$26+SUM(AL148:AO148)*比赛参数!$E$26+SUM(AB171:AE171)*比赛参数!$F$26+SUM(AL171:AO171)*比赛参数!$G$26</f>
        <v>105200</v>
      </c>
      <c r="AT26" s="55">
        <f t="shared" si="3"/>
        <v>80.9230769230769</v>
      </c>
      <c r="AU26" s="178">
        <f t="shared" si="4"/>
        <v>1</v>
      </c>
      <c r="AV26" s="176">
        <f t="shared" si="5"/>
        <v>9.50570342205323e-6</v>
      </c>
      <c r="AW26" s="175">
        <f t="shared" si="6"/>
        <v>1</v>
      </c>
      <c r="AX26" s="192">
        <f t="shared" si="7"/>
        <v>1</v>
      </c>
      <c r="AY26" s="65">
        <f t="shared" si="8"/>
        <v>2827500</v>
      </c>
      <c r="AZ26" s="193">
        <f t="shared" si="9"/>
        <v>0</v>
      </c>
      <c r="BA26" s="65">
        <f t="shared" si="10"/>
        <v>-2827500</v>
      </c>
      <c r="BB26" s="65">
        <f>IF(BA26&lt;比赛参数!$K$34,0,IF(BA26&lt;比赛参数!$K$35,BA26/(1-比赛参数!$E$36),IF(BA26&lt;比赛参数!$K$36,BA26/(1-比赛参数!$E$34))))</f>
        <v>0</v>
      </c>
      <c r="BC26" s="65">
        <f t="shared" si="11"/>
        <v>2827501</v>
      </c>
      <c r="BD26" s="101"/>
      <c r="BE26" s="65">
        <f t="shared" si="12"/>
        <v>2827501</v>
      </c>
      <c r="BF26" s="176">
        <f t="shared" si="13"/>
        <v>26.8773859315589</v>
      </c>
      <c r="BQ26" s="177"/>
      <c r="BR26" s="201"/>
      <c r="BS26" s="198">
        <f>第九期!Y18</f>
        <v>54</v>
      </c>
      <c r="BT26" s="198">
        <f>第九期!AA18</f>
        <v>4</v>
      </c>
      <c r="BU26" s="198">
        <f>第九期!AF18</f>
        <v>64</v>
      </c>
      <c r="BV26" s="204">
        <f>第九期!AC18</f>
        <v>968750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1624</v>
      </c>
      <c r="DA26" s="2">
        <f t="shared" si="14"/>
        <v>1762</v>
      </c>
      <c r="DB26" s="2">
        <f t="shared" si="14"/>
        <v>1568</v>
      </c>
      <c r="DC26" s="2">
        <f t="shared" si="14"/>
        <v>1668</v>
      </c>
      <c r="DF26" s="2" t="s">
        <v>41</v>
      </c>
      <c r="DG26" s="2">
        <f t="shared" si="15"/>
        <v>5693</v>
      </c>
      <c r="DH26" s="2">
        <f t="shared" si="15"/>
        <v>5693</v>
      </c>
      <c r="DI26" s="2">
        <f t="shared" si="15"/>
        <v>5543</v>
      </c>
      <c r="DJ26" s="2">
        <f t="shared" si="15"/>
        <v>5693</v>
      </c>
      <c r="DM26" s="2">
        <f t="shared" si="16"/>
        <v>10.9480769230769</v>
      </c>
      <c r="DN26" s="2">
        <f t="shared" si="16"/>
        <v>10.9480769230769</v>
      </c>
      <c r="DO26" s="2">
        <f t="shared" si="16"/>
        <v>10.6596153846154</v>
      </c>
      <c r="DP26" s="2">
        <f t="shared" si="16"/>
        <v>10.9480769230769</v>
      </c>
      <c r="DQ26" s="2">
        <f>SUMPRODUCT(DM26:DP26,BS17:BV17)/SUM(BS17:BV17)</f>
        <v>10.8677835051546</v>
      </c>
      <c r="DT26" s="127" t="s">
        <v>21</v>
      </c>
      <c r="DU26" s="251">
        <f>D42</f>
        <v>120</v>
      </c>
      <c r="DV26" s="270">
        <f>G42</f>
        <v>1</v>
      </c>
    </row>
    <row r="27" ht="17.1" spans="2:126">
      <c r="B27" s="7"/>
      <c r="C27" s="18">
        <v>1</v>
      </c>
      <c r="D27" s="18">
        <v>4</v>
      </c>
      <c r="E27" s="9">
        <v>0</v>
      </c>
      <c r="F27" s="9">
        <v>123</v>
      </c>
      <c r="G27" s="9">
        <v>123</v>
      </c>
      <c r="H27" s="19">
        <v>0.0526</v>
      </c>
      <c r="I27" s="9">
        <v>0</v>
      </c>
      <c r="J27" s="9">
        <v>84</v>
      </c>
      <c r="K27" s="9">
        <v>6</v>
      </c>
      <c r="L27" s="10"/>
      <c r="M27" s="39">
        <f>AF67-AF107</f>
        <v>141</v>
      </c>
      <c r="N27" s="35"/>
      <c r="O27" s="35"/>
      <c r="P27" s="35"/>
      <c r="Q27" s="45"/>
      <c r="U27" s="53"/>
      <c r="V27" s="54"/>
      <c r="W27" s="11">
        <v>1</v>
      </c>
      <c r="X27" s="55">
        <f t="shared" ref="X27:Z46" si="17">AT9</f>
        <v>80.9230769230769</v>
      </c>
      <c r="Y27" s="118">
        <f t="shared" si="17"/>
        <v>1</v>
      </c>
      <c r="Z27" s="119">
        <f t="shared" si="17"/>
        <v>9.50570342205323e-6</v>
      </c>
      <c r="AA27" s="120">
        <f t="shared" ref="AA27:AA46" si="18">SUM(AB131:AE131)</f>
        <v>397</v>
      </c>
      <c r="AB27" s="121">
        <f t="shared" ref="AB27:AB46" si="19">SUM(AL131:AO131)</f>
        <v>262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>
        <f t="shared" ref="AE27:AG46" si="22">AB27/$AA27</f>
        <v>0.659949622166247</v>
      </c>
      <c r="AF27" s="124">
        <f t="shared" si="22"/>
        <v>0</v>
      </c>
      <c r="AG27" s="158">
        <f t="shared" si="22"/>
        <v>0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第九期!DB51</f>
        <v>3994.4675284703</v>
      </c>
      <c r="AO27" s="179"/>
      <c r="AQ27" s="177"/>
      <c r="AR27" s="11">
        <v>19</v>
      </c>
      <c r="AS27" s="65">
        <f>SUM(AB149:AE149)*比赛参数!$D$26+SUM(AL149:AO149)*比赛参数!$E$26+SUM(AB172:AE172)*比赛参数!$F$26+SUM(AL172:AO172)*比赛参数!$G$26</f>
        <v>105200</v>
      </c>
      <c r="AT27" s="55">
        <f t="shared" si="3"/>
        <v>80.9230769230769</v>
      </c>
      <c r="AU27" s="175">
        <f t="shared" si="4"/>
        <v>1</v>
      </c>
      <c r="AV27" s="176">
        <f t="shared" si="5"/>
        <v>9.50570342205323e-6</v>
      </c>
      <c r="AW27" s="175">
        <f t="shared" si="6"/>
        <v>1</v>
      </c>
      <c r="AX27" s="192">
        <f t="shared" si="7"/>
        <v>1</v>
      </c>
      <c r="AY27" s="65">
        <f t="shared" si="8"/>
        <v>2827500</v>
      </c>
      <c r="AZ27" s="193">
        <f t="shared" si="9"/>
        <v>0</v>
      </c>
      <c r="BA27" s="65">
        <f t="shared" si="10"/>
        <v>-2827500</v>
      </c>
      <c r="BB27" s="65">
        <f>IF(BA27&lt;比赛参数!$K$34,0,IF(BA27&lt;比赛参数!$K$35,BA27/(1-比赛参数!$E$36),IF(BA27&lt;比赛参数!$K$36,BA27/(1-比赛参数!$E$34))))</f>
        <v>0</v>
      </c>
      <c r="BC27" s="65">
        <f t="shared" si="11"/>
        <v>2827501</v>
      </c>
      <c r="BD27" s="101"/>
      <c r="BE27" s="65">
        <f t="shared" si="12"/>
        <v>2827501</v>
      </c>
      <c r="BF27" s="176">
        <f t="shared" si="13"/>
        <v>26.8773859315589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284.1</v>
      </c>
      <c r="CD27" s="107">
        <f t="shared" si="23"/>
        <v>674.478260869565</v>
      </c>
      <c r="CE27" s="107">
        <f t="shared" si="23"/>
        <v>1111.93103448276</v>
      </c>
      <c r="CF27" s="107">
        <f t="shared" si="23"/>
        <v>1569</v>
      </c>
      <c r="CG27" s="225"/>
      <c r="CH27" s="225"/>
      <c r="CI27" s="226" t="s">
        <v>55</v>
      </c>
      <c r="CJ27" s="110">
        <f t="shared" ref="CJ27:CM30" si="24">IF(AF64&gt;0,CJ19+CC27,0)</f>
        <v>284.1</v>
      </c>
      <c r="CK27" s="110">
        <f t="shared" si="24"/>
        <v>4610.94578933986</v>
      </c>
      <c r="CL27" s="110">
        <f t="shared" si="24"/>
        <v>7082.39214407886</v>
      </c>
      <c r="CM27" s="110">
        <f t="shared" si="24"/>
        <v>9788.72322844899</v>
      </c>
      <c r="CN27" s="48"/>
      <c r="CO27" s="239"/>
      <c r="DT27" s="271" t="s">
        <v>22</v>
      </c>
      <c r="DU27" s="251">
        <f>D43</f>
        <v>69</v>
      </c>
      <c r="DV27" s="270">
        <f>G43</f>
        <v>1</v>
      </c>
    </row>
    <row r="28" ht="17.1" spans="2:126">
      <c r="B28" s="7"/>
      <c r="C28" s="18">
        <v>2</v>
      </c>
      <c r="D28" s="18">
        <v>1</v>
      </c>
      <c r="E28" s="9">
        <v>7</v>
      </c>
      <c r="F28" s="9">
        <v>69</v>
      </c>
      <c r="G28" s="9">
        <v>57</v>
      </c>
      <c r="H28" s="19">
        <v>0.0526</v>
      </c>
      <c r="I28" s="9">
        <v>6</v>
      </c>
      <c r="J28" s="9">
        <v>0</v>
      </c>
      <c r="K28" s="9">
        <v>3</v>
      </c>
      <c r="L28" s="10"/>
      <c r="M28" s="39">
        <f>AG64-AG104</f>
        <v>38</v>
      </c>
      <c r="N28" s="35"/>
      <c r="O28" s="35"/>
      <c r="P28" s="35"/>
      <c r="Q28" s="45"/>
      <c r="U28" s="53"/>
      <c r="V28" s="54"/>
      <c r="W28" s="11">
        <v>2</v>
      </c>
      <c r="X28" s="55">
        <f t="shared" si="17"/>
        <v>80.9230769230769</v>
      </c>
      <c r="Y28" s="118">
        <f t="shared" si="17"/>
        <v>1</v>
      </c>
      <c r="Z28" s="119">
        <f t="shared" si="17"/>
        <v>9.50570342205323e-6</v>
      </c>
      <c r="AA28" s="120">
        <f t="shared" si="18"/>
        <v>397</v>
      </c>
      <c r="AB28" s="121">
        <f t="shared" si="19"/>
        <v>262</v>
      </c>
      <c r="AC28" s="121">
        <f t="shared" si="20"/>
        <v>0</v>
      </c>
      <c r="AD28" s="122">
        <f t="shared" si="21"/>
        <v>0</v>
      </c>
      <c r="AE28" s="123">
        <f t="shared" si="22"/>
        <v>0.659949622166247</v>
      </c>
      <c r="AF28" s="124">
        <f t="shared" si="22"/>
        <v>0</v>
      </c>
      <c r="AG28" s="158">
        <f t="shared" si="22"/>
        <v>0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第九期!DB52</f>
        <v>6026.9611095961</v>
      </c>
      <c r="AQ28" s="177"/>
      <c r="AR28" s="11">
        <v>20</v>
      </c>
      <c r="AS28" s="65">
        <f>SUM(AB150:AE150)*比赛参数!$D$26+SUM(AL150:AO150)*比赛参数!$E$26+SUM(AB173:AE173)*比赛参数!$F$26+SUM(AL173:AO173)*比赛参数!$G$26</f>
        <v>0</v>
      </c>
      <c r="AT28" s="55">
        <f t="shared" si="3"/>
        <v>0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>
        <f t="shared" si="8"/>
        <v>0</v>
      </c>
      <c r="AZ28" s="193">
        <f t="shared" si="9"/>
        <v>0</v>
      </c>
      <c r="BA28" s="65">
        <f t="shared" si="10"/>
        <v>0</v>
      </c>
      <c r="BB28" s="65">
        <f>IF(BA28&lt;比赛参数!$K$34,0,IF(BA28&lt;比赛参数!$K$35,BA28/(1-比赛参数!$E$36),IF(BA28&lt;比赛参数!$K$36,BA28/(1-比赛参数!$E$34))))</f>
        <v>0</v>
      </c>
      <c r="BC28" s="65">
        <f t="shared" si="11"/>
        <v>0</v>
      </c>
      <c r="BD28" s="101"/>
      <c r="BE28" s="65">
        <f t="shared" si="12"/>
        <v>0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106.45</v>
      </c>
      <c r="CD28" s="107">
        <f t="shared" si="23"/>
        <v>538.565217391304</v>
      </c>
      <c r="CE28" s="107">
        <f t="shared" si="23"/>
        <v>932.896551724138</v>
      </c>
      <c r="CF28" s="107">
        <f t="shared" si="23"/>
        <v>1306</v>
      </c>
      <c r="CG28" s="225"/>
      <c r="CH28" s="225"/>
      <c r="CI28" s="227" t="s">
        <v>56</v>
      </c>
      <c r="CJ28" s="110">
        <f t="shared" si="24"/>
        <v>106.45</v>
      </c>
      <c r="CK28" s="110">
        <f t="shared" si="24"/>
        <v>4391.0327458616</v>
      </c>
      <c r="CL28" s="110">
        <f t="shared" si="24"/>
        <v>6791.35766132023</v>
      </c>
      <c r="CM28" s="110">
        <f t="shared" si="24"/>
        <v>9387.72322844899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0</v>
      </c>
      <c r="DV28" s="270">
        <f>G44</f>
        <v>0</v>
      </c>
    </row>
    <row r="29" ht="16.35" spans="2:126">
      <c r="B29" s="7"/>
      <c r="C29" s="18">
        <v>2</v>
      </c>
      <c r="D29" s="18">
        <v>2</v>
      </c>
      <c r="E29" s="9">
        <v>8</v>
      </c>
      <c r="F29" s="9">
        <v>70</v>
      </c>
      <c r="G29" s="9">
        <v>57</v>
      </c>
      <c r="H29" s="19">
        <v>0.0526</v>
      </c>
      <c r="I29" s="9">
        <v>7</v>
      </c>
      <c r="J29" s="9">
        <v>0</v>
      </c>
      <c r="K29" s="9">
        <v>3</v>
      </c>
      <c r="L29" s="10"/>
      <c r="M29" s="39">
        <f>AG65-AG105</f>
        <v>37</v>
      </c>
      <c r="N29" s="35"/>
      <c r="O29" s="35"/>
      <c r="P29" s="35"/>
      <c r="Q29" s="45"/>
      <c r="U29" s="53"/>
      <c r="V29" s="56"/>
      <c r="W29" s="11">
        <v>3</v>
      </c>
      <c r="X29" s="55">
        <f t="shared" si="17"/>
        <v>80.9230769230769</v>
      </c>
      <c r="Y29" s="118">
        <f t="shared" si="17"/>
        <v>1</v>
      </c>
      <c r="Z29" s="119">
        <f t="shared" si="17"/>
        <v>9.50570342205323e-6</v>
      </c>
      <c r="AA29" s="120">
        <f t="shared" si="18"/>
        <v>397</v>
      </c>
      <c r="AB29" s="121">
        <f t="shared" si="19"/>
        <v>262</v>
      </c>
      <c r="AC29" s="121">
        <f t="shared" si="20"/>
        <v>0</v>
      </c>
      <c r="AD29" s="122">
        <f t="shared" si="21"/>
        <v>0</v>
      </c>
      <c r="AE29" s="123">
        <f t="shared" si="22"/>
        <v>0.659949622166247</v>
      </c>
      <c r="AF29" s="124">
        <f t="shared" si="22"/>
        <v>0</v>
      </c>
      <c r="AG29" s="158">
        <f t="shared" si="22"/>
        <v>0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第九期!DB53</f>
        <v>8300.72322844899</v>
      </c>
      <c r="BQ29" s="177"/>
      <c r="BR29" s="201"/>
      <c r="BS29" s="204">
        <f>第九期!AH14</f>
        <v>0</v>
      </c>
      <c r="BT29" s="204">
        <f>第九期!AH15</f>
        <v>1400000</v>
      </c>
      <c r="BU29" s="198">
        <f>第九期!AF20</f>
        <v>0</v>
      </c>
      <c r="BV29" s="204">
        <f>第九期!AJ18</f>
        <v>210000</v>
      </c>
      <c r="BW29" s="218">
        <f>第九期!AH18</f>
        <v>1</v>
      </c>
      <c r="BX29" s="215"/>
      <c r="CA29" s="213"/>
      <c r="CB29" s="196" t="s">
        <v>57</v>
      </c>
      <c r="CC29" s="107">
        <f t="shared" si="23"/>
        <v>336.666666666667</v>
      </c>
      <c r="CD29" s="107">
        <f t="shared" si="23"/>
        <v>773.913043478261</v>
      </c>
      <c r="CE29" s="107">
        <f t="shared" si="23"/>
        <v>1180.95238095238</v>
      </c>
      <c r="CF29" s="107">
        <f t="shared" si="23"/>
        <v>1666.66666666667</v>
      </c>
      <c r="CG29" s="225"/>
      <c r="CH29" s="225"/>
      <c r="CI29" s="227" t="s">
        <v>57</v>
      </c>
      <c r="CJ29" s="110">
        <f t="shared" si="24"/>
        <v>336.666666666667</v>
      </c>
      <c r="CK29" s="110">
        <f t="shared" si="24"/>
        <v>4843.38057194856</v>
      </c>
      <c r="CL29" s="110">
        <f t="shared" si="24"/>
        <v>7295.41349054848</v>
      </c>
      <c r="CM29" s="110">
        <f t="shared" si="24"/>
        <v>10092.3898951157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5.0976923076923</v>
      </c>
      <c r="DA29" s="2">
        <f t="shared" si="25"/>
        <v>5.5076923076923</v>
      </c>
      <c r="DB29" s="2">
        <f t="shared" si="25"/>
        <v>6.2276923076923</v>
      </c>
      <c r="DC29" s="2">
        <f t="shared" si="25"/>
        <v>6.4276923076923</v>
      </c>
      <c r="DD29" s="2">
        <f>SUMPRODUCT(CZ29:DC29,BS14:BV14)/SUM(BS14:BV14)</f>
        <v>6.11352564102564</v>
      </c>
      <c r="DF29" s="2" t="s">
        <v>38</v>
      </c>
      <c r="DG29" s="2">
        <f t="shared" ref="DG29:DJ32" si="26">DG23/CS23</f>
        <v>12.995</v>
      </c>
      <c r="DH29" s="2">
        <f t="shared" si="26"/>
        <v>12.995</v>
      </c>
      <c r="DI29" s="2">
        <f t="shared" si="26"/>
        <v>13.67</v>
      </c>
      <c r="DJ29" s="2">
        <f t="shared" si="26"/>
        <v>14.37</v>
      </c>
      <c r="DK29" s="2">
        <f>SUMPRODUCT(DG29:DJ29,BS14:BV14)/SUM(BS14:BV14)</f>
        <v>13.85125</v>
      </c>
      <c r="DM29" s="2">
        <f t="shared" ref="DM29:DP32" si="27">DG23/CS29</f>
        <v>10.8291666666667</v>
      </c>
      <c r="DN29" s="2">
        <f t="shared" si="27"/>
        <v>10.8291666666667</v>
      </c>
      <c r="DO29" s="2">
        <f t="shared" si="27"/>
        <v>11.3916666666667</v>
      </c>
      <c r="DP29" s="2">
        <f t="shared" si="27"/>
        <v>11.975</v>
      </c>
      <c r="DQ29" s="2">
        <f>SUMPRODUCT(DM29:DP29,BS14:BV14)/SUM(BS14:BV14)</f>
        <v>11.5427083333333</v>
      </c>
      <c r="DT29" s="127" t="s">
        <v>24</v>
      </c>
      <c r="DU29" s="251">
        <f>D45</f>
        <v>0</v>
      </c>
      <c r="DV29" s="270">
        <f>G45</f>
        <v>0</v>
      </c>
    </row>
    <row r="30" ht="16.35" spans="2:121">
      <c r="B30" s="7"/>
      <c r="C30" s="18">
        <v>2</v>
      </c>
      <c r="D30" s="18">
        <v>3</v>
      </c>
      <c r="E30" s="9">
        <v>10</v>
      </c>
      <c r="F30" s="9">
        <v>103</v>
      </c>
      <c r="G30" s="9">
        <v>75</v>
      </c>
      <c r="H30" s="19">
        <v>0.0526</v>
      </c>
      <c r="I30" s="9">
        <v>9</v>
      </c>
      <c r="J30" s="9">
        <v>0</v>
      </c>
      <c r="K30" s="9">
        <v>3</v>
      </c>
      <c r="L30" s="10"/>
      <c r="M30" s="39">
        <f>AG66-AG106</f>
        <v>57</v>
      </c>
      <c r="N30" s="35"/>
      <c r="O30" s="35"/>
      <c r="P30" s="35"/>
      <c r="Q30" s="45"/>
      <c r="U30" s="53"/>
      <c r="V30" s="54"/>
      <c r="W30" s="11">
        <v>4</v>
      </c>
      <c r="X30" s="55">
        <f t="shared" si="17"/>
        <v>80.9230769230769</v>
      </c>
      <c r="Y30" s="118">
        <f t="shared" si="17"/>
        <v>1</v>
      </c>
      <c r="Z30" s="119">
        <f t="shared" si="17"/>
        <v>9.50570342205323e-6</v>
      </c>
      <c r="AA30" s="120">
        <f t="shared" si="18"/>
        <v>397</v>
      </c>
      <c r="AB30" s="121">
        <f t="shared" si="19"/>
        <v>262</v>
      </c>
      <c r="AC30" s="121">
        <f t="shared" si="20"/>
        <v>0</v>
      </c>
      <c r="AD30" s="122">
        <f t="shared" si="21"/>
        <v>0</v>
      </c>
      <c r="AE30" s="123">
        <f t="shared" si="22"/>
        <v>0.659949622166247</v>
      </c>
      <c r="AF30" s="124">
        <f t="shared" si="22"/>
        <v>0</v>
      </c>
      <c r="AG30" s="158">
        <f t="shared" si="22"/>
        <v>0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333.333333333333</v>
      </c>
      <c r="CD30" s="107">
        <f t="shared" si="23"/>
        <v>835.714285714286</v>
      </c>
      <c r="CE30" s="107">
        <f t="shared" si="23"/>
        <v>1236.36363636364</v>
      </c>
      <c r="CF30" s="107">
        <f t="shared" si="23"/>
        <v>1700</v>
      </c>
      <c r="CG30" s="225"/>
      <c r="CH30" s="225"/>
      <c r="CI30" s="227" t="s">
        <v>58</v>
      </c>
      <c r="CJ30" s="110">
        <f t="shared" si="24"/>
        <v>333.333333333333</v>
      </c>
      <c r="CK30" s="110">
        <f t="shared" si="24"/>
        <v>4955.18181418458</v>
      </c>
      <c r="CL30" s="110">
        <f t="shared" si="24"/>
        <v>7400.82474595973</v>
      </c>
      <c r="CM30" s="110">
        <f t="shared" si="24"/>
        <v>10175.723228449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6.19969230769231</v>
      </c>
      <c r="DA30" s="2">
        <f t="shared" si="25"/>
        <v>6.53569230769231</v>
      </c>
      <c r="DB30" s="2">
        <f t="shared" si="25"/>
        <v>6.86769230769231</v>
      </c>
      <c r="DC30" s="2">
        <f t="shared" si="25"/>
        <v>7.06769230769231</v>
      </c>
      <c r="DD30" s="2">
        <f>SUMPRODUCT(CZ30:DC30,BS15:BV15)/SUM(BS15:BV15)</f>
        <v>6.72916416916417</v>
      </c>
      <c r="DF30" s="2" t="s">
        <v>39</v>
      </c>
      <c r="DG30" s="2">
        <f t="shared" si="26"/>
        <v>14.06</v>
      </c>
      <c r="DH30" s="2">
        <f t="shared" si="26"/>
        <v>14.06</v>
      </c>
      <c r="DI30" s="2">
        <f t="shared" si="26"/>
        <v>14.46</v>
      </c>
      <c r="DJ30" s="2">
        <f t="shared" si="26"/>
        <v>14.86</v>
      </c>
      <c r="DK30" s="2">
        <f>SUMPRODUCT(DG30:DJ30,BS15:BV15)/SUM(BS15:BV15)</f>
        <v>14.4219047619048</v>
      </c>
      <c r="DM30" s="2">
        <f t="shared" si="27"/>
        <v>23.4333333333333</v>
      </c>
      <c r="DN30" s="2">
        <f t="shared" si="27"/>
        <v>23.4333333333333</v>
      </c>
      <c r="DO30" s="2">
        <f t="shared" si="27"/>
        <v>24.1</v>
      </c>
      <c r="DP30" s="2">
        <f t="shared" si="27"/>
        <v>24.7666666666667</v>
      </c>
      <c r="DQ30" s="2">
        <f>SUMPRODUCT(DM30:DP30,BS15:BV15)/SUM(BS15:BV15)</f>
        <v>24.0365079365079</v>
      </c>
    </row>
    <row r="31" ht="16.35" spans="2:138">
      <c r="B31" s="7"/>
      <c r="C31" s="18">
        <v>2</v>
      </c>
      <c r="D31" s="18">
        <v>4</v>
      </c>
      <c r="E31" s="9">
        <v>14</v>
      </c>
      <c r="F31" s="9">
        <v>106</v>
      </c>
      <c r="G31" s="9">
        <v>73</v>
      </c>
      <c r="H31" s="19">
        <v>0.0526</v>
      </c>
      <c r="I31" s="9">
        <v>13</v>
      </c>
      <c r="J31" s="9">
        <v>0</v>
      </c>
      <c r="K31" s="9">
        <v>3</v>
      </c>
      <c r="L31" s="10"/>
      <c r="M31" s="39">
        <f>AG67-AG107</f>
        <v>54</v>
      </c>
      <c r="N31" s="35"/>
      <c r="O31" s="35"/>
      <c r="P31" s="35"/>
      <c r="Q31" s="45"/>
      <c r="U31" s="53"/>
      <c r="V31" s="54"/>
      <c r="W31" s="11">
        <v>5</v>
      </c>
      <c r="X31" s="55">
        <f t="shared" si="17"/>
        <v>80.9230769230769</v>
      </c>
      <c r="Y31" s="118">
        <f t="shared" si="17"/>
        <v>1</v>
      </c>
      <c r="Z31" s="119">
        <f t="shared" si="17"/>
        <v>9.50570342205323e-6</v>
      </c>
      <c r="AA31" s="120">
        <f t="shared" si="18"/>
        <v>397</v>
      </c>
      <c r="AB31" s="121">
        <f t="shared" si="19"/>
        <v>262</v>
      </c>
      <c r="AC31" s="121">
        <f t="shared" si="20"/>
        <v>0</v>
      </c>
      <c r="AD31" s="122">
        <f t="shared" si="21"/>
        <v>0</v>
      </c>
      <c r="AE31" s="123">
        <f t="shared" si="22"/>
        <v>0.659949622166247</v>
      </c>
      <c r="AF31" s="124">
        <f t="shared" si="22"/>
        <v>0</v>
      </c>
      <c r="AG31" s="158">
        <f t="shared" si="22"/>
        <v>0</v>
      </c>
      <c r="AL31" s="156">
        <f>Y20/AA20/2</f>
        <v>0.465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4.70242914979757</v>
      </c>
      <c r="DA31" s="2">
        <f t="shared" si="25"/>
        <v>4.99716599190283</v>
      </c>
      <c r="DB31" s="2">
        <f t="shared" si="25"/>
        <v>4.58663967611336</v>
      </c>
      <c r="DC31" s="2">
        <f t="shared" si="25"/>
        <v>4.98137651821862</v>
      </c>
      <c r="DD31" s="2">
        <f>SUMPRODUCT(CZ31:DC31,BS16:BV16)/SUM(BS16:BV16)</f>
        <v>4.81324786324786</v>
      </c>
      <c r="DF31" s="2" t="s">
        <v>40</v>
      </c>
      <c r="DG31" s="2">
        <f t="shared" si="26"/>
        <v>12.5421052631579</v>
      </c>
      <c r="DH31" s="2">
        <f t="shared" si="26"/>
        <v>12.5421052631579</v>
      </c>
      <c r="DI31" s="2">
        <f t="shared" si="26"/>
        <v>12.2131578947368</v>
      </c>
      <c r="DJ31" s="2">
        <f t="shared" si="26"/>
        <v>12.7394736842105</v>
      </c>
      <c r="DK31" s="2">
        <f>SUMPRODUCT(DG31:DJ31,BS16:BV16)/SUM(BS16:BV16)</f>
        <v>12.5064692982456</v>
      </c>
      <c r="DM31" s="2">
        <f t="shared" si="27"/>
        <v>29.7875</v>
      </c>
      <c r="DN31" s="2">
        <f t="shared" si="27"/>
        <v>29.7875</v>
      </c>
      <c r="DO31" s="2">
        <f t="shared" si="27"/>
        <v>29.00625</v>
      </c>
      <c r="DP31" s="2">
        <f t="shared" si="27"/>
        <v>30.25625</v>
      </c>
      <c r="DQ31" s="2">
        <f>SUMPRODUCT(DM31:DP31,BS16:BV16)/SUM(BS16:BV16)</f>
        <v>29.7028645833333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>
        <v>0</v>
      </c>
      <c r="F32" s="9">
        <v>74</v>
      </c>
      <c r="G32" s="9">
        <v>0</v>
      </c>
      <c r="H32" s="19">
        <v>0</v>
      </c>
      <c r="I32" s="9">
        <v>0</v>
      </c>
      <c r="J32" s="9">
        <v>0</v>
      </c>
      <c r="K32" s="9">
        <v>0</v>
      </c>
      <c r="L32" s="10"/>
      <c r="M32" s="39">
        <f>AH64-AH104</f>
        <v>28</v>
      </c>
      <c r="N32" s="35"/>
      <c r="O32" s="35"/>
      <c r="P32" s="35"/>
      <c r="Q32" s="45"/>
      <c r="U32" s="53"/>
      <c r="V32" s="54"/>
      <c r="W32" s="11">
        <v>6</v>
      </c>
      <c r="X32" s="55">
        <f t="shared" si="17"/>
        <v>80.9230769230769</v>
      </c>
      <c r="Y32" s="118">
        <f t="shared" si="17"/>
        <v>1</v>
      </c>
      <c r="Z32" s="119">
        <f t="shared" si="17"/>
        <v>9.50570342205323e-6</v>
      </c>
      <c r="AA32" s="120">
        <f t="shared" si="18"/>
        <v>397</v>
      </c>
      <c r="AB32" s="121">
        <f t="shared" si="19"/>
        <v>262</v>
      </c>
      <c r="AC32" s="121">
        <f t="shared" si="20"/>
        <v>0</v>
      </c>
      <c r="AD32" s="122">
        <f t="shared" si="21"/>
        <v>0</v>
      </c>
      <c r="AE32" s="123">
        <f t="shared" si="22"/>
        <v>0.659949622166247</v>
      </c>
      <c r="AF32" s="124">
        <f t="shared" si="22"/>
        <v>0</v>
      </c>
      <c r="AG32" s="158">
        <f t="shared" si="22"/>
        <v>0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3.12307692307692</v>
      </c>
      <c r="DA32" s="2">
        <f t="shared" si="25"/>
        <v>3.38846153846154</v>
      </c>
      <c r="DB32" s="2">
        <f t="shared" si="25"/>
        <v>3.01538461538462</v>
      </c>
      <c r="DC32" s="2">
        <f t="shared" si="25"/>
        <v>3.20769230769231</v>
      </c>
      <c r="DD32" s="2">
        <f>SUMPRODUCT(CZ32:DC32,BS17:BV17)/SUM(BS17:BV17)</f>
        <v>3.17398889770024</v>
      </c>
      <c r="DF32" s="2" t="s">
        <v>41</v>
      </c>
      <c r="DG32" s="2">
        <f t="shared" si="26"/>
        <v>10.9480769230769</v>
      </c>
      <c r="DH32" s="2">
        <f t="shared" si="26"/>
        <v>10.9480769230769</v>
      </c>
      <c r="DI32" s="2">
        <f t="shared" si="26"/>
        <v>10.6596153846154</v>
      </c>
      <c r="DJ32" s="2">
        <f t="shared" si="26"/>
        <v>10.9480769230769</v>
      </c>
      <c r="DK32" s="2">
        <f>SUMPRODUCT(DG32:DJ32,BS17:BV17)/SUM(BS17:BV17)</f>
        <v>10.8677835051546</v>
      </c>
      <c r="DM32" s="2">
        <f t="shared" si="27"/>
        <v>31.6277777777778</v>
      </c>
      <c r="DN32" s="2">
        <f t="shared" si="27"/>
        <v>31.6277777777778</v>
      </c>
      <c r="DO32" s="2">
        <f t="shared" si="27"/>
        <v>30.7944444444444</v>
      </c>
      <c r="DP32" s="2">
        <f t="shared" si="27"/>
        <v>31.6277777777778</v>
      </c>
      <c r="DQ32" s="2">
        <f>SUMPRODUCT(DM32:DP32,BS17:BV17)/SUM(BS17:BV17)</f>
        <v>31.3958190148912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>
        <v>0</v>
      </c>
      <c r="F33" s="9">
        <v>74</v>
      </c>
      <c r="G33" s="9">
        <v>0</v>
      </c>
      <c r="H33" s="19">
        <v>0</v>
      </c>
      <c r="I33" s="9">
        <v>0</v>
      </c>
      <c r="J33" s="9">
        <v>0</v>
      </c>
      <c r="K33" s="9">
        <v>0</v>
      </c>
      <c r="L33" s="10"/>
      <c r="M33" s="39">
        <f>AH65-AH105</f>
        <v>28</v>
      </c>
      <c r="N33" s="35"/>
      <c r="O33" s="35"/>
      <c r="P33" s="35"/>
      <c r="Q33" s="45"/>
      <c r="U33" s="53"/>
      <c r="V33" s="54"/>
      <c r="W33" s="11">
        <v>7</v>
      </c>
      <c r="X33" s="55">
        <f t="shared" si="17"/>
        <v>80.9230769230769</v>
      </c>
      <c r="Y33" s="118">
        <f t="shared" si="17"/>
        <v>1</v>
      </c>
      <c r="Z33" s="119">
        <f t="shared" si="17"/>
        <v>9.50570342205323e-6</v>
      </c>
      <c r="AA33" s="120">
        <f t="shared" si="18"/>
        <v>397</v>
      </c>
      <c r="AB33" s="121">
        <f t="shared" si="19"/>
        <v>262</v>
      </c>
      <c r="AC33" s="121">
        <f t="shared" si="20"/>
        <v>0</v>
      </c>
      <c r="AD33" s="122">
        <f t="shared" si="21"/>
        <v>0</v>
      </c>
      <c r="AE33" s="123">
        <f t="shared" si="22"/>
        <v>0.659949622166247</v>
      </c>
      <c r="AF33" s="124">
        <f t="shared" si="22"/>
        <v>0</v>
      </c>
      <c r="AG33" s="158">
        <f t="shared" si="22"/>
        <v>0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>
        <f t="shared" ref="AS33:AS52" si="28">IF(D73="","",D73)</f>
        <v>0.0526</v>
      </c>
      <c r="AT33" s="187">
        <f t="shared" ref="AT33:BH48" si="29">IF(E73="","",E73)</f>
        <v>0.0526</v>
      </c>
      <c r="AU33" s="187">
        <f t="shared" si="29"/>
        <v>0.0526</v>
      </c>
      <c r="AV33" s="188">
        <f t="shared" si="29"/>
        <v>0.0526</v>
      </c>
      <c r="AW33" s="186">
        <f t="shared" si="29"/>
        <v>0.0526</v>
      </c>
      <c r="AX33" s="187">
        <f t="shared" si="29"/>
        <v>0.0526</v>
      </c>
      <c r="AY33" s="187">
        <f t="shared" si="29"/>
        <v>0.0526</v>
      </c>
      <c r="AZ33" s="188">
        <f t="shared" si="29"/>
        <v>0.0526</v>
      </c>
      <c r="BA33" s="186">
        <f t="shared" si="29"/>
        <v>0</v>
      </c>
      <c r="BB33" s="187">
        <f t="shared" si="29"/>
        <v>0</v>
      </c>
      <c r="BC33" s="187">
        <f t="shared" si="29"/>
        <v>0</v>
      </c>
      <c r="BD33" s="188">
        <f t="shared" si="29"/>
        <v>0</v>
      </c>
      <c r="BE33" s="186">
        <f t="shared" si="29"/>
        <v>0</v>
      </c>
      <c r="BF33" s="187">
        <f t="shared" si="29"/>
        <v>0</v>
      </c>
      <c r="BG33" s="187">
        <f t="shared" si="29"/>
        <v>0</v>
      </c>
      <c r="BH33" s="188">
        <f t="shared" si="29"/>
        <v>0</v>
      </c>
      <c r="BX33" s="215"/>
      <c r="CA33" s="213"/>
      <c r="CB33" s="196" t="s">
        <v>304</v>
      </c>
      <c r="CC33" s="230">
        <f t="shared" ref="CC33:CF35" si="30">CC70</f>
        <v>3287.51235584843</v>
      </c>
      <c r="CD33" s="230">
        <f t="shared" si="30"/>
        <v>3194.41956830389</v>
      </c>
      <c r="CE33" s="230">
        <f t="shared" si="30"/>
        <v>3621.77077446187</v>
      </c>
      <c r="CF33" s="230">
        <f t="shared" si="30"/>
        <v>3656.53483606714</v>
      </c>
      <c r="CG33" s="225"/>
      <c r="CH33" s="225"/>
      <c r="CI33" s="197" t="s">
        <v>55</v>
      </c>
      <c r="CJ33" s="231">
        <f t="shared" ref="CJ33:CM36" si="31">IF(CJ27&gt;0,(AF76-CJ27)/CJ27,0)</f>
        <v>10.0876451953537</v>
      </c>
      <c r="CK33" s="231">
        <f t="shared" si="31"/>
        <v>0.518126718423677</v>
      </c>
      <c r="CL33" s="231">
        <f t="shared" si="31"/>
        <v>0.348414463040451</v>
      </c>
      <c r="CM33" s="231">
        <f t="shared" si="31"/>
        <v>0.210576673121201</v>
      </c>
      <c r="CN33" s="48"/>
      <c r="CO33" s="239"/>
      <c r="DS33" s="37">
        <f t="shared" ref="DS33:EH33" si="32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3100</v>
      </c>
      <c r="DT33" s="37">
        <f t="shared" si="32"/>
        <v>3100</v>
      </c>
      <c r="DU33" s="37">
        <f t="shared" si="32"/>
        <v>3300</v>
      </c>
      <c r="DV33" s="37">
        <f t="shared" si="32"/>
        <v>3300</v>
      </c>
      <c r="DW33" s="37">
        <f t="shared" si="32"/>
        <v>5800</v>
      </c>
      <c r="DX33" s="37">
        <f t="shared" si="32"/>
        <v>5800</v>
      </c>
      <c r="DY33" s="37">
        <f t="shared" si="32"/>
        <v>6000</v>
      </c>
      <c r="DZ33" s="37">
        <f t="shared" si="32"/>
        <v>6000</v>
      </c>
      <c r="EA33" s="37">
        <f t="shared" si="32"/>
        <v>7300</v>
      </c>
      <c r="EB33" s="37">
        <f t="shared" si="32"/>
        <v>7300</v>
      </c>
      <c r="EC33" s="37">
        <f t="shared" si="32"/>
        <v>7600</v>
      </c>
      <c r="ED33" s="37">
        <f t="shared" si="32"/>
        <v>7600</v>
      </c>
      <c r="EE33" s="37">
        <f t="shared" si="32"/>
        <v>9300</v>
      </c>
      <c r="EF33" s="37">
        <f t="shared" si="32"/>
        <v>9300</v>
      </c>
      <c r="EG33" s="37">
        <f t="shared" si="32"/>
        <v>9600</v>
      </c>
      <c r="EH33" s="37">
        <f t="shared" si="32"/>
        <v>9600</v>
      </c>
    </row>
    <row r="34" ht="16.35" spans="2:110">
      <c r="B34" s="7"/>
      <c r="C34" s="18">
        <v>3</v>
      </c>
      <c r="D34" s="18">
        <v>3</v>
      </c>
      <c r="E34" s="9">
        <v>0</v>
      </c>
      <c r="F34" s="9">
        <v>67</v>
      </c>
      <c r="G34" s="9">
        <v>0</v>
      </c>
      <c r="H34" s="19">
        <v>0</v>
      </c>
      <c r="I34" s="9">
        <v>0</v>
      </c>
      <c r="J34" s="9">
        <v>0</v>
      </c>
      <c r="K34" s="9">
        <v>0</v>
      </c>
      <c r="L34" s="10"/>
      <c r="M34" s="39">
        <f>AH66-AH106</f>
        <v>40</v>
      </c>
      <c r="N34" s="35"/>
      <c r="O34" s="35"/>
      <c r="P34" s="35"/>
      <c r="Q34" s="45"/>
      <c r="U34" s="53"/>
      <c r="V34" s="54"/>
      <c r="W34" s="11">
        <v>8</v>
      </c>
      <c r="X34" s="55">
        <f t="shared" si="17"/>
        <v>80.9230769230769</v>
      </c>
      <c r="Y34" s="118">
        <f t="shared" si="17"/>
        <v>1</v>
      </c>
      <c r="Z34" s="119">
        <f t="shared" si="17"/>
        <v>9.50570342205323e-6</v>
      </c>
      <c r="AA34" s="120">
        <f t="shared" si="18"/>
        <v>397</v>
      </c>
      <c r="AB34" s="121">
        <f t="shared" si="19"/>
        <v>262</v>
      </c>
      <c r="AC34" s="121">
        <f t="shared" si="20"/>
        <v>0</v>
      </c>
      <c r="AD34" s="122">
        <f t="shared" si="21"/>
        <v>0</v>
      </c>
      <c r="AE34" s="123">
        <f t="shared" si="22"/>
        <v>0.659949622166247</v>
      </c>
      <c r="AF34" s="124">
        <f t="shared" si="22"/>
        <v>0</v>
      </c>
      <c r="AG34" s="158">
        <f t="shared" si="22"/>
        <v>0</v>
      </c>
      <c r="AI34" s="64" t="s">
        <v>38</v>
      </c>
      <c r="AJ34" s="163">
        <v>120000</v>
      </c>
      <c r="AK34" s="164">
        <f>IF(AM34=1,CK70-CJ70,IF(AM34=2,CL70-CK70,IF(AM34=3,CM70-CL70,IF(AM34=4,CN70-CM70,0))))</f>
        <v>120000</v>
      </c>
      <c r="AL34" s="162"/>
      <c r="AM34" s="65">
        <f>INT(第九期!DV26)</f>
        <v>1</v>
      </c>
      <c r="AN34" s="126"/>
      <c r="AR34" s="185">
        <v>2</v>
      </c>
      <c r="AS34" s="186">
        <f t="shared" si="28"/>
        <v>0.0526</v>
      </c>
      <c r="AT34" s="187">
        <f t="shared" si="29"/>
        <v>0.0526</v>
      </c>
      <c r="AU34" s="187">
        <f t="shared" si="29"/>
        <v>0.0526</v>
      </c>
      <c r="AV34" s="188">
        <f t="shared" si="29"/>
        <v>0.0526</v>
      </c>
      <c r="AW34" s="186">
        <f t="shared" si="29"/>
        <v>0.0526</v>
      </c>
      <c r="AX34" s="187">
        <f t="shared" si="29"/>
        <v>0.0526</v>
      </c>
      <c r="AY34" s="187">
        <f t="shared" si="29"/>
        <v>0.0526</v>
      </c>
      <c r="AZ34" s="188">
        <f t="shared" si="29"/>
        <v>0.0526</v>
      </c>
      <c r="BA34" s="186">
        <f t="shared" si="29"/>
        <v>0</v>
      </c>
      <c r="BB34" s="187">
        <f t="shared" si="29"/>
        <v>0</v>
      </c>
      <c r="BC34" s="187">
        <f t="shared" si="29"/>
        <v>0</v>
      </c>
      <c r="BD34" s="188">
        <f t="shared" si="29"/>
        <v>0</v>
      </c>
      <c r="BE34" s="186">
        <f t="shared" si="29"/>
        <v>0</v>
      </c>
      <c r="BF34" s="187">
        <f t="shared" si="29"/>
        <v>0</v>
      </c>
      <c r="BG34" s="187">
        <f t="shared" si="29"/>
        <v>0</v>
      </c>
      <c r="BH34" s="188">
        <f t="shared" si="29"/>
        <v>0</v>
      </c>
      <c r="BX34" s="215"/>
      <c r="CA34" s="213"/>
      <c r="CB34" s="196" t="s">
        <v>305</v>
      </c>
      <c r="CC34" s="230">
        <f t="shared" si="30"/>
        <v>32.8751235584843</v>
      </c>
      <c r="CD34" s="230">
        <f t="shared" si="30"/>
        <v>12.7776782732156</v>
      </c>
      <c r="CE34" s="230">
        <f t="shared" si="30"/>
        <v>9.53097572226809</v>
      </c>
      <c r="CF34" s="230">
        <f t="shared" si="30"/>
        <v>7.03179776166758</v>
      </c>
      <c r="CG34" s="232"/>
      <c r="CH34" s="225"/>
      <c r="CI34" s="196" t="s">
        <v>56</v>
      </c>
      <c r="CJ34" s="231">
        <f t="shared" si="31"/>
        <v>28.5913574448098</v>
      </c>
      <c r="CK34" s="231">
        <f t="shared" si="31"/>
        <v>0.594158004537147</v>
      </c>
      <c r="CL34" s="231">
        <f t="shared" si="31"/>
        <v>0.406198948170768</v>
      </c>
      <c r="CM34" s="231">
        <f t="shared" si="31"/>
        <v>0.262286894450532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>
        <v>0</v>
      </c>
      <c r="F35" s="9">
        <v>80</v>
      </c>
      <c r="G35" s="9">
        <v>0</v>
      </c>
      <c r="H35" s="19">
        <v>0</v>
      </c>
      <c r="I35" s="9">
        <v>0</v>
      </c>
      <c r="J35" s="9">
        <v>0</v>
      </c>
      <c r="K35" s="9">
        <v>0</v>
      </c>
      <c r="L35" s="10"/>
      <c r="M35" s="39">
        <f>AH67-AH107</f>
        <v>42</v>
      </c>
      <c r="N35" s="35"/>
      <c r="O35" s="35"/>
      <c r="P35" s="35"/>
      <c r="Q35" s="57"/>
      <c r="U35" s="53"/>
      <c r="V35" s="54"/>
      <c r="W35" s="11">
        <v>9</v>
      </c>
      <c r="X35" s="55">
        <f t="shared" si="17"/>
        <v>80.9230769230769</v>
      </c>
      <c r="Y35" s="118">
        <f t="shared" si="17"/>
        <v>1</v>
      </c>
      <c r="Z35" s="119">
        <f t="shared" si="17"/>
        <v>9.50570342205323e-6</v>
      </c>
      <c r="AA35" s="120">
        <f t="shared" si="18"/>
        <v>397</v>
      </c>
      <c r="AB35" s="121">
        <f t="shared" si="19"/>
        <v>262</v>
      </c>
      <c r="AC35" s="121">
        <f t="shared" si="20"/>
        <v>0</v>
      </c>
      <c r="AD35" s="122">
        <f t="shared" si="21"/>
        <v>0</v>
      </c>
      <c r="AE35" s="123">
        <f t="shared" si="22"/>
        <v>0.659949622166247</v>
      </c>
      <c r="AF35" s="124">
        <f t="shared" si="22"/>
        <v>0</v>
      </c>
      <c r="AG35" s="158">
        <f t="shared" si="22"/>
        <v>0</v>
      </c>
      <c r="AI35" s="11" t="s">
        <v>39</v>
      </c>
      <c r="AJ35" s="163">
        <v>150000</v>
      </c>
      <c r="AK35" s="164">
        <f>IF(AM35=1,CK71-CJ71,IF(AM35=2,CL71-CK71,IF(AM35=3,CM71-CL71,IF(AM35=4,CN71-CM71,0))))</f>
        <v>150000</v>
      </c>
      <c r="AL35" s="165"/>
      <c r="AM35" s="65">
        <f>INT(第九期!DV27)</f>
        <v>1</v>
      </c>
      <c r="AN35" s="126"/>
      <c r="AR35" s="185">
        <v>3</v>
      </c>
      <c r="AS35" s="186">
        <f t="shared" si="28"/>
        <v>0.0526</v>
      </c>
      <c r="AT35" s="187">
        <f t="shared" si="29"/>
        <v>0.0526</v>
      </c>
      <c r="AU35" s="187">
        <f t="shared" si="29"/>
        <v>0.0526</v>
      </c>
      <c r="AV35" s="188">
        <f t="shared" si="29"/>
        <v>0.0526</v>
      </c>
      <c r="AW35" s="186">
        <f t="shared" si="29"/>
        <v>0.0526</v>
      </c>
      <c r="AX35" s="187">
        <f t="shared" si="29"/>
        <v>0.0526</v>
      </c>
      <c r="AY35" s="187">
        <f t="shared" si="29"/>
        <v>0.0526</v>
      </c>
      <c r="AZ35" s="188">
        <f t="shared" si="29"/>
        <v>0.0526</v>
      </c>
      <c r="BA35" s="186">
        <f t="shared" si="29"/>
        <v>0</v>
      </c>
      <c r="BB35" s="187">
        <f t="shared" si="29"/>
        <v>0</v>
      </c>
      <c r="BC35" s="187">
        <f t="shared" si="29"/>
        <v>0</v>
      </c>
      <c r="BD35" s="188">
        <f t="shared" si="29"/>
        <v>0</v>
      </c>
      <c r="BE35" s="186">
        <f t="shared" si="29"/>
        <v>0</v>
      </c>
      <c r="BF35" s="187">
        <f t="shared" si="29"/>
        <v>0</v>
      </c>
      <c r="BG35" s="187">
        <f t="shared" si="29"/>
        <v>0</v>
      </c>
      <c r="BH35" s="188">
        <f t="shared" si="29"/>
        <v>0</v>
      </c>
      <c r="CA35" s="213"/>
      <c r="CB35" s="196" t="s">
        <v>307</v>
      </c>
      <c r="CC35" s="230">
        <f t="shared" si="30"/>
        <v>1</v>
      </c>
      <c r="CD35" s="230">
        <f t="shared" si="30"/>
        <v>0.443172998959144</v>
      </c>
      <c r="CE35" s="230">
        <f t="shared" si="30"/>
        <v>0.374525565287178</v>
      </c>
      <c r="CF35" s="230">
        <f t="shared" si="30"/>
        <v>0.305080285070869</v>
      </c>
      <c r="CG35" s="232"/>
      <c r="CH35" s="225"/>
      <c r="CI35" s="196" t="s">
        <v>57</v>
      </c>
      <c r="CJ35" s="231">
        <f t="shared" si="31"/>
        <v>9.03960396039604</v>
      </c>
      <c r="CK35" s="231">
        <f t="shared" si="31"/>
        <v>0.507211727750543</v>
      </c>
      <c r="CL35" s="231">
        <f t="shared" si="31"/>
        <v>0.322748876743174</v>
      </c>
      <c r="CM35" s="231">
        <f t="shared" si="31"/>
        <v>0.189014705605811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3">CZ23/CZ17</f>
        <v>0.193077528188095</v>
      </c>
      <c r="DA35" s="2">
        <f t="shared" si="33"/>
        <v>0.211897010949985</v>
      </c>
      <c r="DB35" s="2">
        <f t="shared" si="33"/>
        <v>0.225867648699922</v>
      </c>
      <c r="DC35" s="2">
        <f t="shared" si="33"/>
        <v>0.228969145612977</v>
      </c>
      <c r="DD35" s="2">
        <f>SUMPRODUCT(CZ35:DC35,BS14:BV14)/SUM(BS14:BV14)</f>
        <v>0.222357447488808</v>
      </c>
      <c r="DG35" s="2">
        <f t="shared" ref="DG35:DJ38" si="34">DG23/DG17</f>
        <v>0.702242637125101</v>
      </c>
      <c r="DH35" s="2">
        <f t="shared" si="34"/>
        <v>0.702242637125101</v>
      </c>
      <c r="DI35" s="2">
        <f t="shared" si="34"/>
        <v>0.679085941381023</v>
      </c>
      <c r="DJ35" s="2">
        <f t="shared" si="34"/>
        <v>0.713859910581222</v>
      </c>
      <c r="DK35" s="2">
        <f>SUMPRODUCT(DG35:DJ35,BS14:BV14)/SUM(BS14:BV14)</f>
        <v>0.702262099917142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>
        <v>0</v>
      </c>
      <c r="F36" s="9">
        <v>80</v>
      </c>
      <c r="G36" s="9">
        <v>0</v>
      </c>
      <c r="H36" s="19">
        <v>0</v>
      </c>
      <c r="I36" s="9">
        <v>0</v>
      </c>
      <c r="J36" s="9">
        <v>0</v>
      </c>
      <c r="K36" s="9">
        <v>0</v>
      </c>
      <c r="L36" s="10"/>
      <c r="M36" s="39">
        <f>AI64-AI104</f>
        <v>19</v>
      </c>
      <c r="N36" s="35"/>
      <c r="O36" s="35"/>
      <c r="P36" s="35"/>
      <c r="Q36" s="57"/>
      <c r="U36" s="53"/>
      <c r="V36" s="54"/>
      <c r="W36" s="11">
        <v>10</v>
      </c>
      <c r="X36" s="55">
        <f t="shared" si="17"/>
        <v>80.9230769230769</v>
      </c>
      <c r="Y36" s="118">
        <f t="shared" si="17"/>
        <v>1</v>
      </c>
      <c r="Z36" s="119">
        <f t="shared" si="17"/>
        <v>9.50570342205323e-6</v>
      </c>
      <c r="AA36" s="120">
        <f t="shared" si="18"/>
        <v>397</v>
      </c>
      <c r="AB36" s="121">
        <f t="shared" si="19"/>
        <v>262</v>
      </c>
      <c r="AC36" s="121">
        <f t="shared" si="20"/>
        <v>0</v>
      </c>
      <c r="AD36" s="122">
        <f t="shared" si="21"/>
        <v>0</v>
      </c>
      <c r="AE36" s="123">
        <f t="shared" si="22"/>
        <v>0.659949622166247</v>
      </c>
      <c r="AF36" s="124">
        <f t="shared" si="22"/>
        <v>0</v>
      </c>
      <c r="AG36" s="158">
        <f t="shared" si="22"/>
        <v>0</v>
      </c>
      <c r="AI36" s="11" t="s">
        <v>40</v>
      </c>
      <c r="AJ36" s="163">
        <v>300000</v>
      </c>
      <c r="AK36" s="164">
        <f>IF(AM36=0,CJ72,IF(AM36=1,CK72-CJ72,IF(AM36=2,CL72-CK72,IF(AM36=3,CM72-CL72,IF(AM36=4,CN72-CM72,0)))))</f>
        <v>300000</v>
      </c>
      <c r="AL36" s="42" t="s">
        <v>308</v>
      </c>
      <c r="AM36" s="65">
        <f>INT(第九期!DV28)</f>
        <v>0</v>
      </c>
      <c r="AN36" s="126"/>
      <c r="AR36" s="185">
        <v>4</v>
      </c>
      <c r="AS36" s="186">
        <f t="shared" si="28"/>
        <v>0.0526</v>
      </c>
      <c r="AT36" s="187">
        <f t="shared" si="29"/>
        <v>0.0526</v>
      </c>
      <c r="AU36" s="187">
        <f t="shared" si="29"/>
        <v>0.0526</v>
      </c>
      <c r="AV36" s="188">
        <f t="shared" si="29"/>
        <v>0.0526</v>
      </c>
      <c r="AW36" s="186">
        <f t="shared" si="29"/>
        <v>0.0526</v>
      </c>
      <c r="AX36" s="187">
        <f t="shared" si="29"/>
        <v>0.0526</v>
      </c>
      <c r="AY36" s="187">
        <f t="shared" si="29"/>
        <v>0.0526</v>
      </c>
      <c r="AZ36" s="188">
        <f t="shared" si="29"/>
        <v>0.0526</v>
      </c>
      <c r="BA36" s="186">
        <f t="shared" si="29"/>
        <v>0</v>
      </c>
      <c r="BB36" s="187">
        <f t="shared" si="29"/>
        <v>0</v>
      </c>
      <c r="BC36" s="187">
        <f t="shared" si="29"/>
        <v>0</v>
      </c>
      <c r="BD36" s="188">
        <f t="shared" si="29"/>
        <v>0</v>
      </c>
      <c r="BE36" s="186">
        <f t="shared" si="29"/>
        <v>0</v>
      </c>
      <c r="BF36" s="187">
        <f t="shared" si="29"/>
        <v>0</v>
      </c>
      <c r="BG36" s="187">
        <f t="shared" si="29"/>
        <v>0</v>
      </c>
      <c r="BH36" s="188">
        <f t="shared" si="29"/>
        <v>0</v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1"/>
        <v>9.35</v>
      </c>
      <c r="CK36" s="231">
        <f t="shared" si="31"/>
        <v>0.493386171788276</v>
      </c>
      <c r="CL36" s="231">
        <f t="shared" si="31"/>
        <v>0.330932745756116</v>
      </c>
      <c r="CM36" s="231">
        <f t="shared" si="31"/>
        <v>0.19401832451883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3"/>
        <v>0.284385541488476</v>
      </c>
      <c r="DA36" s="2">
        <f t="shared" si="33"/>
        <v>0.304491176765722</v>
      </c>
      <c r="DB36" s="2">
        <f t="shared" si="33"/>
        <v>0.307522733535409</v>
      </c>
      <c r="DC36" s="2">
        <f t="shared" si="33"/>
        <v>0.313669261231736</v>
      </c>
      <c r="DD36" s="2">
        <f>SUMPRODUCT(CZ36:DC36,BS15:BV15)/SUM(BS15:BV15)</f>
        <v>0.304174224847869</v>
      </c>
      <c r="DG36" s="2">
        <f t="shared" si="34"/>
        <v>1.00860832137733</v>
      </c>
      <c r="DH36" s="2">
        <f t="shared" si="34"/>
        <v>1.00860832137733</v>
      </c>
      <c r="DI36" s="2">
        <f t="shared" si="34"/>
        <v>0.981004070556309</v>
      </c>
      <c r="DJ36" s="2">
        <f t="shared" si="34"/>
        <v>1.00814111261872</v>
      </c>
      <c r="DK36" s="2">
        <f>SUMPRODUCT(DG36:DJ36,BS15:BV15)/SUM(BS15:BV15)</f>
        <v>1.00022131739572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>
        <v>0</v>
      </c>
      <c r="F37" s="9">
        <v>81</v>
      </c>
      <c r="G37" s="9">
        <v>0</v>
      </c>
      <c r="H37" s="19">
        <v>0</v>
      </c>
      <c r="I37" s="9">
        <v>0</v>
      </c>
      <c r="J37" s="9">
        <v>0</v>
      </c>
      <c r="K37" s="9">
        <v>0</v>
      </c>
      <c r="L37" s="10"/>
      <c r="M37" s="39">
        <f>AI65-AI105</f>
        <v>19</v>
      </c>
      <c r="N37" s="35"/>
      <c r="O37" s="35"/>
      <c r="P37" s="35"/>
      <c r="Q37" s="57"/>
      <c r="U37" s="53"/>
      <c r="V37" s="54"/>
      <c r="W37" s="11">
        <v>11</v>
      </c>
      <c r="X37" s="55">
        <f t="shared" si="17"/>
        <v>80.9230769230769</v>
      </c>
      <c r="Y37" s="118">
        <f t="shared" si="17"/>
        <v>1</v>
      </c>
      <c r="Z37" s="119">
        <f t="shared" si="17"/>
        <v>9.50570342205323e-6</v>
      </c>
      <c r="AA37" s="120">
        <f t="shared" si="18"/>
        <v>397</v>
      </c>
      <c r="AB37" s="121">
        <f t="shared" si="19"/>
        <v>262</v>
      </c>
      <c r="AC37" s="121">
        <f t="shared" si="20"/>
        <v>0</v>
      </c>
      <c r="AD37" s="122">
        <f t="shared" si="21"/>
        <v>0</v>
      </c>
      <c r="AE37" s="123">
        <f t="shared" si="22"/>
        <v>0.659949622166247</v>
      </c>
      <c r="AF37" s="124">
        <f t="shared" si="22"/>
        <v>0</v>
      </c>
      <c r="AG37" s="158">
        <f t="shared" si="22"/>
        <v>0</v>
      </c>
      <c r="AI37" s="11" t="s">
        <v>41</v>
      </c>
      <c r="AJ37" s="163">
        <v>500000</v>
      </c>
      <c r="AK37" s="164">
        <f>IF(AM37=0,CJ73,IF(AM37=1,CK73-CJ73,IF(AM37=2,CL73-CK73,IF(AM37=3,CM73-CL73,IF(AM37=4,CN73-CM73,0)))))</f>
        <v>500000</v>
      </c>
      <c r="AL37" s="154">
        <f>SUM(AJ34:AJ37)</f>
        <v>1070000</v>
      </c>
      <c r="AM37" s="65">
        <f>INT(第九期!DV29)</f>
        <v>0</v>
      </c>
      <c r="AN37" s="126"/>
      <c r="AR37" s="185">
        <v>5</v>
      </c>
      <c r="AS37" s="186">
        <f t="shared" si="28"/>
        <v>0.0526</v>
      </c>
      <c r="AT37" s="187">
        <f t="shared" si="29"/>
        <v>0.0526</v>
      </c>
      <c r="AU37" s="187">
        <f t="shared" si="29"/>
        <v>0.0526</v>
      </c>
      <c r="AV37" s="188">
        <f t="shared" si="29"/>
        <v>0.0526</v>
      </c>
      <c r="AW37" s="186">
        <f t="shared" si="29"/>
        <v>0.0526</v>
      </c>
      <c r="AX37" s="187">
        <f t="shared" si="29"/>
        <v>0.0526</v>
      </c>
      <c r="AY37" s="187">
        <f t="shared" si="29"/>
        <v>0.0526</v>
      </c>
      <c r="AZ37" s="188">
        <f t="shared" si="29"/>
        <v>0.0526</v>
      </c>
      <c r="BA37" s="186">
        <f t="shared" si="29"/>
        <v>0</v>
      </c>
      <c r="BB37" s="187">
        <f t="shared" si="29"/>
        <v>0</v>
      </c>
      <c r="BC37" s="187">
        <f t="shared" si="29"/>
        <v>0</v>
      </c>
      <c r="BD37" s="188">
        <f t="shared" si="29"/>
        <v>0</v>
      </c>
      <c r="BE37" s="186">
        <f t="shared" si="29"/>
        <v>0</v>
      </c>
      <c r="BF37" s="187">
        <f t="shared" si="29"/>
        <v>0</v>
      </c>
      <c r="BG37" s="187">
        <f t="shared" si="29"/>
        <v>0</v>
      </c>
      <c r="BH37" s="188">
        <f t="shared" si="29"/>
        <v>0</v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3"/>
        <v>0.230182322631788</v>
      </c>
      <c r="DA37" s="2">
        <f t="shared" si="33"/>
        <v>0.248190300008043</v>
      </c>
      <c r="DB37" s="2">
        <f t="shared" si="33"/>
        <v>0.220425714063351</v>
      </c>
      <c r="DC37" s="2">
        <f t="shared" si="33"/>
        <v>0.23789176543377</v>
      </c>
      <c r="DD37" s="2">
        <f>SUMPRODUCT(CZ37:DC37,BS16:BV16)/SUM(BS16:BV16)</f>
        <v>0.233318914765984</v>
      </c>
      <c r="DG37" s="2">
        <f t="shared" si="34"/>
        <v>0.99623745819398</v>
      </c>
      <c r="DH37" s="2">
        <f t="shared" si="34"/>
        <v>0.99623745819398</v>
      </c>
      <c r="DI37" s="2">
        <f t="shared" si="34"/>
        <v>0.926532241964464</v>
      </c>
      <c r="DJ37" s="2">
        <f t="shared" si="34"/>
        <v>0.966460371331603</v>
      </c>
      <c r="DK37" s="2">
        <f>SUMPRODUCT(DG37:DJ37,BS16:BV16)/SUM(BS16:BV16)</f>
        <v>0.966808215807978</v>
      </c>
      <c r="DS37" s="37">
        <f t="shared" ref="DS37:EH37" si="35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0.0526</v>
      </c>
      <c r="DT37" s="37">
        <f t="shared" si="35"/>
        <v>0.0526</v>
      </c>
      <c r="DU37" s="37">
        <f t="shared" si="35"/>
        <v>0.0526</v>
      </c>
      <c r="DV37" s="37">
        <f t="shared" si="35"/>
        <v>0.0526</v>
      </c>
      <c r="DW37" s="37">
        <f t="shared" si="35"/>
        <v>0.0526</v>
      </c>
      <c r="DX37" s="37">
        <f t="shared" si="35"/>
        <v>0.0526</v>
      </c>
      <c r="DY37" s="37">
        <f t="shared" si="35"/>
        <v>0.0526</v>
      </c>
      <c r="DZ37" s="37">
        <f t="shared" si="35"/>
        <v>0.0526</v>
      </c>
      <c r="EA37" s="37">
        <f t="shared" si="35"/>
        <v>0</v>
      </c>
      <c r="EB37" s="37">
        <f t="shared" si="35"/>
        <v>0</v>
      </c>
      <c r="EC37" s="37">
        <f t="shared" si="35"/>
        <v>0</v>
      </c>
      <c r="ED37" s="37">
        <f t="shared" si="35"/>
        <v>0</v>
      </c>
      <c r="EE37" s="37">
        <f t="shared" si="35"/>
        <v>0</v>
      </c>
      <c r="EF37" s="37">
        <f t="shared" si="35"/>
        <v>0</v>
      </c>
      <c r="EG37" s="37">
        <f t="shared" si="35"/>
        <v>0</v>
      </c>
      <c r="EH37" s="37">
        <f t="shared" si="35"/>
        <v>0</v>
      </c>
    </row>
    <row r="38" ht="17.1" spans="2:115">
      <c r="B38" s="7"/>
      <c r="C38" s="18">
        <v>4</v>
      </c>
      <c r="D38" s="18">
        <v>3</v>
      </c>
      <c r="E38" s="9">
        <v>0</v>
      </c>
      <c r="F38" s="9">
        <v>80</v>
      </c>
      <c r="G38" s="9">
        <v>0</v>
      </c>
      <c r="H38" s="19">
        <v>0</v>
      </c>
      <c r="I38" s="9">
        <v>0</v>
      </c>
      <c r="J38" s="9">
        <v>0</v>
      </c>
      <c r="K38" s="9">
        <v>0</v>
      </c>
      <c r="L38" s="10"/>
      <c r="M38" s="39">
        <f>AI66-AI106</f>
        <v>26</v>
      </c>
      <c r="N38" s="35"/>
      <c r="O38" s="35"/>
      <c r="P38" s="35"/>
      <c r="Q38" s="57"/>
      <c r="U38" s="53"/>
      <c r="V38" s="54"/>
      <c r="W38" s="11">
        <v>12</v>
      </c>
      <c r="X38" s="55">
        <f t="shared" si="17"/>
        <v>80.9230769230769</v>
      </c>
      <c r="Y38" s="118">
        <f t="shared" si="17"/>
        <v>1</v>
      </c>
      <c r="Z38" s="119">
        <f t="shared" si="17"/>
        <v>9.50570342205323e-6</v>
      </c>
      <c r="AA38" s="120">
        <f t="shared" si="18"/>
        <v>397</v>
      </c>
      <c r="AB38" s="121">
        <f t="shared" si="19"/>
        <v>262</v>
      </c>
      <c r="AC38" s="121">
        <f t="shared" si="20"/>
        <v>0</v>
      </c>
      <c r="AD38" s="122">
        <f t="shared" si="21"/>
        <v>0</v>
      </c>
      <c r="AE38" s="123">
        <f t="shared" si="22"/>
        <v>0.659949622166247</v>
      </c>
      <c r="AF38" s="124">
        <f t="shared" si="22"/>
        <v>0</v>
      </c>
      <c r="AG38" s="158">
        <f t="shared" si="22"/>
        <v>0</v>
      </c>
      <c r="AI38" s="48"/>
      <c r="AJ38" s="48"/>
      <c r="AK38" s="48"/>
      <c r="AL38" s="48"/>
      <c r="AM38" s="48"/>
      <c r="AN38" s="48"/>
      <c r="AR38" s="185">
        <v>6</v>
      </c>
      <c r="AS38" s="186">
        <f t="shared" si="28"/>
        <v>0.0526</v>
      </c>
      <c r="AT38" s="187">
        <f t="shared" si="29"/>
        <v>0.0526</v>
      </c>
      <c r="AU38" s="187">
        <f t="shared" si="29"/>
        <v>0.0526</v>
      </c>
      <c r="AV38" s="188">
        <f t="shared" si="29"/>
        <v>0.0526</v>
      </c>
      <c r="AW38" s="186">
        <f t="shared" si="29"/>
        <v>0.0526</v>
      </c>
      <c r="AX38" s="187">
        <f t="shared" si="29"/>
        <v>0.0526</v>
      </c>
      <c r="AY38" s="187">
        <f t="shared" si="29"/>
        <v>0.0526</v>
      </c>
      <c r="AZ38" s="188">
        <f t="shared" si="29"/>
        <v>0.0526</v>
      </c>
      <c r="BA38" s="186">
        <f t="shared" si="29"/>
        <v>0</v>
      </c>
      <c r="BB38" s="187">
        <f t="shared" si="29"/>
        <v>0</v>
      </c>
      <c r="BC38" s="187">
        <f t="shared" si="29"/>
        <v>0</v>
      </c>
      <c r="BD38" s="188">
        <f t="shared" si="29"/>
        <v>0</v>
      </c>
      <c r="BE38" s="186">
        <f t="shared" si="29"/>
        <v>0</v>
      </c>
      <c r="BF38" s="187">
        <f t="shared" si="29"/>
        <v>0</v>
      </c>
      <c r="BG38" s="187">
        <f t="shared" si="29"/>
        <v>0</v>
      </c>
      <c r="BH38" s="188">
        <f t="shared" si="29"/>
        <v>0</v>
      </c>
      <c r="CA38" s="213"/>
      <c r="CB38" s="197" t="s">
        <v>55</v>
      </c>
      <c r="CC38" s="108">
        <f>第九期!DG56*第九期!DG50+第九期!DG64*第九期!Y88</f>
        <v>2841</v>
      </c>
      <c r="CD38" s="108">
        <f>第九期!DH56*第九期!DH50+第九期!DH64*第九期!Z88</f>
        <v>31026</v>
      </c>
      <c r="CE38" s="108">
        <f>第九期!DI56*第九期!DI50+第九期!DI64*第九期!AA88</f>
        <v>32246</v>
      </c>
      <c r="CF38" s="108">
        <f>第九期!DJ56*第九期!DJ50+第九期!DJ64*第九期!AB88</f>
        <v>31380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3"/>
        <v>0.158810874242128</v>
      </c>
      <c r="DA38" s="2">
        <f t="shared" si="33"/>
        <v>0.174662965900079</v>
      </c>
      <c r="DB38" s="2">
        <f t="shared" si="33"/>
        <v>0.150306748466258</v>
      </c>
      <c r="DC38" s="2">
        <f t="shared" si="33"/>
        <v>0.159129937034917</v>
      </c>
      <c r="DD38" s="2">
        <f>SUMPRODUCT(CZ38:DC38,BS17:BV17)/SUM(BS17:BV17)</f>
        <v>0.159810898169903</v>
      </c>
      <c r="DG38" s="2">
        <f t="shared" si="34"/>
        <v>0.924638622705863</v>
      </c>
      <c r="DH38" s="2">
        <f t="shared" si="34"/>
        <v>0.924638622705863</v>
      </c>
      <c r="DI38" s="2">
        <f t="shared" si="34"/>
        <v>0.858448195756543</v>
      </c>
      <c r="DJ38" s="2">
        <f t="shared" si="34"/>
        <v>0.8816787982035</v>
      </c>
      <c r="DK38" s="2">
        <f>SUMPRODUCT(DG38:DJ38,BS17:BV17)/SUM(BS17:BV17)</f>
        <v>0.892927939585219</v>
      </c>
    </row>
    <row r="39" ht="17.1" spans="2:93">
      <c r="B39" s="7"/>
      <c r="C39" s="18">
        <v>4</v>
      </c>
      <c r="D39" s="18">
        <v>4</v>
      </c>
      <c r="E39" s="9">
        <v>0</v>
      </c>
      <c r="F39" s="9">
        <v>93</v>
      </c>
      <c r="G39" s="9">
        <v>0</v>
      </c>
      <c r="H39" s="19">
        <v>0</v>
      </c>
      <c r="I39" s="9">
        <v>0</v>
      </c>
      <c r="J39" s="9">
        <v>0</v>
      </c>
      <c r="K39" s="9">
        <v>0</v>
      </c>
      <c r="L39" s="10"/>
      <c r="M39" s="39">
        <f>AI67-AI107</f>
        <v>29</v>
      </c>
      <c r="N39" s="35"/>
      <c r="O39" s="35"/>
      <c r="P39" s="35"/>
      <c r="Q39" s="57"/>
      <c r="U39" s="53"/>
      <c r="V39" s="54"/>
      <c r="W39" s="11">
        <v>13</v>
      </c>
      <c r="X39" s="55">
        <f t="shared" si="17"/>
        <v>80.9230769230769</v>
      </c>
      <c r="Y39" s="118">
        <f t="shared" si="17"/>
        <v>1</v>
      </c>
      <c r="Z39" s="119">
        <f t="shared" si="17"/>
        <v>9.50570342205323e-6</v>
      </c>
      <c r="AA39" s="120">
        <f t="shared" si="18"/>
        <v>397</v>
      </c>
      <c r="AB39" s="121">
        <f t="shared" si="19"/>
        <v>262</v>
      </c>
      <c r="AC39" s="121">
        <f t="shared" si="20"/>
        <v>0</v>
      </c>
      <c r="AD39" s="122">
        <f t="shared" si="21"/>
        <v>0</v>
      </c>
      <c r="AE39" s="123">
        <f t="shared" si="22"/>
        <v>0.659949622166247</v>
      </c>
      <c r="AF39" s="124">
        <f t="shared" si="22"/>
        <v>0</v>
      </c>
      <c r="AG39" s="158">
        <f t="shared" si="22"/>
        <v>0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>
        <f t="shared" si="28"/>
        <v>0.0526</v>
      </c>
      <c r="AT39" s="187">
        <f t="shared" si="29"/>
        <v>0.0526</v>
      </c>
      <c r="AU39" s="187">
        <f t="shared" si="29"/>
        <v>0.0526</v>
      </c>
      <c r="AV39" s="188">
        <f t="shared" si="29"/>
        <v>0.0526</v>
      </c>
      <c r="AW39" s="186">
        <f t="shared" si="29"/>
        <v>0.0526</v>
      </c>
      <c r="AX39" s="187">
        <f t="shared" si="29"/>
        <v>0.0526</v>
      </c>
      <c r="AY39" s="187">
        <f t="shared" si="29"/>
        <v>0.0526</v>
      </c>
      <c r="AZ39" s="188">
        <f t="shared" si="29"/>
        <v>0.0526</v>
      </c>
      <c r="BA39" s="186">
        <f t="shared" si="29"/>
        <v>0</v>
      </c>
      <c r="BB39" s="187">
        <f t="shared" si="29"/>
        <v>0</v>
      </c>
      <c r="BC39" s="187">
        <f t="shared" si="29"/>
        <v>0</v>
      </c>
      <c r="BD39" s="188">
        <f t="shared" si="29"/>
        <v>0</v>
      </c>
      <c r="BE39" s="186">
        <f t="shared" si="29"/>
        <v>0</v>
      </c>
      <c r="BF39" s="187">
        <f t="shared" si="29"/>
        <v>0</v>
      </c>
      <c r="BG39" s="187">
        <f t="shared" si="29"/>
        <v>0</v>
      </c>
      <c r="BH39" s="188">
        <f t="shared" si="29"/>
        <v>0</v>
      </c>
      <c r="CA39" s="213"/>
      <c r="CB39" s="196" t="s">
        <v>56</v>
      </c>
      <c r="CC39" s="108">
        <f>第九期!DG57*第九期!DG51+第九期!DG65*第九期!Y89</f>
        <v>2129</v>
      </c>
      <c r="CD39" s="108">
        <f>第九期!DH57*第九期!DH51+第九期!DH65*第九期!Z89</f>
        <v>24774</v>
      </c>
      <c r="CE39" s="108">
        <f>第九期!DI57*第九期!DI51+第九期!DI65*第九期!AA89</f>
        <v>27054</v>
      </c>
      <c r="CF39" s="108">
        <f>第九期!DJ57*第九期!DJ51+第九期!DJ65*第九期!AB89</f>
        <v>26120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>
        <f t="shared" si="17"/>
        <v>80.9230769230769</v>
      </c>
      <c r="Y40" s="118">
        <f t="shared" si="17"/>
        <v>1</v>
      </c>
      <c r="Z40" s="119">
        <f t="shared" si="17"/>
        <v>9.50570342205323e-6</v>
      </c>
      <c r="AA40" s="120">
        <f t="shared" si="18"/>
        <v>397</v>
      </c>
      <c r="AB40" s="121">
        <f t="shared" si="19"/>
        <v>262</v>
      </c>
      <c r="AC40" s="121">
        <f t="shared" si="20"/>
        <v>0</v>
      </c>
      <c r="AD40" s="122">
        <f t="shared" si="21"/>
        <v>0</v>
      </c>
      <c r="AE40" s="123">
        <f t="shared" si="22"/>
        <v>0.659949622166247</v>
      </c>
      <c r="AF40" s="124">
        <f t="shared" si="22"/>
        <v>0</v>
      </c>
      <c r="AG40" s="158">
        <f t="shared" si="22"/>
        <v>0</v>
      </c>
      <c r="AI40" s="64" t="s">
        <v>21</v>
      </c>
      <c r="AJ40" s="166">
        <f>IF($AM$34=1,CJ70+0.0001,比赛参数!D52)</f>
        <v>100000.0001</v>
      </c>
      <c r="AK40" s="166">
        <f>IF($AM$34=2,CK70+0.0001,比赛参数!E52)</f>
        <v>220000</v>
      </c>
      <c r="AL40" s="166">
        <f>IF($AM$34=3,CL70+0.0001,比赛参数!F52)</f>
        <v>350000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>
        <f t="shared" si="28"/>
        <v>0.0526</v>
      </c>
      <c r="AT40" s="187">
        <f t="shared" si="29"/>
        <v>0.0526</v>
      </c>
      <c r="AU40" s="187">
        <f t="shared" si="29"/>
        <v>0.0526</v>
      </c>
      <c r="AV40" s="188">
        <f t="shared" si="29"/>
        <v>0.0526</v>
      </c>
      <c r="AW40" s="186">
        <f t="shared" si="29"/>
        <v>0.0526</v>
      </c>
      <c r="AX40" s="187">
        <f t="shared" si="29"/>
        <v>0.0526</v>
      </c>
      <c r="AY40" s="187">
        <f t="shared" si="29"/>
        <v>0.0526</v>
      </c>
      <c r="AZ40" s="188">
        <f t="shared" si="29"/>
        <v>0.0526</v>
      </c>
      <c r="BA40" s="186">
        <f t="shared" si="29"/>
        <v>0</v>
      </c>
      <c r="BB40" s="187">
        <f t="shared" si="29"/>
        <v>0</v>
      </c>
      <c r="BC40" s="187">
        <f t="shared" si="29"/>
        <v>0</v>
      </c>
      <c r="BD40" s="188">
        <f t="shared" si="29"/>
        <v>0</v>
      </c>
      <c r="BE40" s="186">
        <f t="shared" si="29"/>
        <v>0</v>
      </c>
      <c r="BF40" s="187">
        <f t="shared" si="29"/>
        <v>0</v>
      </c>
      <c r="BG40" s="187">
        <f t="shared" si="29"/>
        <v>0</v>
      </c>
      <c r="BH40" s="188">
        <f t="shared" si="29"/>
        <v>0</v>
      </c>
      <c r="CA40" s="213"/>
      <c r="CB40" s="196" t="s">
        <v>57</v>
      </c>
      <c r="CC40" s="108">
        <f>第九期!DG58*第九期!DG52+第九期!DG66*第九期!Y90</f>
        <v>10100</v>
      </c>
      <c r="CD40" s="108">
        <f>第九期!DH58*第九期!DH52+第九期!DH66*第九期!Z90</f>
        <v>53400</v>
      </c>
      <c r="CE40" s="108">
        <f>第九期!DI58*第九期!DI52+第九期!DI66*第九期!AA90</f>
        <v>49600</v>
      </c>
      <c r="CF40" s="108">
        <f>第九期!DJ58*第九期!DJ52+第九期!DJ66*第九期!AB90</f>
        <v>45000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>
        <f t="shared" si="17"/>
        <v>80.9230769230769</v>
      </c>
      <c r="Y41" s="118">
        <f t="shared" si="17"/>
        <v>1</v>
      </c>
      <c r="Z41" s="119">
        <f t="shared" si="17"/>
        <v>9.50570342205323e-6</v>
      </c>
      <c r="AA41" s="120">
        <f t="shared" si="18"/>
        <v>397</v>
      </c>
      <c r="AB41" s="121">
        <f t="shared" si="19"/>
        <v>262</v>
      </c>
      <c r="AC41" s="121">
        <f t="shared" si="20"/>
        <v>0</v>
      </c>
      <c r="AD41" s="122">
        <f t="shared" si="21"/>
        <v>0</v>
      </c>
      <c r="AE41" s="123">
        <f t="shared" si="22"/>
        <v>0.659949622166247</v>
      </c>
      <c r="AF41" s="124">
        <f t="shared" si="22"/>
        <v>0</v>
      </c>
      <c r="AG41" s="158">
        <f t="shared" si="22"/>
        <v>0</v>
      </c>
      <c r="AI41" s="11" t="s">
        <v>22</v>
      </c>
      <c r="AJ41" s="166">
        <f>IF($AM$35=1,CJ71+0.0001,比赛参数!D53)</f>
        <v>200000.0001</v>
      </c>
      <c r="AK41" s="166">
        <f>IF($AM$35=2,CK71+0.0001,比赛参数!E53)</f>
        <v>350000</v>
      </c>
      <c r="AL41" s="166">
        <f>IF($AM$35=3,CL71+0.0001,比赛参数!F53)</f>
        <v>500000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>
        <f t="shared" si="28"/>
        <v>0.0526</v>
      </c>
      <c r="AT41" s="187">
        <f t="shared" si="29"/>
        <v>0.0526</v>
      </c>
      <c r="AU41" s="187">
        <f t="shared" si="29"/>
        <v>0.0526</v>
      </c>
      <c r="AV41" s="188">
        <f t="shared" si="29"/>
        <v>0.0526</v>
      </c>
      <c r="AW41" s="186">
        <f t="shared" si="29"/>
        <v>0.0526</v>
      </c>
      <c r="AX41" s="187">
        <f t="shared" si="29"/>
        <v>0.0526</v>
      </c>
      <c r="AY41" s="187">
        <f t="shared" si="29"/>
        <v>0.0526</v>
      </c>
      <c r="AZ41" s="188">
        <f t="shared" si="29"/>
        <v>0.0526</v>
      </c>
      <c r="BA41" s="186">
        <f t="shared" si="29"/>
        <v>0</v>
      </c>
      <c r="BB41" s="187">
        <f t="shared" si="29"/>
        <v>0</v>
      </c>
      <c r="BC41" s="187">
        <f t="shared" si="29"/>
        <v>0</v>
      </c>
      <c r="BD41" s="188">
        <f t="shared" si="29"/>
        <v>0</v>
      </c>
      <c r="BE41" s="186">
        <f t="shared" si="29"/>
        <v>0</v>
      </c>
      <c r="BF41" s="187">
        <f t="shared" si="29"/>
        <v>0</v>
      </c>
      <c r="BG41" s="187">
        <f t="shared" si="29"/>
        <v>0</v>
      </c>
      <c r="BH41" s="188">
        <f t="shared" si="29"/>
        <v>0</v>
      </c>
      <c r="CA41" s="213"/>
      <c r="CB41" s="196" t="s">
        <v>58</v>
      </c>
      <c r="CC41" s="108">
        <f>第九期!DG59*第九期!DG53+第九期!DG67*第九期!Y91</f>
        <v>20000</v>
      </c>
      <c r="CD41" s="108">
        <f>第九期!DH59*第九期!DH53+第九期!DH67*第九期!Z91</f>
        <v>58500</v>
      </c>
      <c r="CE41" s="108">
        <f>第九期!DI59*第九期!DI53+第九期!DI67*第九期!AA91</f>
        <v>54400</v>
      </c>
      <c r="CF41" s="108">
        <f>第九期!DJ59*第九期!DJ53+第九期!DJ67*第九期!AB91</f>
        <v>51000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6">DG17/CS23</f>
        <v>18.505</v>
      </c>
      <c r="DH41" s="2">
        <f t="shared" si="36"/>
        <v>18.505</v>
      </c>
      <c r="DI41" s="2">
        <f t="shared" si="36"/>
        <v>20.13</v>
      </c>
      <c r="DJ41" s="2">
        <f t="shared" si="36"/>
        <v>20.13</v>
      </c>
      <c r="DK41" s="2">
        <f>SUMPRODUCT(DG41:DJ41,BS14:BV14)/SUM(BS14:BV14)</f>
        <v>19.72375</v>
      </c>
    </row>
    <row r="42" ht="15.6" spans="2:115">
      <c r="B42" s="7"/>
      <c r="C42" s="18" t="s">
        <v>21</v>
      </c>
      <c r="D42" s="9">
        <v>120</v>
      </c>
      <c r="E42" s="9">
        <v>0</v>
      </c>
      <c r="F42" s="14">
        <v>100000</v>
      </c>
      <c r="G42" s="9">
        <v>1</v>
      </c>
      <c r="H42" s="9">
        <v>0.957</v>
      </c>
      <c r="I42" s="10"/>
      <c r="M42" s="30"/>
      <c r="N42" s="39" t="s">
        <v>287</v>
      </c>
      <c r="O42" s="39">
        <f>AO4</f>
        <v>0</v>
      </c>
      <c r="P42" s="39">
        <f>AJ34</f>
        <v>120000</v>
      </c>
      <c r="Q42" s="45"/>
      <c r="U42" s="53"/>
      <c r="V42" s="54"/>
      <c r="W42" s="11">
        <v>16</v>
      </c>
      <c r="X42" s="55">
        <f t="shared" si="17"/>
        <v>80.9230769230769</v>
      </c>
      <c r="Y42" s="118">
        <f t="shared" si="17"/>
        <v>1</v>
      </c>
      <c r="Z42" s="119">
        <f t="shared" si="17"/>
        <v>9.50570342205323e-6</v>
      </c>
      <c r="AA42" s="120">
        <f t="shared" si="18"/>
        <v>397</v>
      </c>
      <c r="AB42" s="121">
        <f t="shared" si="19"/>
        <v>262</v>
      </c>
      <c r="AC42" s="121">
        <f t="shared" si="20"/>
        <v>0</v>
      </c>
      <c r="AD42" s="122">
        <f t="shared" si="21"/>
        <v>0</v>
      </c>
      <c r="AE42" s="123">
        <f t="shared" si="22"/>
        <v>0.659949622166247</v>
      </c>
      <c r="AF42" s="124">
        <f t="shared" si="22"/>
        <v>0</v>
      </c>
      <c r="AG42" s="158">
        <f t="shared" si="22"/>
        <v>0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>
        <f t="shared" si="28"/>
        <v>0.0526</v>
      </c>
      <c r="AT42" s="187">
        <f t="shared" si="29"/>
        <v>0.0526</v>
      </c>
      <c r="AU42" s="187">
        <f t="shared" si="29"/>
        <v>0.0526</v>
      </c>
      <c r="AV42" s="188">
        <f t="shared" si="29"/>
        <v>0.0526</v>
      </c>
      <c r="AW42" s="186">
        <f t="shared" si="29"/>
        <v>0.0526</v>
      </c>
      <c r="AX42" s="187">
        <f t="shared" si="29"/>
        <v>0.0526</v>
      </c>
      <c r="AY42" s="187">
        <f t="shared" si="29"/>
        <v>0.0526</v>
      </c>
      <c r="AZ42" s="188">
        <f t="shared" si="29"/>
        <v>0.0526</v>
      </c>
      <c r="BA42" s="186">
        <f t="shared" si="29"/>
        <v>0</v>
      </c>
      <c r="BB42" s="187">
        <f t="shared" si="29"/>
        <v>0</v>
      </c>
      <c r="BC42" s="187">
        <f t="shared" si="29"/>
        <v>0</v>
      </c>
      <c r="BD42" s="188">
        <f t="shared" si="29"/>
        <v>0</v>
      </c>
      <c r="BE42" s="186">
        <f t="shared" si="29"/>
        <v>0</v>
      </c>
      <c r="BF42" s="187">
        <f t="shared" si="29"/>
        <v>0</v>
      </c>
      <c r="BG42" s="187">
        <f t="shared" si="29"/>
        <v>0</v>
      </c>
      <c r="BH42" s="188">
        <f t="shared" si="29"/>
        <v>0</v>
      </c>
      <c r="CA42" s="213"/>
      <c r="CB42" s="98" t="s">
        <v>308</v>
      </c>
      <c r="CC42" s="127">
        <f>SUM(CC38:CC41)</f>
        <v>35070</v>
      </c>
      <c r="CD42" s="127">
        <f>SUM(CD38:CD41)</f>
        <v>167700</v>
      </c>
      <c r="CE42" s="127">
        <f>SUM(CE38:CE41)</f>
        <v>163300</v>
      </c>
      <c r="CF42" s="127">
        <f>SUM(CF38:CF41)</f>
        <v>153500</v>
      </c>
      <c r="CG42" s="108">
        <f>SUM(CC42:CF42)</f>
        <v>519570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6"/>
        <v>13.94</v>
      </c>
      <c r="DH42" s="2">
        <f t="shared" si="36"/>
        <v>13.94</v>
      </c>
      <c r="DI42" s="2">
        <f t="shared" si="36"/>
        <v>14.74</v>
      </c>
      <c r="DJ42" s="2">
        <f t="shared" si="36"/>
        <v>14.74</v>
      </c>
      <c r="DK42" s="2">
        <f>SUMPRODUCT(DG42:DJ42,BS15:BV15)/SUM(BS15:BV15)</f>
        <v>14.4213852813853</v>
      </c>
    </row>
    <row r="43" ht="16.35" spans="2:115">
      <c r="B43" s="7"/>
      <c r="C43" s="18" t="s">
        <v>22</v>
      </c>
      <c r="D43" s="9">
        <v>69</v>
      </c>
      <c r="E43" s="9">
        <v>0</v>
      </c>
      <c r="F43" s="14">
        <v>200000</v>
      </c>
      <c r="G43" s="9">
        <v>1</v>
      </c>
      <c r="H43" s="9">
        <v>0.957</v>
      </c>
      <c r="I43" s="10"/>
      <c r="M43" s="30"/>
      <c r="N43" s="39" t="s">
        <v>288</v>
      </c>
      <c r="O43" s="39">
        <f>AO5</f>
        <v>54</v>
      </c>
      <c r="P43" s="39">
        <f>AJ35</f>
        <v>150000</v>
      </c>
      <c r="Q43" s="45"/>
      <c r="U43" s="53"/>
      <c r="V43" s="54"/>
      <c r="W43" s="11">
        <v>17</v>
      </c>
      <c r="X43" s="55">
        <f t="shared" si="17"/>
        <v>80.9230769230769</v>
      </c>
      <c r="Y43" s="118">
        <f t="shared" si="17"/>
        <v>1</v>
      </c>
      <c r="Z43" s="119">
        <f t="shared" si="17"/>
        <v>9.50570342205323e-6</v>
      </c>
      <c r="AA43" s="120">
        <f t="shared" si="18"/>
        <v>397</v>
      </c>
      <c r="AB43" s="121">
        <f t="shared" si="19"/>
        <v>262</v>
      </c>
      <c r="AC43" s="121">
        <f t="shared" si="20"/>
        <v>0</v>
      </c>
      <c r="AD43" s="122">
        <f t="shared" si="21"/>
        <v>0</v>
      </c>
      <c r="AE43" s="123">
        <f t="shared" si="22"/>
        <v>0.659949622166247</v>
      </c>
      <c r="AF43" s="124">
        <f t="shared" si="22"/>
        <v>0</v>
      </c>
      <c r="AG43" s="158">
        <f t="shared" si="22"/>
        <v>0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>
        <f t="shared" si="28"/>
        <v>0.0526</v>
      </c>
      <c r="AT43" s="187">
        <f t="shared" si="29"/>
        <v>0.0526</v>
      </c>
      <c r="AU43" s="187">
        <f t="shared" si="29"/>
        <v>0.0526</v>
      </c>
      <c r="AV43" s="188">
        <f t="shared" si="29"/>
        <v>0.0526</v>
      </c>
      <c r="AW43" s="186">
        <f t="shared" si="29"/>
        <v>0.0526</v>
      </c>
      <c r="AX43" s="187">
        <f t="shared" si="29"/>
        <v>0.0526</v>
      </c>
      <c r="AY43" s="187">
        <f t="shared" si="29"/>
        <v>0.0526</v>
      </c>
      <c r="AZ43" s="188">
        <f t="shared" si="29"/>
        <v>0.0526</v>
      </c>
      <c r="BA43" s="186">
        <f t="shared" si="29"/>
        <v>0</v>
      </c>
      <c r="BB43" s="187">
        <f t="shared" si="29"/>
        <v>0</v>
      </c>
      <c r="BC43" s="187">
        <f t="shared" si="29"/>
        <v>0</v>
      </c>
      <c r="BD43" s="188">
        <f t="shared" si="29"/>
        <v>0</v>
      </c>
      <c r="BE43" s="186">
        <f t="shared" si="29"/>
        <v>0</v>
      </c>
      <c r="BF43" s="187">
        <f t="shared" si="29"/>
        <v>0</v>
      </c>
      <c r="BG43" s="187">
        <f t="shared" si="29"/>
        <v>0</v>
      </c>
      <c r="BH43" s="188">
        <f t="shared" si="29"/>
        <v>0</v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6"/>
        <v>12.5894736842105</v>
      </c>
      <c r="DH43" s="2">
        <f t="shared" si="36"/>
        <v>12.5894736842105</v>
      </c>
      <c r="DI43" s="2">
        <f t="shared" si="36"/>
        <v>13.1815789473684</v>
      </c>
      <c r="DJ43" s="2">
        <f t="shared" si="36"/>
        <v>13.1815789473684</v>
      </c>
      <c r="DK43" s="2">
        <f>SUMPRODUCT(DG43:DJ43,BS16:BV16)/SUM(BS16:BV16)</f>
        <v>12.9430921052632</v>
      </c>
    </row>
    <row r="44" ht="16.35" spans="2:115">
      <c r="B44" s="7"/>
      <c r="C44" s="18" t="s">
        <v>23</v>
      </c>
      <c r="D44" s="9">
        <v>0</v>
      </c>
      <c r="E44" s="9">
        <v>0</v>
      </c>
      <c r="F44" s="9">
        <v>0</v>
      </c>
      <c r="G44" s="9">
        <v>0</v>
      </c>
      <c r="H44" s="9">
        <v>0.957</v>
      </c>
      <c r="I44" s="10"/>
      <c r="M44" s="30"/>
      <c r="N44" s="39" t="s">
        <v>289</v>
      </c>
      <c r="O44" s="39">
        <f>AO6</f>
        <v>49</v>
      </c>
      <c r="P44" s="39">
        <f>AJ36</f>
        <v>300000</v>
      </c>
      <c r="Q44" s="45"/>
      <c r="U44" s="53"/>
      <c r="V44" s="54"/>
      <c r="W44" s="11">
        <v>18</v>
      </c>
      <c r="X44" s="55">
        <f t="shared" si="17"/>
        <v>80.9230769230769</v>
      </c>
      <c r="Y44" s="118">
        <f t="shared" si="17"/>
        <v>1</v>
      </c>
      <c r="Z44" s="119">
        <f t="shared" si="17"/>
        <v>9.50570342205323e-6</v>
      </c>
      <c r="AA44" s="125">
        <f t="shared" si="18"/>
        <v>397</v>
      </c>
      <c r="AB44" s="121">
        <f t="shared" si="19"/>
        <v>262</v>
      </c>
      <c r="AC44" s="121">
        <f t="shared" si="20"/>
        <v>0</v>
      </c>
      <c r="AD44" s="122">
        <f t="shared" si="21"/>
        <v>0</v>
      </c>
      <c r="AE44" s="123">
        <f t="shared" si="22"/>
        <v>0.659949622166247</v>
      </c>
      <c r="AF44" s="124">
        <f t="shared" si="22"/>
        <v>0</v>
      </c>
      <c r="AG44" s="158">
        <f t="shared" si="22"/>
        <v>0</v>
      </c>
      <c r="AR44" s="185">
        <v>12</v>
      </c>
      <c r="AS44" s="186">
        <f t="shared" si="28"/>
        <v>0.0526</v>
      </c>
      <c r="AT44" s="187">
        <f t="shared" si="29"/>
        <v>0.0526</v>
      </c>
      <c r="AU44" s="187">
        <f t="shared" si="29"/>
        <v>0.0526</v>
      </c>
      <c r="AV44" s="188">
        <f t="shared" si="29"/>
        <v>0.0526</v>
      </c>
      <c r="AW44" s="186">
        <f t="shared" si="29"/>
        <v>0.0526</v>
      </c>
      <c r="AX44" s="187">
        <f t="shared" si="29"/>
        <v>0.0526</v>
      </c>
      <c r="AY44" s="187">
        <f t="shared" si="29"/>
        <v>0.0526</v>
      </c>
      <c r="AZ44" s="188">
        <f t="shared" si="29"/>
        <v>0.0526</v>
      </c>
      <c r="BA44" s="186">
        <f t="shared" si="29"/>
        <v>0</v>
      </c>
      <c r="BB44" s="187">
        <f t="shared" si="29"/>
        <v>0</v>
      </c>
      <c r="BC44" s="187">
        <f t="shared" si="29"/>
        <v>0</v>
      </c>
      <c r="BD44" s="188">
        <f t="shared" si="29"/>
        <v>0</v>
      </c>
      <c r="BE44" s="186">
        <f t="shared" si="29"/>
        <v>0</v>
      </c>
      <c r="BF44" s="187">
        <f t="shared" si="29"/>
        <v>0</v>
      </c>
      <c r="BG44" s="187">
        <f t="shared" si="29"/>
        <v>0</v>
      </c>
      <c r="BH44" s="188">
        <f t="shared" si="29"/>
        <v>0</v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6"/>
        <v>11.8403846153846</v>
      </c>
      <c r="DH44" s="2">
        <f t="shared" si="36"/>
        <v>11.8403846153846</v>
      </c>
      <c r="DI44" s="2">
        <f t="shared" si="36"/>
        <v>12.4173076923077</v>
      </c>
      <c r="DJ44" s="2">
        <f t="shared" si="36"/>
        <v>12.4173076923077</v>
      </c>
      <c r="DK44" s="2">
        <f>SUMPRODUCT(DG44:DJ44,BS17:BV17)/SUM(BS17:BV17)</f>
        <v>12.1794012688343</v>
      </c>
    </row>
    <row r="45" ht="16.35" spans="2:60">
      <c r="B45" s="7"/>
      <c r="C45" s="18" t="s">
        <v>24</v>
      </c>
      <c r="D45" s="9">
        <v>0</v>
      </c>
      <c r="E45" s="9">
        <v>0</v>
      </c>
      <c r="F45" s="9">
        <v>0</v>
      </c>
      <c r="G45" s="9">
        <v>0</v>
      </c>
      <c r="H45" s="9">
        <v>0.957</v>
      </c>
      <c r="I45" s="10"/>
      <c r="M45" s="30"/>
      <c r="N45" s="39" t="s">
        <v>290</v>
      </c>
      <c r="O45" s="39">
        <f>AO7</f>
        <v>33</v>
      </c>
      <c r="P45" s="39">
        <f>AJ37</f>
        <v>500000</v>
      </c>
      <c r="Q45" s="45"/>
      <c r="U45" s="53"/>
      <c r="V45" s="54"/>
      <c r="W45" s="11">
        <v>19</v>
      </c>
      <c r="X45" s="55">
        <f t="shared" si="17"/>
        <v>80.9230769230769</v>
      </c>
      <c r="Y45" s="118">
        <f t="shared" si="17"/>
        <v>1</v>
      </c>
      <c r="Z45" s="119">
        <f t="shared" si="17"/>
        <v>9.50570342205323e-6</v>
      </c>
      <c r="AA45" s="120">
        <f t="shared" si="18"/>
        <v>397</v>
      </c>
      <c r="AB45" s="121">
        <f t="shared" si="19"/>
        <v>262</v>
      </c>
      <c r="AC45" s="121">
        <f t="shared" si="20"/>
        <v>0</v>
      </c>
      <c r="AD45" s="122">
        <f t="shared" si="21"/>
        <v>0</v>
      </c>
      <c r="AE45" s="123">
        <f t="shared" si="22"/>
        <v>0.659949622166247</v>
      </c>
      <c r="AF45" s="124">
        <f t="shared" si="22"/>
        <v>0</v>
      </c>
      <c r="AG45" s="158">
        <f t="shared" si="22"/>
        <v>0</v>
      </c>
      <c r="AR45" s="185">
        <v>13</v>
      </c>
      <c r="AS45" s="186">
        <f t="shared" si="28"/>
        <v>0.0526</v>
      </c>
      <c r="AT45" s="187">
        <f t="shared" si="29"/>
        <v>0.0526</v>
      </c>
      <c r="AU45" s="187">
        <f t="shared" si="29"/>
        <v>0.0526</v>
      </c>
      <c r="AV45" s="188">
        <f t="shared" si="29"/>
        <v>0.0526</v>
      </c>
      <c r="AW45" s="186">
        <f t="shared" si="29"/>
        <v>0.0526</v>
      </c>
      <c r="AX45" s="187">
        <f t="shared" si="29"/>
        <v>0.0526</v>
      </c>
      <c r="AY45" s="187">
        <f t="shared" si="29"/>
        <v>0.0526</v>
      </c>
      <c r="AZ45" s="188">
        <f t="shared" si="29"/>
        <v>0.0526</v>
      </c>
      <c r="BA45" s="186">
        <f t="shared" si="29"/>
        <v>0</v>
      </c>
      <c r="BB45" s="187">
        <f t="shared" si="29"/>
        <v>0</v>
      </c>
      <c r="BC45" s="187">
        <f t="shared" si="29"/>
        <v>0</v>
      </c>
      <c r="BD45" s="188">
        <f t="shared" si="29"/>
        <v>0</v>
      </c>
      <c r="BE45" s="186">
        <f t="shared" si="29"/>
        <v>0</v>
      </c>
      <c r="BF45" s="187">
        <f t="shared" si="29"/>
        <v>0</v>
      </c>
      <c r="BG45" s="187">
        <f t="shared" si="29"/>
        <v>0</v>
      </c>
      <c r="BH45" s="188">
        <f t="shared" si="29"/>
        <v>0</v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>
        <f t="shared" si="17"/>
        <v>0</v>
      </c>
      <c r="Y46" s="118">
        <f t="shared" si="17"/>
        <v>0</v>
      </c>
      <c r="Z46" s="119" t="e">
        <f t="shared" si="17"/>
        <v>#DIV/0!</v>
      </c>
      <c r="AA46" s="120">
        <f t="shared" si="18"/>
        <v>0</v>
      </c>
      <c r="AB46" s="121">
        <f t="shared" si="19"/>
        <v>0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>
        <f t="shared" si="28"/>
        <v>0.0526</v>
      </c>
      <c r="AT46" s="187">
        <f t="shared" si="29"/>
        <v>0.0526</v>
      </c>
      <c r="AU46" s="187">
        <f t="shared" si="29"/>
        <v>0.0526</v>
      </c>
      <c r="AV46" s="188">
        <f t="shared" si="29"/>
        <v>0.0526</v>
      </c>
      <c r="AW46" s="186">
        <f t="shared" si="29"/>
        <v>0.0526</v>
      </c>
      <c r="AX46" s="187">
        <f t="shared" si="29"/>
        <v>0.0526</v>
      </c>
      <c r="AY46" s="187">
        <f t="shared" si="29"/>
        <v>0.0526</v>
      </c>
      <c r="AZ46" s="188">
        <f t="shared" si="29"/>
        <v>0.0526</v>
      </c>
      <c r="BA46" s="186">
        <f t="shared" si="29"/>
        <v>0</v>
      </c>
      <c r="BB46" s="187">
        <f t="shared" si="29"/>
        <v>0</v>
      </c>
      <c r="BC46" s="187">
        <f t="shared" si="29"/>
        <v>0</v>
      </c>
      <c r="BD46" s="188">
        <f t="shared" si="29"/>
        <v>0</v>
      </c>
      <c r="BE46" s="186">
        <f t="shared" si="29"/>
        <v>0</v>
      </c>
      <c r="BF46" s="187">
        <f t="shared" si="29"/>
        <v>0</v>
      </c>
      <c r="BG46" s="187">
        <f t="shared" si="29"/>
        <v>0</v>
      </c>
      <c r="BH46" s="188">
        <f t="shared" si="29"/>
        <v>0</v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>
        <f t="shared" si="28"/>
        <v>0.0526</v>
      </c>
      <c r="AT47" s="187">
        <f t="shared" si="29"/>
        <v>0.0526</v>
      </c>
      <c r="AU47" s="187">
        <f t="shared" si="29"/>
        <v>0.0526</v>
      </c>
      <c r="AV47" s="188">
        <f t="shared" si="29"/>
        <v>0.0526</v>
      </c>
      <c r="AW47" s="186">
        <f t="shared" si="29"/>
        <v>0.0526</v>
      </c>
      <c r="AX47" s="187">
        <f t="shared" si="29"/>
        <v>0.0526</v>
      </c>
      <c r="AY47" s="187">
        <f t="shared" si="29"/>
        <v>0.0526</v>
      </c>
      <c r="AZ47" s="188">
        <f t="shared" si="29"/>
        <v>0.0526</v>
      </c>
      <c r="BA47" s="186">
        <f t="shared" si="29"/>
        <v>0</v>
      </c>
      <c r="BB47" s="187">
        <f t="shared" si="29"/>
        <v>0</v>
      </c>
      <c r="BC47" s="187">
        <f t="shared" si="29"/>
        <v>0</v>
      </c>
      <c r="BD47" s="188">
        <f t="shared" si="29"/>
        <v>0</v>
      </c>
      <c r="BE47" s="186">
        <f t="shared" si="29"/>
        <v>0</v>
      </c>
      <c r="BF47" s="187">
        <f t="shared" si="29"/>
        <v>0</v>
      </c>
      <c r="BG47" s="187">
        <f t="shared" si="29"/>
        <v>0</v>
      </c>
      <c r="BH47" s="188">
        <f t="shared" si="29"/>
        <v>0</v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>
        <f t="shared" si="28"/>
        <v>0.0526</v>
      </c>
      <c r="AT48" s="187">
        <f t="shared" si="29"/>
        <v>0.0526</v>
      </c>
      <c r="AU48" s="187">
        <f t="shared" si="29"/>
        <v>0.0526</v>
      </c>
      <c r="AV48" s="188">
        <f t="shared" si="29"/>
        <v>0.0526</v>
      </c>
      <c r="AW48" s="186">
        <f t="shared" si="29"/>
        <v>0.0526</v>
      </c>
      <c r="AX48" s="187">
        <f t="shared" si="29"/>
        <v>0.0526</v>
      </c>
      <c r="AY48" s="187">
        <f t="shared" si="29"/>
        <v>0.0526</v>
      </c>
      <c r="AZ48" s="188">
        <f t="shared" si="29"/>
        <v>0.0526</v>
      </c>
      <c r="BA48" s="186">
        <f t="shared" si="29"/>
        <v>0</v>
      </c>
      <c r="BB48" s="187">
        <f t="shared" si="29"/>
        <v>0</v>
      </c>
      <c r="BC48" s="187">
        <f t="shared" si="29"/>
        <v>0</v>
      </c>
      <c r="BD48" s="188">
        <f t="shared" si="29"/>
        <v>0</v>
      </c>
      <c r="BE48" s="186">
        <f t="shared" si="29"/>
        <v>0</v>
      </c>
      <c r="BF48" s="187">
        <f t="shared" si="29"/>
        <v>0</v>
      </c>
      <c r="BG48" s="187">
        <f t="shared" si="29"/>
        <v>0</v>
      </c>
      <c r="BH48" s="188">
        <f t="shared" si="29"/>
        <v>0</v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>
        <f t="shared" si="28"/>
        <v>0.0526</v>
      </c>
      <c r="AT49" s="187">
        <f t="shared" ref="AT49:BH52" si="37">IF(E89="","",E89)</f>
        <v>0.0526</v>
      </c>
      <c r="AU49" s="187">
        <f t="shared" si="37"/>
        <v>0.0526</v>
      </c>
      <c r="AV49" s="188">
        <f t="shared" si="37"/>
        <v>0.0526</v>
      </c>
      <c r="AW49" s="186">
        <f t="shared" si="37"/>
        <v>0.0526</v>
      </c>
      <c r="AX49" s="187">
        <f t="shared" si="37"/>
        <v>0.0526</v>
      </c>
      <c r="AY49" s="187">
        <f t="shared" si="37"/>
        <v>0.0526</v>
      </c>
      <c r="AZ49" s="188">
        <f t="shared" si="37"/>
        <v>0.0526</v>
      </c>
      <c r="BA49" s="186">
        <f t="shared" si="37"/>
        <v>0</v>
      </c>
      <c r="BB49" s="187">
        <f t="shared" si="37"/>
        <v>0</v>
      </c>
      <c r="BC49" s="187">
        <f t="shared" si="37"/>
        <v>0</v>
      </c>
      <c r="BD49" s="188">
        <f t="shared" si="37"/>
        <v>0</v>
      </c>
      <c r="BE49" s="186">
        <f t="shared" si="37"/>
        <v>0</v>
      </c>
      <c r="BF49" s="187">
        <f t="shared" si="37"/>
        <v>0</v>
      </c>
      <c r="BG49" s="187">
        <f t="shared" si="37"/>
        <v>0</v>
      </c>
      <c r="BH49" s="188">
        <f t="shared" si="37"/>
        <v>0</v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>
        <v>3100</v>
      </c>
      <c r="E50" s="26">
        <v>3100</v>
      </c>
      <c r="F50" s="26">
        <v>3300</v>
      </c>
      <c r="G50" s="26">
        <v>3300</v>
      </c>
      <c r="H50" s="26">
        <v>5800</v>
      </c>
      <c r="I50" s="26">
        <v>5800</v>
      </c>
      <c r="J50" s="26">
        <v>6000</v>
      </c>
      <c r="K50" s="26">
        <v>6000</v>
      </c>
      <c r="L50" s="26">
        <v>7300</v>
      </c>
      <c r="M50" s="26">
        <v>7300</v>
      </c>
      <c r="N50" s="26">
        <v>7600</v>
      </c>
      <c r="O50" s="26">
        <v>7600</v>
      </c>
      <c r="P50" s="26">
        <v>9300</v>
      </c>
      <c r="Q50" s="26">
        <v>9300</v>
      </c>
      <c r="R50" s="26">
        <v>9600</v>
      </c>
      <c r="S50" s="26">
        <v>9600</v>
      </c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>
        <f t="shared" si="28"/>
        <v>0.0526</v>
      </c>
      <c r="AT50" s="187">
        <f t="shared" si="37"/>
        <v>0.0526</v>
      </c>
      <c r="AU50" s="187">
        <f t="shared" si="37"/>
        <v>0.0526</v>
      </c>
      <c r="AV50" s="188">
        <f t="shared" si="37"/>
        <v>0.0526</v>
      </c>
      <c r="AW50" s="186">
        <f t="shared" si="37"/>
        <v>0.0526</v>
      </c>
      <c r="AX50" s="187">
        <f t="shared" si="37"/>
        <v>0.0526</v>
      </c>
      <c r="AY50" s="187">
        <f t="shared" si="37"/>
        <v>0.0526</v>
      </c>
      <c r="AZ50" s="188">
        <f t="shared" si="37"/>
        <v>0.0526</v>
      </c>
      <c r="BA50" s="186">
        <f t="shared" si="37"/>
        <v>0</v>
      </c>
      <c r="BB50" s="187">
        <f t="shared" si="37"/>
        <v>0</v>
      </c>
      <c r="BC50" s="187">
        <f t="shared" si="37"/>
        <v>0</v>
      </c>
      <c r="BD50" s="188">
        <f t="shared" si="37"/>
        <v>0</v>
      </c>
      <c r="BE50" s="186">
        <f t="shared" si="37"/>
        <v>0</v>
      </c>
      <c r="BF50" s="187">
        <f t="shared" si="37"/>
        <v>0</v>
      </c>
      <c r="BG50" s="187">
        <f t="shared" si="37"/>
        <v>0</v>
      </c>
      <c r="BH50" s="188">
        <f t="shared" si="37"/>
        <v>0</v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8">IF(AF76&gt;AF86,IF((Y88-Y108+Y57)&gt;AF57,(AF64-AF104)*AF76+AF57*AF86,(Y88-Y108+Y57)*AF86),IF((Y88-Y108+Y57)&gt;AF57,(AF64-AF104)*AF76+AF57*AF76,(Y88-Y108+Y57)*AF76))</f>
        <v>450450</v>
      </c>
      <c r="CD50" s="108">
        <f t="shared" si="38"/>
        <v>300800</v>
      </c>
      <c r="CE50" s="108">
        <f t="shared" si="38"/>
        <v>267400</v>
      </c>
      <c r="CF50" s="108">
        <f t="shared" si="38"/>
        <v>225150</v>
      </c>
      <c r="CG50" s="219"/>
      <c r="CH50" s="219"/>
      <c r="CI50" s="197" t="s">
        <v>55</v>
      </c>
      <c r="CJ50" s="108">
        <f t="shared" ref="CJ50:CM53" si="39">Y108*AF76*0.4</f>
        <v>0</v>
      </c>
      <c r="CK50" s="108">
        <f t="shared" si="39"/>
        <v>5600</v>
      </c>
      <c r="CL50" s="108">
        <f t="shared" si="39"/>
        <v>3820</v>
      </c>
      <c r="CM50" s="108">
        <f t="shared" si="39"/>
        <v>4740</v>
      </c>
      <c r="CN50" s="219"/>
      <c r="CO50" s="219"/>
      <c r="CP50" s="65" t="s">
        <v>38</v>
      </c>
      <c r="CQ50" s="65">
        <f>第九期!Y9*第九期!CQ62*比赛参数!D65</f>
        <v>0</v>
      </c>
      <c r="CR50" s="65">
        <f>第九期!Z9*第九期!CR62*比赛参数!E65</f>
        <v>0</v>
      </c>
      <c r="CS50" s="65">
        <f>第九期!AA9*第九期!CS62*比赛参数!F65</f>
        <v>0</v>
      </c>
      <c r="CT50" s="65">
        <f>第九期!AB9*第九期!CT62*比赛参数!G65</f>
        <v>0</v>
      </c>
      <c r="CU50" s="65">
        <f>IF(第九期!AC9&gt;0,SUM(CQ50:CT50)/第九期!AC9,0)</f>
        <v>0</v>
      </c>
      <c r="CW50" s="11" t="s">
        <v>38</v>
      </c>
      <c r="CX50" s="242">
        <f>IF(第九期!$CU$50*第九期!CQ93&gt;0,第九期!$CU$50+第九期!CQ68+第九期!CQ93+第九期!CQ74,0)</f>
        <v>0</v>
      </c>
      <c r="CY50" s="242">
        <f>IF(第九期!$CU$50*第九期!CR93&gt;0,第九期!$CU$50+第九期!CR68+第九期!CR93+第九期!CR74,0)</f>
        <v>0</v>
      </c>
      <c r="CZ50" s="242">
        <f>IF(第九期!$CU$50*第九期!CS93&gt;0,第九期!$CU$50+第九期!CS68+第九期!CS93+第九期!CS74,0)</f>
        <v>0</v>
      </c>
      <c r="DA50" s="242">
        <f>IF(第九期!$CU$50*第九期!CT93&gt;0,第九期!$CU$50+第九期!CT68+第九期!CT93+第九期!CT74,0)</f>
        <v>0</v>
      </c>
      <c r="DB50" s="242">
        <f>AVERAGE(CX50:DA50)</f>
        <v>0</v>
      </c>
      <c r="DF50" s="65" t="s">
        <v>55</v>
      </c>
      <c r="DG50" s="245">
        <f>IF(第九期!Y88&gt;0,1,0)</f>
        <v>1</v>
      </c>
      <c r="DH50" s="245">
        <f>IF(第九期!Z88&gt;0,1,0)</f>
        <v>1</v>
      </c>
      <c r="DI50" s="245">
        <f>IF(第九期!AA88&gt;0,1,0)</f>
        <v>1</v>
      </c>
      <c r="DJ50" s="245">
        <f>IF(第九期!AB88&gt;0,1,0)</f>
        <v>1</v>
      </c>
      <c r="DL50" s="245" t="s">
        <v>21</v>
      </c>
      <c r="DM50" s="248">
        <f>IF(第九期!Y9+第九期!Z9&gt;0,1,0)</f>
        <v>0</v>
      </c>
      <c r="DN50" s="248">
        <f>IF(第九期!AA9+第九期!AB9&gt;0,1,0)</f>
        <v>0</v>
      </c>
      <c r="DO50" s="246"/>
    </row>
    <row r="51" customHeight="1" spans="2:119">
      <c r="B51" s="7"/>
      <c r="C51" s="25">
        <v>2</v>
      </c>
      <c r="D51" s="26">
        <v>3100</v>
      </c>
      <c r="E51" s="26">
        <v>3100</v>
      </c>
      <c r="F51" s="26">
        <v>3300</v>
      </c>
      <c r="G51" s="26">
        <v>3300</v>
      </c>
      <c r="H51" s="26">
        <v>5800</v>
      </c>
      <c r="I51" s="26">
        <v>5800</v>
      </c>
      <c r="J51" s="26">
        <v>6000</v>
      </c>
      <c r="K51" s="26">
        <v>6000</v>
      </c>
      <c r="L51" s="26">
        <v>7300</v>
      </c>
      <c r="M51" s="26">
        <v>7300</v>
      </c>
      <c r="N51" s="26">
        <v>7600</v>
      </c>
      <c r="O51" s="26">
        <v>7600</v>
      </c>
      <c r="P51" s="26">
        <v>9300</v>
      </c>
      <c r="Q51" s="26">
        <v>9300</v>
      </c>
      <c r="R51" s="26">
        <v>9600</v>
      </c>
      <c r="S51" s="26">
        <v>9600</v>
      </c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>
        <f t="shared" si="28"/>
        <v>0.0526</v>
      </c>
      <c r="AT51" s="187">
        <f t="shared" si="37"/>
        <v>0.0526</v>
      </c>
      <c r="AU51" s="187">
        <f t="shared" si="37"/>
        <v>0.0526</v>
      </c>
      <c r="AV51" s="188">
        <f t="shared" si="37"/>
        <v>0.0526</v>
      </c>
      <c r="AW51" s="186">
        <f t="shared" si="37"/>
        <v>0.0526</v>
      </c>
      <c r="AX51" s="187">
        <f t="shared" si="37"/>
        <v>0.0526</v>
      </c>
      <c r="AY51" s="187">
        <f t="shared" si="37"/>
        <v>0.0526</v>
      </c>
      <c r="AZ51" s="188">
        <f t="shared" si="37"/>
        <v>0.0526</v>
      </c>
      <c r="BA51" s="186">
        <f t="shared" si="37"/>
        <v>0</v>
      </c>
      <c r="BB51" s="187">
        <f t="shared" si="37"/>
        <v>0</v>
      </c>
      <c r="BC51" s="187">
        <f t="shared" si="37"/>
        <v>0</v>
      </c>
      <c r="BD51" s="188">
        <f t="shared" si="37"/>
        <v>0</v>
      </c>
      <c r="BE51" s="186">
        <f t="shared" si="37"/>
        <v>0</v>
      </c>
      <c r="BF51" s="187">
        <f t="shared" si="37"/>
        <v>0</v>
      </c>
      <c r="BG51" s="187">
        <f t="shared" si="37"/>
        <v>0</v>
      </c>
      <c r="BH51" s="188">
        <f t="shared" si="37"/>
        <v>0</v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8"/>
        <v>453600</v>
      </c>
      <c r="CD51" s="108">
        <f t="shared" si="38"/>
        <v>299600</v>
      </c>
      <c r="CE51" s="108">
        <f t="shared" si="38"/>
        <v>267400</v>
      </c>
      <c r="CF51" s="108">
        <f t="shared" si="38"/>
        <v>225150</v>
      </c>
      <c r="CG51" s="219"/>
      <c r="CH51" s="219"/>
      <c r="CI51" s="196" t="s">
        <v>56</v>
      </c>
      <c r="CJ51" s="108">
        <f t="shared" si="39"/>
        <v>1260</v>
      </c>
      <c r="CK51" s="108">
        <f t="shared" si="39"/>
        <v>5600</v>
      </c>
      <c r="CL51" s="108">
        <f t="shared" si="39"/>
        <v>3820</v>
      </c>
      <c r="CM51" s="108">
        <f t="shared" si="39"/>
        <v>4740</v>
      </c>
      <c r="CN51" s="219"/>
      <c r="CO51" s="219"/>
      <c r="CP51" s="65" t="s">
        <v>39</v>
      </c>
      <c r="CQ51" s="65">
        <f>第九期!Y10*第九期!CQ63*比赛参数!D65</f>
        <v>324000</v>
      </c>
      <c r="CR51" s="65">
        <f>第九期!Z10*第九期!CR63*比赛参数!E65</f>
        <v>0</v>
      </c>
      <c r="CS51" s="65">
        <f>第九期!AA10*第九期!CS63*比赛参数!F65</f>
        <v>0</v>
      </c>
      <c r="CT51" s="65">
        <f>第九期!AB10*第九期!CT63*比赛参数!G65</f>
        <v>0</v>
      </c>
      <c r="CU51" s="65">
        <f>IF(第九期!AC10&gt;0,SUM(CQ51:CT51)/第九期!AC10,0)</f>
        <v>1500</v>
      </c>
      <c r="CW51" s="11" t="s">
        <v>39</v>
      </c>
      <c r="CX51" s="242">
        <f>IF(第九期!$CU$51*第九期!CQ94&gt;0,第九期!$CU$51+第九期!CQ69+第九期!CQ94+第九期!CQ75,0)</f>
        <v>3936.4675284703</v>
      </c>
      <c r="CY51" s="242">
        <f>IF(第九期!$CU$51*第九期!CR94&gt;0,第九期!$CU$51+第九期!CR69+第九期!CR94+第九期!CR75,0)</f>
        <v>3852.4675284703</v>
      </c>
      <c r="CZ51" s="242">
        <f>IF(第九期!$CU$51*第九期!CS94&gt;0,第九期!$CU$51+第九期!CS69+第九期!CS94+第九期!CS75,0)</f>
        <v>4069.4675284703</v>
      </c>
      <c r="DA51" s="242">
        <f>IF(第九期!$CU$51*第九期!CT94&gt;0,第九期!$CU$51+第九期!CT69+第九期!CT94+第九期!CT75,0)</f>
        <v>4119.4675284703</v>
      </c>
      <c r="DB51" s="242">
        <f>AVERAGE(CX51:DA51)</f>
        <v>3994.4675284703</v>
      </c>
      <c r="DF51" s="65" t="s">
        <v>56</v>
      </c>
      <c r="DG51" s="245">
        <f>IF(第九期!Y89&gt;0,1,0)</f>
        <v>1</v>
      </c>
      <c r="DH51" s="245">
        <f>IF(第九期!Z89&gt;0,1,0)</f>
        <v>1</v>
      </c>
      <c r="DI51" s="245">
        <f>IF(第九期!AA89&gt;0,1,0)</f>
        <v>1</v>
      </c>
      <c r="DJ51" s="245">
        <f>IF(第九期!AB89&gt;0,1,0)</f>
        <v>1</v>
      </c>
      <c r="DL51" s="245" t="s">
        <v>22</v>
      </c>
      <c r="DM51" s="248">
        <f>IF(第九期!Y10+第九期!Z10&gt;0,1,0)</f>
        <v>1</v>
      </c>
      <c r="DN51" s="248">
        <f>IF(第九期!AA10+第九期!AB10&gt;0,1,0)</f>
        <v>0</v>
      </c>
      <c r="DO51" s="246"/>
    </row>
    <row r="52" customHeight="1" spans="2:119">
      <c r="B52" s="7"/>
      <c r="C52" s="25">
        <v>3</v>
      </c>
      <c r="D52" s="26">
        <v>3100</v>
      </c>
      <c r="E52" s="26">
        <v>3100</v>
      </c>
      <c r="F52" s="26">
        <v>3300</v>
      </c>
      <c r="G52" s="26">
        <v>3300</v>
      </c>
      <c r="H52" s="26">
        <v>5800</v>
      </c>
      <c r="I52" s="26">
        <v>5800</v>
      </c>
      <c r="J52" s="26">
        <v>6000</v>
      </c>
      <c r="K52" s="26">
        <v>6000</v>
      </c>
      <c r="L52" s="26">
        <v>7300</v>
      </c>
      <c r="M52" s="26">
        <v>7300</v>
      </c>
      <c r="N52" s="26">
        <v>7600</v>
      </c>
      <c r="O52" s="26">
        <v>7600</v>
      </c>
      <c r="P52" s="26">
        <v>9300</v>
      </c>
      <c r="Q52" s="26">
        <v>9300</v>
      </c>
      <c r="R52" s="26">
        <v>9600</v>
      </c>
      <c r="S52" s="26">
        <v>9600</v>
      </c>
      <c r="T52" s="10"/>
      <c r="AR52" s="185">
        <v>20</v>
      </c>
      <c r="AS52" s="186" t="str">
        <f t="shared" si="28"/>
        <v/>
      </c>
      <c r="AT52" s="187" t="str">
        <f t="shared" si="37"/>
        <v/>
      </c>
      <c r="AU52" s="187" t="str">
        <f t="shared" si="37"/>
        <v/>
      </c>
      <c r="AV52" s="188" t="str">
        <f t="shared" si="37"/>
        <v/>
      </c>
      <c r="AW52" s="186" t="str">
        <f t="shared" si="37"/>
        <v/>
      </c>
      <c r="AX52" s="187" t="str">
        <f t="shared" si="37"/>
        <v/>
      </c>
      <c r="AY52" s="187" t="str">
        <f t="shared" si="37"/>
        <v/>
      </c>
      <c r="AZ52" s="188" t="str">
        <f t="shared" si="37"/>
        <v/>
      </c>
      <c r="BA52" s="186" t="str">
        <f t="shared" si="37"/>
        <v/>
      </c>
      <c r="BB52" s="187" t="str">
        <f t="shared" si="37"/>
        <v/>
      </c>
      <c r="BC52" s="187" t="str">
        <f t="shared" si="37"/>
        <v/>
      </c>
      <c r="BD52" s="188" t="str">
        <f t="shared" si="37"/>
        <v/>
      </c>
      <c r="BE52" s="186" t="str">
        <f t="shared" si="37"/>
        <v/>
      </c>
      <c r="BF52" s="187" t="str">
        <f t="shared" si="37"/>
        <v/>
      </c>
      <c r="BG52" s="187" t="str">
        <f t="shared" si="37"/>
        <v/>
      </c>
      <c r="BH52" s="188" t="str">
        <f t="shared" si="37"/>
        <v/>
      </c>
      <c r="CB52" s="196" t="s">
        <v>57</v>
      </c>
      <c r="CC52" s="108">
        <f t="shared" si="38"/>
        <v>605020</v>
      </c>
      <c r="CD52" s="108">
        <f t="shared" si="38"/>
        <v>470100</v>
      </c>
      <c r="CE52" s="108">
        <f t="shared" si="38"/>
        <v>386000</v>
      </c>
      <c r="CF52" s="108">
        <f t="shared" si="38"/>
        <v>312000</v>
      </c>
      <c r="CG52" s="108" t="s">
        <v>308</v>
      </c>
      <c r="CH52" s="219"/>
      <c r="CI52" s="196" t="s">
        <v>57</v>
      </c>
      <c r="CJ52" s="108">
        <f t="shared" si="39"/>
        <v>1352</v>
      </c>
      <c r="CK52" s="108">
        <f t="shared" si="39"/>
        <v>8760</v>
      </c>
      <c r="CL52" s="108">
        <f t="shared" si="39"/>
        <v>7720</v>
      </c>
      <c r="CM52" s="108">
        <f t="shared" si="39"/>
        <v>4800</v>
      </c>
      <c r="CN52" s="108" t="s">
        <v>308</v>
      </c>
      <c r="CO52" s="219"/>
      <c r="CP52" s="65" t="s">
        <v>40</v>
      </c>
      <c r="CQ52" s="65">
        <f>第九期!Y11*第九期!CQ64*比赛参数!D65</f>
        <v>100800</v>
      </c>
      <c r="CR52" s="65">
        <f>第九期!Z11*第九期!CR64*比赛参数!E65</f>
        <v>0</v>
      </c>
      <c r="CS52" s="65">
        <f>第九期!AA11*第九期!CS64*比赛参数!F65</f>
        <v>199680</v>
      </c>
      <c r="CT52" s="65">
        <f>第九期!AB11*第九期!CT64*比赛参数!G65</f>
        <v>74880</v>
      </c>
      <c r="CU52" s="65">
        <f>IF(第九期!AC11&gt;0,SUM(CQ52:CT52)/第九期!AC11,0)</f>
        <v>1944.87046632124</v>
      </c>
      <c r="CW52" s="11" t="s">
        <v>40</v>
      </c>
      <c r="CX52" s="242">
        <f>IF(第九期!$CU$52*第九期!CQ95&gt;0,第九期!$CU$52+第九期!CQ70+第九期!CQ95+第九期!CQ76,0)</f>
        <v>5970.4611095961</v>
      </c>
      <c r="CY52" s="242">
        <f>IF(第九期!$CU$52*第九期!CR95&gt;0,第九期!$CU$52+第九期!CR70+第九期!CR95+第九期!CR76,0)</f>
        <v>5858.4611095961</v>
      </c>
      <c r="CZ52" s="242">
        <f>IF(第九期!$CU$52*第九期!CS95&gt;0,第九期!$CU$52+第九期!CS70+第九期!CS95+第九期!CS76,0)</f>
        <v>6114.4611095961</v>
      </c>
      <c r="DA52" s="242">
        <f>IF(第九期!$CU$52*第九期!CT95&gt;0,第九期!$CU$52+第九期!CT70+第九期!CT95+第九期!CT76,0)</f>
        <v>6164.4611095961</v>
      </c>
      <c r="DB52" s="242">
        <f>AVERAGE(CX52:DA52)</f>
        <v>6026.9611095961</v>
      </c>
      <c r="DF52" s="65" t="s">
        <v>57</v>
      </c>
      <c r="DG52" s="245">
        <f>IF(第九期!Y90&gt;0,1,0)</f>
        <v>1</v>
      </c>
      <c r="DH52" s="245">
        <f>IF(第九期!Z90&gt;0,1,0)</f>
        <v>1</v>
      </c>
      <c r="DI52" s="245">
        <f>IF(第九期!AA90&gt;0,1,0)</f>
        <v>1</v>
      </c>
      <c r="DJ52" s="245">
        <f>IF(第九期!AB90&gt;0,1,0)</f>
        <v>1</v>
      </c>
      <c r="DL52" s="245" t="s">
        <v>23</v>
      </c>
      <c r="DM52" s="248">
        <f>IF(第九期!Y11+第九期!Z11&gt;0,1,0)</f>
        <v>1</v>
      </c>
      <c r="DN52" s="248">
        <f>IF(第九期!AA11+第九期!AB11&gt;0,1,0)</f>
        <v>1</v>
      </c>
      <c r="DO52" s="246"/>
    </row>
    <row r="53" customHeight="1" spans="2:119">
      <c r="B53" s="7"/>
      <c r="C53" s="25">
        <v>4</v>
      </c>
      <c r="D53" s="26">
        <v>3100</v>
      </c>
      <c r="E53" s="26">
        <v>3100</v>
      </c>
      <c r="F53" s="26">
        <v>3300</v>
      </c>
      <c r="G53" s="26">
        <v>3300</v>
      </c>
      <c r="H53" s="26">
        <v>5800</v>
      </c>
      <c r="I53" s="26">
        <v>5800</v>
      </c>
      <c r="J53" s="26">
        <v>6000</v>
      </c>
      <c r="K53" s="26">
        <v>6000</v>
      </c>
      <c r="L53" s="26">
        <v>7300</v>
      </c>
      <c r="M53" s="26">
        <v>7300</v>
      </c>
      <c r="N53" s="26">
        <v>7600</v>
      </c>
      <c r="O53" s="26">
        <v>7600</v>
      </c>
      <c r="P53" s="26">
        <v>9300</v>
      </c>
      <c r="Q53" s="26">
        <v>9300</v>
      </c>
      <c r="R53" s="26">
        <v>9600</v>
      </c>
      <c r="S53" s="26">
        <v>9600</v>
      </c>
      <c r="T53" s="10"/>
      <c r="AK53" s="167">
        <f>Y20</f>
        <v>139.5</v>
      </c>
      <c r="AL53" s="168"/>
      <c r="AM53" s="168"/>
      <c r="AN53" s="169"/>
      <c r="CB53" s="196" t="s">
        <v>58</v>
      </c>
      <c r="CC53" s="108">
        <f t="shared" si="38"/>
        <v>486450</v>
      </c>
      <c r="CD53" s="108">
        <f t="shared" si="38"/>
        <v>477600</v>
      </c>
      <c r="CE53" s="108">
        <f t="shared" si="38"/>
        <v>413700</v>
      </c>
      <c r="CF53" s="108">
        <f t="shared" si="38"/>
        <v>352350</v>
      </c>
      <c r="CG53" s="108">
        <f>SUM(CC50:CF53)</f>
        <v>5992770</v>
      </c>
      <c r="CH53" s="219"/>
      <c r="CI53" s="196" t="s">
        <v>58</v>
      </c>
      <c r="CJ53" s="108">
        <f t="shared" si="39"/>
        <v>4140</v>
      </c>
      <c r="CK53" s="108">
        <f t="shared" si="39"/>
        <v>8880</v>
      </c>
      <c r="CL53" s="108">
        <f t="shared" si="39"/>
        <v>7880</v>
      </c>
      <c r="CM53" s="108">
        <f t="shared" si="39"/>
        <v>4860</v>
      </c>
      <c r="CN53" s="108">
        <f>SUM(CJ50:CM53)</f>
        <v>77972</v>
      </c>
      <c r="CO53" s="219"/>
      <c r="CP53" s="65" t="s">
        <v>41</v>
      </c>
      <c r="CQ53" s="65">
        <f>第九期!Y12*第九期!CQ65*比赛参数!D65</f>
        <v>0</v>
      </c>
      <c r="CR53" s="65">
        <f>第九期!Z12*第九期!CR65*比赛参数!E65</f>
        <v>0</v>
      </c>
      <c r="CS53" s="65">
        <f>第九期!AA12*第九期!CS65*比赛参数!F65</f>
        <v>159840</v>
      </c>
      <c r="CT53" s="65">
        <f>第九期!AB12*第九期!CT65*比赛参数!G65</f>
        <v>181440</v>
      </c>
      <c r="CU53" s="65">
        <f>IF(第九期!AC12&gt;0,SUM(CQ53:CT53)/第九期!AC12,0)</f>
        <v>2625.23076923077</v>
      </c>
      <c r="CW53" s="11" t="s">
        <v>41</v>
      </c>
      <c r="CX53" s="242">
        <f>IF(第九期!$CU$53*第九期!CQ96&gt;0,第九期!$CU$53+第九期!CQ71+第九期!CQ96+第九期!CQ77,0)</f>
        <v>8219.72322844899</v>
      </c>
      <c r="CY53" s="242">
        <f>IF(第九期!$CU$53*第九期!CR96&gt;0,第九期!$CU$53+第九期!CR71+第九期!CR96+第九期!CR77,0)</f>
        <v>8081.72322844899</v>
      </c>
      <c r="CZ53" s="242">
        <f>IF(第九期!$CU$53*第九期!CS96&gt;0,第九期!$CU$53+第九期!CS71+第九期!CS96+第九期!CS77,0)</f>
        <v>8425.72322844899</v>
      </c>
      <c r="DA53" s="242">
        <f>IF(第九期!$CU$53*第九期!CT96&gt;0,第九期!$CU$53+第九期!CT71+第九期!CT96+第九期!CT77,0)</f>
        <v>8475.72322844899</v>
      </c>
      <c r="DB53" s="242">
        <f>AVERAGE(CX53:DA53)</f>
        <v>8300.72322844899</v>
      </c>
      <c r="DF53" s="65" t="s">
        <v>58</v>
      </c>
      <c r="DG53" s="245">
        <f>IF(第九期!Y91&gt;0,1,0)</f>
        <v>1</v>
      </c>
      <c r="DH53" s="245">
        <f>IF(第九期!Z91&gt;0,1,0)</f>
        <v>1</v>
      </c>
      <c r="DI53" s="245">
        <f>IF(第九期!AA91&gt;0,1,0)</f>
        <v>1</v>
      </c>
      <c r="DJ53" s="245">
        <f>IF(第九期!AB91&gt;0,1,0)</f>
        <v>1</v>
      </c>
      <c r="DL53" s="245" t="s">
        <v>24</v>
      </c>
      <c r="DM53" s="248">
        <f>IF(第九期!Y12+第九期!Z12&gt;0,1,0)</f>
        <v>0</v>
      </c>
      <c r="DN53" s="248">
        <f>IF(第九期!AA12+第九期!AB12&gt;0,1,0)</f>
        <v>1</v>
      </c>
      <c r="DO53" s="246"/>
    </row>
    <row r="54" customHeight="1" spans="2:119">
      <c r="B54" s="7"/>
      <c r="C54" s="25">
        <v>5</v>
      </c>
      <c r="D54" s="26">
        <v>3100</v>
      </c>
      <c r="E54" s="26">
        <v>3100</v>
      </c>
      <c r="F54" s="26">
        <v>3300</v>
      </c>
      <c r="G54" s="26">
        <v>3300</v>
      </c>
      <c r="H54" s="26">
        <v>5800</v>
      </c>
      <c r="I54" s="26">
        <v>5800</v>
      </c>
      <c r="J54" s="26">
        <v>6000</v>
      </c>
      <c r="K54" s="26">
        <v>6000</v>
      </c>
      <c r="L54" s="26">
        <v>7300</v>
      </c>
      <c r="M54" s="26">
        <v>7300</v>
      </c>
      <c r="N54" s="26">
        <v>7600</v>
      </c>
      <c r="O54" s="26">
        <v>7600</v>
      </c>
      <c r="P54" s="26">
        <v>9300</v>
      </c>
      <c r="Q54" s="26">
        <v>9300</v>
      </c>
      <c r="R54" s="26">
        <v>9600</v>
      </c>
      <c r="S54" s="26">
        <v>9600</v>
      </c>
      <c r="T54" s="10"/>
      <c r="AK54" s="126">
        <f>AA20</f>
        <v>150</v>
      </c>
      <c r="AL54" s="48"/>
      <c r="AM54" s="48"/>
      <c r="AN54" s="50"/>
      <c r="AR54" s="2" t="s">
        <v>25</v>
      </c>
      <c r="AS54" s="114">
        <f>SUM(AS33:AS52)/比赛参数!$G$4</f>
        <v>0.0526</v>
      </c>
      <c r="AT54" s="114">
        <f>SUM(AT33:AT52)/比赛参数!$G$4</f>
        <v>0.0526</v>
      </c>
      <c r="AU54" s="114">
        <f>SUM(AU33:AU52)/比赛参数!$G$4</f>
        <v>0.0526</v>
      </c>
      <c r="AV54" s="114">
        <f>SUM(AV33:AV52)/比赛参数!$G$4</f>
        <v>0.0526</v>
      </c>
      <c r="AW54" s="114">
        <f>SUM(AW33:AW52)/比赛参数!$G$4</f>
        <v>0.0526</v>
      </c>
      <c r="AX54" s="114">
        <f>SUM(AX33:AX52)/比赛参数!$G$4</f>
        <v>0.0526</v>
      </c>
      <c r="AY54" s="114">
        <f>SUM(AY33:AY52)/比赛参数!$G$4</f>
        <v>0.0526</v>
      </c>
      <c r="AZ54" s="114">
        <f>SUM(AZ33:AZ52)/比赛参数!$G$4</f>
        <v>0.0526</v>
      </c>
      <c r="BA54" s="114">
        <f>SUM(BA33:BA52)/比赛参数!$G$4</f>
        <v>0</v>
      </c>
      <c r="BB54" s="114">
        <f>SUM(BB33:BB52)/比赛参数!$G$4</f>
        <v>0</v>
      </c>
      <c r="BC54" s="114">
        <f>SUM(BC33:BC52)/比赛参数!$G$4</f>
        <v>0</v>
      </c>
      <c r="BD54" s="114">
        <f>SUM(BD33:BD52)/比赛参数!$G$4</f>
        <v>0</v>
      </c>
      <c r="BE54" s="114">
        <f>SUM(BE33:BE52)/比赛参数!$G$4</f>
        <v>0</v>
      </c>
      <c r="BF54" s="114">
        <f>SUM(BF33:BF52)/比赛参数!$G$4</f>
        <v>0</v>
      </c>
      <c r="BG54" s="114">
        <f>SUM(BG33:BG52)/比赛参数!$G$4</f>
        <v>0</v>
      </c>
      <c r="BH54" s="114">
        <f>SUM(BH33:BH52)/比赛参数!$G$4</f>
        <v>0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1995520</v>
      </c>
      <c r="CD54" s="219">
        <f>SUM(CD50:CD53)</f>
        <v>1548100</v>
      </c>
      <c r="CE54" s="219">
        <f>SUM(CE50:CE53)</f>
        <v>1334500</v>
      </c>
      <c r="CF54" s="219">
        <f>SUM(CF50:CF53)</f>
        <v>1114650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>
        <v>3100</v>
      </c>
      <c r="E55" s="26">
        <v>3100</v>
      </c>
      <c r="F55" s="26">
        <v>3300</v>
      </c>
      <c r="G55" s="26">
        <v>3300</v>
      </c>
      <c r="H55" s="26">
        <v>5800</v>
      </c>
      <c r="I55" s="26">
        <v>5800</v>
      </c>
      <c r="J55" s="26">
        <v>6000</v>
      </c>
      <c r="K55" s="26">
        <v>6000</v>
      </c>
      <c r="L55" s="26">
        <v>7300</v>
      </c>
      <c r="M55" s="26">
        <v>7300</v>
      </c>
      <c r="N55" s="26">
        <v>7600</v>
      </c>
      <c r="O55" s="26">
        <v>7600</v>
      </c>
      <c r="P55" s="26">
        <v>9300</v>
      </c>
      <c r="Q55" s="26">
        <v>9300</v>
      </c>
      <c r="R55" s="26">
        <v>9600</v>
      </c>
      <c r="S55" s="26">
        <v>9600</v>
      </c>
      <c r="T55" s="10"/>
      <c r="Y55" s="2">
        <f>SUM(Y57:Y60)</f>
        <v>492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35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第九期!K11</f>
        <v>6071252.62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>
        <v>3100</v>
      </c>
      <c r="E56" s="26">
        <v>3100</v>
      </c>
      <c r="F56" s="26">
        <v>3300</v>
      </c>
      <c r="G56" s="26">
        <v>3300</v>
      </c>
      <c r="H56" s="26">
        <v>5800</v>
      </c>
      <c r="I56" s="26">
        <v>5800</v>
      </c>
      <c r="J56" s="26">
        <v>6000</v>
      </c>
      <c r="K56" s="26">
        <v>6000</v>
      </c>
      <c r="L56" s="26">
        <v>7300</v>
      </c>
      <c r="M56" s="26">
        <v>7300</v>
      </c>
      <c r="N56" s="26">
        <v>7600</v>
      </c>
      <c r="O56" s="26">
        <v>7600</v>
      </c>
      <c r="P56" s="26">
        <v>9300</v>
      </c>
      <c r="Q56" s="26">
        <v>9300</v>
      </c>
      <c r="R56" s="26">
        <v>9600</v>
      </c>
      <c r="S56" s="26">
        <v>9600</v>
      </c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492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第九期!AH14</f>
        <v>0</v>
      </c>
      <c r="BT56" s="130"/>
      <c r="BU56" s="130"/>
      <c r="BV56" s="130">
        <f>BV55+BS56</f>
        <v>6071252.62</v>
      </c>
      <c r="BW56" s="126"/>
      <c r="CB56" s="196" t="s">
        <v>151</v>
      </c>
      <c r="CC56" s="108">
        <f>第九期!DU26</f>
        <v>120</v>
      </c>
      <c r="CD56" s="108">
        <f>第九期!DU27</f>
        <v>69</v>
      </c>
      <c r="CE56" s="108">
        <f>第九期!DU28</f>
        <v>0</v>
      </c>
      <c r="CF56" s="108">
        <f>第九期!DU29</f>
        <v>0</v>
      </c>
      <c r="CG56" s="219"/>
      <c r="CH56" s="219"/>
      <c r="CI56" s="197" t="s">
        <v>55</v>
      </c>
      <c r="CJ56" s="108">
        <f t="shared" ref="CJ56:CM59" si="40">Y108*(CJ19+CC27)</f>
        <v>0</v>
      </c>
      <c r="CK56" s="108">
        <f t="shared" si="40"/>
        <v>9221.89157867973</v>
      </c>
      <c r="CL56" s="108">
        <f t="shared" si="40"/>
        <v>7082.39214407886</v>
      </c>
      <c r="CM56" s="108">
        <f t="shared" si="40"/>
        <v>9788.72322844899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第九期!BS7-第九期!CX50</f>
        <v>3150</v>
      </c>
      <c r="CY56" s="242">
        <f>第九期!BT7-第九期!CY50</f>
        <v>3150</v>
      </c>
      <c r="CZ56" s="242">
        <f>第九期!BU7-第九期!CZ50</f>
        <v>3380</v>
      </c>
      <c r="DA56" s="242">
        <f>第九期!BV7-第九期!DA50</f>
        <v>3450</v>
      </c>
      <c r="DB56" s="242">
        <f>AVERAGE(CX56:DA56)</f>
        <v>3282.5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0</v>
      </c>
      <c r="DN56" s="245">
        <f>比赛参数!E44*DN50</f>
        <v>0</v>
      </c>
    </row>
    <row r="57" customHeight="1" spans="2:118">
      <c r="B57" s="7"/>
      <c r="C57" s="25">
        <v>8</v>
      </c>
      <c r="D57" s="26">
        <v>3100</v>
      </c>
      <c r="E57" s="26">
        <v>3100</v>
      </c>
      <c r="F57" s="26">
        <v>3300</v>
      </c>
      <c r="G57" s="26">
        <v>3300</v>
      </c>
      <c r="H57" s="26">
        <v>5800</v>
      </c>
      <c r="I57" s="26">
        <v>5800</v>
      </c>
      <c r="J57" s="26">
        <v>6000</v>
      </c>
      <c r="K57" s="26">
        <v>6000</v>
      </c>
      <c r="L57" s="26">
        <v>7300</v>
      </c>
      <c r="M57" s="26">
        <v>7300</v>
      </c>
      <c r="N57" s="26">
        <v>7600</v>
      </c>
      <c r="O57" s="26">
        <v>7600</v>
      </c>
      <c r="P57" s="26">
        <v>9300</v>
      </c>
      <c r="Q57" s="26">
        <v>9300</v>
      </c>
      <c r="R57" s="26">
        <v>9600</v>
      </c>
      <c r="S57" s="26">
        <v>9600</v>
      </c>
      <c r="T57" s="10"/>
      <c r="X57" s="64" t="s">
        <v>55</v>
      </c>
      <c r="Y57" s="127">
        <f>第九期!DX6</f>
        <v>133</v>
      </c>
      <c r="Z57" s="127">
        <f>第九期!DX10</f>
        <v>0</v>
      </c>
      <c r="AA57" s="127">
        <f>第九期!DX14</f>
        <v>0</v>
      </c>
      <c r="AB57" s="127">
        <f>第九期!DX18</f>
        <v>0</v>
      </c>
      <c r="AC57" s="128"/>
      <c r="AE57" s="64" t="s">
        <v>55</v>
      </c>
      <c r="AF57" s="127">
        <f>第九期!DW6</f>
        <v>0</v>
      </c>
      <c r="AG57" s="127">
        <f>第九期!DW10</f>
        <v>6</v>
      </c>
      <c r="AH57" s="127">
        <f>第九期!DW14</f>
        <v>0</v>
      </c>
      <c r="AI57" s="127">
        <f>第九期!DW18</f>
        <v>0</v>
      </c>
      <c r="AJ57" s="126"/>
      <c r="AK57" s="126">
        <f>D42</f>
        <v>120</v>
      </c>
      <c r="AL57" s="48">
        <f>D43</f>
        <v>69</v>
      </c>
      <c r="AM57" s="48">
        <f>D44</f>
        <v>0</v>
      </c>
      <c r="AN57" s="50">
        <f>D45</f>
        <v>0</v>
      </c>
      <c r="AO57" s="173"/>
      <c r="AR57" s="190">
        <v>1</v>
      </c>
      <c r="AS57" s="191">
        <f t="shared" ref="AS57:AS73" si="41">IF(AS33="","",(AS33-AS$54)^2)</f>
        <v>1.92592994438724e-34</v>
      </c>
      <c r="AT57" s="191">
        <f t="shared" ref="AT57:BH72" si="42">IF(AT33="","",(AT33-AT$54)^2)</f>
        <v>1.92592994438724e-34</v>
      </c>
      <c r="AU57" s="191">
        <f t="shared" si="42"/>
        <v>1.92592994438724e-34</v>
      </c>
      <c r="AV57" s="191">
        <f t="shared" si="42"/>
        <v>1.92592994438724e-34</v>
      </c>
      <c r="AW57" s="191">
        <f t="shared" si="42"/>
        <v>1.92592994438724e-34</v>
      </c>
      <c r="AX57" s="191">
        <f t="shared" si="42"/>
        <v>1.92592994438724e-34</v>
      </c>
      <c r="AY57" s="191">
        <f t="shared" si="42"/>
        <v>1.92592994438724e-34</v>
      </c>
      <c r="AZ57" s="191">
        <f t="shared" si="42"/>
        <v>1.92592994438724e-34</v>
      </c>
      <c r="BA57" s="191">
        <f t="shared" si="42"/>
        <v>0</v>
      </c>
      <c r="BB57" s="191">
        <f t="shared" si="42"/>
        <v>0</v>
      </c>
      <c r="BC57" s="191">
        <f t="shared" si="42"/>
        <v>0</v>
      </c>
      <c r="BD57" s="191">
        <f t="shared" si="42"/>
        <v>0</v>
      </c>
      <c r="BE57" s="191">
        <f t="shared" si="42"/>
        <v>0</v>
      </c>
      <c r="BF57" s="191">
        <f t="shared" si="42"/>
        <v>0</v>
      </c>
      <c r="BG57" s="191">
        <f t="shared" si="42"/>
        <v>0</v>
      </c>
      <c r="BH57" s="191">
        <f t="shared" si="42"/>
        <v>0</v>
      </c>
      <c r="BR57" s="209" t="s">
        <v>295</v>
      </c>
      <c r="BS57" s="130">
        <f>第九期!AH15</f>
        <v>1400000</v>
      </c>
      <c r="BT57" s="130"/>
      <c r="BU57" s="130"/>
      <c r="BV57" s="130">
        <f>BV56+BS57</f>
        <v>7471252.62</v>
      </c>
      <c r="BW57" s="126"/>
      <c r="CB57" s="196" t="s">
        <v>327</v>
      </c>
      <c r="CC57" s="108">
        <f>AC9</f>
        <v>0</v>
      </c>
      <c r="CD57" s="108">
        <f>AC10</f>
        <v>216</v>
      </c>
      <c r="CE57" s="108">
        <f>AC11</f>
        <v>193</v>
      </c>
      <c r="CF57" s="108">
        <f>AC12</f>
        <v>130</v>
      </c>
      <c r="CG57" s="219"/>
      <c r="CH57" s="219"/>
      <c r="CI57" s="196" t="s">
        <v>56</v>
      </c>
      <c r="CJ57" s="108">
        <f t="shared" si="40"/>
        <v>106.45</v>
      </c>
      <c r="CK57" s="108">
        <f t="shared" si="40"/>
        <v>8782.06549172321</v>
      </c>
      <c r="CL57" s="108">
        <f t="shared" si="40"/>
        <v>6791.35766132023</v>
      </c>
      <c r="CM57" s="108">
        <f t="shared" si="40"/>
        <v>9387.72322844899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第九期!BS8-第九期!CX51</f>
        <v>3063.5324715297</v>
      </c>
      <c r="CY57" s="242">
        <f>第九期!BT8-第九期!CY51</f>
        <v>3147.5324715297</v>
      </c>
      <c r="CZ57" s="242">
        <f>第九期!BU8-第九期!CZ51</f>
        <v>3230.5324715297</v>
      </c>
      <c r="DA57" s="242">
        <f>第九期!BV8-第九期!DA51</f>
        <v>3280.5324715297</v>
      </c>
      <c r="DB57" s="242">
        <f>AVERAGE(CX57:DA57)</f>
        <v>3180.5324715297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0</v>
      </c>
    </row>
    <row r="58" customHeight="1" spans="2:118">
      <c r="B58" s="7"/>
      <c r="C58" s="25">
        <v>9</v>
      </c>
      <c r="D58" s="26">
        <v>3100</v>
      </c>
      <c r="E58" s="26">
        <v>3100</v>
      </c>
      <c r="F58" s="26">
        <v>3300</v>
      </c>
      <c r="G58" s="26">
        <v>3300</v>
      </c>
      <c r="H58" s="26">
        <v>5800</v>
      </c>
      <c r="I58" s="26">
        <v>5800</v>
      </c>
      <c r="J58" s="26">
        <v>6000</v>
      </c>
      <c r="K58" s="26">
        <v>6000</v>
      </c>
      <c r="L58" s="26">
        <v>7300</v>
      </c>
      <c r="M58" s="26">
        <v>7300</v>
      </c>
      <c r="N58" s="26">
        <v>7600</v>
      </c>
      <c r="O58" s="26">
        <v>7600</v>
      </c>
      <c r="P58" s="26">
        <v>9300</v>
      </c>
      <c r="Q58" s="26">
        <v>9300</v>
      </c>
      <c r="R58" s="26">
        <v>9600</v>
      </c>
      <c r="S58" s="26">
        <v>9600</v>
      </c>
      <c r="T58" s="10"/>
      <c r="X58" s="11" t="s">
        <v>56</v>
      </c>
      <c r="Y58" s="127">
        <f>第九期!DX7</f>
        <v>125</v>
      </c>
      <c r="Z58" s="127">
        <f>第九期!DX11</f>
        <v>0</v>
      </c>
      <c r="AA58" s="127">
        <f>第九期!DX15</f>
        <v>0</v>
      </c>
      <c r="AB58" s="127">
        <f>第九期!DX19</f>
        <v>0</v>
      </c>
      <c r="AC58" s="128"/>
      <c r="AE58" s="11" t="s">
        <v>56</v>
      </c>
      <c r="AF58" s="127">
        <f>第九期!DW7</f>
        <v>0</v>
      </c>
      <c r="AG58" s="127">
        <f>第九期!DW11</f>
        <v>7</v>
      </c>
      <c r="AH58" s="127">
        <f>第九期!DW15</f>
        <v>0</v>
      </c>
      <c r="AI58" s="127">
        <f>第九期!DW19</f>
        <v>0</v>
      </c>
      <c r="AK58" s="126">
        <f>AF55</f>
        <v>0</v>
      </c>
      <c r="AL58" s="48">
        <f>AG55</f>
        <v>35</v>
      </c>
      <c r="AM58" s="48">
        <f>AH55</f>
        <v>0</v>
      </c>
      <c r="AN58" s="50">
        <f>AI55</f>
        <v>0</v>
      </c>
      <c r="AR58" s="190">
        <v>2</v>
      </c>
      <c r="AS58" s="191">
        <f t="shared" si="41"/>
        <v>1.92592994438724e-34</v>
      </c>
      <c r="AT58" s="191">
        <f t="shared" si="42"/>
        <v>1.92592994438724e-34</v>
      </c>
      <c r="AU58" s="191">
        <f t="shared" si="42"/>
        <v>1.92592994438724e-34</v>
      </c>
      <c r="AV58" s="191">
        <f t="shared" si="42"/>
        <v>1.92592994438724e-34</v>
      </c>
      <c r="AW58" s="191">
        <f t="shared" si="42"/>
        <v>1.92592994438724e-34</v>
      </c>
      <c r="AX58" s="191">
        <f t="shared" si="42"/>
        <v>1.92592994438724e-34</v>
      </c>
      <c r="AY58" s="191">
        <f t="shared" si="42"/>
        <v>1.92592994438724e-34</v>
      </c>
      <c r="AZ58" s="191">
        <f t="shared" si="42"/>
        <v>1.92592994438724e-34</v>
      </c>
      <c r="BA58" s="191">
        <f t="shared" si="42"/>
        <v>0</v>
      </c>
      <c r="BB58" s="191">
        <f t="shared" si="42"/>
        <v>0</v>
      </c>
      <c r="BC58" s="191">
        <f t="shared" si="42"/>
        <v>0</v>
      </c>
      <c r="BD58" s="191">
        <f t="shared" si="42"/>
        <v>0</v>
      </c>
      <c r="BE58" s="191">
        <f t="shared" si="42"/>
        <v>0</v>
      </c>
      <c r="BF58" s="191">
        <f t="shared" si="42"/>
        <v>0</v>
      </c>
      <c r="BG58" s="191">
        <f t="shared" si="42"/>
        <v>0</v>
      </c>
      <c r="BH58" s="191">
        <f t="shared" si="42"/>
        <v>0</v>
      </c>
      <c r="BR58" s="209" t="s">
        <v>328</v>
      </c>
      <c r="BS58" s="130">
        <f>第九期!H5+第九期!H4*比赛参数!F71</f>
        <v>50000</v>
      </c>
      <c r="BT58" s="130"/>
      <c r="BU58" s="130"/>
      <c r="BV58" s="130">
        <f t="shared" ref="BV58:BV64" si="43">BV57-BS58</f>
        <v>7421252.62</v>
      </c>
      <c r="BW58" s="126"/>
      <c r="CB58" s="196" t="s">
        <v>329</v>
      </c>
      <c r="CC58" s="108">
        <f>Y92</f>
        <v>120</v>
      </c>
      <c r="CD58" s="108">
        <f>Z92</f>
        <v>231</v>
      </c>
      <c r="CE58" s="108">
        <f>AA92</f>
        <v>144</v>
      </c>
      <c r="CF58" s="108">
        <f>AB92</f>
        <v>97</v>
      </c>
      <c r="CG58" s="219"/>
      <c r="CH58" s="219"/>
      <c r="CI58" s="196" t="s">
        <v>57</v>
      </c>
      <c r="CJ58" s="108">
        <f t="shared" si="40"/>
        <v>336.666666666667</v>
      </c>
      <c r="CK58" s="108">
        <f t="shared" si="40"/>
        <v>14530.1417158457</v>
      </c>
      <c r="CL58" s="108">
        <f t="shared" si="40"/>
        <v>14590.826981097</v>
      </c>
      <c r="CM58" s="108">
        <f t="shared" si="40"/>
        <v>10092.3898951157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第九期!BS9-第九期!CX52</f>
        <v>3579.5388904039</v>
      </c>
      <c r="CY58" s="242">
        <f>第九期!BT9-第九期!CY52</f>
        <v>3691.5388904039</v>
      </c>
      <c r="CZ58" s="242">
        <f>第九期!BU9-第九期!CZ52</f>
        <v>3535.5388904039</v>
      </c>
      <c r="DA58" s="242">
        <f>第九期!BV9-第九期!DA52</f>
        <v>3685.5388904039</v>
      </c>
      <c r="DB58" s="242">
        <f>AVERAGE(CX58:DA58)</f>
        <v>3623.0388904039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20000</v>
      </c>
      <c r="DN58" s="245">
        <f>比赛参数!E46*DN52</f>
        <v>24000</v>
      </c>
    </row>
    <row r="59" customHeight="1" spans="2:118">
      <c r="B59" s="7"/>
      <c r="C59" s="25">
        <v>10</v>
      </c>
      <c r="D59" s="26">
        <v>3100</v>
      </c>
      <c r="E59" s="26">
        <v>3100</v>
      </c>
      <c r="F59" s="26">
        <v>3300</v>
      </c>
      <c r="G59" s="26">
        <v>3300</v>
      </c>
      <c r="H59" s="26">
        <v>5800</v>
      </c>
      <c r="I59" s="26">
        <v>5800</v>
      </c>
      <c r="J59" s="26">
        <v>6000</v>
      </c>
      <c r="K59" s="26">
        <v>6000</v>
      </c>
      <c r="L59" s="26">
        <v>7300</v>
      </c>
      <c r="M59" s="26">
        <v>7300</v>
      </c>
      <c r="N59" s="26">
        <v>7600</v>
      </c>
      <c r="O59" s="26">
        <v>7600</v>
      </c>
      <c r="P59" s="26">
        <v>9300</v>
      </c>
      <c r="Q59" s="26">
        <v>9300</v>
      </c>
      <c r="R59" s="26">
        <v>9600</v>
      </c>
      <c r="S59" s="26">
        <v>9600</v>
      </c>
      <c r="T59" s="10"/>
      <c r="X59" s="11" t="s">
        <v>57</v>
      </c>
      <c r="Y59" s="127">
        <f>第九期!DX8</f>
        <v>150</v>
      </c>
      <c r="Z59" s="127">
        <f>第九期!DX12</f>
        <v>0</v>
      </c>
      <c r="AA59" s="127">
        <f>第九期!DX16</f>
        <v>0</v>
      </c>
      <c r="AB59" s="127">
        <f>第九期!DX20</f>
        <v>0</v>
      </c>
      <c r="AC59" s="129"/>
      <c r="AE59" s="11" t="s">
        <v>57</v>
      </c>
      <c r="AF59" s="127">
        <f>第九期!DW8</f>
        <v>0</v>
      </c>
      <c r="AG59" s="127">
        <f>第九期!DW12</f>
        <v>9</v>
      </c>
      <c r="AH59" s="127">
        <f>第九期!DW16</f>
        <v>0</v>
      </c>
      <c r="AI59" s="127">
        <f>第九期!DW20</f>
        <v>0</v>
      </c>
      <c r="AK59" s="126"/>
      <c r="AL59" s="48"/>
      <c r="AM59" s="48"/>
      <c r="AN59" s="50"/>
      <c r="AR59" s="190">
        <v>3</v>
      </c>
      <c r="AS59" s="191">
        <f t="shared" si="41"/>
        <v>1.92592994438724e-34</v>
      </c>
      <c r="AT59" s="191">
        <f t="shared" si="42"/>
        <v>1.92592994438724e-34</v>
      </c>
      <c r="AU59" s="191">
        <f t="shared" si="42"/>
        <v>1.92592994438724e-34</v>
      </c>
      <c r="AV59" s="191">
        <f t="shared" si="42"/>
        <v>1.92592994438724e-34</v>
      </c>
      <c r="AW59" s="191">
        <f t="shared" si="42"/>
        <v>1.92592994438724e-34</v>
      </c>
      <c r="AX59" s="191">
        <f t="shared" si="42"/>
        <v>1.92592994438724e-34</v>
      </c>
      <c r="AY59" s="191">
        <f t="shared" si="42"/>
        <v>1.92592994438724e-34</v>
      </c>
      <c r="AZ59" s="191">
        <f t="shared" si="42"/>
        <v>1.92592994438724e-34</v>
      </c>
      <c r="BA59" s="191">
        <f t="shared" si="42"/>
        <v>0</v>
      </c>
      <c r="BB59" s="191">
        <f t="shared" si="42"/>
        <v>0</v>
      </c>
      <c r="BC59" s="191">
        <f t="shared" si="42"/>
        <v>0</v>
      </c>
      <c r="BD59" s="191">
        <f t="shared" si="42"/>
        <v>0</v>
      </c>
      <c r="BE59" s="191">
        <f t="shared" si="42"/>
        <v>0</v>
      </c>
      <c r="BF59" s="191">
        <f t="shared" si="42"/>
        <v>0</v>
      </c>
      <c r="BG59" s="191">
        <f t="shared" si="42"/>
        <v>0</v>
      </c>
      <c r="BH59" s="191">
        <f t="shared" si="42"/>
        <v>0</v>
      </c>
      <c r="BR59" s="209" t="s">
        <v>330</v>
      </c>
      <c r="BS59" s="130">
        <f>第九期!K14*比赛参数!D71/4</f>
        <v>19500</v>
      </c>
      <c r="BT59" s="130"/>
      <c r="BU59" s="130">
        <f>BS59</f>
        <v>19500</v>
      </c>
      <c r="BV59" s="130">
        <f t="shared" si="43"/>
        <v>7401752.62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40"/>
        <v>1000</v>
      </c>
      <c r="CK59" s="108">
        <f t="shared" si="40"/>
        <v>14865.5454425538</v>
      </c>
      <c r="CL59" s="108">
        <f t="shared" si="40"/>
        <v>14801.6494919195</v>
      </c>
      <c r="CM59" s="108">
        <f t="shared" si="40"/>
        <v>10175.723228449</v>
      </c>
      <c r="CN59" s="108">
        <f>SUM(CJ56:CM59)</f>
        <v>131553.546754347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第九期!BS10-第九期!CX53</f>
        <v>3630.27677155101</v>
      </c>
      <c r="CY59" s="242">
        <f>第九期!BT10-第九期!CY53</f>
        <v>3768.27677155101</v>
      </c>
      <c r="CZ59" s="242">
        <f>第九期!BU10-第九期!CZ53</f>
        <v>3574.27677155101</v>
      </c>
      <c r="DA59" s="242">
        <f>第九期!BV10-第九期!DA53</f>
        <v>3674.27677155101</v>
      </c>
      <c r="DB59" s="242">
        <f>AVERAGE(CX59:DA59)</f>
        <v>3661.77677155101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3100</v>
      </c>
      <c r="E60" s="26">
        <v>3100</v>
      </c>
      <c r="F60" s="26">
        <v>3300</v>
      </c>
      <c r="G60" s="26">
        <v>3300</v>
      </c>
      <c r="H60" s="26">
        <v>5800</v>
      </c>
      <c r="I60" s="26">
        <v>5800</v>
      </c>
      <c r="J60" s="26">
        <v>6000</v>
      </c>
      <c r="K60" s="26">
        <v>6000</v>
      </c>
      <c r="L60" s="26">
        <v>7300</v>
      </c>
      <c r="M60" s="26">
        <v>7300</v>
      </c>
      <c r="N60" s="26">
        <v>7600</v>
      </c>
      <c r="O60" s="26">
        <v>7600</v>
      </c>
      <c r="P60" s="26">
        <v>9300</v>
      </c>
      <c r="Q60" s="26">
        <v>9300</v>
      </c>
      <c r="R60" s="26">
        <v>9600</v>
      </c>
      <c r="S60" s="26">
        <v>9600</v>
      </c>
      <c r="T60" s="10"/>
      <c r="X60" s="11" t="s">
        <v>58</v>
      </c>
      <c r="Y60" s="127">
        <f>第九期!DX9</f>
        <v>84</v>
      </c>
      <c r="Z60" s="127">
        <f>第九期!DX13</f>
        <v>0</v>
      </c>
      <c r="AA60" s="127">
        <f>第九期!DX17</f>
        <v>0</v>
      </c>
      <c r="AB60" s="127">
        <f>第九期!DX21</f>
        <v>0</v>
      </c>
      <c r="AC60" s="108" t="s">
        <v>308</v>
      </c>
      <c r="AE60" s="11" t="s">
        <v>58</v>
      </c>
      <c r="AF60" s="127">
        <f>第九期!DW9</f>
        <v>0</v>
      </c>
      <c r="AG60" s="127">
        <f>第九期!DW13</f>
        <v>13</v>
      </c>
      <c r="AH60" s="127">
        <f>第九期!DW17</f>
        <v>0</v>
      </c>
      <c r="AI60" s="127">
        <f>第九期!DW21</f>
        <v>0</v>
      </c>
      <c r="AK60" s="126">
        <f>AF74</f>
        <v>99.25</v>
      </c>
      <c r="AL60" s="48">
        <f>AG74</f>
        <v>87</v>
      </c>
      <c r="AM60" s="48">
        <f>AH74</f>
        <v>73.75</v>
      </c>
      <c r="AN60" s="50">
        <f>AI74</f>
        <v>83.5</v>
      </c>
      <c r="AR60" s="190">
        <v>4</v>
      </c>
      <c r="AS60" s="191">
        <f t="shared" si="41"/>
        <v>1.92592994438724e-34</v>
      </c>
      <c r="AT60" s="191">
        <f t="shared" si="42"/>
        <v>1.92592994438724e-34</v>
      </c>
      <c r="AU60" s="191">
        <f t="shared" si="42"/>
        <v>1.92592994438724e-34</v>
      </c>
      <c r="AV60" s="191">
        <f t="shared" si="42"/>
        <v>1.92592994438724e-34</v>
      </c>
      <c r="AW60" s="191">
        <f t="shared" si="42"/>
        <v>1.92592994438724e-34</v>
      </c>
      <c r="AX60" s="191">
        <f t="shared" si="42"/>
        <v>1.92592994438724e-34</v>
      </c>
      <c r="AY60" s="191">
        <f t="shared" si="42"/>
        <v>1.92592994438724e-34</v>
      </c>
      <c r="AZ60" s="191">
        <f t="shared" si="42"/>
        <v>1.92592994438724e-34</v>
      </c>
      <c r="BA60" s="191">
        <f t="shared" si="42"/>
        <v>0</v>
      </c>
      <c r="BB60" s="191">
        <f t="shared" si="42"/>
        <v>0</v>
      </c>
      <c r="BC60" s="191">
        <f t="shared" si="42"/>
        <v>0</v>
      </c>
      <c r="BD60" s="191">
        <f t="shared" si="42"/>
        <v>0</v>
      </c>
      <c r="BE60" s="191">
        <f t="shared" si="42"/>
        <v>0</v>
      </c>
      <c r="BF60" s="191">
        <f t="shared" si="42"/>
        <v>0</v>
      </c>
      <c r="BG60" s="191">
        <f t="shared" si="42"/>
        <v>0</v>
      </c>
      <c r="BH60" s="191">
        <f t="shared" si="42"/>
        <v>0</v>
      </c>
      <c r="BR60" s="209" t="s">
        <v>332</v>
      </c>
      <c r="BS60" s="130">
        <f>第九期!Y18*比赛参数!D58</f>
        <v>54000</v>
      </c>
      <c r="BT60" s="130"/>
      <c r="BU60" s="130">
        <f>BU59+BS60</f>
        <v>73500</v>
      </c>
      <c r="BV60" s="130">
        <f t="shared" si="43"/>
        <v>7347752.62</v>
      </c>
      <c r="BW60" s="126"/>
      <c r="CB60" s="196" t="s">
        <v>333</v>
      </c>
      <c r="CC60" s="108">
        <f>SUM(Y57:Y60)+CC56</f>
        <v>612</v>
      </c>
      <c r="CD60" s="108">
        <f>SUM(Z57:Z60)+CD56</f>
        <v>69</v>
      </c>
      <c r="CE60" s="108">
        <f>SUM(AA57:AA60)+CE56</f>
        <v>0</v>
      </c>
      <c r="CF60" s="108">
        <f>SUM(AB57:AB60)+CF56</f>
        <v>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94000</v>
      </c>
      <c r="DN60" s="246"/>
    </row>
    <row r="61" customHeight="1" spans="2:118">
      <c r="B61" s="7"/>
      <c r="C61" s="25">
        <v>12</v>
      </c>
      <c r="D61" s="26">
        <v>3100</v>
      </c>
      <c r="E61" s="26">
        <v>3100</v>
      </c>
      <c r="F61" s="26">
        <v>3300</v>
      </c>
      <c r="G61" s="26">
        <v>3300</v>
      </c>
      <c r="H61" s="26">
        <v>5800</v>
      </c>
      <c r="I61" s="26">
        <v>5800</v>
      </c>
      <c r="J61" s="26">
        <v>6000</v>
      </c>
      <c r="K61" s="26">
        <v>6000</v>
      </c>
      <c r="L61" s="26">
        <v>7300</v>
      </c>
      <c r="M61" s="26">
        <v>7300</v>
      </c>
      <c r="N61" s="26">
        <v>7600</v>
      </c>
      <c r="O61" s="26">
        <v>7600</v>
      </c>
      <c r="P61" s="26">
        <v>9300</v>
      </c>
      <c r="Q61" s="26">
        <v>9300</v>
      </c>
      <c r="R61" s="26">
        <v>9600</v>
      </c>
      <c r="S61" s="26">
        <v>9600</v>
      </c>
      <c r="T61" s="10"/>
      <c r="X61" s="65" t="s">
        <v>334</v>
      </c>
      <c r="Y61" s="130">
        <f>Y57*AF86+Y58*AF87+Y59*AF88+Y60*AF89</f>
        <v>1572000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1572000</v>
      </c>
      <c r="AE61" s="48"/>
      <c r="AF61" s="48"/>
      <c r="AG61" s="48"/>
      <c r="AH61" s="48"/>
      <c r="AI61" s="48"/>
      <c r="AK61" s="170">
        <f>AF82</f>
        <v>3219.89924433249</v>
      </c>
      <c r="AL61" s="171">
        <f>AG82</f>
        <v>5920.11494252874</v>
      </c>
      <c r="AM61" s="171">
        <f>AH82</f>
        <v>7449.49152542373</v>
      </c>
      <c r="AN61" s="172">
        <f>AI82</f>
        <v>9455.38922155689</v>
      </c>
      <c r="AR61" s="190">
        <v>5</v>
      </c>
      <c r="AS61" s="191">
        <f t="shared" si="41"/>
        <v>1.92592994438724e-34</v>
      </c>
      <c r="AT61" s="191">
        <f t="shared" si="42"/>
        <v>1.92592994438724e-34</v>
      </c>
      <c r="AU61" s="191">
        <f t="shared" si="42"/>
        <v>1.92592994438724e-34</v>
      </c>
      <c r="AV61" s="191">
        <f t="shared" si="42"/>
        <v>1.92592994438724e-34</v>
      </c>
      <c r="AW61" s="191">
        <f t="shared" si="42"/>
        <v>1.92592994438724e-34</v>
      </c>
      <c r="AX61" s="191">
        <f t="shared" si="42"/>
        <v>1.92592994438724e-34</v>
      </c>
      <c r="AY61" s="191">
        <f t="shared" si="42"/>
        <v>1.92592994438724e-34</v>
      </c>
      <c r="AZ61" s="191">
        <f t="shared" si="42"/>
        <v>1.92592994438724e-34</v>
      </c>
      <c r="BA61" s="191">
        <f t="shared" si="42"/>
        <v>0</v>
      </c>
      <c r="BB61" s="191">
        <f t="shared" si="42"/>
        <v>0</v>
      </c>
      <c r="BC61" s="191">
        <f t="shared" si="42"/>
        <v>0</v>
      </c>
      <c r="BD61" s="191">
        <f t="shared" si="42"/>
        <v>0</v>
      </c>
      <c r="BE61" s="191">
        <f t="shared" si="42"/>
        <v>0</v>
      </c>
      <c r="BF61" s="191">
        <f t="shared" si="42"/>
        <v>0</v>
      </c>
      <c r="BG61" s="191">
        <f t="shared" si="42"/>
        <v>0</v>
      </c>
      <c r="BH61" s="191">
        <f t="shared" si="42"/>
        <v>0</v>
      </c>
      <c r="BR61" s="209" t="s">
        <v>335</v>
      </c>
      <c r="BS61" s="130">
        <f>第九期!AA18*比赛参数!D62</f>
        <v>8000</v>
      </c>
      <c r="BT61" s="130"/>
      <c r="BU61" s="130">
        <f>BU60+BS61</f>
        <v>81500</v>
      </c>
      <c r="BV61" s="130">
        <f t="shared" si="43"/>
        <v>7339752.62</v>
      </c>
      <c r="BW61" s="126"/>
      <c r="CB61" s="196" t="s">
        <v>35</v>
      </c>
      <c r="CC61" s="108">
        <f>CC56+CC57-CC58+CC59</f>
        <v>0</v>
      </c>
      <c r="CD61" s="108">
        <f>CD56+CD57-CD58+CD59</f>
        <v>54</v>
      </c>
      <c r="CE61" s="108">
        <f>CE56+CE57-CE58+CE59</f>
        <v>49</v>
      </c>
      <c r="CF61" s="108">
        <f>CF56+CF57-CF58+CF59</f>
        <v>33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>
        <v>3100</v>
      </c>
      <c r="E62" s="26">
        <v>3100</v>
      </c>
      <c r="F62" s="26">
        <v>3300</v>
      </c>
      <c r="G62" s="26">
        <v>3300</v>
      </c>
      <c r="H62" s="26">
        <v>5800</v>
      </c>
      <c r="I62" s="26">
        <v>5800</v>
      </c>
      <c r="J62" s="26">
        <v>6000</v>
      </c>
      <c r="K62" s="26">
        <v>6000</v>
      </c>
      <c r="L62" s="26">
        <v>7300</v>
      </c>
      <c r="M62" s="26">
        <v>7300</v>
      </c>
      <c r="N62" s="26">
        <v>7600</v>
      </c>
      <c r="O62" s="26">
        <v>7600</v>
      </c>
      <c r="P62" s="26">
        <v>9300</v>
      </c>
      <c r="Q62" s="26">
        <v>9300</v>
      </c>
      <c r="R62" s="26">
        <v>9600</v>
      </c>
      <c r="S62" s="26">
        <v>9600</v>
      </c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>
        <f t="shared" si="41"/>
        <v>1.92592994438724e-34</v>
      </c>
      <c r="AT62" s="191">
        <f t="shared" si="42"/>
        <v>1.92592994438724e-34</v>
      </c>
      <c r="AU62" s="191">
        <f t="shared" si="42"/>
        <v>1.92592994438724e-34</v>
      </c>
      <c r="AV62" s="191">
        <f t="shared" si="42"/>
        <v>1.92592994438724e-34</v>
      </c>
      <c r="AW62" s="191">
        <f t="shared" si="42"/>
        <v>1.92592994438724e-34</v>
      </c>
      <c r="AX62" s="191">
        <f t="shared" si="42"/>
        <v>1.92592994438724e-34</v>
      </c>
      <c r="AY62" s="191">
        <f t="shared" si="42"/>
        <v>1.92592994438724e-34</v>
      </c>
      <c r="AZ62" s="191">
        <f t="shared" si="42"/>
        <v>1.92592994438724e-34</v>
      </c>
      <c r="BA62" s="191">
        <f t="shared" si="42"/>
        <v>0</v>
      </c>
      <c r="BB62" s="191">
        <f t="shared" si="42"/>
        <v>0</v>
      </c>
      <c r="BC62" s="191">
        <f t="shared" si="42"/>
        <v>0</v>
      </c>
      <c r="BD62" s="191">
        <f t="shared" si="42"/>
        <v>0</v>
      </c>
      <c r="BE62" s="191">
        <f t="shared" si="42"/>
        <v>0</v>
      </c>
      <c r="BF62" s="191">
        <f t="shared" si="42"/>
        <v>0</v>
      </c>
      <c r="BG62" s="191">
        <f t="shared" si="42"/>
        <v>0</v>
      </c>
      <c r="BH62" s="191">
        <f t="shared" si="42"/>
        <v>0</v>
      </c>
      <c r="BR62" s="209" t="s">
        <v>336</v>
      </c>
      <c r="BS62" s="130">
        <f>((第九期!K8-第九期!AA18)*比赛参数!D65+第九期!Y18*比赛参数!D59*比赛参数!D65)*第九期!AH18*520</f>
        <v>725400</v>
      </c>
      <c r="BT62" s="130"/>
      <c r="BU62" s="130">
        <f>BU61+BS62</f>
        <v>806900</v>
      </c>
      <c r="BV62" s="130">
        <f t="shared" si="43"/>
        <v>6614352.62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CX56/第九期!CQ56</f>
        <v>31.5</v>
      </c>
      <c r="CY62" s="242">
        <f>CY56/第九期!CR56</f>
        <v>31.5</v>
      </c>
      <c r="CZ62" s="242">
        <f>CZ56/第九期!CS56</f>
        <v>33.8</v>
      </c>
      <c r="DA62" s="242">
        <f>DA56/第九期!CT56</f>
        <v>34.5</v>
      </c>
      <c r="DB62" s="242">
        <f>AVERAGE(CX62:DA62)</f>
        <v>32.825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>
        <v>3100</v>
      </c>
      <c r="E63" s="26">
        <v>3100</v>
      </c>
      <c r="F63" s="26">
        <v>3300</v>
      </c>
      <c r="G63" s="26">
        <v>3300</v>
      </c>
      <c r="H63" s="26">
        <v>5800</v>
      </c>
      <c r="I63" s="26">
        <v>5800</v>
      </c>
      <c r="J63" s="26">
        <v>6000</v>
      </c>
      <c r="K63" s="26">
        <v>6000</v>
      </c>
      <c r="L63" s="26">
        <v>7300</v>
      </c>
      <c r="M63" s="26">
        <v>7300</v>
      </c>
      <c r="N63" s="26">
        <v>7600</v>
      </c>
      <c r="O63" s="26">
        <v>7600</v>
      </c>
      <c r="P63" s="26">
        <v>9300</v>
      </c>
      <c r="Q63" s="26">
        <v>9300</v>
      </c>
      <c r="R63" s="26">
        <v>9600</v>
      </c>
      <c r="S63" s="26">
        <v>9600</v>
      </c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>
        <f t="shared" si="41"/>
        <v>1.92592994438724e-34</v>
      </c>
      <c r="AT63" s="191">
        <f t="shared" si="42"/>
        <v>1.92592994438724e-34</v>
      </c>
      <c r="AU63" s="191">
        <f t="shared" si="42"/>
        <v>1.92592994438724e-34</v>
      </c>
      <c r="AV63" s="191">
        <f t="shared" si="42"/>
        <v>1.92592994438724e-34</v>
      </c>
      <c r="AW63" s="191">
        <f t="shared" si="42"/>
        <v>1.92592994438724e-34</v>
      </c>
      <c r="AX63" s="191">
        <f t="shared" si="42"/>
        <v>1.92592994438724e-34</v>
      </c>
      <c r="AY63" s="191">
        <f t="shared" si="42"/>
        <v>1.92592994438724e-34</v>
      </c>
      <c r="AZ63" s="191">
        <f t="shared" si="42"/>
        <v>1.92592994438724e-34</v>
      </c>
      <c r="BA63" s="191">
        <f t="shared" si="42"/>
        <v>0</v>
      </c>
      <c r="BB63" s="191">
        <f t="shared" si="42"/>
        <v>0</v>
      </c>
      <c r="BC63" s="191">
        <f t="shared" si="42"/>
        <v>0</v>
      </c>
      <c r="BD63" s="191">
        <f t="shared" si="42"/>
        <v>0</v>
      </c>
      <c r="BE63" s="191">
        <f t="shared" si="42"/>
        <v>0</v>
      </c>
      <c r="BF63" s="191">
        <f t="shared" si="42"/>
        <v>0</v>
      </c>
      <c r="BG63" s="191">
        <f t="shared" si="42"/>
        <v>0</v>
      </c>
      <c r="BH63" s="191">
        <f t="shared" si="42"/>
        <v>0</v>
      </c>
      <c r="BR63" s="209" t="s">
        <v>80</v>
      </c>
      <c r="BS63" s="130">
        <f>第九期!K9*比赛参数!D49</f>
        <v>45000</v>
      </c>
      <c r="BT63" s="130"/>
      <c r="BU63" s="130">
        <f>BU62+BS63</f>
        <v>851900</v>
      </c>
      <c r="BV63" s="130">
        <f t="shared" si="43"/>
        <v>6569352.62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CX57/第九期!CQ57</f>
        <v>12.2541298861188</v>
      </c>
      <c r="CY63" s="242">
        <f>CY57/第九期!CR57</f>
        <v>12.5901298861188</v>
      </c>
      <c r="CZ63" s="242">
        <f>CZ57/第九期!CS57</f>
        <v>12.9221298861188</v>
      </c>
      <c r="DA63" s="242">
        <f>DA57/第九期!CT57</f>
        <v>13.1221298861188</v>
      </c>
      <c r="DB63" s="242">
        <f>AVERAGE(CX63:DA63)</f>
        <v>12.7221298861188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>
        <v>3100</v>
      </c>
      <c r="E64" s="26">
        <v>3100</v>
      </c>
      <c r="F64" s="26">
        <v>3300</v>
      </c>
      <c r="G64" s="26">
        <v>3300</v>
      </c>
      <c r="H64" s="26">
        <v>5800</v>
      </c>
      <c r="I64" s="26">
        <v>5800</v>
      </c>
      <c r="J64" s="26">
        <v>6000</v>
      </c>
      <c r="K64" s="26">
        <v>6000</v>
      </c>
      <c r="L64" s="26">
        <v>7300</v>
      </c>
      <c r="M64" s="26">
        <v>7300</v>
      </c>
      <c r="N64" s="26">
        <v>7600</v>
      </c>
      <c r="O64" s="26">
        <v>7600</v>
      </c>
      <c r="P64" s="26">
        <v>9300</v>
      </c>
      <c r="Q64" s="26">
        <v>9300</v>
      </c>
      <c r="R64" s="26">
        <v>9600</v>
      </c>
      <c r="S64" s="26">
        <v>9600</v>
      </c>
      <c r="T64" s="10"/>
      <c r="X64" s="64" t="s">
        <v>55</v>
      </c>
      <c r="Y64" s="108">
        <f t="shared" ref="Y64:AB67" si="44">AF64-AF70</f>
        <v>64</v>
      </c>
      <c r="Z64" s="108">
        <f t="shared" si="44"/>
        <v>-31</v>
      </c>
      <c r="AA64" s="108">
        <f t="shared" si="44"/>
        <v>-46</v>
      </c>
      <c r="AB64" s="108">
        <f t="shared" si="44"/>
        <v>-61</v>
      </c>
      <c r="AC64" s="126"/>
      <c r="AE64" s="64" t="s">
        <v>55</v>
      </c>
      <c r="AF64" s="131">
        <f t="shared" ref="AF64:AI67" si="45">IF(Y88+Y57-AF57-Y108&gt;0,Y88+Y57-AF57-Y108,0)</f>
        <v>143</v>
      </c>
      <c r="AG64" s="131">
        <f t="shared" si="45"/>
        <v>38</v>
      </c>
      <c r="AH64" s="131">
        <f t="shared" si="45"/>
        <v>28</v>
      </c>
      <c r="AI64" s="131">
        <f t="shared" si="45"/>
        <v>19</v>
      </c>
      <c r="AJ64" s="126"/>
      <c r="AL64" s="48"/>
      <c r="AN64" s="173"/>
      <c r="AO64" s="173"/>
      <c r="AR64" s="190">
        <v>8</v>
      </c>
      <c r="AS64" s="191">
        <f t="shared" si="41"/>
        <v>1.92592994438724e-34</v>
      </c>
      <c r="AT64" s="191">
        <f t="shared" si="42"/>
        <v>1.92592994438724e-34</v>
      </c>
      <c r="AU64" s="191">
        <f t="shared" si="42"/>
        <v>1.92592994438724e-34</v>
      </c>
      <c r="AV64" s="191">
        <f t="shared" si="42"/>
        <v>1.92592994438724e-34</v>
      </c>
      <c r="AW64" s="191">
        <f t="shared" si="42"/>
        <v>1.92592994438724e-34</v>
      </c>
      <c r="AX64" s="191">
        <f t="shared" si="42"/>
        <v>1.92592994438724e-34</v>
      </c>
      <c r="AY64" s="191">
        <f t="shared" si="42"/>
        <v>1.92592994438724e-34</v>
      </c>
      <c r="AZ64" s="191">
        <f t="shared" si="42"/>
        <v>1.92592994438724e-34</v>
      </c>
      <c r="BA64" s="191">
        <f t="shared" si="42"/>
        <v>0</v>
      </c>
      <c r="BB64" s="191">
        <f t="shared" si="42"/>
        <v>0</v>
      </c>
      <c r="BC64" s="191">
        <f t="shared" si="42"/>
        <v>0</v>
      </c>
      <c r="BD64" s="191">
        <f t="shared" si="42"/>
        <v>0</v>
      </c>
      <c r="BE64" s="191">
        <f t="shared" si="42"/>
        <v>0</v>
      </c>
      <c r="BF64" s="191">
        <f t="shared" si="42"/>
        <v>0</v>
      </c>
      <c r="BG64" s="191">
        <f t="shared" si="42"/>
        <v>0</v>
      </c>
      <c r="BH64" s="191">
        <f t="shared" si="42"/>
        <v>0</v>
      </c>
      <c r="BR64" s="209" t="s">
        <v>301</v>
      </c>
      <c r="BS64" s="130">
        <f>第九期!AL37</f>
        <v>1070000</v>
      </c>
      <c r="BT64" s="130"/>
      <c r="BU64" s="130"/>
      <c r="BV64" s="130">
        <f t="shared" si="43"/>
        <v>5499352.62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CX58/第九期!CQ58</f>
        <v>9.41983918527343</v>
      </c>
      <c r="CY64" s="242">
        <f>CY58/第九期!CR58</f>
        <v>9.71457602737869</v>
      </c>
      <c r="CZ64" s="242">
        <f>CZ58/第九期!CS58</f>
        <v>9.30404971158922</v>
      </c>
      <c r="DA64" s="242">
        <f>DA58/第九期!CT58</f>
        <v>9.69878655369448</v>
      </c>
      <c r="DB64" s="242">
        <f>AVERAGE(CX64:DA64)</f>
        <v>9.53431286948395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>
        <v>3100</v>
      </c>
      <c r="E65" s="26">
        <v>3100</v>
      </c>
      <c r="F65" s="26">
        <v>3300</v>
      </c>
      <c r="G65" s="26">
        <v>3300</v>
      </c>
      <c r="H65" s="26">
        <v>5800</v>
      </c>
      <c r="I65" s="26">
        <v>5800</v>
      </c>
      <c r="J65" s="26">
        <v>6000</v>
      </c>
      <c r="K65" s="26">
        <v>6000</v>
      </c>
      <c r="L65" s="26">
        <v>7300</v>
      </c>
      <c r="M65" s="26">
        <v>7300</v>
      </c>
      <c r="N65" s="26">
        <v>7600</v>
      </c>
      <c r="O65" s="26">
        <v>7600</v>
      </c>
      <c r="P65" s="26">
        <v>9300</v>
      </c>
      <c r="Q65" s="26">
        <v>9300</v>
      </c>
      <c r="R65" s="26">
        <v>9600</v>
      </c>
      <c r="S65" s="26">
        <v>9600</v>
      </c>
      <c r="T65" s="10"/>
      <c r="X65" s="11" t="s">
        <v>56</v>
      </c>
      <c r="Y65" s="108">
        <f t="shared" si="44"/>
        <v>64</v>
      </c>
      <c r="Z65" s="108">
        <f t="shared" si="44"/>
        <v>-33</v>
      </c>
      <c r="AA65" s="108">
        <f t="shared" si="44"/>
        <v>-46</v>
      </c>
      <c r="AB65" s="108">
        <f t="shared" si="44"/>
        <v>-62</v>
      </c>
      <c r="AC65" s="126"/>
      <c r="AE65" s="11" t="s">
        <v>56</v>
      </c>
      <c r="AF65" s="131">
        <f t="shared" si="45"/>
        <v>144</v>
      </c>
      <c r="AG65" s="131">
        <f t="shared" si="45"/>
        <v>37</v>
      </c>
      <c r="AH65" s="131">
        <f t="shared" si="45"/>
        <v>28</v>
      </c>
      <c r="AI65" s="131">
        <f t="shared" si="45"/>
        <v>19</v>
      </c>
      <c r="AJ65" s="126"/>
      <c r="AL65" s="48"/>
      <c r="AN65" s="173"/>
      <c r="AO65" s="173"/>
      <c r="AR65" s="190">
        <v>9</v>
      </c>
      <c r="AS65" s="191">
        <f t="shared" si="41"/>
        <v>1.92592994438724e-34</v>
      </c>
      <c r="AT65" s="191">
        <f t="shared" si="42"/>
        <v>1.92592994438724e-34</v>
      </c>
      <c r="AU65" s="191">
        <f t="shared" si="42"/>
        <v>1.92592994438724e-34</v>
      </c>
      <c r="AV65" s="191">
        <f t="shared" si="42"/>
        <v>1.92592994438724e-34</v>
      </c>
      <c r="AW65" s="191">
        <f t="shared" si="42"/>
        <v>1.92592994438724e-34</v>
      </c>
      <c r="AX65" s="191">
        <f t="shared" si="42"/>
        <v>1.92592994438724e-34</v>
      </c>
      <c r="AY65" s="191">
        <f t="shared" si="42"/>
        <v>1.92592994438724e-34</v>
      </c>
      <c r="AZ65" s="191">
        <f t="shared" si="42"/>
        <v>1.92592994438724e-34</v>
      </c>
      <c r="BA65" s="191">
        <f t="shared" si="42"/>
        <v>0</v>
      </c>
      <c r="BB65" s="191">
        <f t="shared" si="42"/>
        <v>0</v>
      </c>
      <c r="BC65" s="191">
        <f t="shared" si="42"/>
        <v>0</v>
      </c>
      <c r="BD65" s="191">
        <f t="shared" si="42"/>
        <v>0</v>
      </c>
      <c r="BE65" s="191">
        <f t="shared" si="42"/>
        <v>0</v>
      </c>
      <c r="BF65" s="191">
        <f t="shared" si="42"/>
        <v>0</v>
      </c>
      <c r="BG65" s="191">
        <f t="shared" si="42"/>
        <v>0</v>
      </c>
      <c r="BH65" s="191">
        <f t="shared" si="42"/>
        <v>0</v>
      </c>
      <c r="BR65" s="209" t="s">
        <v>340</v>
      </c>
      <c r="BS65" s="91">
        <f>0.5*第九期!AL37+0.5*第九期!DV23</f>
        <v>535000</v>
      </c>
      <c r="BT65" s="130"/>
      <c r="BU65" s="130">
        <f>BU63+BS65</f>
        <v>1386900</v>
      </c>
      <c r="BV65" s="130"/>
      <c r="BW65" s="126"/>
      <c r="CB65" s="196" t="s">
        <v>341</v>
      </c>
      <c r="CC65" s="108">
        <f>(CC60-CC61)*CC63</f>
        <v>1388769.23076923</v>
      </c>
      <c r="CD65" s="108">
        <f>(CD60-CD61)*CD63</f>
        <v>69346.1538461538</v>
      </c>
      <c r="CE65" s="108">
        <f>(CE60-CE61)*CE63</f>
        <v>-329430.769230769</v>
      </c>
      <c r="CF65" s="108">
        <f>(CF60-CF61)*CF63</f>
        <v>-297000</v>
      </c>
      <c r="CG65" s="108">
        <f>SUM(CC65:CF65)</f>
        <v>831684.615384615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CX59/第九期!CQ59</f>
        <v>6.98130148375194</v>
      </c>
      <c r="CY65" s="242">
        <f>CY59/第九期!CR59</f>
        <v>7.24668609913656</v>
      </c>
      <c r="CZ65" s="242">
        <f>CZ59/第九期!CS59</f>
        <v>6.87360917605963</v>
      </c>
      <c r="DA65" s="242">
        <f>DA59/第九期!CT59</f>
        <v>7.06591686836733</v>
      </c>
      <c r="DB65" s="242">
        <f>AVERAGE(CX65:DA65)</f>
        <v>7.04187840682886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>
        <v>3100</v>
      </c>
      <c r="E66" s="26">
        <v>3100</v>
      </c>
      <c r="F66" s="26">
        <v>3300</v>
      </c>
      <c r="G66" s="26">
        <v>3300</v>
      </c>
      <c r="H66" s="26">
        <v>5800</v>
      </c>
      <c r="I66" s="26">
        <v>5800</v>
      </c>
      <c r="J66" s="26">
        <v>6000</v>
      </c>
      <c r="K66" s="26">
        <v>6000</v>
      </c>
      <c r="L66" s="26">
        <v>7300</v>
      </c>
      <c r="M66" s="26">
        <v>7300</v>
      </c>
      <c r="N66" s="26">
        <v>7600</v>
      </c>
      <c r="O66" s="26">
        <v>7600</v>
      </c>
      <c r="P66" s="26">
        <v>9300</v>
      </c>
      <c r="Q66" s="26">
        <v>9300</v>
      </c>
      <c r="R66" s="26">
        <v>9600</v>
      </c>
      <c r="S66" s="26">
        <v>9600</v>
      </c>
      <c r="T66" s="10"/>
      <c r="V66" s="277"/>
      <c r="X66" s="11" t="s">
        <v>57</v>
      </c>
      <c r="Y66" s="108">
        <f t="shared" si="44"/>
        <v>64</v>
      </c>
      <c r="Z66" s="108">
        <f t="shared" si="44"/>
        <v>-46</v>
      </c>
      <c r="AA66" s="108">
        <f t="shared" si="44"/>
        <v>-27</v>
      </c>
      <c r="AB66" s="108">
        <f t="shared" si="44"/>
        <v>-54</v>
      </c>
      <c r="AC66" s="126"/>
      <c r="AE66" s="11" t="s">
        <v>57</v>
      </c>
      <c r="AF66" s="131">
        <f t="shared" si="45"/>
        <v>179</v>
      </c>
      <c r="AG66" s="131">
        <f t="shared" si="45"/>
        <v>57</v>
      </c>
      <c r="AH66" s="131">
        <f t="shared" si="45"/>
        <v>40</v>
      </c>
      <c r="AI66" s="131">
        <f t="shared" si="45"/>
        <v>26</v>
      </c>
      <c r="AJ66" s="126"/>
      <c r="AL66" s="48"/>
      <c r="AR66" s="190">
        <v>10</v>
      </c>
      <c r="AS66" s="191">
        <f t="shared" si="41"/>
        <v>1.92592994438724e-34</v>
      </c>
      <c r="AT66" s="191">
        <f t="shared" si="42"/>
        <v>1.92592994438724e-34</v>
      </c>
      <c r="AU66" s="191">
        <f t="shared" si="42"/>
        <v>1.92592994438724e-34</v>
      </c>
      <c r="AV66" s="191">
        <f t="shared" si="42"/>
        <v>1.92592994438724e-34</v>
      </c>
      <c r="AW66" s="191">
        <f t="shared" si="42"/>
        <v>1.92592994438724e-34</v>
      </c>
      <c r="AX66" s="191">
        <f t="shared" si="42"/>
        <v>1.92592994438724e-34</v>
      </c>
      <c r="AY66" s="191">
        <f t="shared" si="42"/>
        <v>1.92592994438724e-34</v>
      </c>
      <c r="AZ66" s="191">
        <f t="shared" si="42"/>
        <v>1.92592994438724e-34</v>
      </c>
      <c r="BA66" s="191">
        <f t="shared" si="42"/>
        <v>0</v>
      </c>
      <c r="BB66" s="191">
        <f t="shared" si="42"/>
        <v>0</v>
      </c>
      <c r="BC66" s="191">
        <f t="shared" si="42"/>
        <v>0</v>
      </c>
      <c r="BD66" s="191">
        <f t="shared" si="42"/>
        <v>0</v>
      </c>
      <c r="BE66" s="191">
        <f t="shared" si="42"/>
        <v>0</v>
      </c>
      <c r="BF66" s="191">
        <f t="shared" si="42"/>
        <v>0</v>
      </c>
      <c r="BG66" s="191">
        <f t="shared" si="42"/>
        <v>0</v>
      </c>
      <c r="BH66" s="191">
        <f t="shared" si="42"/>
        <v>0</v>
      </c>
      <c r="BR66" s="209" t="s">
        <v>236</v>
      </c>
      <c r="BS66" s="130">
        <f>第九期!AC18</f>
        <v>968750</v>
      </c>
      <c r="BT66" s="130"/>
      <c r="BU66" s="130"/>
      <c r="BV66" s="130">
        <f>BV64-BS66</f>
        <v>4530602.62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>
        <v>3100</v>
      </c>
      <c r="E67" s="26">
        <v>3100</v>
      </c>
      <c r="F67" s="26">
        <v>3300</v>
      </c>
      <c r="G67" s="26">
        <v>3300</v>
      </c>
      <c r="H67" s="26">
        <v>5800</v>
      </c>
      <c r="I67" s="26">
        <v>5800</v>
      </c>
      <c r="J67" s="26">
        <v>6000</v>
      </c>
      <c r="K67" s="26">
        <v>6000</v>
      </c>
      <c r="L67" s="26">
        <v>7300</v>
      </c>
      <c r="M67" s="26">
        <v>7300</v>
      </c>
      <c r="N67" s="26">
        <v>7600</v>
      </c>
      <c r="O67" s="26">
        <v>7600</v>
      </c>
      <c r="P67" s="26">
        <v>9300</v>
      </c>
      <c r="Q67" s="26">
        <v>9300</v>
      </c>
      <c r="R67" s="26">
        <v>9600</v>
      </c>
      <c r="S67" s="26">
        <v>9600</v>
      </c>
      <c r="T67" s="10"/>
      <c r="X67" s="11" t="s">
        <v>58</v>
      </c>
      <c r="Y67" s="108">
        <f t="shared" si="44"/>
        <v>18</v>
      </c>
      <c r="Z67" s="108">
        <f t="shared" si="44"/>
        <v>-52</v>
      </c>
      <c r="AA67" s="108">
        <f t="shared" si="44"/>
        <v>-38</v>
      </c>
      <c r="AB67" s="108">
        <f t="shared" si="44"/>
        <v>-64</v>
      </c>
      <c r="AC67" s="126"/>
      <c r="AE67" s="11" t="s">
        <v>58</v>
      </c>
      <c r="AF67" s="131">
        <f t="shared" si="45"/>
        <v>141</v>
      </c>
      <c r="AG67" s="131">
        <f t="shared" si="45"/>
        <v>54</v>
      </c>
      <c r="AH67" s="131">
        <f t="shared" si="45"/>
        <v>42</v>
      </c>
      <c r="AI67" s="131">
        <f t="shared" si="45"/>
        <v>29</v>
      </c>
      <c r="AJ67" s="126"/>
      <c r="AL67" s="48"/>
      <c r="AR67" s="190">
        <v>11</v>
      </c>
      <c r="AS67" s="191">
        <f t="shared" si="41"/>
        <v>1.92592994438724e-34</v>
      </c>
      <c r="AT67" s="191">
        <f t="shared" si="42"/>
        <v>1.92592994438724e-34</v>
      </c>
      <c r="AU67" s="191">
        <f t="shared" si="42"/>
        <v>1.92592994438724e-34</v>
      </c>
      <c r="AV67" s="191">
        <f t="shared" si="42"/>
        <v>1.92592994438724e-34</v>
      </c>
      <c r="AW67" s="191">
        <f t="shared" si="42"/>
        <v>1.92592994438724e-34</v>
      </c>
      <c r="AX67" s="191">
        <f t="shared" si="42"/>
        <v>1.92592994438724e-34</v>
      </c>
      <c r="AY67" s="191">
        <f t="shared" si="42"/>
        <v>1.92592994438724e-34</v>
      </c>
      <c r="AZ67" s="191">
        <f t="shared" si="42"/>
        <v>1.92592994438724e-34</v>
      </c>
      <c r="BA67" s="191">
        <f t="shared" si="42"/>
        <v>0</v>
      </c>
      <c r="BB67" s="191">
        <f t="shared" si="42"/>
        <v>0</v>
      </c>
      <c r="BC67" s="191">
        <f t="shared" si="42"/>
        <v>0</v>
      </c>
      <c r="BD67" s="191">
        <f t="shared" si="42"/>
        <v>0</v>
      </c>
      <c r="BE67" s="191">
        <f t="shared" si="42"/>
        <v>0</v>
      </c>
      <c r="BF67" s="191">
        <f t="shared" si="42"/>
        <v>0</v>
      </c>
      <c r="BG67" s="191">
        <f t="shared" si="42"/>
        <v>0</v>
      </c>
      <c r="BH67" s="191">
        <f t="shared" si="42"/>
        <v>0</v>
      </c>
      <c r="BR67" s="209" t="s">
        <v>342</v>
      </c>
      <c r="BS67" s="130">
        <f>IF(第九期!AC18&gt;=比赛参数!D33,(1-比赛参数!E33)*第九期!AC18,0)+IF(AND(第九期!AC18&gt;=比赛参数!D34,第九期!AC18&lt;比赛参数!D33),(1-比赛参数!E34)*第九期!AC18,0)+IF(AND(第九期!AC18&gt;=比赛参数!D35,第九期!AC18&lt;比赛参数!D34),(1-比赛参数!E35)*第九期!AC18,0)+IF(AND(第九期!AC18&gt;=比赛参数!D36,第九期!AC18&lt;比赛参数!D35),(1-比赛参数!E36)*第九期!AC18,0)</f>
        <v>0</v>
      </c>
      <c r="BT67" s="130">
        <f>BS67</f>
        <v>0</v>
      </c>
      <c r="BU67" s="130"/>
      <c r="BV67" s="130">
        <f>BV66+BS67</f>
        <v>4530602.62</v>
      </c>
      <c r="BW67" s="126"/>
      <c r="CB67" s="196" t="s">
        <v>343</v>
      </c>
      <c r="CC67" s="108">
        <f>(CC60+CC61)/2*CC62</f>
        <v>12240</v>
      </c>
      <c r="CD67" s="108">
        <f>(CD60+CD61)/2*CD62</f>
        <v>3690</v>
      </c>
      <c r="CE67" s="108">
        <f>(CE60+CE61)/2*CE62</f>
        <v>2940</v>
      </c>
      <c r="CF67" s="108">
        <f>(CF60+CF61)/2*CF62</f>
        <v>2310</v>
      </c>
      <c r="CG67" s="108">
        <f>SUM(CC67:CF67)</f>
        <v>21180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>
        <v>3100</v>
      </c>
      <c r="E68" s="26">
        <v>3100</v>
      </c>
      <c r="F68" s="26">
        <v>3300</v>
      </c>
      <c r="G68" s="26">
        <v>3300</v>
      </c>
      <c r="H68" s="26">
        <v>5800</v>
      </c>
      <c r="I68" s="26">
        <v>5800</v>
      </c>
      <c r="J68" s="26">
        <v>6000</v>
      </c>
      <c r="K68" s="26">
        <v>6000</v>
      </c>
      <c r="L68" s="26">
        <v>7300</v>
      </c>
      <c r="M68" s="26">
        <v>7300</v>
      </c>
      <c r="N68" s="26">
        <v>7600</v>
      </c>
      <c r="O68" s="26">
        <v>7600</v>
      </c>
      <c r="P68" s="26">
        <v>9300</v>
      </c>
      <c r="Q68" s="26">
        <v>9300</v>
      </c>
      <c r="R68" s="26">
        <v>9600</v>
      </c>
      <c r="S68" s="26">
        <v>9600</v>
      </c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607</v>
      </c>
      <c r="AG68" s="48">
        <f>SUM(AG64:AG67)</f>
        <v>186</v>
      </c>
      <c r="AH68" s="48">
        <f>SUM(AH64:AH67)</f>
        <v>138</v>
      </c>
      <c r="AI68" s="48">
        <f>SUM(AI64:AI67)</f>
        <v>93</v>
      </c>
      <c r="AJ68" s="48">
        <f>AF68/4</f>
        <v>151.75</v>
      </c>
      <c r="AK68" s="48">
        <f>AG68/4</f>
        <v>46.5</v>
      </c>
      <c r="AL68" s="48">
        <f>AH68/4</f>
        <v>34.5</v>
      </c>
      <c r="AM68" s="48">
        <f>AI68/4</f>
        <v>23.25</v>
      </c>
      <c r="AR68" s="190">
        <v>12</v>
      </c>
      <c r="AS68" s="191">
        <f t="shared" si="41"/>
        <v>1.92592994438724e-34</v>
      </c>
      <c r="AT68" s="191">
        <f t="shared" si="42"/>
        <v>1.92592994438724e-34</v>
      </c>
      <c r="AU68" s="191">
        <f t="shared" si="42"/>
        <v>1.92592994438724e-34</v>
      </c>
      <c r="AV68" s="191">
        <f t="shared" si="42"/>
        <v>1.92592994438724e-34</v>
      </c>
      <c r="AW68" s="191">
        <f t="shared" si="42"/>
        <v>1.92592994438724e-34</v>
      </c>
      <c r="AX68" s="191">
        <f t="shared" si="42"/>
        <v>1.92592994438724e-34</v>
      </c>
      <c r="AY68" s="191">
        <f t="shared" si="42"/>
        <v>1.92592994438724e-34</v>
      </c>
      <c r="AZ68" s="191">
        <f t="shared" si="42"/>
        <v>1.92592994438724e-34</v>
      </c>
      <c r="BA68" s="191">
        <f t="shared" si="42"/>
        <v>0</v>
      </c>
      <c r="BB68" s="191">
        <f t="shared" si="42"/>
        <v>0</v>
      </c>
      <c r="BC68" s="191">
        <f t="shared" si="42"/>
        <v>0</v>
      </c>
      <c r="BD68" s="191">
        <f t="shared" si="42"/>
        <v>0</v>
      </c>
      <c r="BE68" s="191">
        <f t="shared" si="42"/>
        <v>0</v>
      </c>
      <c r="BF68" s="191">
        <f t="shared" si="42"/>
        <v>0</v>
      </c>
      <c r="BG68" s="191">
        <f t="shared" si="42"/>
        <v>0</v>
      </c>
      <c r="BH68" s="191">
        <f t="shared" si="42"/>
        <v>0</v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6">IF(CX50&gt;0,CX56/CX50,0)</f>
        <v>0</v>
      </c>
      <c r="CY68" s="242">
        <f t="shared" si="46"/>
        <v>0</v>
      </c>
      <c r="CZ68" s="242">
        <f t="shared" si="46"/>
        <v>0</v>
      </c>
      <c r="DA68" s="242">
        <f t="shared" si="46"/>
        <v>0</v>
      </c>
      <c r="DB68" s="242">
        <f t="shared" si="46"/>
        <v>0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>
        <f t="shared" si="41"/>
        <v>1.92592994438724e-34</v>
      </c>
      <c r="AT69" s="191">
        <f t="shared" si="42"/>
        <v>1.92592994438724e-34</v>
      </c>
      <c r="AU69" s="191">
        <f t="shared" si="42"/>
        <v>1.92592994438724e-34</v>
      </c>
      <c r="AV69" s="191">
        <f t="shared" si="42"/>
        <v>1.92592994438724e-34</v>
      </c>
      <c r="AW69" s="191">
        <f t="shared" si="42"/>
        <v>1.92592994438724e-34</v>
      </c>
      <c r="AX69" s="191">
        <f t="shared" si="42"/>
        <v>1.92592994438724e-34</v>
      </c>
      <c r="AY69" s="191">
        <f t="shared" si="42"/>
        <v>1.92592994438724e-34</v>
      </c>
      <c r="AZ69" s="191">
        <f t="shared" si="42"/>
        <v>1.92592994438724e-34</v>
      </c>
      <c r="BA69" s="191">
        <f t="shared" si="42"/>
        <v>0</v>
      </c>
      <c r="BB69" s="191">
        <f t="shared" si="42"/>
        <v>0</v>
      </c>
      <c r="BC69" s="191">
        <f t="shared" si="42"/>
        <v>0</v>
      </c>
      <c r="BD69" s="191">
        <f t="shared" si="42"/>
        <v>0</v>
      </c>
      <c r="BE69" s="191">
        <f t="shared" si="42"/>
        <v>0</v>
      </c>
      <c r="BF69" s="191">
        <f t="shared" si="42"/>
        <v>0</v>
      </c>
      <c r="BG69" s="191">
        <f t="shared" si="42"/>
        <v>0</v>
      </c>
      <c r="BH69" s="191">
        <f t="shared" si="42"/>
        <v>0</v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6"/>
        <v>0.778244060029166</v>
      </c>
      <c r="CY69" s="242">
        <f t="shared" si="46"/>
        <v>0.817017261863721</v>
      </c>
      <c r="CZ69" s="242">
        <f t="shared" si="46"/>
        <v>0.793846479650877</v>
      </c>
      <c r="DA69" s="242">
        <f t="shared" si="46"/>
        <v>0.79634866614615</v>
      </c>
      <c r="DB69" s="242">
        <f t="shared" si="46"/>
        <v>0.796234403925096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0.0526</v>
      </c>
      <c r="Z70" s="283">
        <f>DW37</f>
        <v>0.0526</v>
      </c>
      <c r="AA70" s="283">
        <f>EA37</f>
        <v>0</v>
      </c>
      <c r="AB70" s="283">
        <f>EE37</f>
        <v>0</v>
      </c>
      <c r="AE70" s="64" t="s">
        <v>55</v>
      </c>
      <c r="AF70" s="131">
        <f>第九期!DV6</f>
        <v>79</v>
      </c>
      <c r="AG70" s="131">
        <f>第九期!DV10</f>
        <v>69</v>
      </c>
      <c r="AH70" s="131">
        <f>第九期!DV14</f>
        <v>74</v>
      </c>
      <c r="AI70" s="131">
        <f>第九期!DV18</f>
        <v>80</v>
      </c>
      <c r="AJ70" s="126">
        <f>AF70-Y57+AF57</f>
        <v>-54</v>
      </c>
      <c r="AK70" s="126">
        <f t="shared" ref="AK70:AM73" si="47">AG70-Z57+AG57</f>
        <v>75</v>
      </c>
      <c r="AL70" s="126">
        <f t="shared" si="47"/>
        <v>74</v>
      </c>
      <c r="AM70" s="126">
        <f t="shared" si="47"/>
        <v>80</v>
      </c>
      <c r="AR70" s="190">
        <v>14</v>
      </c>
      <c r="AS70" s="191">
        <f t="shared" si="41"/>
        <v>1.92592994438724e-34</v>
      </c>
      <c r="AT70" s="191">
        <f t="shared" si="42"/>
        <v>1.92592994438724e-34</v>
      </c>
      <c r="AU70" s="191">
        <f t="shared" si="42"/>
        <v>1.92592994438724e-34</v>
      </c>
      <c r="AV70" s="191">
        <f t="shared" si="42"/>
        <v>1.92592994438724e-34</v>
      </c>
      <c r="AW70" s="191">
        <f t="shared" si="42"/>
        <v>1.92592994438724e-34</v>
      </c>
      <c r="AX70" s="191">
        <f t="shared" si="42"/>
        <v>1.92592994438724e-34</v>
      </c>
      <c r="AY70" s="191">
        <f t="shared" si="42"/>
        <v>1.92592994438724e-34</v>
      </c>
      <c r="AZ70" s="191">
        <f t="shared" si="42"/>
        <v>1.92592994438724e-34</v>
      </c>
      <c r="BA70" s="191">
        <f t="shared" si="42"/>
        <v>0</v>
      </c>
      <c r="BB70" s="191">
        <f t="shared" si="42"/>
        <v>0</v>
      </c>
      <c r="BC70" s="191">
        <f t="shared" si="42"/>
        <v>0</v>
      </c>
      <c r="BD70" s="191">
        <f t="shared" si="42"/>
        <v>0</v>
      </c>
      <c r="BE70" s="191">
        <f t="shared" si="42"/>
        <v>0</v>
      </c>
      <c r="BF70" s="191">
        <f t="shared" si="42"/>
        <v>0</v>
      </c>
      <c r="BG70" s="191">
        <f t="shared" si="42"/>
        <v>0</v>
      </c>
      <c r="BH70" s="191">
        <f t="shared" si="42"/>
        <v>0</v>
      </c>
      <c r="BR70" s="209" t="s">
        <v>344</v>
      </c>
      <c r="BS70" s="130">
        <f>IF(第九期!AC18&gt;0,第九期!AC18*比赛参数!E40+比赛参数!E39,0)</f>
        <v>19687.5</v>
      </c>
      <c r="BT70" s="130"/>
      <c r="BU70" s="130">
        <f>BU65+BS70</f>
        <v>1406587.5</v>
      </c>
      <c r="BV70" s="130">
        <f>BV67-BS70</f>
        <v>4510915.12</v>
      </c>
      <c r="BW70" s="126"/>
      <c r="CB70" s="196" t="s">
        <v>304</v>
      </c>
      <c r="CC70" s="108">
        <f>CC79-CC86</f>
        <v>3287.51235584843</v>
      </c>
      <c r="CD70" s="108">
        <f>CD79-CD86</f>
        <v>3194.41956830389</v>
      </c>
      <c r="CE70" s="108">
        <f>CE79-CE86</f>
        <v>3621.77077446187</v>
      </c>
      <c r="CF70" s="108">
        <f>CF79-CF86</f>
        <v>3656.53483606714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6"/>
        <v>0.599541446581177</v>
      </c>
      <c r="CY70" s="242">
        <f t="shared" si="46"/>
        <v>0.630120917651429</v>
      </c>
      <c r="CZ70" s="242">
        <f t="shared" si="46"/>
        <v>0.578225754818391</v>
      </c>
      <c r="DA70" s="242">
        <f t="shared" si="46"/>
        <v>0.597868787697711</v>
      </c>
      <c r="DB70" s="242">
        <f t="shared" si="46"/>
        <v>0.60113858784244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0.0526</v>
      </c>
      <c r="Z71" s="283">
        <f>DX37</f>
        <v>0.0526</v>
      </c>
      <c r="AA71" s="283">
        <f>EB37</f>
        <v>0</v>
      </c>
      <c r="AB71" s="283">
        <f>EF37</f>
        <v>0</v>
      </c>
      <c r="AE71" s="11" t="s">
        <v>56</v>
      </c>
      <c r="AF71" s="131">
        <f>第九期!DV7</f>
        <v>80</v>
      </c>
      <c r="AG71" s="131">
        <f>第九期!DV11</f>
        <v>70</v>
      </c>
      <c r="AH71" s="131">
        <f>第九期!DV15</f>
        <v>74</v>
      </c>
      <c r="AI71" s="131">
        <f>第九期!DV19</f>
        <v>81</v>
      </c>
      <c r="AJ71" s="126">
        <f>AF71-Y58+AF58</f>
        <v>-45</v>
      </c>
      <c r="AK71" s="126">
        <f t="shared" si="47"/>
        <v>77</v>
      </c>
      <c r="AL71" s="126">
        <f t="shared" si="47"/>
        <v>74</v>
      </c>
      <c r="AM71" s="126">
        <f t="shared" si="47"/>
        <v>81</v>
      </c>
      <c r="AR71" s="190">
        <v>15</v>
      </c>
      <c r="AS71" s="191">
        <f t="shared" si="41"/>
        <v>1.92592994438724e-34</v>
      </c>
      <c r="AT71" s="191">
        <f t="shared" si="42"/>
        <v>1.92592994438724e-34</v>
      </c>
      <c r="AU71" s="191">
        <f t="shared" si="42"/>
        <v>1.92592994438724e-34</v>
      </c>
      <c r="AV71" s="191">
        <f t="shared" si="42"/>
        <v>1.92592994438724e-34</v>
      </c>
      <c r="AW71" s="191">
        <f t="shared" si="42"/>
        <v>1.92592994438724e-34</v>
      </c>
      <c r="AX71" s="191">
        <f t="shared" si="42"/>
        <v>1.92592994438724e-34</v>
      </c>
      <c r="AY71" s="191">
        <f t="shared" si="42"/>
        <v>1.92592994438724e-34</v>
      </c>
      <c r="AZ71" s="191">
        <f t="shared" si="42"/>
        <v>1.92592994438724e-34</v>
      </c>
      <c r="BA71" s="191">
        <f t="shared" si="42"/>
        <v>0</v>
      </c>
      <c r="BB71" s="191">
        <f t="shared" si="42"/>
        <v>0</v>
      </c>
      <c r="BC71" s="191">
        <f t="shared" si="42"/>
        <v>0</v>
      </c>
      <c r="BD71" s="191">
        <f t="shared" si="42"/>
        <v>0</v>
      </c>
      <c r="BE71" s="191">
        <f t="shared" si="42"/>
        <v>0</v>
      </c>
      <c r="BF71" s="191">
        <f t="shared" si="42"/>
        <v>0</v>
      </c>
      <c r="BG71" s="191">
        <f t="shared" si="42"/>
        <v>0</v>
      </c>
      <c r="BH71" s="191">
        <f t="shared" si="42"/>
        <v>0</v>
      </c>
      <c r="BR71" s="209" t="s">
        <v>345</v>
      </c>
      <c r="BS71" s="130">
        <f>(第九期!Z13*比赛参数!E65*260+第九期!AA13*(比赛参数!F65-比赛参数!D65)*520+第九期!AB13*比赛参数!G65*260)*第九期!AH18</f>
        <v>316240</v>
      </c>
      <c r="BT71" s="130"/>
      <c r="BU71" s="130">
        <f t="shared" ref="BU71:BU76" si="48">BU70+BS71</f>
        <v>1722827.5</v>
      </c>
      <c r="BV71" s="130">
        <f>BV70-BS71</f>
        <v>4194675.12</v>
      </c>
      <c r="BW71" s="126"/>
      <c r="CB71" s="196" t="s">
        <v>305</v>
      </c>
      <c r="CC71" s="108">
        <f>CC70/比赛参数!D26</f>
        <v>32.8751235584843</v>
      </c>
      <c r="CD71" s="108">
        <f>CD70/比赛参数!E26</f>
        <v>12.7776782732156</v>
      </c>
      <c r="CE71" s="108">
        <f>CE70/比赛参数!F26</f>
        <v>9.53097572226809</v>
      </c>
      <c r="CF71" s="108">
        <f>CF70/比赛参数!G26</f>
        <v>7.03179776166758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6"/>
        <v>0.441654380647074</v>
      </c>
      <c r="CY71" s="242">
        <f t="shared" si="46"/>
        <v>0.466271445461787</v>
      </c>
      <c r="CZ71" s="242">
        <f t="shared" si="46"/>
        <v>0.424210085548818</v>
      </c>
      <c r="DA71" s="242">
        <f t="shared" si="46"/>
        <v>0.433505987927756</v>
      </c>
      <c r="DB71" s="242">
        <f t="shared" si="46"/>
        <v>0.44113948517173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0.0526</v>
      </c>
      <c r="Z72" s="283">
        <f>DY37</f>
        <v>0.0526</v>
      </c>
      <c r="AA72" s="283">
        <f>EC37</f>
        <v>0</v>
      </c>
      <c r="AB72" s="283">
        <f>EG37</f>
        <v>0</v>
      </c>
      <c r="AE72" s="11" t="s">
        <v>57</v>
      </c>
      <c r="AF72" s="131">
        <f>第九期!DV8</f>
        <v>115</v>
      </c>
      <c r="AG72" s="131">
        <f>第九期!DV12</f>
        <v>103</v>
      </c>
      <c r="AH72" s="131">
        <f>第九期!DV16</f>
        <v>67</v>
      </c>
      <c r="AI72" s="131">
        <f>第九期!DV20</f>
        <v>80</v>
      </c>
      <c r="AJ72" s="126">
        <f>AF72-Y59+AF59</f>
        <v>-35</v>
      </c>
      <c r="AK72" s="126">
        <f t="shared" si="47"/>
        <v>112</v>
      </c>
      <c r="AL72" s="126">
        <f t="shared" si="47"/>
        <v>67</v>
      </c>
      <c r="AM72" s="126">
        <f t="shared" si="47"/>
        <v>80</v>
      </c>
      <c r="AR72" s="190">
        <v>16</v>
      </c>
      <c r="AS72" s="191">
        <f t="shared" si="41"/>
        <v>1.92592994438724e-34</v>
      </c>
      <c r="AT72" s="191">
        <f t="shared" si="42"/>
        <v>1.92592994438724e-34</v>
      </c>
      <c r="AU72" s="191">
        <f t="shared" si="42"/>
        <v>1.92592994438724e-34</v>
      </c>
      <c r="AV72" s="191">
        <f t="shared" si="42"/>
        <v>1.92592994438724e-34</v>
      </c>
      <c r="AW72" s="191">
        <f t="shared" si="42"/>
        <v>1.92592994438724e-34</v>
      </c>
      <c r="AX72" s="191">
        <f t="shared" si="42"/>
        <v>1.92592994438724e-34</v>
      </c>
      <c r="AY72" s="191">
        <f t="shared" si="42"/>
        <v>1.92592994438724e-34</v>
      </c>
      <c r="AZ72" s="191">
        <f t="shared" si="42"/>
        <v>1.92592994438724e-34</v>
      </c>
      <c r="BA72" s="191">
        <f t="shared" si="42"/>
        <v>0</v>
      </c>
      <c r="BB72" s="191">
        <f t="shared" si="42"/>
        <v>0</v>
      </c>
      <c r="BC72" s="191">
        <f t="shared" si="42"/>
        <v>0</v>
      </c>
      <c r="BD72" s="191">
        <f t="shared" si="42"/>
        <v>0</v>
      </c>
      <c r="BE72" s="191">
        <f t="shared" si="42"/>
        <v>0</v>
      </c>
      <c r="BF72" s="191">
        <f t="shared" si="42"/>
        <v>0</v>
      </c>
      <c r="BG72" s="191">
        <f t="shared" si="42"/>
        <v>0</v>
      </c>
      <c r="BH72" s="191">
        <f t="shared" si="42"/>
        <v>0</v>
      </c>
      <c r="BR72" s="209" t="s">
        <v>77</v>
      </c>
      <c r="BS72" s="130">
        <f>第九期!DM60</f>
        <v>94000</v>
      </c>
      <c r="BT72" s="130"/>
      <c r="BU72" s="130">
        <f t="shared" si="48"/>
        <v>1816827.5</v>
      </c>
      <c r="BV72" s="130">
        <f>BV71-BS72</f>
        <v>4100675.12</v>
      </c>
      <c r="BW72" s="126"/>
      <c r="CB72" s="196" t="s">
        <v>307</v>
      </c>
      <c r="CC72" s="108">
        <f>IF(CC79&gt;0,CC70/CC79,0)</f>
        <v>1</v>
      </c>
      <c r="CD72" s="108">
        <f>IF(CD79&gt;0,CD70/CD79,0)</f>
        <v>0.443172998959144</v>
      </c>
      <c r="CE72" s="108">
        <f>IF(CE79&gt;0,CE70/CE79,0)</f>
        <v>0.374525565287178</v>
      </c>
      <c r="CF72" s="108">
        <f>IF(CF79&gt;0,CF70/CF79,0)</f>
        <v>0.305080285070869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>
        <v>0.0526</v>
      </c>
      <c r="E73" s="19">
        <v>0.0526</v>
      </c>
      <c r="F73" s="19">
        <v>0.0526</v>
      </c>
      <c r="G73" s="19">
        <v>0.0526</v>
      </c>
      <c r="H73" s="19">
        <v>0.0526</v>
      </c>
      <c r="I73" s="19">
        <v>0.0526</v>
      </c>
      <c r="J73" s="19">
        <v>0.0526</v>
      </c>
      <c r="K73" s="19">
        <v>0.0526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0"/>
      <c r="X73" s="11" t="s">
        <v>58</v>
      </c>
      <c r="Y73" s="283">
        <f>DV37</f>
        <v>0.0526</v>
      </c>
      <c r="Z73" s="283">
        <f>DZ37</f>
        <v>0.0526</v>
      </c>
      <c r="AA73" s="283">
        <f>ED37</f>
        <v>0</v>
      </c>
      <c r="AB73" s="283">
        <f>EH37</f>
        <v>0</v>
      </c>
      <c r="AE73" s="11" t="s">
        <v>58</v>
      </c>
      <c r="AF73" s="131">
        <f>第九期!DV9</f>
        <v>123</v>
      </c>
      <c r="AG73" s="131">
        <f>第九期!DV13</f>
        <v>106</v>
      </c>
      <c r="AH73" s="131">
        <f>第九期!DV17</f>
        <v>80</v>
      </c>
      <c r="AI73" s="131">
        <f>第九期!DV21</f>
        <v>93</v>
      </c>
      <c r="AJ73" s="126">
        <f>AF73-Y60+AF60</f>
        <v>39</v>
      </c>
      <c r="AK73" s="126">
        <f t="shared" si="47"/>
        <v>119</v>
      </c>
      <c r="AL73" s="126">
        <f t="shared" si="47"/>
        <v>80</v>
      </c>
      <c r="AM73" s="126">
        <f t="shared" si="47"/>
        <v>93</v>
      </c>
      <c r="AR73" s="190">
        <v>17</v>
      </c>
      <c r="AS73" s="191">
        <f t="shared" si="41"/>
        <v>1.92592994438724e-34</v>
      </c>
      <c r="AT73" s="191">
        <f t="shared" ref="AT73:BH73" si="49">IF(AT49="","",(AT49-AT$54)^2)</f>
        <v>1.92592994438724e-34</v>
      </c>
      <c r="AU73" s="191">
        <f t="shared" si="49"/>
        <v>1.92592994438724e-34</v>
      </c>
      <c r="AV73" s="191">
        <f t="shared" si="49"/>
        <v>1.92592994438724e-34</v>
      </c>
      <c r="AW73" s="191">
        <f t="shared" si="49"/>
        <v>1.92592994438724e-34</v>
      </c>
      <c r="AX73" s="191">
        <f t="shared" si="49"/>
        <v>1.92592994438724e-34</v>
      </c>
      <c r="AY73" s="191">
        <f t="shared" si="49"/>
        <v>1.92592994438724e-34</v>
      </c>
      <c r="AZ73" s="191">
        <f t="shared" si="49"/>
        <v>1.92592994438724e-34</v>
      </c>
      <c r="BA73" s="191">
        <f t="shared" si="49"/>
        <v>0</v>
      </c>
      <c r="BB73" s="191">
        <f t="shared" si="49"/>
        <v>0</v>
      </c>
      <c r="BC73" s="191">
        <f t="shared" si="49"/>
        <v>0</v>
      </c>
      <c r="BD73" s="191">
        <f t="shared" si="49"/>
        <v>0</v>
      </c>
      <c r="BE73" s="191">
        <f t="shared" si="49"/>
        <v>0</v>
      </c>
      <c r="BF73" s="191">
        <f t="shared" si="49"/>
        <v>0</v>
      </c>
      <c r="BG73" s="191">
        <f t="shared" si="49"/>
        <v>0</v>
      </c>
      <c r="BH73" s="191">
        <f t="shared" si="49"/>
        <v>0</v>
      </c>
      <c r="BR73" s="209" t="s">
        <v>346</v>
      </c>
      <c r="BS73" s="130">
        <f>第九期!AC21</f>
        <v>1099800</v>
      </c>
      <c r="BT73" s="130"/>
      <c r="BU73" s="130">
        <f t="shared" si="48"/>
        <v>2916627.5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>
        <v>0.0526</v>
      </c>
      <c r="E74" s="19">
        <v>0.0526</v>
      </c>
      <c r="F74" s="19">
        <v>0.0526</v>
      </c>
      <c r="G74" s="19">
        <v>0.0526</v>
      </c>
      <c r="H74" s="19">
        <v>0.0526</v>
      </c>
      <c r="I74" s="19">
        <v>0.0526</v>
      </c>
      <c r="J74" s="19">
        <v>0.0526</v>
      </c>
      <c r="K74" s="19">
        <v>0.0526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0"/>
      <c r="AE74" s="48"/>
      <c r="AF74" s="2">
        <f>AVERAGE(AF70:AF73)</f>
        <v>99.25</v>
      </c>
      <c r="AG74" s="2">
        <f>AVERAGE(AG70:AG73)</f>
        <v>87</v>
      </c>
      <c r="AH74" s="2">
        <f>AVERAGE(AH70:AH73)</f>
        <v>73.75</v>
      </c>
      <c r="AI74" s="2">
        <f>AVERAGE(AI70:AI73)</f>
        <v>83.5</v>
      </c>
      <c r="AJ74" s="48"/>
      <c r="AL74" s="48"/>
      <c r="AR74" s="190">
        <v>18</v>
      </c>
      <c r="AS74" s="191">
        <f t="shared" ref="AS74:BH76" si="50">IF(AS50="","",(AS50-AS$54)^2)</f>
        <v>1.92592994438724e-34</v>
      </c>
      <c r="AT74" s="191">
        <f t="shared" si="50"/>
        <v>1.92592994438724e-34</v>
      </c>
      <c r="AU74" s="191">
        <f t="shared" si="50"/>
        <v>1.92592994438724e-34</v>
      </c>
      <c r="AV74" s="191">
        <f t="shared" si="50"/>
        <v>1.92592994438724e-34</v>
      </c>
      <c r="AW74" s="191">
        <f t="shared" si="50"/>
        <v>1.92592994438724e-34</v>
      </c>
      <c r="AX74" s="191">
        <f t="shared" si="50"/>
        <v>1.92592994438724e-34</v>
      </c>
      <c r="AY74" s="191">
        <f t="shared" si="50"/>
        <v>1.92592994438724e-34</v>
      </c>
      <c r="AZ74" s="191">
        <f t="shared" si="50"/>
        <v>1.92592994438724e-34</v>
      </c>
      <c r="BA74" s="191">
        <f t="shared" si="50"/>
        <v>0</v>
      </c>
      <c r="BB74" s="191">
        <f t="shared" si="50"/>
        <v>0</v>
      </c>
      <c r="BC74" s="191">
        <f t="shared" si="50"/>
        <v>0</v>
      </c>
      <c r="BD74" s="191">
        <f t="shared" si="50"/>
        <v>0</v>
      </c>
      <c r="BE74" s="191">
        <f t="shared" si="50"/>
        <v>0</v>
      </c>
      <c r="BF74" s="191">
        <f t="shared" si="50"/>
        <v>0</v>
      </c>
      <c r="BG74" s="191">
        <f t="shared" si="50"/>
        <v>0</v>
      </c>
      <c r="BH74" s="191">
        <f t="shared" si="50"/>
        <v>0</v>
      </c>
      <c r="BR74" s="209" t="s">
        <v>347</v>
      </c>
      <c r="BS74" s="130">
        <f>第九期!CG42</f>
        <v>519570</v>
      </c>
      <c r="BT74" s="130"/>
      <c r="BU74" s="130">
        <f t="shared" si="48"/>
        <v>3436197.5</v>
      </c>
      <c r="BV74" s="130">
        <f>BV72-BS74</f>
        <v>3581105.12</v>
      </c>
      <c r="BW74" s="126"/>
      <c r="CB74" s="219"/>
      <c r="CC74" s="219">
        <f t="shared" ref="CC74:CF77" si="51">AF64*AF76</f>
        <v>450450</v>
      </c>
      <c r="CD74" s="219">
        <f t="shared" si="51"/>
        <v>266000</v>
      </c>
      <c r="CE74" s="219">
        <f t="shared" si="51"/>
        <v>267400</v>
      </c>
      <c r="CF74" s="219">
        <f t="shared" si="51"/>
        <v>225150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>
        <v>0.0526</v>
      </c>
      <c r="E75" s="19">
        <v>0.0526</v>
      </c>
      <c r="F75" s="19">
        <v>0.0526</v>
      </c>
      <c r="G75" s="19">
        <v>0.0526</v>
      </c>
      <c r="H75" s="19">
        <v>0.0526</v>
      </c>
      <c r="I75" s="19">
        <v>0.0526</v>
      </c>
      <c r="J75" s="19">
        <v>0.0526</v>
      </c>
      <c r="K75" s="19">
        <v>0.0526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>
        <f t="shared" si="50"/>
        <v>1.92592994438724e-34</v>
      </c>
      <c r="AT75" s="191">
        <f t="shared" si="50"/>
        <v>1.92592994438724e-34</v>
      </c>
      <c r="AU75" s="191">
        <f t="shared" si="50"/>
        <v>1.92592994438724e-34</v>
      </c>
      <c r="AV75" s="191">
        <f t="shared" si="50"/>
        <v>1.92592994438724e-34</v>
      </c>
      <c r="AW75" s="191">
        <f t="shared" si="50"/>
        <v>1.92592994438724e-34</v>
      </c>
      <c r="AX75" s="191">
        <f t="shared" si="50"/>
        <v>1.92592994438724e-34</v>
      </c>
      <c r="AY75" s="191">
        <f t="shared" si="50"/>
        <v>1.92592994438724e-34</v>
      </c>
      <c r="AZ75" s="191">
        <f t="shared" si="50"/>
        <v>1.92592994438724e-34</v>
      </c>
      <c r="BA75" s="191">
        <f t="shared" si="50"/>
        <v>0</v>
      </c>
      <c r="BB75" s="191">
        <f t="shared" si="50"/>
        <v>0</v>
      </c>
      <c r="BC75" s="191">
        <f t="shared" si="50"/>
        <v>0</v>
      </c>
      <c r="BD75" s="191">
        <f t="shared" si="50"/>
        <v>0</v>
      </c>
      <c r="BE75" s="191">
        <f t="shared" si="50"/>
        <v>0</v>
      </c>
      <c r="BF75" s="191">
        <f t="shared" si="50"/>
        <v>0</v>
      </c>
      <c r="BG75" s="191">
        <f t="shared" si="50"/>
        <v>0</v>
      </c>
      <c r="BH75" s="191">
        <f t="shared" si="50"/>
        <v>0</v>
      </c>
      <c r="BR75" s="209" t="s">
        <v>351</v>
      </c>
      <c r="BS75" s="130">
        <f>SUM(第九期!AF80:AI80)</f>
        <v>196500</v>
      </c>
      <c r="BT75" s="130"/>
      <c r="BU75" s="130">
        <f t="shared" si="48"/>
        <v>3632697.5</v>
      </c>
      <c r="BV75" s="130">
        <f>BV74-BS75</f>
        <v>3384605.12</v>
      </c>
      <c r="BW75" s="126"/>
      <c r="CB75" s="219"/>
      <c r="CC75" s="219">
        <f t="shared" si="51"/>
        <v>453600</v>
      </c>
      <c r="CD75" s="219">
        <f t="shared" si="51"/>
        <v>259000</v>
      </c>
      <c r="CE75" s="219">
        <f t="shared" si="51"/>
        <v>267400</v>
      </c>
      <c r="CF75" s="219">
        <f t="shared" si="51"/>
        <v>225150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>
        <v>0.0526</v>
      </c>
      <c r="E76" s="19">
        <v>0.0526</v>
      </c>
      <c r="F76" s="19">
        <v>0.0526</v>
      </c>
      <c r="G76" s="19">
        <v>0.0526</v>
      </c>
      <c r="H76" s="19">
        <v>0.0526</v>
      </c>
      <c r="I76" s="19">
        <v>0.0526</v>
      </c>
      <c r="J76" s="19">
        <v>0.0526</v>
      </c>
      <c r="K76" s="19">
        <v>0.0526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0"/>
      <c r="X76" s="64" t="s">
        <v>55</v>
      </c>
      <c r="Y76" s="283">
        <f>AB130/Y232</f>
        <v>0.0952063914780293</v>
      </c>
      <c r="Z76" s="283">
        <f>AL130/AC232</f>
        <v>0.0350553505535055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>
        <v>3150</v>
      </c>
      <c r="AG76" s="101">
        <v>7000</v>
      </c>
      <c r="AH76" s="101">
        <v>9550</v>
      </c>
      <c r="AI76" s="101">
        <v>11850</v>
      </c>
      <c r="AJ76" s="300">
        <v>41050</v>
      </c>
      <c r="AK76" s="301">
        <f>AJ76/SUM(AF64:AI64)</f>
        <v>180.043859649123</v>
      </c>
      <c r="AL76" s="114">
        <f>AJ76/SUMPRODUCT(AF76:AI76,AF64:AI64)</f>
        <v>0.0339536807278743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50"/>
        <v/>
      </c>
      <c r="AT76" s="191" t="str">
        <f t="shared" si="50"/>
        <v/>
      </c>
      <c r="AU76" s="191" t="str">
        <f t="shared" si="50"/>
        <v/>
      </c>
      <c r="AV76" s="191" t="str">
        <f t="shared" si="50"/>
        <v/>
      </c>
      <c r="AW76" s="191" t="str">
        <f t="shared" si="50"/>
        <v/>
      </c>
      <c r="AX76" s="191" t="str">
        <f t="shared" si="50"/>
        <v/>
      </c>
      <c r="AY76" s="191" t="str">
        <f t="shared" si="50"/>
        <v/>
      </c>
      <c r="AZ76" s="191" t="str">
        <f t="shared" si="50"/>
        <v/>
      </c>
      <c r="BA76" s="191" t="str">
        <f t="shared" si="50"/>
        <v/>
      </c>
      <c r="BB76" s="191" t="str">
        <f t="shared" si="50"/>
        <v/>
      </c>
      <c r="BC76" s="191" t="str">
        <f t="shared" si="50"/>
        <v/>
      </c>
      <c r="BD76" s="191" t="str">
        <f t="shared" si="50"/>
        <v/>
      </c>
      <c r="BE76" s="191" t="str">
        <f t="shared" si="50"/>
        <v/>
      </c>
      <c r="BF76" s="191" t="str">
        <f t="shared" si="50"/>
        <v/>
      </c>
      <c r="BG76" s="191" t="str">
        <f t="shared" si="50"/>
        <v/>
      </c>
      <c r="BH76" s="191" t="str">
        <f t="shared" si="50"/>
        <v/>
      </c>
      <c r="BR76" s="326" t="s">
        <v>352</v>
      </c>
      <c r="BS76" s="327">
        <f>SUM(第九期!AJ76:AJ79)</f>
        <v>196450</v>
      </c>
      <c r="BT76" s="327"/>
      <c r="BU76" s="327">
        <f t="shared" si="48"/>
        <v>3829147.5</v>
      </c>
      <c r="BV76" s="327">
        <f>BV75-BS76</f>
        <v>3188155.12</v>
      </c>
      <c r="BW76" s="331" t="str">
        <f>IF(BV76&gt;=0,"YES","NO")</f>
        <v>YES</v>
      </c>
      <c r="CB76" s="219"/>
      <c r="CC76" s="219">
        <f t="shared" si="51"/>
        <v>605020</v>
      </c>
      <c r="CD76" s="219">
        <f t="shared" si="51"/>
        <v>416100</v>
      </c>
      <c r="CE76" s="219">
        <f t="shared" si="51"/>
        <v>386000</v>
      </c>
      <c r="CF76" s="219">
        <f t="shared" si="51"/>
        <v>312000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>
        <v>0.0526</v>
      </c>
      <c r="E77" s="19">
        <v>0.0526</v>
      </c>
      <c r="F77" s="19">
        <v>0.0526</v>
      </c>
      <c r="G77" s="19">
        <v>0.0526</v>
      </c>
      <c r="H77" s="19">
        <v>0.0526</v>
      </c>
      <c r="I77" s="19">
        <v>0.0526</v>
      </c>
      <c r="J77" s="19">
        <v>0.0526</v>
      </c>
      <c r="K77" s="19">
        <v>0.0526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0"/>
      <c r="X77" s="11" t="s">
        <v>56</v>
      </c>
      <c r="Y77" s="283">
        <f>AC130/Z232</f>
        <v>0.0946745562130177</v>
      </c>
      <c r="Z77" s="283">
        <f>AM130/AD232</f>
        <v>0.0341328413284133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>
        <v>3150</v>
      </c>
      <c r="AG77" s="101">
        <v>7000</v>
      </c>
      <c r="AH77" s="101">
        <v>9550</v>
      </c>
      <c r="AI77" s="101">
        <v>11850</v>
      </c>
      <c r="AJ77" s="300">
        <v>40940</v>
      </c>
      <c r="AK77" s="301">
        <f>AJ77/SUM(AF65:AI65)</f>
        <v>179.561403508772</v>
      </c>
      <c r="AL77" s="114">
        <f>AJ77/SUMPRODUCT(AF77:AI77,AF65:AI65)</f>
        <v>0.0339708749948139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第九期!CG53</f>
        <v>5992770</v>
      </c>
      <c r="BT77" s="328">
        <f>BT67+BS77</f>
        <v>5992770</v>
      </c>
      <c r="BU77" s="328"/>
      <c r="BV77" s="328">
        <f>BV76+BS77</f>
        <v>9180925.12</v>
      </c>
      <c r="BW77" s="126"/>
      <c r="CB77" s="219"/>
      <c r="CC77" s="219">
        <f t="shared" si="51"/>
        <v>486450</v>
      </c>
      <c r="CD77" s="219">
        <f t="shared" si="51"/>
        <v>399600</v>
      </c>
      <c r="CE77" s="219">
        <f t="shared" si="51"/>
        <v>413700</v>
      </c>
      <c r="CF77" s="219">
        <f t="shared" si="51"/>
        <v>352350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>
        <v>0.0526</v>
      </c>
      <c r="E78" s="19">
        <v>0.0526</v>
      </c>
      <c r="F78" s="19">
        <v>0.0526</v>
      </c>
      <c r="G78" s="19">
        <v>0.0526</v>
      </c>
      <c r="H78" s="19">
        <v>0.0526</v>
      </c>
      <c r="I78" s="19">
        <v>0.0526</v>
      </c>
      <c r="J78" s="19">
        <v>0.0526</v>
      </c>
      <c r="K78" s="19">
        <v>0.0526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0"/>
      <c r="X78" s="11" t="s">
        <v>57</v>
      </c>
      <c r="Y78" s="283">
        <f>AD130/AA232</f>
        <v>0.0818847209515096</v>
      </c>
      <c r="Z78" s="283">
        <f>AN130/AE232</f>
        <v>0.0399719495091164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>
        <v>3380</v>
      </c>
      <c r="AG78" s="101">
        <v>7300</v>
      </c>
      <c r="AH78" s="101">
        <v>9650</v>
      </c>
      <c r="AI78" s="101">
        <v>12000</v>
      </c>
      <c r="AJ78" s="300">
        <v>58370</v>
      </c>
      <c r="AK78" s="301">
        <f>AJ78/SUM(AF66:AI66)</f>
        <v>193.278145695364</v>
      </c>
      <c r="AL78" s="114">
        <f>AJ78/SUMPRODUCT(AF78:AI78,AF66:AI66)</f>
        <v>0.0339534180278282</v>
      </c>
      <c r="AM78" s="2">
        <v>8500</v>
      </c>
      <c r="AN78" s="2">
        <v>12300</v>
      </c>
      <c r="AO78" s="2">
        <v>14000</v>
      </c>
      <c r="AR78" s="65" t="s">
        <v>353</v>
      </c>
      <c r="AS78" s="307">
        <f>AVERAGE(AS57:AS76)^0.5</f>
        <v>1.38777878078145e-17</v>
      </c>
      <c r="AT78" s="307">
        <f t="shared" ref="AT78:BH78" si="52">AVERAGE(AT57:AT76)^0.5</f>
        <v>1.38777878078145e-17</v>
      </c>
      <c r="AU78" s="307">
        <f t="shared" si="52"/>
        <v>1.38777878078145e-17</v>
      </c>
      <c r="AV78" s="307">
        <f t="shared" si="52"/>
        <v>1.38777878078145e-17</v>
      </c>
      <c r="AW78" s="307">
        <f t="shared" si="52"/>
        <v>1.38777878078145e-17</v>
      </c>
      <c r="AX78" s="307">
        <f t="shared" si="52"/>
        <v>1.38777878078145e-17</v>
      </c>
      <c r="AY78" s="307">
        <f t="shared" si="52"/>
        <v>1.38777878078145e-17</v>
      </c>
      <c r="AZ78" s="307">
        <f t="shared" si="52"/>
        <v>1.38777878078145e-17</v>
      </c>
      <c r="BA78" s="307">
        <f t="shared" si="52"/>
        <v>0</v>
      </c>
      <c r="BB78" s="307">
        <f t="shared" si="52"/>
        <v>0</v>
      </c>
      <c r="BC78" s="307">
        <f t="shared" si="52"/>
        <v>0</v>
      </c>
      <c r="BD78" s="307">
        <f t="shared" si="52"/>
        <v>0</v>
      </c>
      <c r="BE78" s="307">
        <f t="shared" si="52"/>
        <v>0</v>
      </c>
      <c r="BF78" s="307">
        <f t="shared" si="52"/>
        <v>0</v>
      </c>
      <c r="BG78" s="307">
        <f t="shared" si="52"/>
        <v>0</v>
      </c>
      <c r="BH78" s="307">
        <f t="shared" si="52"/>
        <v>0</v>
      </c>
      <c r="BR78" s="209" t="s">
        <v>259</v>
      </c>
      <c r="BS78" s="130">
        <f>第九期!CN53</f>
        <v>77972</v>
      </c>
      <c r="BT78" s="130"/>
      <c r="BU78" s="130">
        <f>BU76+BS78</f>
        <v>3907119.5</v>
      </c>
      <c r="BV78" s="130">
        <f>BV77-BS78</f>
        <v>9102953.12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>
        <v>0.0526</v>
      </c>
      <c r="E79" s="19">
        <v>0.0526</v>
      </c>
      <c r="F79" s="19">
        <v>0.0526</v>
      </c>
      <c r="G79" s="19">
        <v>0.0526</v>
      </c>
      <c r="H79" s="19">
        <v>0.0526</v>
      </c>
      <c r="I79" s="19">
        <v>0.0526</v>
      </c>
      <c r="J79" s="19">
        <v>0.0526</v>
      </c>
      <c r="K79" s="19">
        <v>0.0526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0"/>
      <c r="X79" s="11" t="s">
        <v>58</v>
      </c>
      <c r="Y79" s="283">
        <f>AE130/AB232</f>
        <v>0.0603079555175364</v>
      </c>
      <c r="Z79" s="283">
        <f>AO130/AF232</f>
        <v>0.0389048991354467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>
        <v>3450</v>
      </c>
      <c r="AG79" s="101">
        <v>7400</v>
      </c>
      <c r="AH79" s="101">
        <v>9850</v>
      </c>
      <c r="AI79" s="101">
        <v>12150</v>
      </c>
      <c r="AJ79" s="300">
        <v>56090</v>
      </c>
      <c r="AK79" s="301">
        <f>AJ79/SUM(AF67:AI67)</f>
        <v>210.864661654135</v>
      </c>
      <c r="AL79" s="114">
        <f>AJ79/SUMPRODUCT(AF79:AI79,AF67:AI67)</f>
        <v>0.0339507293747352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第九期!K9*比赛参数!D30*比赛参数!F30</f>
        <v>600000</v>
      </c>
      <c r="BT79" s="130"/>
      <c r="BU79" s="130">
        <f>BU78+BS79</f>
        <v>4507119.5</v>
      </c>
      <c r="BV79" s="130"/>
      <c r="BW79" s="126"/>
      <c r="CB79" s="196" t="s">
        <v>355</v>
      </c>
      <c r="CC79" s="108">
        <f>IF(SUM(AF64:AF67)&gt;0,SUM(CC74:CC77)/SUM(AF64:AF67),0)</f>
        <v>3287.51235584843</v>
      </c>
      <c r="CD79" s="108">
        <f>IF(SUM(AG64:AG67)&gt;0,SUM(CD74:CD77)/SUM(AG64:AG67),0)</f>
        <v>7208.06451612903</v>
      </c>
      <c r="CE79" s="108">
        <f>IF(SUM(AH64:AH67)&gt;0,SUM(CE74:CE77)/SUM(AH64:AH67),0)</f>
        <v>9670.28985507246</v>
      </c>
      <c r="CF79" s="108">
        <f>IF(SUM(AI64:AI67)&gt;0,SUM(CF74:CF77)/SUM(AI64:AI67),0)</f>
        <v>11985.4838709677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>
        <v>0.0526</v>
      </c>
      <c r="E80" s="19">
        <v>0.0526</v>
      </c>
      <c r="F80" s="19">
        <v>0.0526</v>
      </c>
      <c r="G80" s="19">
        <v>0.0526</v>
      </c>
      <c r="H80" s="19">
        <v>0.0526</v>
      </c>
      <c r="I80" s="19">
        <v>0.0526</v>
      </c>
      <c r="J80" s="19">
        <v>0.0526</v>
      </c>
      <c r="K80" s="19">
        <v>0.0526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0"/>
      <c r="AC80" s="48"/>
      <c r="AE80" s="42" t="s">
        <v>165</v>
      </c>
      <c r="AF80" s="284">
        <v>67760</v>
      </c>
      <c r="AG80" s="284">
        <v>45520</v>
      </c>
      <c r="AH80" s="284">
        <v>45360</v>
      </c>
      <c r="AI80" s="284">
        <v>37860</v>
      </c>
      <c r="AJ80" s="42" t="s">
        <v>357</v>
      </c>
      <c r="AK80" s="302">
        <f>BS75/BS77</f>
        <v>0.0327895113611902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第九期!CG65</f>
        <v>831684.615384615</v>
      </c>
      <c r="BT80" s="130"/>
      <c r="BU80" s="130">
        <f>BU79+BS80</f>
        <v>5338804.11538462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第九期!Y9*第九期!CQ56</f>
        <v>0</v>
      </c>
      <c r="CR80" s="65">
        <f>第九期!Z9*第九期!CR56</f>
        <v>0</v>
      </c>
      <c r="CS80" s="65">
        <f>第九期!AA9*第九期!CS56</f>
        <v>0</v>
      </c>
      <c r="CT80" s="65">
        <f>第九期!AB9*第九期!CT56</f>
        <v>0</v>
      </c>
      <c r="CU80" s="65">
        <f>SUM(CQ80:CT80)</f>
        <v>0</v>
      </c>
    </row>
    <row r="81" customHeight="1" spans="2:99">
      <c r="B81" s="7"/>
      <c r="C81" s="25">
        <v>9</v>
      </c>
      <c r="D81" s="19">
        <v>0.0526</v>
      </c>
      <c r="E81" s="19">
        <v>0.0526</v>
      </c>
      <c r="F81" s="19">
        <v>0.0526</v>
      </c>
      <c r="G81" s="19">
        <v>0.0526</v>
      </c>
      <c r="H81" s="19">
        <v>0.0526</v>
      </c>
      <c r="I81" s="19">
        <v>0.0526</v>
      </c>
      <c r="J81" s="19">
        <v>0.0526</v>
      </c>
      <c r="K81" s="19">
        <v>0.0526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111.63097199341</v>
      </c>
      <c r="AG81" s="285">
        <f>IF(SUM(AG64:AG67)&gt;0,AG80/SUM(AG64:AG67),0)</f>
        <v>244.731182795699</v>
      </c>
      <c r="AH81" s="285">
        <f>IF(SUM(AH64:AH67)&gt;0,AH80/SUM(AH64:AH67),0)</f>
        <v>328.695652173913</v>
      </c>
      <c r="AI81" s="303">
        <f>IF(SUM(AI64:AI67)&gt;0,AI80/SUM(AI64:AI67),0)</f>
        <v>407.096774193548</v>
      </c>
      <c r="AJ81" s="42" t="s">
        <v>361</v>
      </c>
      <c r="AK81" s="302">
        <f>BS76/BS77</f>
        <v>0.0327811679740754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(第九期!K10+(第九期!AC18+第九期!K10-第九期!AC21))/2*比赛参数!D16</f>
        <v>7778.25</v>
      </c>
      <c r="BT81" s="130"/>
      <c r="BU81" s="130">
        <f>BU80+BS81</f>
        <v>5346582.36538462</v>
      </c>
      <c r="BV81" s="130">
        <f>BV78-BS81</f>
        <v>9095174.87</v>
      </c>
      <c r="BW81" s="126"/>
      <c r="CB81" s="219"/>
      <c r="CC81" s="219">
        <f t="shared" ref="CC81:CF84" si="53">CJ19*AF64</f>
        <v>0</v>
      </c>
      <c r="CD81" s="219">
        <f t="shared" si="53"/>
        <v>149585.766081871</v>
      </c>
      <c r="CE81" s="219">
        <f t="shared" si="53"/>
        <v>167172.911068691</v>
      </c>
      <c r="CF81" s="219">
        <f t="shared" si="53"/>
        <v>156174.741340531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第九期!Y10*第九期!CQ57</f>
        <v>54000</v>
      </c>
      <c r="CR81" s="65">
        <f>第九期!Z10*第九期!CR57</f>
        <v>0</v>
      </c>
      <c r="CS81" s="65">
        <f>第九期!AA10*第九期!CS57</f>
        <v>0</v>
      </c>
      <c r="CT81" s="65">
        <f>第九期!AB10*第九期!CT57</f>
        <v>0</v>
      </c>
      <c r="CU81" s="65">
        <f>SUM(CQ81:CT81)</f>
        <v>54000</v>
      </c>
    </row>
    <row r="82" ht="18.75" customHeight="1" spans="2:99">
      <c r="B82" s="7"/>
      <c r="C82" s="25">
        <v>10</v>
      </c>
      <c r="D82" s="19">
        <v>0.0526</v>
      </c>
      <c r="E82" s="19">
        <v>0.0526</v>
      </c>
      <c r="F82" s="19">
        <v>0.0526</v>
      </c>
      <c r="G82" s="19">
        <v>0.0526</v>
      </c>
      <c r="H82" s="19">
        <v>0.0526</v>
      </c>
      <c r="I82" s="19">
        <v>0.0526</v>
      </c>
      <c r="J82" s="19">
        <v>0.0526</v>
      </c>
      <c r="K82" s="19">
        <v>0.0526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0"/>
      <c r="X82" s="64" t="s">
        <v>55</v>
      </c>
      <c r="Y82" s="286">
        <f>(Y76-AS54)/AS78</f>
        <v>3070114060544870</v>
      </c>
      <c r="Z82" s="286">
        <f>(Z76-AW54)/AW78</f>
        <v>-1264225227353250</v>
      </c>
      <c r="AA82" s="286" t="e">
        <f>(AA76-BA54)/BA78</f>
        <v>#DIV/0!</v>
      </c>
      <c r="AB82" s="286" t="e">
        <f>(AB76-BE54)/BE78</f>
        <v>#DIV/0!</v>
      </c>
      <c r="AF82" s="48">
        <f>SUMPRODUCT(AF70:AF73,AF86:AF89)/SUM(AF70:AF73)</f>
        <v>3219.89924433249</v>
      </c>
      <c r="AG82" s="48">
        <f>SUMPRODUCT(AG70:AG73,AG86:AG89)/SUM(AG70:AG73)</f>
        <v>5920.11494252874</v>
      </c>
      <c r="AH82" s="48">
        <f>SUMPRODUCT(AH70:AH73,AH86:AH89)/SUM(AH70:AH73)</f>
        <v>7449.49152542373</v>
      </c>
      <c r="AI82" s="48">
        <f>SUMPRODUCT(AI70:AI73,AI86:AI89)/SUM(AI70:AI73)</f>
        <v>9455.38922155689</v>
      </c>
      <c r="AJ82" s="42" t="s">
        <v>100</v>
      </c>
      <c r="AK82" s="84">
        <f>AF14</f>
        <v>625007.634615384</v>
      </c>
      <c r="AR82" s="185">
        <v>1</v>
      </c>
      <c r="AS82" s="308">
        <f t="shared" ref="AS82:AS98" si="54">IF(AS33="","",(AS33-AS$54)/AS$78)</f>
        <v>1</v>
      </c>
      <c r="AT82" s="309">
        <f t="shared" ref="AT82:BH97" si="55">IF(AT33="","",(AT33-AT$54)/AT$78)</f>
        <v>1</v>
      </c>
      <c r="AU82" s="309">
        <f t="shared" si="55"/>
        <v>1</v>
      </c>
      <c r="AV82" s="310">
        <f t="shared" si="55"/>
        <v>1</v>
      </c>
      <c r="AW82" s="308">
        <f t="shared" si="55"/>
        <v>1</v>
      </c>
      <c r="AX82" s="309">
        <f t="shared" si="55"/>
        <v>1</v>
      </c>
      <c r="AY82" s="309">
        <f t="shared" si="55"/>
        <v>1</v>
      </c>
      <c r="AZ82" s="310">
        <f t="shared" si="55"/>
        <v>1</v>
      </c>
      <c r="BA82" s="308" t="e">
        <f t="shared" si="55"/>
        <v>#DIV/0!</v>
      </c>
      <c r="BB82" s="309" t="e">
        <f t="shared" si="55"/>
        <v>#DIV/0!</v>
      </c>
      <c r="BC82" s="309" t="e">
        <f t="shared" si="55"/>
        <v>#DIV/0!</v>
      </c>
      <c r="BD82" s="310" t="e">
        <f t="shared" si="55"/>
        <v>#DIV/0!</v>
      </c>
      <c r="BE82" s="308" t="e">
        <f t="shared" si="55"/>
        <v>#DIV/0!</v>
      </c>
      <c r="BF82" s="309" t="e">
        <f t="shared" si="55"/>
        <v>#DIV/0!</v>
      </c>
      <c r="BG82" s="309" t="e">
        <f t="shared" si="55"/>
        <v>#DIV/0!</v>
      </c>
      <c r="BH82" s="310" t="e">
        <f t="shared" si="55"/>
        <v>#DIV/0!</v>
      </c>
      <c r="BI82" s="319" t="e">
        <f>IF(AS82="","",AVERAGE(AS82:BH82))</f>
        <v>#DIV/0!</v>
      </c>
      <c r="BR82" s="209" t="s">
        <v>364</v>
      </c>
      <c r="BS82" s="130">
        <f>第九期!CG67</f>
        <v>21180</v>
      </c>
      <c r="BT82" s="130"/>
      <c r="BU82" s="91">
        <f>BU81+BS82</f>
        <v>5367762.36538462</v>
      </c>
      <c r="BV82" s="130">
        <f>BV81-BS82</f>
        <v>9073994.87</v>
      </c>
      <c r="BW82" s="126"/>
      <c r="CB82" s="219"/>
      <c r="CC82" s="219">
        <f t="shared" si="53"/>
        <v>0</v>
      </c>
      <c r="CD82" s="219">
        <f t="shared" si="53"/>
        <v>142541.298553401</v>
      </c>
      <c r="CE82" s="219">
        <f t="shared" si="53"/>
        <v>164036.911068691</v>
      </c>
      <c r="CF82" s="219">
        <f t="shared" si="53"/>
        <v>153552.741340531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第九期!Y11*第九期!CQ58</f>
        <v>23940</v>
      </c>
      <c r="CR82" s="65">
        <f>第九期!Z11*第九期!CR58</f>
        <v>0</v>
      </c>
      <c r="CS82" s="65">
        <f>第九期!AA11*第九期!CS58</f>
        <v>39520</v>
      </c>
      <c r="CT82" s="65">
        <f>第九期!AB11*第九期!CT58</f>
        <v>9880</v>
      </c>
      <c r="CU82" s="65">
        <f>SUM(CQ82:CT82)</f>
        <v>73340</v>
      </c>
    </row>
    <row r="83" ht="18.75" customHeight="1" spans="2:99">
      <c r="B83" s="7"/>
      <c r="C83" s="25">
        <v>11</v>
      </c>
      <c r="D83" s="19">
        <v>0.0526</v>
      </c>
      <c r="E83" s="19">
        <v>0.0526</v>
      </c>
      <c r="F83" s="19">
        <v>0.0526</v>
      </c>
      <c r="G83" s="19">
        <v>0.0526</v>
      </c>
      <c r="H83" s="19">
        <v>0.0526</v>
      </c>
      <c r="I83" s="19">
        <v>0.0526</v>
      </c>
      <c r="J83" s="19">
        <v>0.0526</v>
      </c>
      <c r="K83" s="19">
        <v>0.0526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0"/>
      <c r="X83" s="11" t="s">
        <v>56</v>
      </c>
      <c r="Y83" s="286">
        <f>(Y77-AT54)/AT78</f>
        <v>3031791290923610</v>
      </c>
      <c r="Z83" s="286">
        <f>(Z77-AX54)/AX78</f>
        <v>-1330699022591190</v>
      </c>
      <c r="AA83" s="286" t="e">
        <f>(AA77-BB54)/BB78</f>
        <v>#DIV/0!</v>
      </c>
      <c r="AB83" s="286" t="e">
        <f>(AB77-BF54)/BF78</f>
        <v>#DIV/0!</v>
      </c>
      <c r="AE83" s="42" t="s">
        <v>365</v>
      </c>
      <c r="AF83" s="285">
        <f>SUMPRODUCT(Y96:Y99,AF64:AF67)/SUM(AF64:AF67)</f>
        <v>32.8751235584843</v>
      </c>
      <c r="AG83" s="285">
        <f>SUMPRODUCT(Z96:Z99,AG64:AG67)/SUM(AG64:AG67)</f>
        <v>12.7776782732156</v>
      </c>
      <c r="AH83" s="285">
        <f>SUMPRODUCT(AA96:AA99,AH64:AH67)/SUM(AH64:AH67)</f>
        <v>9.53097572226809</v>
      </c>
      <c r="AI83" s="285">
        <f>SUMPRODUCT(AB96:AB99,AI64:AI67)/SUM(AI64:AI67)</f>
        <v>7.03179776166757</v>
      </c>
      <c r="AR83" s="185">
        <v>2</v>
      </c>
      <c r="AS83" s="308">
        <f t="shared" si="54"/>
        <v>1</v>
      </c>
      <c r="AT83" s="309">
        <f t="shared" si="55"/>
        <v>1</v>
      </c>
      <c r="AU83" s="309">
        <f t="shared" si="55"/>
        <v>1</v>
      </c>
      <c r="AV83" s="310">
        <f t="shared" si="55"/>
        <v>1</v>
      </c>
      <c r="AW83" s="308">
        <f t="shared" si="55"/>
        <v>1</v>
      </c>
      <c r="AX83" s="309">
        <f t="shared" si="55"/>
        <v>1</v>
      </c>
      <c r="AY83" s="309">
        <f t="shared" si="55"/>
        <v>1</v>
      </c>
      <c r="AZ83" s="310">
        <f t="shared" si="55"/>
        <v>1</v>
      </c>
      <c r="BA83" s="308" t="e">
        <f t="shared" si="55"/>
        <v>#DIV/0!</v>
      </c>
      <c r="BB83" s="309" t="e">
        <f t="shared" si="55"/>
        <v>#DIV/0!</v>
      </c>
      <c r="BC83" s="309" t="e">
        <f t="shared" si="55"/>
        <v>#DIV/0!</v>
      </c>
      <c r="BD83" s="310" t="e">
        <f t="shared" si="55"/>
        <v>#DIV/0!</v>
      </c>
      <c r="BE83" s="308" t="e">
        <f t="shared" si="55"/>
        <v>#DIV/0!</v>
      </c>
      <c r="BF83" s="309" t="e">
        <f t="shared" si="55"/>
        <v>#DIV/0!</v>
      </c>
      <c r="BG83" s="309" t="e">
        <f t="shared" si="55"/>
        <v>#DIV/0!</v>
      </c>
      <c r="BH83" s="310" t="e">
        <f t="shared" si="55"/>
        <v>#DIV/0!</v>
      </c>
      <c r="BI83" s="319" t="e">
        <f t="shared" ref="BI83:BI101" si="56">IF(AS83="","",AVERAGE(AS83:BH83))</f>
        <v>#DIV/0!</v>
      </c>
      <c r="BR83" s="209" t="s">
        <v>366</v>
      </c>
      <c r="BS83" s="130">
        <f>第九期!K13</f>
        <v>0</v>
      </c>
      <c r="BT83" s="130"/>
      <c r="BU83" s="130"/>
      <c r="BV83" s="130">
        <f>BV82+BS83</f>
        <v>9073994.87</v>
      </c>
      <c r="BW83" s="126"/>
      <c r="CB83" s="219"/>
      <c r="CC83" s="219">
        <f t="shared" si="53"/>
        <v>0</v>
      </c>
      <c r="CD83" s="219">
        <f t="shared" si="53"/>
        <v>231959.649122807</v>
      </c>
      <c r="CE83" s="219">
        <f t="shared" si="53"/>
        <v>244578.444383844</v>
      </c>
      <c r="CF83" s="219">
        <f t="shared" si="53"/>
        <v>219068.803939674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第九期!Y12*第九期!CQ59</f>
        <v>0</v>
      </c>
      <c r="CR83" s="65">
        <f>第九期!Z12*第九期!CR59</f>
        <v>0</v>
      </c>
      <c r="CS83" s="65">
        <f>第九期!AA12*第九期!CS59</f>
        <v>38480</v>
      </c>
      <c r="CT83" s="65">
        <f>第九期!AB12*第九期!CT59</f>
        <v>29120</v>
      </c>
      <c r="CU83" s="65">
        <f>SUM(CQ83:CT83)</f>
        <v>67600</v>
      </c>
    </row>
    <row r="84" ht="18.75" customHeight="1" spans="2:99">
      <c r="B84" s="7"/>
      <c r="C84" s="25">
        <v>12</v>
      </c>
      <c r="D84" s="19">
        <v>0.0526</v>
      </c>
      <c r="E84" s="19">
        <v>0.0526</v>
      </c>
      <c r="F84" s="19">
        <v>0.0526</v>
      </c>
      <c r="G84" s="19">
        <v>0.0526</v>
      </c>
      <c r="H84" s="19">
        <v>0.0526</v>
      </c>
      <c r="I84" s="19">
        <v>0.0526</v>
      </c>
      <c r="J84" s="19">
        <v>0.0526</v>
      </c>
      <c r="K84" s="19">
        <v>0.0526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0"/>
      <c r="X84" s="11" t="s">
        <v>57</v>
      </c>
      <c r="Y84" s="286">
        <f>(Y78-AU54)/AU78</f>
        <v>2110186533837880</v>
      </c>
      <c r="Z84" s="286">
        <f>(Z78-AY54)/AY78</f>
        <v>-909946935762545</v>
      </c>
      <c r="AA84" s="286" t="e">
        <f>(AA78-BC54)/BC78</f>
        <v>#DIV/0!</v>
      </c>
      <c r="AB84" s="286" t="e">
        <f>(AB78-BG54)/BG78</f>
        <v>#DIV/0!</v>
      </c>
      <c r="AF84" s="114">
        <f>AF80/SUMPRODUCT(AF76:AF79,AF64:AF67)</f>
        <v>0.0339560615779346</v>
      </c>
      <c r="AG84" s="114">
        <f>AG80/SUMPRODUCT(AG76:AG79,AG64:AG67)</f>
        <v>0.0339524129186246</v>
      </c>
      <c r="AH84" s="114">
        <f>AH80/SUMPRODUCT(AH76:AH79,AH64:AH67)</f>
        <v>0.0339902585237917</v>
      </c>
      <c r="AI84" s="114">
        <f>AI80/SUMPRODUCT(AI76:AI79,AI64:AI67)</f>
        <v>0.0339658188669089</v>
      </c>
      <c r="AJ84" s="48"/>
      <c r="AK84" s="2" t="s">
        <v>367</v>
      </c>
      <c r="AL84" s="48"/>
      <c r="AR84" s="185">
        <v>3</v>
      </c>
      <c r="AS84" s="308">
        <f t="shared" si="54"/>
        <v>1</v>
      </c>
      <c r="AT84" s="309">
        <f t="shared" si="55"/>
        <v>1</v>
      </c>
      <c r="AU84" s="309">
        <f t="shared" si="55"/>
        <v>1</v>
      </c>
      <c r="AV84" s="310">
        <f t="shared" si="55"/>
        <v>1</v>
      </c>
      <c r="AW84" s="308">
        <f t="shared" si="55"/>
        <v>1</v>
      </c>
      <c r="AX84" s="309">
        <f t="shared" si="55"/>
        <v>1</v>
      </c>
      <c r="AY84" s="309">
        <f t="shared" si="55"/>
        <v>1</v>
      </c>
      <c r="AZ84" s="310">
        <f t="shared" si="55"/>
        <v>1</v>
      </c>
      <c r="BA84" s="308" t="e">
        <f t="shared" si="55"/>
        <v>#DIV/0!</v>
      </c>
      <c r="BB84" s="309" t="e">
        <f t="shared" si="55"/>
        <v>#DIV/0!</v>
      </c>
      <c r="BC84" s="309" t="e">
        <f t="shared" si="55"/>
        <v>#DIV/0!</v>
      </c>
      <c r="BD84" s="310" t="e">
        <f t="shared" si="55"/>
        <v>#DIV/0!</v>
      </c>
      <c r="BE84" s="308" t="e">
        <f t="shared" si="55"/>
        <v>#DIV/0!</v>
      </c>
      <c r="BF84" s="309" t="e">
        <f t="shared" si="55"/>
        <v>#DIV/0!</v>
      </c>
      <c r="BG84" s="309" t="e">
        <f t="shared" si="55"/>
        <v>#DIV/0!</v>
      </c>
      <c r="BH84" s="310" t="e">
        <f t="shared" si="55"/>
        <v>#DIV/0!</v>
      </c>
      <c r="BI84" s="319" t="e">
        <f t="shared" si="56"/>
        <v>#DIV/0!</v>
      </c>
      <c r="BR84" s="209" t="s">
        <v>258</v>
      </c>
      <c r="BS84" s="130">
        <f>第九期!K13*比赛参数!D70/4</f>
        <v>0</v>
      </c>
      <c r="BT84" s="329">
        <f>BT77+BS84</f>
        <v>5992770</v>
      </c>
      <c r="BU84" s="130"/>
      <c r="BV84" s="130">
        <f>BV83+BS84</f>
        <v>9073994.87</v>
      </c>
      <c r="BW84" s="126"/>
      <c r="CB84" s="219"/>
      <c r="CC84" s="219">
        <f t="shared" si="53"/>
        <v>0</v>
      </c>
      <c r="CD84" s="219">
        <f t="shared" si="53"/>
        <v>222451.246537396</v>
      </c>
      <c r="CE84" s="219">
        <f t="shared" si="53"/>
        <v>258907.366603036</v>
      </c>
      <c r="CF84" s="219">
        <f t="shared" si="53"/>
        <v>245795.973625021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77940</v>
      </c>
      <c r="CR84" s="65">
        <f>SUM(CR80:CR83)</f>
        <v>0</v>
      </c>
      <c r="CS84" s="65">
        <f>SUM(CS80:CS83)</f>
        <v>78000</v>
      </c>
      <c r="CT84" s="65">
        <f>SUM(CT80:CT83)</f>
        <v>39000</v>
      </c>
      <c r="CU84" s="65">
        <f>SUM(CU80:CU83)</f>
        <v>194940</v>
      </c>
    </row>
    <row r="85" ht="18.75" customHeight="1" spans="2:99">
      <c r="B85" s="7"/>
      <c r="C85" s="25">
        <v>13</v>
      </c>
      <c r="D85" s="19">
        <v>0.0526</v>
      </c>
      <c r="E85" s="19">
        <v>0.0526</v>
      </c>
      <c r="F85" s="19">
        <v>0.0526</v>
      </c>
      <c r="G85" s="19">
        <v>0.0526</v>
      </c>
      <c r="H85" s="19">
        <v>0.0526</v>
      </c>
      <c r="I85" s="19">
        <v>0.0526</v>
      </c>
      <c r="J85" s="19">
        <v>0.0526</v>
      </c>
      <c r="K85" s="19">
        <v>0.0526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0"/>
      <c r="X85" s="11" t="s">
        <v>58</v>
      </c>
      <c r="Y85" s="286">
        <f>(Y79-AV54)/AV78</f>
        <v>555416729545042</v>
      </c>
      <c r="Z85" s="286">
        <f>(Z79-AZ54)/AZ78</f>
        <v>-986836018406457</v>
      </c>
      <c r="AA85" s="286" t="e">
        <f>(AA79-BD54)/BD78</f>
        <v>#DIV/0!</v>
      </c>
      <c r="AB85" s="286" t="e">
        <f>(AB79-BH54)/BH78</f>
        <v>#DIV/0!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>
        <f t="shared" si="54"/>
        <v>1</v>
      </c>
      <c r="AT85" s="309">
        <f t="shared" si="55"/>
        <v>1</v>
      </c>
      <c r="AU85" s="309">
        <f t="shared" si="55"/>
        <v>1</v>
      </c>
      <c r="AV85" s="310">
        <f t="shared" si="55"/>
        <v>1</v>
      </c>
      <c r="AW85" s="308">
        <f t="shared" si="55"/>
        <v>1</v>
      </c>
      <c r="AX85" s="309">
        <f t="shared" si="55"/>
        <v>1</v>
      </c>
      <c r="AY85" s="309">
        <f t="shared" si="55"/>
        <v>1</v>
      </c>
      <c r="AZ85" s="310">
        <f t="shared" si="55"/>
        <v>1</v>
      </c>
      <c r="BA85" s="308" t="e">
        <f t="shared" si="55"/>
        <v>#DIV/0!</v>
      </c>
      <c r="BB85" s="309" t="e">
        <f t="shared" si="55"/>
        <v>#DIV/0!</v>
      </c>
      <c r="BC85" s="309" t="e">
        <f t="shared" si="55"/>
        <v>#DIV/0!</v>
      </c>
      <c r="BD85" s="310" t="e">
        <f t="shared" si="55"/>
        <v>#DIV/0!</v>
      </c>
      <c r="BE85" s="308" t="e">
        <f t="shared" si="55"/>
        <v>#DIV/0!</v>
      </c>
      <c r="BF85" s="309" t="e">
        <f t="shared" si="55"/>
        <v>#DIV/0!</v>
      </c>
      <c r="BG85" s="309" t="e">
        <f t="shared" si="55"/>
        <v>#DIV/0!</v>
      </c>
      <c r="BH85" s="310" t="e">
        <f t="shared" si="55"/>
        <v>#DIV/0!</v>
      </c>
      <c r="BI85" s="319" t="e">
        <f t="shared" si="56"/>
        <v>#DIV/0!</v>
      </c>
      <c r="BR85" s="209" t="s">
        <v>370</v>
      </c>
      <c r="BS85" s="130">
        <f>第九期!AH14</f>
        <v>0</v>
      </c>
      <c r="BT85" s="130"/>
      <c r="BU85" s="130"/>
      <c r="BV85" s="130">
        <f t="shared" ref="BV85:BV90" si="57">BV84-BS85</f>
        <v>9073994.87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>
        <v>0.0526</v>
      </c>
      <c r="E86" s="19">
        <v>0.0526</v>
      </c>
      <c r="F86" s="19">
        <v>0.0526</v>
      </c>
      <c r="G86" s="19">
        <v>0.0526</v>
      </c>
      <c r="H86" s="19">
        <v>0.0526</v>
      </c>
      <c r="I86" s="19">
        <v>0.0526</v>
      </c>
      <c r="J86" s="19">
        <v>0.0526</v>
      </c>
      <c r="K86" s="19">
        <v>0.0526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0"/>
      <c r="Y86" s="2">
        <f>AVERAGE(Y82:Y85)</f>
        <v>2191877153712850</v>
      </c>
      <c r="Z86" s="2">
        <f>AVERAGE(Z82:Z85)</f>
        <v>-1122926801028360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第九期!DS33</f>
        <v>3100</v>
      </c>
      <c r="AG86" s="131">
        <f>第九期!DW33</f>
        <v>5800</v>
      </c>
      <c r="AH86" s="131">
        <f>第九期!EA33</f>
        <v>7300</v>
      </c>
      <c r="AI86" s="131">
        <f>第九期!EE33</f>
        <v>9300</v>
      </c>
      <c r="AJ86" s="64" t="s">
        <v>55</v>
      </c>
      <c r="AK86" s="108">
        <f t="shared" ref="AK86:AN89" si="58">AF76-AF86</f>
        <v>50</v>
      </c>
      <c r="AL86" s="108">
        <f t="shared" si="58"/>
        <v>1200</v>
      </c>
      <c r="AM86" s="108">
        <f t="shared" si="58"/>
        <v>2250</v>
      </c>
      <c r="AN86" s="108">
        <f t="shared" si="58"/>
        <v>2550</v>
      </c>
      <c r="AR86" s="185">
        <v>5</v>
      </c>
      <c r="AS86" s="308">
        <f t="shared" si="54"/>
        <v>1</v>
      </c>
      <c r="AT86" s="309">
        <f t="shared" si="55"/>
        <v>1</v>
      </c>
      <c r="AU86" s="309">
        <f t="shared" si="55"/>
        <v>1</v>
      </c>
      <c r="AV86" s="310">
        <f t="shared" si="55"/>
        <v>1</v>
      </c>
      <c r="AW86" s="308">
        <f t="shared" si="55"/>
        <v>1</v>
      </c>
      <c r="AX86" s="309">
        <f t="shared" si="55"/>
        <v>1</v>
      </c>
      <c r="AY86" s="309">
        <f t="shared" si="55"/>
        <v>1</v>
      </c>
      <c r="AZ86" s="310">
        <f t="shared" si="55"/>
        <v>1</v>
      </c>
      <c r="BA86" s="308" t="e">
        <f t="shared" si="55"/>
        <v>#DIV/0!</v>
      </c>
      <c r="BB86" s="309" t="e">
        <f t="shared" si="55"/>
        <v>#DIV/0!</v>
      </c>
      <c r="BC86" s="309" t="e">
        <f t="shared" si="55"/>
        <v>#DIV/0!</v>
      </c>
      <c r="BD86" s="310" t="e">
        <f t="shared" si="55"/>
        <v>#DIV/0!</v>
      </c>
      <c r="BE86" s="308" t="e">
        <f t="shared" si="55"/>
        <v>#DIV/0!</v>
      </c>
      <c r="BF86" s="309" t="e">
        <f t="shared" si="55"/>
        <v>#DIV/0!</v>
      </c>
      <c r="BG86" s="309" t="e">
        <f t="shared" si="55"/>
        <v>#DIV/0!</v>
      </c>
      <c r="BH86" s="310" t="e">
        <f t="shared" si="55"/>
        <v>#DIV/0!</v>
      </c>
      <c r="BI86" s="319" t="e">
        <f t="shared" si="56"/>
        <v>#DIV/0!</v>
      </c>
      <c r="BR86" s="209" t="s">
        <v>371</v>
      </c>
      <c r="BS86" s="130">
        <f>第九期!AH14*比赛参数!D69/4</f>
        <v>0</v>
      </c>
      <c r="BT86" s="130"/>
      <c r="BU86" s="329">
        <f>BU82+BS86</f>
        <v>5367762.36538462</v>
      </c>
      <c r="BV86" s="130">
        <f t="shared" si="57"/>
        <v>9073994.87</v>
      </c>
      <c r="BW86" s="126"/>
      <c r="CB86" s="196" t="s">
        <v>372</v>
      </c>
      <c r="CC86" s="108">
        <f>IF(SUM(AF64:AF67)&gt;0,SUM(CC81:CC84)/SUM(AF64:AF67),0)</f>
        <v>0</v>
      </c>
      <c r="CD86" s="108">
        <f>IF(SUM(AG64:AG67)&gt;0,SUM(CD81:CD84)/SUM(AG64:AG67),0)</f>
        <v>4013.64494782514</v>
      </c>
      <c r="CE86" s="108">
        <f>IF(SUM(AH64:AH67)&gt;0,SUM(CE81:CE84)/SUM(AH64:AH67),0)</f>
        <v>6048.51908061059</v>
      </c>
      <c r="CF86" s="108">
        <f>IF(SUM(AI64:AI67)&gt;0,SUM(CF81:CF84)/SUM(AI64:AI67),0)</f>
        <v>8328.9490349006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>
        <v>0.0526</v>
      </c>
      <c r="E87" s="19">
        <v>0.0526</v>
      </c>
      <c r="F87" s="19">
        <v>0.0526</v>
      </c>
      <c r="G87" s="19">
        <v>0.0526</v>
      </c>
      <c r="H87" s="19">
        <v>0.0526</v>
      </c>
      <c r="I87" s="19">
        <v>0.0526</v>
      </c>
      <c r="J87" s="19">
        <v>0.0526</v>
      </c>
      <c r="K87" s="19">
        <v>0.0526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第九期!DT33</f>
        <v>3100</v>
      </c>
      <c r="AG87" s="131">
        <f>第九期!DX33</f>
        <v>5800</v>
      </c>
      <c r="AH87" s="131">
        <f>第九期!EB33</f>
        <v>7300</v>
      </c>
      <c r="AI87" s="131">
        <f>第九期!EF33</f>
        <v>9300</v>
      </c>
      <c r="AJ87" s="11" t="s">
        <v>56</v>
      </c>
      <c r="AK87" s="108">
        <f t="shared" si="58"/>
        <v>50</v>
      </c>
      <c r="AL87" s="108">
        <f t="shared" si="58"/>
        <v>1200</v>
      </c>
      <c r="AM87" s="108">
        <f t="shared" si="58"/>
        <v>2250</v>
      </c>
      <c r="AN87" s="108">
        <f t="shared" si="58"/>
        <v>2550</v>
      </c>
      <c r="AR87" s="185">
        <v>6</v>
      </c>
      <c r="AS87" s="308">
        <f t="shared" si="54"/>
        <v>1</v>
      </c>
      <c r="AT87" s="309">
        <f t="shared" si="55"/>
        <v>1</v>
      </c>
      <c r="AU87" s="309">
        <f t="shared" si="55"/>
        <v>1</v>
      </c>
      <c r="AV87" s="310">
        <f t="shared" si="55"/>
        <v>1</v>
      </c>
      <c r="AW87" s="308">
        <f t="shared" si="55"/>
        <v>1</v>
      </c>
      <c r="AX87" s="309">
        <f t="shared" si="55"/>
        <v>1</v>
      </c>
      <c r="AY87" s="309">
        <f t="shared" si="55"/>
        <v>1</v>
      </c>
      <c r="AZ87" s="310">
        <f t="shared" si="55"/>
        <v>1</v>
      </c>
      <c r="BA87" s="308" t="e">
        <f t="shared" si="55"/>
        <v>#DIV/0!</v>
      </c>
      <c r="BB87" s="309" t="e">
        <f t="shared" si="55"/>
        <v>#DIV/0!</v>
      </c>
      <c r="BC87" s="309" t="e">
        <f t="shared" si="55"/>
        <v>#DIV/0!</v>
      </c>
      <c r="BD87" s="310" t="e">
        <f t="shared" si="55"/>
        <v>#DIV/0!</v>
      </c>
      <c r="BE87" s="308" t="e">
        <f t="shared" si="55"/>
        <v>#DIV/0!</v>
      </c>
      <c r="BF87" s="309" t="e">
        <f t="shared" si="55"/>
        <v>#DIV/0!</v>
      </c>
      <c r="BG87" s="309" t="e">
        <f t="shared" si="55"/>
        <v>#DIV/0!</v>
      </c>
      <c r="BH87" s="310" t="e">
        <f t="shared" si="55"/>
        <v>#DIV/0!</v>
      </c>
      <c r="BI87" s="319" t="e">
        <f t="shared" si="56"/>
        <v>#DIV/0!</v>
      </c>
      <c r="BR87" s="209" t="s">
        <v>376</v>
      </c>
      <c r="BS87" s="130">
        <f>IF(第九期!BW92&gt;0,IF((第九期!K15+第九期!BW92*比赛参数!D72)&gt;0,第九期!K15+第九期!BW92*比赛参数!D72,0))</f>
        <v>187502.290384615</v>
      </c>
      <c r="BT87" s="130"/>
      <c r="BU87" s="130"/>
      <c r="BV87" s="130">
        <f t="shared" si="57"/>
        <v>8886492.57961539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</v>
      </c>
    </row>
    <row r="88" ht="18.75" customHeight="1" spans="2:99">
      <c r="B88" s="7"/>
      <c r="C88" s="25">
        <v>16</v>
      </c>
      <c r="D88" s="19">
        <v>0.0526</v>
      </c>
      <c r="E88" s="19">
        <v>0.0526</v>
      </c>
      <c r="F88" s="19">
        <v>0.0526</v>
      </c>
      <c r="G88" s="19">
        <v>0.0526</v>
      </c>
      <c r="H88" s="19">
        <v>0.0526</v>
      </c>
      <c r="I88" s="19">
        <v>0.0526</v>
      </c>
      <c r="J88" s="19">
        <v>0.0526</v>
      </c>
      <c r="K88" s="19">
        <v>0.0526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0"/>
      <c r="X88" s="64" t="s">
        <v>55</v>
      </c>
      <c r="Y88" s="101">
        <v>10</v>
      </c>
      <c r="Z88" s="101">
        <v>46</v>
      </c>
      <c r="AA88" s="101">
        <v>29</v>
      </c>
      <c r="AB88" s="101">
        <v>20</v>
      </c>
      <c r="AC88" s="288" t="s">
        <v>377</v>
      </c>
      <c r="AE88" s="11" t="s">
        <v>57</v>
      </c>
      <c r="AF88" s="131">
        <f>第九期!DU33</f>
        <v>3300</v>
      </c>
      <c r="AG88" s="131">
        <f>第九期!DY33</f>
        <v>6000</v>
      </c>
      <c r="AH88" s="131">
        <f>第九期!EC33</f>
        <v>7600</v>
      </c>
      <c r="AI88" s="131">
        <f>第九期!EG33</f>
        <v>9600</v>
      </c>
      <c r="AJ88" s="11" t="s">
        <v>57</v>
      </c>
      <c r="AK88" s="108">
        <f t="shared" si="58"/>
        <v>80</v>
      </c>
      <c r="AL88" s="108">
        <f t="shared" si="58"/>
        <v>1300</v>
      </c>
      <c r="AM88" s="108">
        <f t="shared" si="58"/>
        <v>2050</v>
      </c>
      <c r="AN88" s="108">
        <f t="shared" si="58"/>
        <v>2400</v>
      </c>
      <c r="AR88" s="185">
        <v>7</v>
      </c>
      <c r="AS88" s="308">
        <f t="shared" si="54"/>
        <v>1</v>
      </c>
      <c r="AT88" s="309">
        <f t="shared" si="55"/>
        <v>1</v>
      </c>
      <c r="AU88" s="309">
        <f t="shared" si="55"/>
        <v>1</v>
      </c>
      <c r="AV88" s="310">
        <f t="shared" si="55"/>
        <v>1</v>
      </c>
      <c r="AW88" s="308">
        <f t="shared" si="55"/>
        <v>1</v>
      </c>
      <c r="AX88" s="309">
        <f t="shared" si="55"/>
        <v>1</v>
      </c>
      <c r="AY88" s="309">
        <f t="shared" si="55"/>
        <v>1</v>
      </c>
      <c r="AZ88" s="310">
        <f t="shared" si="55"/>
        <v>1</v>
      </c>
      <c r="BA88" s="308" t="e">
        <f t="shared" si="55"/>
        <v>#DIV/0!</v>
      </c>
      <c r="BB88" s="309" t="e">
        <f t="shared" si="55"/>
        <v>#DIV/0!</v>
      </c>
      <c r="BC88" s="309" t="e">
        <f t="shared" si="55"/>
        <v>#DIV/0!</v>
      </c>
      <c r="BD88" s="310" t="e">
        <f t="shared" si="55"/>
        <v>#DIV/0!</v>
      </c>
      <c r="BE88" s="308" t="e">
        <f t="shared" si="55"/>
        <v>#DIV/0!</v>
      </c>
      <c r="BF88" s="309" t="e">
        <f t="shared" si="55"/>
        <v>#DIV/0!</v>
      </c>
      <c r="BG88" s="309" t="e">
        <f t="shared" si="55"/>
        <v>#DIV/0!</v>
      </c>
      <c r="BH88" s="310" t="e">
        <f t="shared" si="55"/>
        <v>#DIV/0!</v>
      </c>
      <c r="BI88" s="319" t="e">
        <f t="shared" si="56"/>
        <v>#DIV/0!</v>
      </c>
      <c r="BR88" s="209" t="s">
        <v>282</v>
      </c>
      <c r="BS88" s="130">
        <f>第九期!AF18*比赛参数!D30</f>
        <v>5120000</v>
      </c>
      <c r="BT88" s="130"/>
      <c r="BU88" s="130"/>
      <c r="BV88" s="130">
        <f t="shared" si="57"/>
        <v>3766492.57961539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0.69284064665127</v>
      </c>
      <c r="CR88" s="65" t="e">
        <f>CR81/$CR$84</f>
        <v>#DIV/0!</v>
      </c>
      <c r="CS88" s="65">
        <f>CS81/$CS$84</f>
        <v>0</v>
      </c>
      <c r="CT88" s="65">
        <f>CT81/$CT$84</f>
        <v>0</v>
      </c>
      <c r="CU88" s="65">
        <f>CU81/$CU$84</f>
        <v>0.277008310249307</v>
      </c>
    </row>
    <row r="89" ht="18.75" customHeight="1" spans="2:99">
      <c r="B89" s="7"/>
      <c r="C89" s="25">
        <v>17</v>
      </c>
      <c r="D89" s="19">
        <v>0.0526</v>
      </c>
      <c r="E89" s="19">
        <v>0.0526</v>
      </c>
      <c r="F89" s="19">
        <v>0.0526</v>
      </c>
      <c r="G89" s="19">
        <v>0.0526</v>
      </c>
      <c r="H89" s="19">
        <v>0.0526</v>
      </c>
      <c r="I89" s="19">
        <v>0.0526</v>
      </c>
      <c r="J89" s="19">
        <v>0.0526</v>
      </c>
      <c r="K89" s="19">
        <v>0.0526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0"/>
      <c r="X89" s="11" t="s">
        <v>56</v>
      </c>
      <c r="Y89" s="101">
        <v>20</v>
      </c>
      <c r="Z89" s="101">
        <v>46</v>
      </c>
      <c r="AA89" s="101">
        <v>29</v>
      </c>
      <c r="AB89" s="101">
        <v>20</v>
      </c>
      <c r="AC89" s="288" t="s">
        <v>378</v>
      </c>
      <c r="AE89" s="11" t="s">
        <v>58</v>
      </c>
      <c r="AF89" s="131">
        <f>第九期!DV33</f>
        <v>3300</v>
      </c>
      <c r="AG89" s="131">
        <f>第九期!DZ33</f>
        <v>6000</v>
      </c>
      <c r="AH89" s="131">
        <f>第九期!ED33</f>
        <v>7600</v>
      </c>
      <c r="AI89" s="131">
        <f>第九期!EH33</f>
        <v>9600</v>
      </c>
      <c r="AJ89" s="11" t="s">
        <v>58</v>
      </c>
      <c r="AK89" s="108">
        <f t="shared" si="58"/>
        <v>150</v>
      </c>
      <c r="AL89" s="108">
        <f t="shared" si="58"/>
        <v>1400</v>
      </c>
      <c r="AM89" s="108">
        <f t="shared" si="58"/>
        <v>2250</v>
      </c>
      <c r="AN89" s="108">
        <f t="shared" si="58"/>
        <v>2550</v>
      </c>
      <c r="AR89" s="185">
        <v>8</v>
      </c>
      <c r="AS89" s="308">
        <f t="shared" si="54"/>
        <v>1</v>
      </c>
      <c r="AT89" s="309">
        <f t="shared" si="55"/>
        <v>1</v>
      </c>
      <c r="AU89" s="309">
        <f t="shared" si="55"/>
        <v>1</v>
      </c>
      <c r="AV89" s="310">
        <f t="shared" si="55"/>
        <v>1</v>
      </c>
      <c r="AW89" s="308">
        <f t="shared" si="55"/>
        <v>1</v>
      </c>
      <c r="AX89" s="309">
        <f t="shared" si="55"/>
        <v>1</v>
      </c>
      <c r="AY89" s="309">
        <f t="shared" si="55"/>
        <v>1</v>
      </c>
      <c r="AZ89" s="310">
        <f t="shared" si="55"/>
        <v>1</v>
      </c>
      <c r="BA89" s="308" t="e">
        <f t="shared" si="55"/>
        <v>#DIV/0!</v>
      </c>
      <c r="BB89" s="309" t="e">
        <f t="shared" si="55"/>
        <v>#DIV/0!</v>
      </c>
      <c r="BC89" s="309" t="e">
        <f t="shared" si="55"/>
        <v>#DIV/0!</v>
      </c>
      <c r="BD89" s="310" t="e">
        <f t="shared" si="55"/>
        <v>#DIV/0!</v>
      </c>
      <c r="BE89" s="308" t="e">
        <f t="shared" si="55"/>
        <v>#DIV/0!</v>
      </c>
      <c r="BF89" s="309" t="e">
        <f t="shared" si="55"/>
        <v>#DIV/0!</v>
      </c>
      <c r="BG89" s="309" t="e">
        <f t="shared" si="55"/>
        <v>#DIV/0!</v>
      </c>
      <c r="BH89" s="310" t="e">
        <f t="shared" si="55"/>
        <v>#DIV/0!</v>
      </c>
      <c r="BI89" s="319" t="e">
        <f t="shared" si="56"/>
        <v>#DIV/0!</v>
      </c>
      <c r="BR89" s="209" t="s">
        <v>238</v>
      </c>
      <c r="BS89" s="130">
        <f>第九期!AJ18</f>
        <v>210000</v>
      </c>
      <c r="BT89" s="130"/>
      <c r="BU89" s="130"/>
      <c r="BV89" s="130">
        <f t="shared" si="57"/>
        <v>3556492.57961539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0.30715935334873</v>
      </c>
      <c r="CR89" s="65" t="e">
        <f>CR82/$CR$84</f>
        <v>#DIV/0!</v>
      </c>
      <c r="CS89" s="65">
        <f>CS82/$CS$84</f>
        <v>0.506666666666667</v>
      </c>
      <c r="CT89" s="65">
        <f>CT82/$CT$84</f>
        <v>0.253333333333333</v>
      </c>
      <c r="CU89" s="65">
        <f>CU82/$CU$84</f>
        <v>0.376218323586745</v>
      </c>
    </row>
    <row r="90" ht="18.75" customHeight="1" spans="2:99">
      <c r="B90" s="7"/>
      <c r="C90" s="25">
        <v>18</v>
      </c>
      <c r="D90" s="19">
        <v>0.0526</v>
      </c>
      <c r="E90" s="19">
        <v>0.0526</v>
      </c>
      <c r="F90" s="19">
        <v>0.0526</v>
      </c>
      <c r="G90" s="19">
        <v>0.0526</v>
      </c>
      <c r="H90" s="19">
        <v>0.0526</v>
      </c>
      <c r="I90" s="19">
        <v>0.0526</v>
      </c>
      <c r="J90" s="19">
        <v>0.0526</v>
      </c>
      <c r="K90" s="19">
        <v>0.0526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0"/>
      <c r="X90" s="11" t="s">
        <v>57</v>
      </c>
      <c r="Y90" s="101">
        <v>30</v>
      </c>
      <c r="Z90" s="101">
        <v>69</v>
      </c>
      <c r="AA90" s="101">
        <v>42</v>
      </c>
      <c r="AB90" s="101">
        <v>27</v>
      </c>
      <c r="AC90" s="288" t="s">
        <v>379</v>
      </c>
      <c r="AF90" s="48">
        <f>SUMPRODUCT(AF64:AF67,AF76:AF79)/SUM(AF64:AF67)</f>
        <v>3287.51235584843</v>
      </c>
      <c r="AG90" s="48">
        <f>SUMPRODUCT(AG64:AG67,AG76:AG79)/SUM(AG64:AG67)</f>
        <v>7208.06451612903</v>
      </c>
      <c r="AH90" s="48">
        <f>SUMPRODUCT(AH64:AH67,AH76:AH79)/SUM(AH64:AH67)</f>
        <v>9670.28985507246</v>
      </c>
      <c r="AI90" s="48">
        <f>SUMPRODUCT(AI64:AI67,AI76:AI79)/SUM(AI64:AI67)</f>
        <v>11985.4838709677</v>
      </c>
      <c r="AR90" s="185">
        <v>9</v>
      </c>
      <c r="AS90" s="308">
        <f t="shared" si="54"/>
        <v>1</v>
      </c>
      <c r="AT90" s="309">
        <f t="shared" si="55"/>
        <v>1</v>
      </c>
      <c r="AU90" s="309">
        <f t="shared" si="55"/>
        <v>1</v>
      </c>
      <c r="AV90" s="310">
        <f t="shared" si="55"/>
        <v>1</v>
      </c>
      <c r="AW90" s="308">
        <f t="shared" si="55"/>
        <v>1</v>
      </c>
      <c r="AX90" s="309">
        <f t="shared" si="55"/>
        <v>1</v>
      </c>
      <c r="AY90" s="309">
        <f t="shared" si="55"/>
        <v>1</v>
      </c>
      <c r="AZ90" s="310">
        <f t="shared" si="55"/>
        <v>1</v>
      </c>
      <c r="BA90" s="308" t="e">
        <f t="shared" si="55"/>
        <v>#DIV/0!</v>
      </c>
      <c r="BB90" s="309" t="e">
        <f t="shared" si="55"/>
        <v>#DIV/0!</v>
      </c>
      <c r="BC90" s="309" t="e">
        <f t="shared" si="55"/>
        <v>#DIV/0!</v>
      </c>
      <c r="BD90" s="310" t="e">
        <f t="shared" si="55"/>
        <v>#DIV/0!</v>
      </c>
      <c r="BE90" s="308" t="e">
        <f t="shared" si="55"/>
        <v>#DIV/0!</v>
      </c>
      <c r="BF90" s="309" t="e">
        <f t="shared" si="55"/>
        <v>#DIV/0!</v>
      </c>
      <c r="BG90" s="309" t="e">
        <f t="shared" si="55"/>
        <v>#DIV/0!</v>
      </c>
      <c r="BH90" s="310" t="e">
        <f t="shared" si="55"/>
        <v>#DIV/0!</v>
      </c>
      <c r="BI90" s="319" t="e">
        <f t="shared" si="56"/>
        <v>#DIV/0!</v>
      </c>
      <c r="BR90" s="209" t="s">
        <v>251</v>
      </c>
      <c r="BS90" s="130">
        <f>第九期!AF20</f>
        <v>0</v>
      </c>
      <c r="BT90" s="130"/>
      <c r="BU90" s="130"/>
      <c r="BV90" s="329">
        <f t="shared" si="57"/>
        <v>3556492.57961539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0.493333333333333</v>
      </c>
      <c r="CT90" s="65">
        <f>CT83/$CT$84</f>
        <v>0.746666666666667</v>
      </c>
      <c r="CU90" s="65">
        <f>CU83/$CU$84</f>
        <v>0.346773366163948</v>
      </c>
    </row>
    <row r="91" ht="18.75" customHeight="1" spans="2:99">
      <c r="B91" s="7"/>
      <c r="C91" s="25">
        <v>19</v>
      </c>
      <c r="D91" s="19">
        <v>0.0526</v>
      </c>
      <c r="E91" s="19">
        <v>0.0526</v>
      </c>
      <c r="F91" s="19">
        <v>0.0526</v>
      </c>
      <c r="G91" s="19">
        <v>0.0526</v>
      </c>
      <c r="H91" s="19">
        <v>0.0526</v>
      </c>
      <c r="I91" s="19">
        <v>0.0526</v>
      </c>
      <c r="J91" s="19">
        <v>0.0526</v>
      </c>
      <c r="K91" s="19">
        <v>0.0526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0"/>
      <c r="X91" s="11" t="s">
        <v>58</v>
      </c>
      <c r="Y91" s="101">
        <v>60</v>
      </c>
      <c r="Z91" s="101">
        <v>70</v>
      </c>
      <c r="AA91" s="101">
        <v>44</v>
      </c>
      <c r="AB91" s="101">
        <v>30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>
        <f t="shared" si="54"/>
        <v>1</v>
      </c>
      <c r="AT91" s="309">
        <f t="shared" si="55"/>
        <v>1</v>
      </c>
      <c r="AU91" s="309">
        <f t="shared" si="55"/>
        <v>1</v>
      </c>
      <c r="AV91" s="310">
        <f t="shared" si="55"/>
        <v>1</v>
      </c>
      <c r="AW91" s="308">
        <f t="shared" si="55"/>
        <v>1</v>
      </c>
      <c r="AX91" s="309">
        <f t="shared" si="55"/>
        <v>1</v>
      </c>
      <c r="AY91" s="309">
        <f t="shared" si="55"/>
        <v>1</v>
      </c>
      <c r="AZ91" s="310">
        <f t="shared" si="55"/>
        <v>1</v>
      </c>
      <c r="BA91" s="308" t="e">
        <f t="shared" si="55"/>
        <v>#DIV/0!</v>
      </c>
      <c r="BB91" s="309" t="e">
        <f t="shared" si="55"/>
        <v>#DIV/0!</v>
      </c>
      <c r="BC91" s="309" t="e">
        <f t="shared" si="55"/>
        <v>#DIV/0!</v>
      </c>
      <c r="BD91" s="310" t="e">
        <f t="shared" si="55"/>
        <v>#DIV/0!</v>
      </c>
      <c r="BE91" s="308" t="e">
        <f t="shared" si="55"/>
        <v>#DIV/0!</v>
      </c>
      <c r="BF91" s="309" t="e">
        <f t="shared" si="55"/>
        <v>#DIV/0!</v>
      </c>
      <c r="BG91" s="309" t="e">
        <f t="shared" si="55"/>
        <v>#DIV/0!</v>
      </c>
      <c r="BH91" s="310" t="e">
        <f t="shared" si="55"/>
        <v>#DIV/0!</v>
      </c>
      <c r="BI91" s="319" t="e">
        <f t="shared" si="56"/>
        <v>#DIV/0!</v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120</v>
      </c>
      <c r="Z92" s="76">
        <f>SUM(Z88:Z91)</f>
        <v>231</v>
      </c>
      <c r="AA92" s="76">
        <f>SUM(AA88:AA91)</f>
        <v>144</v>
      </c>
      <c r="AB92" s="289">
        <f>SUM(AB88:AB91)</f>
        <v>97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9">AF86-AF98</f>
        <v>1.86000000000058</v>
      </c>
      <c r="AL92" s="304">
        <f t="shared" si="59"/>
        <v>3.48000000000047</v>
      </c>
      <c r="AM92" s="304">
        <f t="shared" si="59"/>
        <v>7300</v>
      </c>
      <c r="AN92" s="304">
        <f t="shared" si="59"/>
        <v>9300</v>
      </c>
      <c r="AR92" s="185">
        <v>11</v>
      </c>
      <c r="AS92" s="308">
        <f t="shared" si="54"/>
        <v>1</v>
      </c>
      <c r="AT92" s="309">
        <f t="shared" si="55"/>
        <v>1</v>
      </c>
      <c r="AU92" s="309">
        <f t="shared" si="55"/>
        <v>1</v>
      </c>
      <c r="AV92" s="310">
        <f t="shared" si="55"/>
        <v>1</v>
      </c>
      <c r="AW92" s="308">
        <f t="shared" si="55"/>
        <v>1</v>
      </c>
      <c r="AX92" s="309">
        <f t="shared" si="55"/>
        <v>1</v>
      </c>
      <c r="AY92" s="309">
        <f t="shared" si="55"/>
        <v>1</v>
      </c>
      <c r="AZ92" s="310">
        <f t="shared" si="55"/>
        <v>1</v>
      </c>
      <c r="BA92" s="308" t="e">
        <f t="shared" si="55"/>
        <v>#DIV/0!</v>
      </c>
      <c r="BB92" s="309" t="e">
        <f t="shared" si="55"/>
        <v>#DIV/0!</v>
      </c>
      <c r="BC92" s="309" t="e">
        <f t="shared" si="55"/>
        <v>#DIV/0!</v>
      </c>
      <c r="BD92" s="310" t="e">
        <f t="shared" si="55"/>
        <v>#DIV/0!</v>
      </c>
      <c r="BE92" s="308" t="e">
        <f t="shared" si="55"/>
        <v>#DIV/0!</v>
      </c>
      <c r="BF92" s="309" t="e">
        <f t="shared" si="55"/>
        <v>#DIV/0!</v>
      </c>
      <c r="BG92" s="309" t="e">
        <f t="shared" si="55"/>
        <v>#DIV/0!</v>
      </c>
      <c r="BH92" s="310" t="e">
        <f t="shared" si="55"/>
        <v>#DIV/0!</v>
      </c>
      <c r="BI92" s="319" t="e">
        <f t="shared" si="56"/>
        <v>#DIV/0!</v>
      </c>
      <c r="BR92" s="330" t="s">
        <v>322</v>
      </c>
      <c r="BS92" s="130">
        <f>第九期!BT84</f>
        <v>5992770</v>
      </c>
      <c r="BT92" s="330" t="s">
        <v>178</v>
      </c>
      <c r="BU92" s="130">
        <f>第九期!BU86</f>
        <v>5367762.36538462</v>
      </c>
      <c r="BV92" s="332" t="s">
        <v>100</v>
      </c>
      <c r="BW92" s="333">
        <f>第九期!BT84-第九期!BU86</f>
        <v>625007.634615384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AC9*比赛参数!D6+第九期!DU26</f>
        <v>120</v>
      </c>
      <c r="Z93" s="37">
        <f>AC10*比赛参数!D6+第九期!DU27</f>
        <v>231</v>
      </c>
      <c r="AA93" s="37">
        <f>AC11*比赛参数!D6+第九期!DU28</f>
        <v>144.75</v>
      </c>
      <c r="AB93" s="37">
        <f>AC12*比赛参数!D6+第九期!DU29</f>
        <v>97.5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9"/>
        <v>1.86000000000058</v>
      </c>
      <c r="AL93" s="304">
        <f t="shared" si="59"/>
        <v>3.48000000000047</v>
      </c>
      <c r="AM93" s="304">
        <f t="shared" si="59"/>
        <v>7300</v>
      </c>
      <c r="AN93" s="304">
        <f t="shared" si="59"/>
        <v>9300</v>
      </c>
      <c r="AR93" s="185">
        <v>12</v>
      </c>
      <c r="AS93" s="308">
        <f t="shared" si="54"/>
        <v>1</v>
      </c>
      <c r="AT93" s="309">
        <f t="shared" si="55"/>
        <v>1</v>
      </c>
      <c r="AU93" s="309">
        <f t="shared" si="55"/>
        <v>1</v>
      </c>
      <c r="AV93" s="310">
        <f t="shared" si="55"/>
        <v>1</v>
      </c>
      <c r="AW93" s="308">
        <f t="shared" si="55"/>
        <v>1</v>
      </c>
      <c r="AX93" s="309">
        <f t="shared" si="55"/>
        <v>1</v>
      </c>
      <c r="AY93" s="309">
        <f t="shared" si="55"/>
        <v>1</v>
      </c>
      <c r="AZ93" s="310">
        <f t="shared" si="55"/>
        <v>1</v>
      </c>
      <c r="BA93" s="308" t="e">
        <f t="shared" si="55"/>
        <v>#DIV/0!</v>
      </c>
      <c r="BB93" s="309" t="e">
        <f t="shared" si="55"/>
        <v>#DIV/0!</v>
      </c>
      <c r="BC93" s="309" t="e">
        <f t="shared" si="55"/>
        <v>#DIV/0!</v>
      </c>
      <c r="BD93" s="310" t="e">
        <f t="shared" si="55"/>
        <v>#DIV/0!</v>
      </c>
      <c r="BE93" s="308" t="e">
        <f t="shared" si="55"/>
        <v>#DIV/0!</v>
      </c>
      <c r="BF93" s="309" t="e">
        <f t="shared" si="55"/>
        <v>#DIV/0!</v>
      </c>
      <c r="BG93" s="309" t="e">
        <f t="shared" si="55"/>
        <v>#DIV/0!</v>
      </c>
      <c r="BH93" s="310" t="e">
        <f t="shared" si="55"/>
        <v>#DIV/0!</v>
      </c>
      <c r="BI93" s="319" t="e">
        <f t="shared" si="56"/>
        <v>#DIV/0!</v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IF(第九期!$AC$9&gt;0,第九期!$K$9*比赛参数!$D$30*比赛参数!$F$30*$CU$87/第九期!$AC$9,0)</f>
        <v>0</v>
      </c>
      <c r="CR93" s="65">
        <f>IF(第九期!$AC$9&gt;0,第九期!$K$9*比赛参数!$D$30*比赛参数!$F$30*$CU$87/第九期!$AC$9,0)</f>
        <v>0</v>
      </c>
      <c r="CS93" s="65">
        <f>IF(第九期!$AC$9&gt;0,第九期!$K$9*比赛参数!$D$30*比赛参数!$F$30*$CU$87/第九期!$AC$9,0)</f>
        <v>0</v>
      </c>
      <c r="CT93" s="65">
        <f>IF(第九期!$AC$9&gt;0,第九期!$K$9*比赛参数!$D$30*比赛参数!$F$30*$CU$87/第九期!$AC$9,0)</f>
        <v>0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9"/>
        <v>1.98000000000093</v>
      </c>
      <c r="AL94" s="304">
        <f t="shared" si="59"/>
        <v>3.59999999999854</v>
      </c>
      <c r="AM94" s="304">
        <f t="shared" si="59"/>
        <v>7600</v>
      </c>
      <c r="AN94" s="304">
        <f t="shared" si="59"/>
        <v>9600</v>
      </c>
      <c r="AR94" s="185">
        <v>13</v>
      </c>
      <c r="AS94" s="308">
        <f t="shared" si="54"/>
        <v>1</v>
      </c>
      <c r="AT94" s="309">
        <f t="shared" si="55"/>
        <v>1</v>
      </c>
      <c r="AU94" s="309">
        <f t="shared" si="55"/>
        <v>1</v>
      </c>
      <c r="AV94" s="310">
        <f t="shared" si="55"/>
        <v>1</v>
      </c>
      <c r="AW94" s="308">
        <f t="shared" si="55"/>
        <v>1</v>
      </c>
      <c r="AX94" s="309">
        <f t="shared" si="55"/>
        <v>1</v>
      </c>
      <c r="AY94" s="309">
        <f t="shared" si="55"/>
        <v>1</v>
      </c>
      <c r="AZ94" s="310">
        <f t="shared" si="55"/>
        <v>1</v>
      </c>
      <c r="BA94" s="308" t="e">
        <f t="shared" si="55"/>
        <v>#DIV/0!</v>
      </c>
      <c r="BB94" s="309" t="e">
        <f t="shared" si="55"/>
        <v>#DIV/0!</v>
      </c>
      <c r="BC94" s="309" t="e">
        <f t="shared" si="55"/>
        <v>#DIV/0!</v>
      </c>
      <c r="BD94" s="310" t="e">
        <f t="shared" si="55"/>
        <v>#DIV/0!</v>
      </c>
      <c r="BE94" s="308" t="e">
        <f t="shared" si="55"/>
        <v>#DIV/0!</v>
      </c>
      <c r="BF94" s="309" t="e">
        <f t="shared" si="55"/>
        <v>#DIV/0!</v>
      </c>
      <c r="BG94" s="309" t="e">
        <f t="shared" si="55"/>
        <v>#DIV/0!</v>
      </c>
      <c r="BH94" s="310" t="e">
        <f t="shared" si="55"/>
        <v>#DIV/0!</v>
      </c>
      <c r="BI94" s="319" t="e">
        <f t="shared" si="56"/>
        <v>#DIV/0!</v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IF(第九期!$AC$10&gt;0,第九期!$K$9*比赛参数!$D$30*比赛参数!$F$30*$CU$88/第九期!$AC$10,0)</f>
        <v>769.467528470299</v>
      </c>
      <c r="CR94" s="65">
        <f>IF(第九期!$AC$10&gt;0,第九期!$K$9*比赛参数!$D$30*比赛参数!$F$30*$CU$88/第九期!$AC$10,0)</f>
        <v>769.467528470299</v>
      </c>
      <c r="CS94" s="65">
        <f>IF(第九期!$AC$10&gt;0,第九期!$K$9*比赛参数!$D$30*比赛参数!$F$30*$CU$88/第九期!$AC$10,0)</f>
        <v>769.467528470299</v>
      </c>
      <c r="CT94" s="65">
        <f>IF(第九期!$AC$10&gt;0,第九期!$K$9*比赛参数!$D$30*比赛参数!$F$30*$CU$88/第九期!$AC$10,0)</f>
        <v>769.467528470299</v>
      </c>
      <c r="CU94" s="48"/>
    </row>
    <row r="95" ht="18.75" customHeight="1" spans="2:99">
      <c r="B95" s="7"/>
      <c r="C95" s="25">
        <v>1</v>
      </c>
      <c r="D95" s="14">
        <v>0</v>
      </c>
      <c r="E95" s="14">
        <v>1</v>
      </c>
      <c r="F95" s="14">
        <v>1</v>
      </c>
      <c r="G95" s="9">
        <v>1</v>
      </c>
      <c r="H95" s="9">
        <v>1</v>
      </c>
      <c r="I95" s="14">
        <v>1</v>
      </c>
      <c r="J95" s="14">
        <v>1</v>
      </c>
      <c r="K95" s="9">
        <v>1</v>
      </c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9"/>
        <v>1.98000000000093</v>
      </c>
      <c r="AL95" s="304">
        <f t="shared" si="59"/>
        <v>3.59999999999854</v>
      </c>
      <c r="AM95" s="304">
        <f t="shared" si="59"/>
        <v>7600</v>
      </c>
      <c r="AN95" s="304">
        <f t="shared" si="59"/>
        <v>9600</v>
      </c>
      <c r="AR95" s="185">
        <v>14</v>
      </c>
      <c r="AS95" s="308">
        <f t="shared" si="54"/>
        <v>1</v>
      </c>
      <c r="AT95" s="309">
        <f t="shared" si="55"/>
        <v>1</v>
      </c>
      <c r="AU95" s="309">
        <f t="shared" si="55"/>
        <v>1</v>
      </c>
      <c r="AV95" s="310">
        <f t="shared" si="55"/>
        <v>1</v>
      </c>
      <c r="AW95" s="308">
        <f t="shared" si="55"/>
        <v>1</v>
      </c>
      <c r="AX95" s="309">
        <f t="shared" si="55"/>
        <v>1</v>
      </c>
      <c r="AY95" s="309">
        <f t="shared" si="55"/>
        <v>1</v>
      </c>
      <c r="AZ95" s="310">
        <f t="shared" si="55"/>
        <v>1</v>
      </c>
      <c r="BA95" s="308" t="e">
        <f t="shared" si="55"/>
        <v>#DIV/0!</v>
      </c>
      <c r="BB95" s="309" t="e">
        <f t="shared" si="55"/>
        <v>#DIV/0!</v>
      </c>
      <c r="BC95" s="309" t="e">
        <f t="shared" si="55"/>
        <v>#DIV/0!</v>
      </c>
      <c r="BD95" s="310" t="e">
        <f t="shared" si="55"/>
        <v>#DIV/0!</v>
      </c>
      <c r="BE95" s="308" t="e">
        <f t="shared" si="55"/>
        <v>#DIV/0!</v>
      </c>
      <c r="BF95" s="309" t="e">
        <f t="shared" si="55"/>
        <v>#DIV/0!</v>
      </c>
      <c r="BG95" s="309" t="e">
        <f t="shared" si="55"/>
        <v>#DIV/0!</v>
      </c>
      <c r="BH95" s="310" t="e">
        <f t="shared" si="55"/>
        <v>#DIV/0!</v>
      </c>
      <c r="BI95" s="319" t="e">
        <f t="shared" si="56"/>
        <v>#DIV/0!</v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IF(第九期!$AC$11&gt;0,第九期!$K$9*比赛参数!$D$30*比赛参数!$F$30*$CU$89/第九期!$AC$11,0)</f>
        <v>1169.59064327485</v>
      </c>
      <c r="CR95" s="65">
        <f>IF(第九期!$AC$11&gt;0,第九期!$K$9*比赛参数!$D$30*比赛参数!$F$30*$CU$89/第九期!$AC$11,0)</f>
        <v>1169.59064327485</v>
      </c>
      <c r="CS95" s="65">
        <f>IF(第九期!$AC$11&gt;0,第九期!$K$9*比赛参数!$D$30*比赛参数!$F$30*$CU$89/第九期!$AC$11,0)</f>
        <v>1169.59064327485</v>
      </c>
      <c r="CT95" s="65">
        <f>IF(第九期!$AC$11&gt;0,第九期!$K$9*比赛参数!$D$30*比赛参数!$F$30*$CU$89/第九期!$AC$11,0)</f>
        <v>1169.59064327485</v>
      </c>
      <c r="CU95" s="48"/>
    </row>
    <row r="96" ht="18.75" customHeight="1" spans="2:99">
      <c r="B96" s="7"/>
      <c r="C96" s="25">
        <v>2</v>
      </c>
      <c r="D96" s="14">
        <v>0</v>
      </c>
      <c r="E96" s="14">
        <v>1</v>
      </c>
      <c r="F96" s="14">
        <v>1</v>
      </c>
      <c r="G96" s="9">
        <v>1</v>
      </c>
      <c r="H96" s="9">
        <v>1</v>
      </c>
      <c r="I96" s="14">
        <v>1</v>
      </c>
      <c r="J96" s="14">
        <v>1</v>
      </c>
      <c r="K96" s="9">
        <v>1</v>
      </c>
      <c r="L96" s="10"/>
      <c r="X96" s="64" t="s">
        <v>55</v>
      </c>
      <c r="Y96" s="94">
        <f>第九期!CX62</f>
        <v>31.5</v>
      </c>
      <c r="Z96" s="94">
        <f>第九期!CX63</f>
        <v>12.2541298861188</v>
      </c>
      <c r="AA96" s="94">
        <f>第九期!CX64</f>
        <v>9.41983918527343</v>
      </c>
      <c r="AB96" s="94">
        <f>第九期!CX65</f>
        <v>6.98130148375194</v>
      </c>
      <c r="AC96" s="48"/>
      <c r="AR96" s="185">
        <v>15</v>
      </c>
      <c r="AS96" s="308">
        <f t="shared" si="54"/>
        <v>1</v>
      </c>
      <c r="AT96" s="309">
        <f t="shared" si="55"/>
        <v>1</v>
      </c>
      <c r="AU96" s="309">
        <f t="shared" si="55"/>
        <v>1</v>
      </c>
      <c r="AV96" s="310">
        <f t="shared" si="55"/>
        <v>1</v>
      </c>
      <c r="AW96" s="308">
        <f t="shared" si="55"/>
        <v>1</v>
      </c>
      <c r="AX96" s="309">
        <f t="shared" si="55"/>
        <v>1</v>
      </c>
      <c r="AY96" s="309">
        <f t="shared" si="55"/>
        <v>1</v>
      </c>
      <c r="AZ96" s="310">
        <f t="shared" si="55"/>
        <v>1</v>
      </c>
      <c r="BA96" s="308" t="e">
        <f t="shared" si="55"/>
        <v>#DIV/0!</v>
      </c>
      <c r="BB96" s="309" t="e">
        <f t="shared" si="55"/>
        <v>#DIV/0!</v>
      </c>
      <c r="BC96" s="309" t="e">
        <f t="shared" si="55"/>
        <v>#DIV/0!</v>
      </c>
      <c r="BD96" s="310" t="e">
        <f t="shared" si="55"/>
        <v>#DIV/0!</v>
      </c>
      <c r="BE96" s="308" t="e">
        <f t="shared" si="55"/>
        <v>#DIV/0!</v>
      </c>
      <c r="BF96" s="309" t="e">
        <f t="shared" si="55"/>
        <v>#DIV/0!</v>
      </c>
      <c r="BG96" s="309" t="e">
        <f t="shared" si="55"/>
        <v>#DIV/0!</v>
      </c>
      <c r="BH96" s="310" t="e">
        <f t="shared" si="55"/>
        <v>#DIV/0!</v>
      </c>
      <c r="BI96" s="319" t="e">
        <f t="shared" si="56"/>
        <v>#DIV/0!</v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IF(第九期!$AC$12&gt;0,第九期!$K$9*比赛参数!$D$30*比赛参数!$F$30*$CU$90/第九期!$AC$12,0)</f>
        <v>1600.49245921822</v>
      </c>
      <c r="CR96" s="65">
        <f>IF(第九期!$AC$12&gt;0,第九期!$K$9*比赛参数!$D$30*比赛参数!$F$30*$CU$90/第九期!$AC$12,0)</f>
        <v>1600.49245921822</v>
      </c>
      <c r="CS96" s="65">
        <f>IF(第九期!$AC$12&gt;0,第九期!$K$9*比赛参数!$D$30*比赛参数!$F$30*$CU$90/第九期!$AC$12,0)</f>
        <v>1600.49245921822</v>
      </c>
      <c r="CT96" s="65">
        <f>IF(第九期!$AC$12&gt;0,第九期!$K$9*比赛参数!$D$30*比赛参数!$F$30*$CU$90/第九期!$AC$12,0)</f>
        <v>1600.49245921822</v>
      </c>
      <c r="CU96" s="48"/>
    </row>
    <row r="97" ht="18.75" customHeight="1" spans="2:93">
      <c r="B97" s="7"/>
      <c r="C97" s="25">
        <v>3</v>
      </c>
      <c r="D97" s="14">
        <v>0</v>
      </c>
      <c r="E97" s="14">
        <v>1</v>
      </c>
      <c r="F97" s="14">
        <v>1</v>
      </c>
      <c r="G97" s="9">
        <v>1</v>
      </c>
      <c r="H97" s="9">
        <v>1</v>
      </c>
      <c r="I97" s="14">
        <v>1</v>
      </c>
      <c r="J97" s="14">
        <v>1</v>
      </c>
      <c r="K97" s="9">
        <v>1</v>
      </c>
      <c r="L97" s="10"/>
      <c r="X97" s="11" t="s">
        <v>56</v>
      </c>
      <c r="Y97" s="94">
        <f>第九期!CY62</f>
        <v>31.5</v>
      </c>
      <c r="Z97" s="94">
        <f>第九期!CY63</f>
        <v>12.5901298861188</v>
      </c>
      <c r="AA97" s="94">
        <f>第九期!CY64</f>
        <v>9.71457602737869</v>
      </c>
      <c r="AB97" s="94">
        <f>第九期!CY65</f>
        <v>7.24668609913656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>
        <f t="shared" si="54"/>
        <v>1</v>
      </c>
      <c r="AT97" s="309">
        <f t="shared" si="55"/>
        <v>1</v>
      </c>
      <c r="AU97" s="309">
        <f t="shared" si="55"/>
        <v>1</v>
      </c>
      <c r="AV97" s="310">
        <f t="shared" si="55"/>
        <v>1</v>
      </c>
      <c r="AW97" s="308">
        <f t="shared" si="55"/>
        <v>1</v>
      </c>
      <c r="AX97" s="309">
        <f t="shared" si="55"/>
        <v>1</v>
      </c>
      <c r="AY97" s="309">
        <f t="shared" si="55"/>
        <v>1</v>
      </c>
      <c r="AZ97" s="310">
        <f t="shared" si="55"/>
        <v>1</v>
      </c>
      <c r="BA97" s="308" t="e">
        <f t="shared" si="55"/>
        <v>#DIV/0!</v>
      </c>
      <c r="BB97" s="309" t="e">
        <f t="shared" si="55"/>
        <v>#DIV/0!</v>
      </c>
      <c r="BC97" s="309" t="e">
        <f t="shared" si="55"/>
        <v>#DIV/0!</v>
      </c>
      <c r="BD97" s="310" t="e">
        <f t="shared" si="55"/>
        <v>#DIV/0!</v>
      </c>
      <c r="BE97" s="308" t="e">
        <f t="shared" si="55"/>
        <v>#DIV/0!</v>
      </c>
      <c r="BF97" s="309" t="e">
        <f t="shared" si="55"/>
        <v>#DIV/0!</v>
      </c>
      <c r="BG97" s="309" t="e">
        <f t="shared" si="55"/>
        <v>#DIV/0!</v>
      </c>
      <c r="BH97" s="310" t="e">
        <f t="shared" si="55"/>
        <v>#DIV/0!</v>
      </c>
      <c r="BI97" s="319" t="e">
        <f t="shared" si="56"/>
        <v>#DIV/0!</v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>
        <v>0</v>
      </c>
      <c r="E98" s="14">
        <v>1</v>
      </c>
      <c r="F98" s="14">
        <v>1</v>
      </c>
      <c r="G98" s="9">
        <v>1</v>
      </c>
      <c r="H98" s="9">
        <v>1</v>
      </c>
      <c r="I98" s="14">
        <v>1</v>
      </c>
      <c r="J98" s="14">
        <v>1</v>
      </c>
      <c r="K98" s="9">
        <v>1</v>
      </c>
      <c r="L98" s="10"/>
      <c r="X98" s="11" t="s">
        <v>57</v>
      </c>
      <c r="Y98" s="94">
        <f>第九期!CZ62</f>
        <v>33.8</v>
      </c>
      <c r="Z98" s="94">
        <f>第九期!CZ63</f>
        <v>12.9221298861188</v>
      </c>
      <c r="AA98" s="94">
        <f>第九期!CZ64</f>
        <v>9.30404971158922</v>
      </c>
      <c r="AB98" s="94">
        <f>第九期!CZ65</f>
        <v>6.87360917605963</v>
      </c>
      <c r="AC98" s="126" t="s">
        <v>367</v>
      </c>
      <c r="AE98" s="47" t="s">
        <v>55</v>
      </c>
      <c r="AF98" s="292">
        <f>Y234</f>
        <v>3098.14</v>
      </c>
      <c r="AG98" s="292">
        <f>AC234</f>
        <v>5796.52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60">AF76-AF98</f>
        <v>51.8600000000006</v>
      </c>
      <c r="AL98" s="304">
        <f t="shared" si="60"/>
        <v>1203.48</v>
      </c>
      <c r="AM98" s="304">
        <f t="shared" si="60"/>
        <v>9550</v>
      </c>
      <c r="AN98" s="304">
        <f t="shared" si="60"/>
        <v>11850</v>
      </c>
      <c r="AR98" s="185">
        <v>17</v>
      </c>
      <c r="AS98" s="308">
        <f t="shared" si="54"/>
        <v>1</v>
      </c>
      <c r="AT98" s="309">
        <f t="shared" ref="AT98:BH98" si="61">IF(AT49="","",(AT49-AT$54)/AT$78)</f>
        <v>1</v>
      </c>
      <c r="AU98" s="309">
        <f t="shared" si="61"/>
        <v>1</v>
      </c>
      <c r="AV98" s="310">
        <f t="shared" si="61"/>
        <v>1</v>
      </c>
      <c r="AW98" s="308">
        <f t="shared" si="61"/>
        <v>1</v>
      </c>
      <c r="AX98" s="309">
        <f t="shared" si="61"/>
        <v>1</v>
      </c>
      <c r="AY98" s="309">
        <f t="shared" si="61"/>
        <v>1</v>
      </c>
      <c r="AZ98" s="310">
        <f t="shared" si="61"/>
        <v>1</v>
      </c>
      <c r="BA98" s="308" t="e">
        <f t="shared" si="61"/>
        <v>#DIV/0!</v>
      </c>
      <c r="BB98" s="309" t="e">
        <f t="shared" si="61"/>
        <v>#DIV/0!</v>
      </c>
      <c r="BC98" s="309" t="e">
        <f t="shared" si="61"/>
        <v>#DIV/0!</v>
      </c>
      <c r="BD98" s="310" t="e">
        <f t="shared" si="61"/>
        <v>#DIV/0!</v>
      </c>
      <c r="BE98" s="308" t="e">
        <f t="shared" si="61"/>
        <v>#DIV/0!</v>
      </c>
      <c r="BF98" s="309" t="e">
        <f t="shared" si="61"/>
        <v>#DIV/0!</v>
      </c>
      <c r="BG98" s="309" t="e">
        <f t="shared" si="61"/>
        <v>#DIV/0!</v>
      </c>
      <c r="BH98" s="310" t="e">
        <f t="shared" si="61"/>
        <v>#DIV/0!</v>
      </c>
      <c r="BI98" s="319" t="e">
        <f t="shared" si="56"/>
        <v>#DIV/0!</v>
      </c>
    </row>
    <row r="99" ht="18.75" customHeight="1" spans="2:61">
      <c r="B99" s="7"/>
      <c r="C99" s="25">
        <v>5</v>
      </c>
      <c r="D99" s="14">
        <v>0</v>
      </c>
      <c r="E99" s="14">
        <v>1</v>
      </c>
      <c r="F99" s="14">
        <v>1</v>
      </c>
      <c r="G99" s="9">
        <v>1</v>
      </c>
      <c r="H99" s="9">
        <v>1</v>
      </c>
      <c r="I99" s="14">
        <v>1</v>
      </c>
      <c r="J99" s="14">
        <v>1</v>
      </c>
      <c r="K99" s="9">
        <v>1</v>
      </c>
      <c r="L99" s="10"/>
      <c r="X99" s="11" t="s">
        <v>58</v>
      </c>
      <c r="Y99" s="94">
        <f>第九期!DA62</f>
        <v>34.5</v>
      </c>
      <c r="Z99" s="94">
        <f>第九期!DA63</f>
        <v>13.1221298861188</v>
      </c>
      <c r="AA99" s="94">
        <f>第九期!DA64</f>
        <v>9.69878655369448</v>
      </c>
      <c r="AB99" s="94">
        <f>第九期!DA65</f>
        <v>7.06591686836733</v>
      </c>
      <c r="AC99" s="126"/>
      <c r="AE99" s="11" t="s">
        <v>56</v>
      </c>
      <c r="AF99" s="292">
        <f>Z234</f>
        <v>3098.14</v>
      </c>
      <c r="AG99" s="292">
        <f>AD234</f>
        <v>5796.52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60"/>
        <v>51.8600000000006</v>
      </c>
      <c r="AL99" s="304">
        <f t="shared" si="60"/>
        <v>1203.48</v>
      </c>
      <c r="AM99" s="304">
        <f t="shared" si="60"/>
        <v>9550</v>
      </c>
      <c r="AN99" s="304">
        <f t="shared" si="60"/>
        <v>11850</v>
      </c>
      <c r="AR99" s="185">
        <v>18</v>
      </c>
      <c r="AS99" s="308">
        <f t="shared" ref="AS99:BH101" si="62">IF(AS50="","",(AS50-AS$54)/AS$78)</f>
        <v>1</v>
      </c>
      <c r="AT99" s="309">
        <f t="shared" si="62"/>
        <v>1</v>
      </c>
      <c r="AU99" s="309">
        <f t="shared" si="62"/>
        <v>1</v>
      </c>
      <c r="AV99" s="310">
        <f t="shared" si="62"/>
        <v>1</v>
      </c>
      <c r="AW99" s="308">
        <f t="shared" si="62"/>
        <v>1</v>
      </c>
      <c r="AX99" s="309">
        <f t="shared" si="62"/>
        <v>1</v>
      </c>
      <c r="AY99" s="309">
        <f t="shared" si="62"/>
        <v>1</v>
      </c>
      <c r="AZ99" s="310">
        <f t="shared" si="62"/>
        <v>1</v>
      </c>
      <c r="BA99" s="308" t="e">
        <f t="shared" si="62"/>
        <v>#DIV/0!</v>
      </c>
      <c r="BB99" s="309" t="e">
        <f t="shared" si="62"/>
        <v>#DIV/0!</v>
      </c>
      <c r="BC99" s="309" t="e">
        <f t="shared" si="62"/>
        <v>#DIV/0!</v>
      </c>
      <c r="BD99" s="310" t="e">
        <f t="shared" si="62"/>
        <v>#DIV/0!</v>
      </c>
      <c r="BE99" s="308" t="e">
        <f t="shared" si="62"/>
        <v>#DIV/0!</v>
      </c>
      <c r="BF99" s="309" t="e">
        <f t="shared" si="62"/>
        <v>#DIV/0!</v>
      </c>
      <c r="BG99" s="309" t="e">
        <f t="shared" si="62"/>
        <v>#DIV/0!</v>
      </c>
      <c r="BH99" s="310" t="e">
        <f t="shared" si="62"/>
        <v>#DIV/0!</v>
      </c>
      <c r="BI99" s="319" t="e">
        <f t="shared" si="56"/>
        <v>#DIV/0!</v>
      </c>
    </row>
    <row r="100" ht="18.75" customHeight="1" spans="2:61">
      <c r="B100" s="7"/>
      <c r="C100" s="25">
        <v>6</v>
      </c>
      <c r="D100" s="14">
        <v>0</v>
      </c>
      <c r="E100" s="14">
        <v>1</v>
      </c>
      <c r="F100" s="14">
        <v>1</v>
      </c>
      <c r="G100" s="9">
        <v>1</v>
      </c>
      <c r="H100" s="9">
        <v>1</v>
      </c>
      <c r="I100" s="14">
        <v>1</v>
      </c>
      <c r="J100" s="14">
        <v>1</v>
      </c>
      <c r="K100" s="9">
        <v>1</v>
      </c>
      <c r="L100" s="10"/>
      <c r="AE100" s="11" t="s">
        <v>57</v>
      </c>
      <c r="AF100" s="292">
        <f>AA234</f>
        <v>3298.02</v>
      </c>
      <c r="AG100" s="292">
        <f>AE234</f>
        <v>5996.4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60"/>
        <v>81.9800000000009</v>
      </c>
      <c r="AL100" s="304">
        <f t="shared" si="60"/>
        <v>1303.6</v>
      </c>
      <c r="AM100" s="304">
        <f t="shared" si="60"/>
        <v>9650</v>
      </c>
      <c r="AN100" s="304">
        <f t="shared" si="60"/>
        <v>12000</v>
      </c>
      <c r="AR100" s="185">
        <v>19</v>
      </c>
      <c r="AS100" s="308">
        <f t="shared" si="62"/>
        <v>1</v>
      </c>
      <c r="AT100" s="309">
        <f t="shared" si="62"/>
        <v>1</v>
      </c>
      <c r="AU100" s="309">
        <f t="shared" si="62"/>
        <v>1</v>
      </c>
      <c r="AV100" s="310">
        <f t="shared" si="62"/>
        <v>1</v>
      </c>
      <c r="AW100" s="308">
        <f t="shared" si="62"/>
        <v>1</v>
      </c>
      <c r="AX100" s="309">
        <f t="shared" si="62"/>
        <v>1</v>
      </c>
      <c r="AY100" s="309">
        <f t="shared" si="62"/>
        <v>1</v>
      </c>
      <c r="AZ100" s="310">
        <f t="shared" si="62"/>
        <v>1</v>
      </c>
      <c r="BA100" s="308" t="e">
        <f t="shared" si="62"/>
        <v>#DIV/0!</v>
      </c>
      <c r="BB100" s="309" t="e">
        <f t="shared" si="62"/>
        <v>#DIV/0!</v>
      </c>
      <c r="BC100" s="309" t="e">
        <f t="shared" si="62"/>
        <v>#DIV/0!</v>
      </c>
      <c r="BD100" s="310" t="e">
        <f t="shared" si="62"/>
        <v>#DIV/0!</v>
      </c>
      <c r="BE100" s="308" t="e">
        <f t="shared" si="62"/>
        <v>#DIV/0!</v>
      </c>
      <c r="BF100" s="309" t="e">
        <f t="shared" si="62"/>
        <v>#DIV/0!</v>
      </c>
      <c r="BG100" s="309" t="e">
        <f t="shared" si="62"/>
        <v>#DIV/0!</v>
      </c>
      <c r="BH100" s="310" t="e">
        <f t="shared" si="62"/>
        <v>#DIV/0!</v>
      </c>
      <c r="BI100" s="319" t="e">
        <f t="shared" si="56"/>
        <v>#DIV/0!</v>
      </c>
    </row>
    <row r="101" ht="18.75" customHeight="1" spans="2:61">
      <c r="B101" s="7"/>
      <c r="C101" s="25">
        <v>7</v>
      </c>
      <c r="D101" s="14">
        <v>0</v>
      </c>
      <c r="E101" s="14">
        <v>1</v>
      </c>
      <c r="F101" s="14">
        <v>1</v>
      </c>
      <c r="G101" s="9">
        <v>1</v>
      </c>
      <c r="H101" s="9">
        <v>1</v>
      </c>
      <c r="I101" s="14">
        <v>1</v>
      </c>
      <c r="J101" s="14">
        <v>1</v>
      </c>
      <c r="K101" s="9">
        <v>1</v>
      </c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3298.02</v>
      </c>
      <c r="AG101" s="292">
        <f>AF234</f>
        <v>5996.4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60"/>
        <v>151.980000000001</v>
      </c>
      <c r="AL101" s="304">
        <f t="shared" si="60"/>
        <v>1403.6</v>
      </c>
      <c r="AM101" s="304">
        <f t="shared" si="60"/>
        <v>9850</v>
      </c>
      <c r="AN101" s="304">
        <f t="shared" si="60"/>
        <v>12150</v>
      </c>
      <c r="AR101" s="185">
        <v>20</v>
      </c>
      <c r="AS101" s="308" t="str">
        <f t="shared" si="62"/>
        <v/>
      </c>
      <c r="AT101" s="309" t="str">
        <f t="shared" si="62"/>
        <v/>
      </c>
      <c r="AU101" s="309" t="str">
        <f t="shared" si="62"/>
        <v/>
      </c>
      <c r="AV101" s="310" t="str">
        <f t="shared" si="62"/>
        <v/>
      </c>
      <c r="AW101" s="308" t="str">
        <f t="shared" si="62"/>
        <v/>
      </c>
      <c r="AX101" s="309" t="str">
        <f t="shared" si="62"/>
        <v/>
      </c>
      <c r="AY101" s="309" t="str">
        <f t="shared" si="62"/>
        <v/>
      </c>
      <c r="AZ101" s="310" t="str">
        <f t="shared" si="62"/>
        <v/>
      </c>
      <c r="BA101" s="308" t="str">
        <f t="shared" si="62"/>
        <v/>
      </c>
      <c r="BB101" s="309" t="str">
        <f t="shared" si="62"/>
        <v/>
      </c>
      <c r="BC101" s="309" t="str">
        <f t="shared" si="62"/>
        <v/>
      </c>
      <c r="BD101" s="310" t="str">
        <f t="shared" si="62"/>
        <v/>
      </c>
      <c r="BE101" s="308" t="str">
        <f t="shared" si="62"/>
        <v/>
      </c>
      <c r="BF101" s="309" t="str">
        <f t="shared" si="62"/>
        <v/>
      </c>
      <c r="BG101" s="309" t="str">
        <f t="shared" si="62"/>
        <v/>
      </c>
      <c r="BH101" s="310" t="str">
        <f t="shared" si="62"/>
        <v/>
      </c>
      <c r="BI101" s="319" t="str">
        <f t="shared" si="56"/>
        <v/>
      </c>
    </row>
    <row r="102" ht="18.75" customHeight="1" spans="2:28">
      <c r="B102" s="7"/>
      <c r="C102" s="25">
        <v>8</v>
      </c>
      <c r="D102" s="14">
        <v>0</v>
      </c>
      <c r="E102" s="14">
        <v>1</v>
      </c>
      <c r="F102" s="14">
        <v>1</v>
      </c>
      <c r="G102" s="9">
        <v>1</v>
      </c>
      <c r="H102" s="9">
        <v>1</v>
      </c>
      <c r="I102" s="14">
        <v>1</v>
      </c>
      <c r="J102" s="14">
        <v>1</v>
      </c>
      <c r="K102" s="9">
        <v>1</v>
      </c>
      <c r="L102" s="10"/>
      <c r="X102" s="280" t="s">
        <v>55</v>
      </c>
      <c r="Y102" s="94">
        <f t="shared" ref="Y102:AB105" si="63">(AF76-CJ19)/AF76</f>
        <v>1</v>
      </c>
      <c r="Z102" s="94">
        <f t="shared" si="63"/>
        <v>0.437647495932814</v>
      </c>
      <c r="AA102" s="94">
        <f t="shared" si="63"/>
        <v>0.374820826220304</v>
      </c>
      <c r="AB102" s="94">
        <f t="shared" si="63"/>
        <v>0.306352470173081</v>
      </c>
    </row>
    <row r="103" ht="18.75" customHeight="1" spans="2:36">
      <c r="B103" s="7"/>
      <c r="C103" s="25">
        <v>9</v>
      </c>
      <c r="D103" s="14">
        <v>0</v>
      </c>
      <c r="E103" s="14">
        <v>1</v>
      </c>
      <c r="F103" s="14">
        <v>1</v>
      </c>
      <c r="G103" s="9">
        <v>1</v>
      </c>
      <c r="H103" s="9">
        <v>1</v>
      </c>
      <c r="I103" s="14">
        <v>1</v>
      </c>
      <c r="J103" s="14">
        <v>1</v>
      </c>
      <c r="K103" s="9">
        <v>1</v>
      </c>
      <c r="L103" s="10"/>
      <c r="X103" s="281" t="s">
        <v>56</v>
      </c>
      <c r="Y103" s="94">
        <f t="shared" si="63"/>
        <v>1</v>
      </c>
      <c r="Z103" s="94">
        <f t="shared" si="63"/>
        <v>0.449647495932815</v>
      </c>
      <c r="AA103" s="94">
        <f t="shared" si="63"/>
        <v>0.386548574911403</v>
      </c>
      <c r="AB103" s="94">
        <f t="shared" si="63"/>
        <v>0.317998039793334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>
        <v>0</v>
      </c>
      <c r="E104" s="14">
        <v>1</v>
      </c>
      <c r="F104" s="14">
        <v>1</v>
      </c>
      <c r="G104" s="9">
        <v>1</v>
      </c>
      <c r="H104" s="9">
        <v>1</v>
      </c>
      <c r="I104" s="14">
        <v>1</v>
      </c>
      <c r="J104" s="14">
        <v>1</v>
      </c>
      <c r="K104" s="9">
        <v>1</v>
      </c>
      <c r="L104" s="10"/>
      <c r="X104" s="281" t="s">
        <v>57</v>
      </c>
      <c r="Y104" s="94">
        <f t="shared" si="63"/>
        <v>1</v>
      </c>
      <c r="Z104" s="94">
        <f t="shared" si="63"/>
        <v>0.442538694730096</v>
      </c>
      <c r="AA104" s="94">
        <f t="shared" si="63"/>
        <v>0.366377087088487</v>
      </c>
      <c r="AB104" s="94">
        <f t="shared" si="63"/>
        <v>0.297856397629251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625007.634615384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>
        <v>0</v>
      </c>
      <c r="E105" s="14">
        <v>1</v>
      </c>
      <c r="F105" s="14">
        <v>1</v>
      </c>
      <c r="G105" s="9">
        <v>1</v>
      </c>
      <c r="H105" s="9">
        <v>1</v>
      </c>
      <c r="I105" s="14">
        <v>1</v>
      </c>
      <c r="J105" s="14">
        <v>1</v>
      </c>
      <c r="K105" s="9">
        <v>1</v>
      </c>
      <c r="L105" s="10"/>
      <c r="X105" s="281" t="s">
        <v>58</v>
      </c>
      <c r="Y105" s="94">
        <f t="shared" si="63"/>
        <v>1</v>
      </c>
      <c r="Z105" s="94">
        <f t="shared" si="63"/>
        <v>0.443315198855365</v>
      </c>
      <c r="AA105" s="94">
        <f t="shared" si="63"/>
        <v>0.374166384812579</v>
      </c>
      <c r="AB105" s="94">
        <f t="shared" si="63"/>
        <v>0.302409610827244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>
        <v>0</v>
      </c>
      <c r="E106" s="14">
        <v>1</v>
      </c>
      <c r="F106" s="14">
        <v>1</v>
      </c>
      <c r="G106" s="9">
        <v>1</v>
      </c>
      <c r="H106" s="9">
        <v>1</v>
      </c>
      <c r="I106" s="14">
        <v>1</v>
      </c>
      <c r="J106" s="14">
        <v>1</v>
      </c>
      <c r="K106" s="9">
        <v>1</v>
      </c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3556492.57961539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>
        <v>0</v>
      </c>
      <c r="E107" s="14">
        <v>1</v>
      </c>
      <c r="F107" s="14">
        <v>1</v>
      </c>
      <c r="G107" s="9">
        <v>1</v>
      </c>
      <c r="H107" s="9">
        <v>1</v>
      </c>
      <c r="I107" s="14">
        <v>1</v>
      </c>
      <c r="J107" s="14">
        <v>1</v>
      </c>
      <c r="K107" s="9">
        <v>1</v>
      </c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>
        <f>IF(AS82="","",AVERAGE(AS82:AV82)*$AR$130)</f>
        <v>0.15</v>
      </c>
      <c r="AU107" s="314">
        <f>IF(AW82="","",AVERAGE(AW82:AZ82)*$AR$130)</f>
        <v>0.15</v>
      </c>
      <c r="AV107" s="314" t="e">
        <f>IF(BA82="","",AVERAGE(BA82:BD82)*$AR$130)</f>
        <v>#DIV/0!</v>
      </c>
      <c r="AW107" s="314" t="e">
        <f>IF(BE82="","",AVERAGE(BE82:BH82)*$AR$130)</f>
        <v>#DIV/0!</v>
      </c>
      <c r="AX107" s="190">
        <v>1</v>
      </c>
      <c r="AY107" s="314" t="e">
        <f>IF(BI82="","",BI82*$AR$130)</f>
        <v>#DIV/0!</v>
      </c>
      <c r="AZ107" s="314" t="e">
        <f t="shared" ref="AZ107:BC126" si="64">AS183</f>
        <v>#DIV/0!</v>
      </c>
      <c r="BA107" s="314" t="e">
        <f t="shared" si="64"/>
        <v>#DIV/0!</v>
      </c>
      <c r="BB107" s="314" t="e">
        <f t="shared" si="64"/>
        <v>#DIV/0!</v>
      </c>
      <c r="BC107" s="314" t="e">
        <f t="shared" si="64"/>
        <v>#DIV/0!</v>
      </c>
      <c r="BD107" s="318"/>
      <c r="BE107" s="318"/>
      <c r="BF107" s="314" t="e">
        <f t="shared" ref="BF107:BF126" si="65">(BJ107-BL107-BI107)/0.607</f>
        <v>#DIV/0!</v>
      </c>
      <c r="BG107" s="314" t="e">
        <f t="shared" ref="BG107:BG126" si="66">SUM(AY107:BC107)</f>
        <v>#DIV/0!</v>
      </c>
      <c r="BH107" s="101"/>
      <c r="BI107" s="314" t="e">
        <f t="shared" ref="BI107:BI126" si="67">(BG107+0.5*BH107)*0.607</f>
        <v>#DIV/0!</v>
      </c>
      <c r="BJ107" s="323">
        <f t="shared" ref="BJ107:BJ126" si="68">K95</f>
        <v>1</v>
      </c>
      <c r="BK107" s="324"/>
      <c r="BL107" s="2">
        <f t="shared" ref="BL107:BL126" si="69">IF(I95&lt;E95,-0.1,0)</f>
        <v>0</v>
      </c>
    </row>
    <row r="108" ht="18.75" customHeight="1" spans="2:64">
      <c r="B108" s="7"/>
      <c r="C108" s="25">
        <v>14</v>
      </c>
      <c r="D108" s="14">
        <v>0</v>
      </c>
      <c r="E108" s="14">
        <v>1</v>
      </c>
      <c r="F108" s="14">
        <v>1</v>
      </c>
      <c r="G108" s="9">
        <v>1</v>
      </c>
      <c r="H108" s="9">
        <v>1</v>
      </c>
      <c r="I108" s="14">
        <v>1</v>
      </c>
      <c r="J108" s="14">
        <v>1</v>
      </c>
      <c r="K108" s="9">
        <v>1</v>
      </c>
      <c r="L108" s="10"/>
      <c r="X108" s="47" t="s">
        <v>55</v>
      </c>
      <c r="Y108" s="65">
        <f>IF(Y88*$Y$113-INT(Y88*$Y$113)&lt;0.5,INT(Y88*$Y$113),INT(Y88*$Y$113)+1)</f>
        <v>0</v>
      </c>
      <c r="Z108" s="65">
        <f>IF(Z88*$Z$113-INT(Z88*$Z$113)&lt;0.5,INT(Z88*$Z$113),INT(Z88*$Z$113)+1)</f>
        <v>2</v>
      </c>
      <c r="AA108" s="65">
        <f>IF(AA88*$AA$113-INT(AA88*$AA$113)&lt;0.5,INT(AA88*$AA$113),INT(AA88*$AA$113)+1)</f>
        <v>1</v>
      </c>
      <c r="AB108" s="65">
        <f>IF(AB88*$AB$113-INT(AB88*$AB$113)&lt;0.5,INT(AB88*$AB$113),INT(AB88*$AB$113)+1)</f>
        <v>1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>
        <f t="shared" ref="AT108:AT126" si="70">IF(AS83="","",AVERAGE(AS83:AV83)*$AR$130)</f>
        <v>0.15</v>
      </c>
      <c r="AU108" s="314">
        <f t="shared" ref="AU108:AU126" si="71">IF(AW83="","",AVERAGE(AW83:AZ83)*$AR$130)</f>
        <v>0.15</v>
      </c>
      <c r="AV108" s="314" t="e">
        <f t="shared" ref="AV108:AV126" si="72">IF(BA83="","",AVERAGE(BA83:BD83)*$AR$130)</f>
        <v>#DIV/0!</v>
      </c>
      <c r="AW108" s="314" t="e">
        <f t="shared" ref="AW108:AW126" si="73">IF(BE83="","",AVERAGE(BE83:BH83)*$AR$130)</f>
        <v>#DIV/0!</v>
      </c>
      <c r="AX108" s="190">
        <v>2</v>
      </c>
      <c r="AY108" s="314" t="e">
        <f t="shared" ref="AY108:AY126" si="74">IF(BI83="","",BI83*$AR$130)</f>
        <v>#DIV/0!</v>
      </c>
      <c r="AZ108" s="314" t="e">
        <f t="shared" si="64"/>
        <v>#DIV/0!</v>
      </c>
      <c r="BA108" s="314" t="e">
        <f t="shared" si="64"/>
        <v>#DIV/0!</v>
      </c>
      <c r="BB108" s="314" t="e">
        <f t="shared" si="64"/>
        <v>#DIV/0!</v>
      </c>
      <c r="BC108" s="314" t="e">
        <f t="shared" si="64"/>
        <v>#DIV/0!</v>
      </c>
      <c r="BD108" s="318"/>
      <c r="BE108" s="318"/>
      <c r="BF108" s="314" t="e">
        <f t="shared" si="65"/>
        <v>#DIV/0!</v>
      </c>
      <c r="BG108" s="314" t="e">
        <f t="shared" si="66"/>
        <v>#DIV/0!</v>
      </c>
      <c r="BH108" s="101"/>
      <c r="BI108" s="314" t="e">
        <f t="shared" si="67"/>
        <v>#DIV/0!</v>
      </c>
      <c r="BJ108" s="323">
        <f t="shared" si="68"/>
        <v>1</v>
      </c>
      <c r="BK108" s="324"/>
      <c r="BL108" s="2">
        <f t="shared" si="69"/>
        <v>0</v>
      </c>
    </row>
    <row r="109" ht="18.75" customHeight="1" spans="2:64">
      <c r="B109" s="7"/>
      <c r="C109" s="25">
        <v>15</v>
      </c>
      <c r="D109" s="14">
        <v>0</v>
      </c>
      <c r="E109" s="14">
        <v>1</v>
      </c>
      <c r="F109" s="14">
        <v>1</v>
      </c>
      <c r="G109" s="9">
        <v>1</v>
      </c>
      <c r="H109" s="9">
        <v>1</v>
      </c>
      <c r="I109" s="14">
        <v>1</v>
      </c>
      <c r="J109" s="14">
        <v>1</v>
      </c>
      <c r="K109" s="9">
        <v>1</v>
      </c>
      <c r="L109" s="10"/>
      <c r="X109" s="11" t="s">
        <v>56</v>
      </c>
      <c r="Y109" s="65">
        <f>IF(Y89*$Y$113-INT(Y89*$Y$113)&lt;0.5,INT(Y89*$Y$113),INT(Y89*$Y$113)+1)</f>
        <v>1</v>
      </c>
      <c r="Z109" s="65">
        <f>IF(Z89*$Z$113-INT(Z89*$Z$113)&lt;0.5,INT(Z89*$Z$113),INT(Z89*$Z$113)+1)</f>
        <v>2</v>
      </c>
      <c r="AA109" s="65">
        <f>IF(AA89*$AA$113-INT(AA89*$AA$113)&lt;0.5,INT(AA89*$AA$113),INT(AA89*$AA$113)+1)</f>
        <v>1</v>
      </c>
      <c r="AB109" s="65">
        <f>IF(AB89*$AB$113-INT(AB89*$AB$113)&lt;0.5,INT(AB89*$AB$113),INT(AB89*$AB$113)+1)</f>
        <v>1</v>
      </c>
      <c r="AC109" s="48"/>
      <c r="AK109" s="42" t="s">
        <v>239</v>
      </c>
      <c r="AL109" s="145">
        <f>AA20</f>
        <v>150</v>
      </c>
      <c r="AR109" s="313"/>
      <c r="AS109" s="190">
        <v>3</v>
      </c>
      <c r="AT109" s="314">
        <f t="shared" si="70"/>
        <v>0.15</v>
      </c>
      <c r="AU109" s="314">
        <f t="shared" si="71"/>
        <v>0.15</v>
      </c>
      <c r="AV109" s="314" t="e">
        <f t="shared" si="72"/>
        <v>#DIV/0!</v>
      </c>
      <c r="AW109" s="314" t="e">
        <f t="shared" si="73"/>
        <v>#DIV/0!</v>
      </c>
      <c r="AX109" s="190">
        <v>3</v>
      </c>
      <c r="AY109" s="314" t="e">
        <f t="shared" si="74"/>
        <v>#DIV/0!</v>
      </c>
      <c r="AZ109" s="314" t="e">
        <f t="shared" si="64"/>
        <v>#DIV/0!</v>
      </c>
      <c r="BA109" s="314" t="e">
        <f t="shared" si="64"/>
        <v>#DIV/0!</v>
      </c>
      <c r="BB109" s="314" t="e">
        <f t="shared" si="64"/>
        <v>#DIV/0!</v>
      </c>
      <c r="BC109" s="314" t="e">
        <f t="shared" si="64"/>
        <v>#DIV/0!</v>
      </c>
      <c r="BD109" s="318"/>
      <c r="BE109" s="318"/>
      <c r="BF109" s="314" t="e">
        <f t="shared" si="65"/>
        <v>#DIV/0!</v>
      </c>
      <c r="BG109" s="314" t="e">
        <f t="shared" si="66"/>
        <v>#DIV/0!</v>
      </c>
      <c r="BH109" s="101"/>
      <c r="BI109" s="314" t="e">
        <f t="shared" si="67"/>
        <v>#DIV/0!</v>
      </c>
      <c r="BJ109" s="323">
        <f t="shared" si="68"/>
        <v>1</v>
      </c>
      <c r="BK109" s="324"/>
      <c r="BL109" s="2">
        <f t="shared" si="69"/>
        <v>0</v>
      </c>
    </row>
    <row r="110" ht="18.75" customHeight="1" spans="2:64">
      <c r="B110" s="7"/>
      <c r="C110" s="25">
        <v>16</v>
      </c>
      <c r="D110" s="14">
        <v>0</v>
      </c>
      <c r="E110" s="14">
        <v>1</v>
      </c>
      <c r="F110" s="14">
        <v>1</v>
      </c>
      <c r="G110" s="9">
        <v>1</v>
      </c>
      <c r="H110" s="9">
        <v>1</v>
      </c>
      <c r="I110" s="14">
        <v>1</v>
      </c>
      <c r="J110" s="14">
        <v>1</v>
      </c>
      <c r="K110" s="9">
        <v>1</v>
      </c>
      <c r="L110" s="10"/>
      <c r="X110" s="11" t="s">
        <v>57</v>
      </c>
      <c r="Y110" s="65">
        <f>IF(Y90*$Y$113-INT(Y90*$Y$113)&lt;0.5,INT(Y90*$Y$113),INT(Y90*$Y$113)+1)</f>
        <v>1</v>
      </c>
      <c r="Z110" s="65">
        <f>IF(Z90*$Z$113-INT(Z90*$Z$113)&lt;0.5,INT(Z90*$Z$113),INT(Z90*$Z$113)+1)</f>
        <v>3</v>
      </c>
      <c r="AA110" s="65">
        <f>IF(AA90*$AA$113-INT(AA90*$AA$113)&lt;0.5,INT(AA90*$AA$113),INT(AA90*$AA$113)+1)</f>
        <v>2</v>
      </c>
      <c r="AB110" s="65">
        <f>IF(AB90*$AB$113-INT(AB90*$AB$113)&lt;0.5,INT(AB90*$AB$113),INT(AB90*$AB$113)+1)</f>
        <v>1</v>
      </c>
      <c r="AC110" s="48"/>
      <c r="AE110" s="42" t="s">
        <v>246</v>
      </c>
      <c r="AF110" s="65">
        <f>SUM(AF64:AF67)*比赛参数!D26/1300</f>
        <v>46.6923076923077</v>
      </c>
      <c r="AG110" s="65">
        <f>SUM(AG64:AG67)*比赛参数!E26/1300</f>
        <v>35.7692307692308</v>
      </c>
      <c r="AH110" s="65">
        <f>SUM(AH64:AH67)*比赛参数!F26/1300</f>
        <v>40.3384615384615</v>
      </c>
      <c r="AI110" s="65">
        <f>SUM(AI64:AI67)*比赛参数!G26/1300</f>
        <v>37.2</v>
      </c>
      <c r="AJ110" s="65">
        <f>SUM(AF110:AI110)</f>
        <v>160</v>
      </c>
      <c r="AK110" s="42" t="s">
        <v>246</v>
      </c>
      <c r="AL110" s="145">
        <f>SUM(AF110:AI110)</f>
        <v>160</v>
      </c>
      <c r="AR110" s="313"/>
      <c r="AS110" s="190">
        <v>4</v>
      </c>
      <c r="AT110" s="314">
        <f t="shared" si="70"/>
        <v>0.15</v>
      </c>
      <c r="AU110" s="314">
        <f t="shared" si="71"/>
        <v>0.15</v>
      </c>
      <c r="AV110" s="314" t="e">
        <f t="shared" si="72"/>
        <v>#DIV/0!</v>
      </c>
      <c r="AW110" s="314" t="e">
        <f t="shared" si="73"/>
        <v>#DIV/0!</v>
      </c>
      <c r="AX110" s="190">
        <v>4</v>
      </c>
      <c r="AY110" s="314" t="e">
        <f t="shared" si="74"/>
        <v>#DIV/0!</v>
      </c>
      <c r="AZ110" s="314" t="e">
        <f t="shared" si="64"/>
        <v>#DIV/0!</v>
      </c>
      <c r="BA110" s="314" t="e">
        <f t="shared" si="64"/>
        <v>#DIV/0!</v>
      </c>
      <c r="BB110" s="314" t="e">
        <f t="shared" si="64"/>
        <v>#DIV/0!</v>
      </c>
      <c r="BC110" s="314" t="e">
        <f t="shared" si="64"/>
        <v>#DIV/0!</v>
      </c>
      <c r="BD110" s="318"/>
      <c r="BE110" s="318"/>
      <c r="BF110" s="314" t="e">
        <f t="shared" si="65"/>
        <v>#DIV/0!</v>
      </c>
      <c r="BG110" s="314" t="e">
        <f t="shared" si="66"/>
        <v>#DIV/0!</v>
      </c>
      <c r="BH110" s="101"/>
      <c r="BI110" s="314" t="e">
        <f t="shared" si="67"/>
        <v>#DIV/0!</v>
      </c>
      <c r="BJ110" s="323">
        <f t="shared" si="68"/>
        <v>1</v>
      </c>
      <c r="BK110" s="324"/>
      <c r="BL110" s="2">
        <f t="shared" si="69"/>
        <v>0</v>
      </c>
    </row>
    <row r="111" ht="18.75" customHeight="1" spans="2:64">
      <c r="B111" s="7"/>
      <c r="C111" s="25">
        <v>17</v>
      </c>
      <c r="D111" s="14">
        <v>0</v>
      </c>
      <c r="E111" s="14">
        <v>1</v>
      </c>
      <c r="F111" s="14">
        <v>1</v>
      </c>
      <c r="G111" s="9">
        <v>1</v>
      </c>
      <c r="H111" s="9">
        <v>1</v>
      </c>
      <c r="I111" s="14">
        <v>1</v>
      </c>
      <c r="J111" s="14">
        <v>1</v>
      </c>
      <c r="K111" s="9">
        <v>1</v>
      </c>
      <c r="L111" s="10"/>
      <c r="X111" s="11" t="s">
        <v>58</v>
      </c>
      <c r="Y111" s="65">
        <f>IF(Y91*$Y$113-INT(Y91*$Y$113)&lt;0.5,INT(Y91*$Y$113),INT(Y91*$Y$113)+1)</f>
        <v>3</v>
      </c>
      <c r="Z111" s="65">
        <f>IF(Z91*$Z$113-INT(Z91*$Z$113)&lt;0.5,INT(Z91*$Z$113),INT(Z91*$Z$113)+1)</f>
        <v>3</v>
      </c>
      <c r="AA111" s="65">
        <f>IF(AA91*$AA$113-INT(AA91*$AA$113)&lt;0.5,INT(AA91*$AA$113),INT(AA91*$AA$113)+1)</f>
        <v>2</v>
      </c>
      <c r="AB111" s="65">
        <f>IF(AB91*$AB$113-INT(AB91*$AB$113)&lt;0.5,INT(AB91*$AB$113),INT(AB91*$AB$113)+1)</f>
        <v>1</v>
      </c>
      <c r="AC111" s="48"/>
      <c r="AE111" s="148" t="s">
        <v>253</v>
      </c>
      <c r="AF111" s="65">
        <f>(SUM(AF64:AF67)-SUM(AF104:AF107))*比赛参数!D26/1300</f>
        <v>46.6923076923077</v>
      </c>
      <c r="AG111" s="65">
        <f>(SUM(AG64:AG67)-SUM(AG104:AG107))*比赛参数!E26/1300</f>
        <v>35.7692307692308</v>
      </c>
      <c r="AH111" s="65">
        <f>(SUM(AH64:AH67)-SUM(AH104:AH107))*比赛参数!F26/1300</f>
        <v>40.3384615384615</v>
      </c>
      <c r="AI111" s="65">
        <f>(SUM(AI64:AI67)-SUM(AI104:AI107))*比赛参数!G26/1300</f>
        <v>37.2</v>
      </c>
      <c r="AJ111" s="65">
        <f>SUM(AF111:AI111)</f>
        <v>160</v>
      </c>
      <c r="AK111" s="148" t="s">
        <v>253</v>
      </c>
      <c r="AL111" s="145">
        <f>AJ111</f>
        <v>160</v>
      </c>
      <c r="AR111" s="313"/>
      <c r="AS111" s="190">
        <v>5</v>
      </c>
      <c r="AT111" s="314">
        <f t="shared" si="70"/>
        <v>0.15</v>
      </c>
      <c r="AU111" s="314">
        <f t="shared" si="71"/>
        <v>0.15</v>
      </c>
      <c r="AV111" s="314" t="e">
        <f t="shared" si="72"/>
        <v>#DIV/0!</v>
      </c>
      <c r="AW111" s="314" t="e">
        <f t="shared" si="73"/>
        <v>#DIV/0!</v>
      </c>
      <c r="AX111" s="190">
        <v>5</v>
      </c>
      <c r="AY111" s="314" t="e">
        <f t="shared" si="74"/>
        <v>#DIV/0!</v>
      </c>
      <c r="AZ111" s="314" t="e">
        <f t="shared" si="64"/>
        <v>#DIV/0!</v>
      </c>
      <c r="BA111" s="314" t="e">
        <f t="shared" si="64"/>
        <v>#DIV/0!</v>
      </c>
      <c r="BB111" s="314" t="e">
        <f t="shared" si="64"/>
        <v>#DIV/0!</v>
      </c>
      <c r="BC111" s="314" t="e">
        <f t="shared" si="64"/>
        <v>#DIV/0!</v>
      </c>
      <c r="BD111" s="318"/>
      <c r="BE111" s="318"/>
      <c r="BF111" s="314" t="e">
        <f t="shared" si="65"/>
        <v>#DIV/0!</v>
      </c>
      <c r="BG111" s="314" t="e">
        <f t="shared" si="66"/>
        <v>#DIV/0!</v>
      </c>
      <c r="BH111" s="101"/>
      <c r="BI111" s="314" t="e">
        <f t="shared" si="67"/>
        <v>#DIV/0!</v>
      </c>
      <c r="BJ111" s="323">
        <f t="shared" si="68"/>
        <v>1</v>
      </c>
      <c r="BK111" s="324"/>
      <c r="BL111" s="2">
        <f t="shared" si="69"/>
        <v>0</v>
      </c>
    </row>
    <row r="112" ht="18.75" customHeight="1" spans="2:64">
      <c r="B112" s="7"/>
      <c r="C112" s="25">
        <v>18</v>
      </c>
      <c r="D112" s="14">
        <v>0</v>
      </c>
      <c r="E112" s="14">
        <v>1</v>
      </c>
      <c r="F112" s="14">
        <v>1</v>
      </c>
      <c r="G112" s="9">
        <v>1</v>
      </c>
      <c r="H112" s="9">
        <v>1</v>
      </c>
      <c r="I112" s="14">
        <v>1</v>
      </c>
      <c r="J112" s="14">
        <v>1</v>
      </c>
      <c r="K112" s="9">
        <v>1</v>
      </c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>
        <f t="shared" si="70"/>
        <v>0.15</v>
      </c>
      <c r="AU112" s="314">
        <f t="shared" si="71"/>
        <v>0.15</v>
      </c>
      <c r="AV112" s="314" t="e">
        <f t="shared" si="72"/>
        <v>#DIV/0!</v>
      </c>
      <c r="AW112" s="314" t="e">
        <f t="shared" si="73"/>
        <v>#DIV/0!</v>
      </c>
      <c r="AX112" s="190">
        <v>6</v>
      </c>
      <c r="AY112" s="314" t="e">
        <f t="shared" si="74"/>
        <v>#DIV/0!</v>
      </c>
      <c r="AZ112" s="314" t="e">
        <f t="shared" si="64"/>
        <v>#DIV/0!</v>
      </c>
      <c r="BA112" s="314" t="e">
        <f t="shared" si="64"/>
        <v>#DIV/0!</v>
      </c>
      <c r="BB112" s="314" t="e">
        <f t="shared" si="64"/>
        <v>#DIV/0!</v>
      </c>
      <c r="BC112" s="314" t="e">
        <f t="shared" si="64"/>
        <v>#DIV/0!</v>
      </c>
      <c r="BD112" s="318"/>
      <c r="BE112" s="318"/>
      <c r="BF112" s="314" t="e">
        <f t="shared" si="65"/>
        <v>#DIV/0!</v>
      </c>
      <c r="BG112" s="314" t="e">
        <f t="shared" si="66"/>
        <v>#DIV/0!</v>
      </c>
      <c r="BH112" s="101"/>
      <c r="BI112" s="314" t="e">
        <f t="shared" si="67"/>
        <v>#DIV/0!</v>
      </c>
      <c r="BJ112" s="323">
        <f t="shared" si="68"/>
        <v>1</v>
      </c>
      <c r="BK112" s="324"/>
      <c r="BL112" s="2">
        <f t="shared" si="69"/>
        <v>0</v>
      </c>
    </row>
    <row r="113" ht="18.75" customHeight="1" spans="2:64">
      <c r="B113" s="7"/>
      <c r="C113" s="25">
        <v>19</v>
      </c>
      <c r="D113" s="14">
        <v>0</v>
      </c>
      <c r="E113" s="14">
        <v>1</v>
      </c>
      <c r="F113" s="14">
        <v>1</v>
      </c>
      <c r="G113" s="9">
        <v>1</v>
      </c>
      <c r="H113" s="9">
        <v>1</v>
      </c>
      <c r="I113" s="14">
        <v>1</v>
      </c>
      <c r="J113" s="14">
        <v>1</v>
      </c>
      <c r="K113" s="9">
        <v>1</v>
      </c>
      <c r="L113" s="10"/>
      <c r="X113" s="63" t="s">
        <v>110</v>
      </c>
      <c r="Y113" s="295">
        <f>Y122</f>
        <v>0.0479000000000001</v>
      </c>
      <c r="Z113" s="295">
        <f>Z122</f>
        <v>0.0479000000000001</v>
      </c>
      <c r="AA113" s="295">
        <f>AA122</f>
        <v>0.0479000000000001</v>
      </c>
      <c r="AB113" s="295">
        <f>AB122</f>
        <v>0.0479000000000001</v>
      </c>
      <c r="AC113" s="48"/>
      <c r="AR113" s="313"/>
      <c r="AS113" s="190">
        <v>7</v>
      </c>
      <c r="AT113" s="314">
        <f t="shared" si="70"/>
        <v>0.15</v>
      </c>
      <c r="AU113" s="314">
        <f t="shared" si="71"/>
        <v>0.15</v>
      </c>
      <c r="AV113" s="314" t="e">
        <f t="shared" si="72"/>
        <v>#DIV/0!</v>
      </c>
      <c r="AW113" s="314" t="e">
        <f t="shared" si="73"/>
        <v>#DIV/0!</v>
      </c>
      <c r="AX113" s="190">
        <v>7</v>
      </c>
      <c r="AY113" s="314" t="e">
        <f t="shared" si="74"/>
        <v>#DIV/0!</v>
      </c>
      <c r="AZ113" s="314" t="e">
        <f t="shared" si="64"/>
        <v>#DIV/0!</v>
      </c>
      <c r="BA113" s="314" t="e">
        <f t="shared" si="64"/>
        <v>#DIV/0!</v>
      </c>
      <c r="BB113" s="314" t="e">
        <f t="shared" si="64"/>
        <v>#DIV/0!</v>
      </c>
      <c r="BC113" s="314" t="e">
        <f t="shared" si="64"/>
        <v>#DIV/0!</v>
      </c>
      <c r="BD113" s="318"/>
      <c r="BE113" s="318"/>
      <c r="BF113" s="314" t="e">
        <f t="shared" si="65"/>
        <v>#DIV/0!</v>
      </c>
      <c r="BG113" s="314" t="e">
        <f t="shared" si="66"/>
        <v>#DIV/0!</v>
      </c>
      <c r="BH113" s="101"/>
      <c r="BI113" s="314" t="e">
        <f t="shared" si="67"/>
        <v>#DIV/0!</v>
      </c>
      <c r="BJ113" s="323">
        <f t="shared" si="68"/>
        <v>1</v>
      </c>
      <c r="BK113" s="324"/>
      <c r="BL113" s="2">
        <f t="shared" si="69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>
        <f t="shared" si="70"/>
        <v>0.15</v>
      </c>
      <c r="AU114" s="314">
        <f t="shared" si="71"/>
        <v>0.15</v>
      </c>
      <c r="AV114" s="314" t="e">
        <f t="shared" si="72"/>
        <v>#DIV/0!</v>
      </c>
      <c r="AW114" s="314" t="e">
        <f t="shared" si="73"/>
        <v>#DIV/0!</v>
      </c>
      <c r="AX114" s="190">
        <v>8</v>
      </c>
      <c r="AY114" s="314" t="e">
        <f t="shared" si="74"/>
        <v>#DIV/0!</v>
      </c>
      <c r="AZ114" s="314" t="e">
        <f t="shared" si="64"/>
        <v>#DIV/0!</v>
      </c>
      <c r="BA114" s="314" t="e">
        <f t="shared" si="64"/>
        <v>#DIV/0!</v>
      </c>
      <c r="BB114" s="314" t="e">
        <f t="shared" si="64"/>
        <v>#DIV/0!</v>
      </c>
      <c r="BC114" s="314" t="e">
        <f t="shared" si="64"/>
        <v>#DIV/0!</v>
      </c>
      <c r="BD114" s="318"/>
      <c r="BE114" s="318"/>
      <c r="BF114" s="314" t="e">
        <f t="shared" si="65"/>
        <v>#DIV/0!</v>
      </c>
      <c r="BG114" s="314" t="e">
        <f t="shared" si="66"/>
        <v>#DIV/0!</v>
      </c>
      <c r="BH114" s="101"/>
      <c r="BI114" s="314" t="e">
        <f t="shared" si="67"/>
        <v>#DIV/0!</v>
      </c>
      <c r="BJ114" s="323">
        <f t="shared" si="68"/>
        <v>1</v>
      </c>
      <c r="BK114" s="324"/>
      <c r="BL114" s="2">
        <f t="shared" si="69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>
        <f t="shared" si="70"/>
        <v>0.15</v>
      </c>
      <c r="AU115" s="314">
        <f t="shared" si="71"/>
        <v>0.15</v>
      </c>
      <c r="AV115" s="314" t="e">
        <f t="shared" si="72"/>
        <v>#DIV/0!</v>
      </c>
      <c r="AW115" s="314" t="e">
        <f t="shared" si="73"/>
        <v>#DIV/0!</v>
      </c>
      <c r="AX115" s="190">
        <v>9</v>
      </c>
      <c r="AY115" s="314" t="e">
        <f t="shared" si="74"/>
        <v>#DIV/0!</v>
      </c>
      <c r="AZ115" s="314" t="e">
        <f t="shared" si="64"/>
        <v>#DIV/0!</v>
      </c>
      <c r="BA115" s="314" t="e">
        <f t="shared" si="64"/>
        <v>#DIV/0!</v>
      </c>
      <c r="BB115" s="314" t="e">
        <f t="shared" si="64"/>
        <v>#DIV/0!</v>
      </c>
      <c r="BC115" s="314" t="e">
        <f t="shared" si="64"/>
        <v>#DIV/0!</v>
      </c>
      <c r="BD115" s="318"/>
      <c r="BE115" s="318"/>
      <c r="BF115" s="314" t="e">
        <f t="shared" si="65"/>
        <v>#DIV/0!</v>
      </c>
      <c r="BG115" s="314" t="e">
        <f t="shared" si="66"/>
        <v>#DIV/0!</v>
      </c>
      <c r="BH115" s="101"/>
      <c r="BI115" s="314" t="e">
        <f t="shared" si="67"/>
        <v>#DIV/0!</v>
      </c>
      <c r="BJ115" s="323">
        <f t="shared" si="68"/>
        <v>1</v>
      </c>
      <c r="BK115" s="324"/>
      <c r="BL115" s="2">
        <f t="shared" si="69"/>
        <v>0</v>
      </c>
    </row>
    <row r="116" ht="20.1" customHeight="1" spans="24:64">
      <c r="X116" s="47" t="s">
        <v>55</v>
      </c>
      <c r="Y116" s="296">
        <f>(AF76-CJ27-$AF$81-AK76)/(CJ27+$AF$81+AK76)</f>
        <v>4.47088866495586</v>
      </c>
      <c r="Z116" s="296">
        <f>(AG76-CK27-$AG$81-AK76)/(CK27+$AG$81+AK76)</f>
        <v>0.390069114994836</v>
      </c>
      <c r="AA116" s="296">
        <f>(AH76-CL27-$AH$81-AK76)/(CL27+$AH$81+AK76)</f>
        <v>0.258046946475384</v>
      </c>
      <c r="AB116" s="296">
        <f>(AI76-CM27-$AI$81-AK76)/(CM27+$AI$81+AK76)</f>
        <v>0.142073581272177</v>
      </c>
      <c r="AC116" s="48"/>
      <c r="AR116" s="313"/>
      <c r="AS116" s="190">
        <v>10</v>
      </c>
      <c r="AT116" s="314">
        <f t="shared" si="70"/>
        <v>0.15</v>
      </c>
      <c r="AU116" s="314">
        <f t="shared" si="71"/>
        <v>0.15</v>
      </c>
      <c r="AV116" s="314" t="e">
        <f t="shared" si="72"/>
        <v>#DIV/0!</v>
      </c>
      <c r="AW116" s="314" t="e">
        <f t="shared" si="73"/>
        <v>#DIV/0!</v>
      </c>
      <c r="AX116" s="190">
        <v>10</v>
      </c>
      <c r="AY116" s="314" t="e">
        <f t="shared" si="74"/>
        <v>#DIV/0!</v>
      </c>
      <c r="AZ116" s="314" t="e">
        <f t="shared" si="64"/>
        <v>#DIV/0!</v>
      </c>
      <c r="BA116" s="314" t="e">
        <f t="shared" si="64"/>
        <v>#DIV/0!</v>
      </c>
      <c r="BB116" s="314" t="e">
        <f t="shared" si="64"/>
        <v>#DIV/0!</v>
      </c>
      <c r="BC116" s="314" t="e">
        <f t="shared" si="64"/>
        <v>#DIV/0!</v>
      </c>
      <c r="BD116" s="318"/>
      <c r="BE116" s="318"/>
      <c r="BF116" s="314" t="e">
        <f t="shared" si="65"/>
        <v>#DIV/0!</v>
      </c>
      <c r="BG116" s="314" t="e">
        <f t="shared" si="66"/>
        <v>#DIV/0!</v>
      </c>
      <c r="BH116" s="101"/>
      <c r="BI116" s="314" t="e">
        <f t="shared" si="67"/>
        <v>#DIV/0!</v>
      </c>
      <c r="BJ116" s="323">
        <f t="shared" si="68"/>
        <v>1</v>
      </c>
      <c r="BK116" s="324"/>
      <c r="BL116" s="2">
        <f t="shared" si="69"/>
        <v>0</v>
      </c>
    </row>
    <row r="117" ht="20.1" customHeight="1" spans="24:64">
      <c r="X117" s="11" t="s">
        <v>56</v>
      </c>
      <c r="Y117" s="296">
        <f>(AF77-CJ28-$AF$81-AK77)/(CJ28+$AF$81+AK77)</f>
        <v>6.92169093151068</v>
      </c>
      <c r="Z117" s="296">
        <f>(AG77-CK28-$AG$81-AK77)/(CK28+$AG$81+AK77)</f>
        <v>0.453692018115668</v>
      </c>
      <c r="AA117" s="296">
        <f>(AH77-CL28-$AH$81-AK77)/(CL28+$AH$81+AK77)</f>
        <v>0.308288227562926</v>
      </c>
      <c r="AB117" s="296">
        <f>(AI77-CM28-$AI$81-AK77)/(CM28+$AI$81+AK77)</f>
        <v>0.188043600647953</v>
      </c>
      <c r="AC117" s="48"/>
      <c r="AR117" s="313"/>
      <c r="AS117" s="190">
        <v>11</v>
      </c>
      <c r="AT117" s="314">
        <f t="shared" si="70"/>
        <v>0.15</v>
      </c>
      <c r="AU117" s="314">
        <f t="shared" si="71"/>
        <v>0.15</v>
      </c>
      <c r="AV117" s="314" t="e">
        <f t="shared" si="72"/>
        <v>#DIV/0!</v>
      </c>
      <c r="AW117" s="314" t="e">
        <f t="shared" si="73"/>
        <v>#DIV/0!</v>
      </c>
      <c r="AX117" s="190">
        <v>11</v>
      </c>
      <c r="AY117" s="314" t="e">
        <f t="shared" si="74"/>
        <v>#DIV/0!</v>
      </c>
      <c r="AZ117" s="314" t="e">
        <f t="shared" si="64"/>
        <v>#DIV/0!</v>
      </c>
      <c r="BA117" s="314" t="e">
        <f t="shared" si="64"/>
        <v>#DIV/0!</v>
      </c>
      <c r="BB117" s="314" t="e">
        <f t="shared" si="64"/>
        <v>#DIV/0!</v>
      </c>
      <c r="BC117" s="314" t="e">
        <f t="shared" si="64"/>
        <v>#DIV/0!</v>
      </c>
      <c r="BD117" s="318"/>
      <c r="BE117" s="318"/>
      <c r="BF117" s="314" t="e">
        <f t="shared" si="65"/>
        <v>#DIV/0!</v>
      </c>
      <c r="BG117" s="314" t="e">
        <f t="shared" si="66"/>
        <v>#DIV/0!</v>
      </c>
      <c r="BH117" s="101"/>
      <c r="BI117" s="314" t="e">
        <f t="shared" si="67"/>
        <v>#DIV/0!</v>
      </c>
      <c r="BJ117" s="323">
        <f t="shared" si="68"/>
        <v>1</v>
      </c>
      <c r="BK117" s="324"/>
      <c r="BL117" s="2">
        <f t="shared" si="69"/>
        <v>0</v>
      </c>
    </row>
    <row r="118" ht="20.1" customHeight="1" spans="24:64">
      <c r="X118" s="11" t="s">
        <v>57</v>
      </c>
      <c r="Y118" s="296">
        <f>(AF78-CJ29-$AF$81-AK78)/(CJ29+$AF$81+AK78)</f>
        <v>4.2682786389697</v>
      </c>
      <c r="Z118" s="296">
        <f>(AG78-CK29-$AG$81-AK78)/(CK29+$AG$81+AK78)</f>
        <v>0.382211905883402</v>
      </c>
      <c r="AA118" s="296">
        <f>(AH78-CL29-$AH$81-AK78)/(CL29+$AH$81+AK78)</f>
        <v>0.234427775415124</v>
      </c>
      <c r="AB118" s="296">
        <f>(AI78-CM29-$AI$81-AK78)/(CM29+$AI$81+AK78)</f>
        <v>0.122254179121293</v>
      </c>
      <c r="AC118" s="48"/>
      <c r="AR118" s="313"/>
      <c r="AS118" s="190">
        <v>12</v>
      </c>
      <c r="AT118" s="314">
        <f t="shared" si="70"/>
        <v>0.15</v>
      </c>
      <c r="AU118" s="314">
        <f t="shared" si="71"/>
        <v>0.15</v>
      </c>
      <c r="AV118" s="314" t="e">
        <f t="shared" si="72"/>
        <v>#DIV/0!</v>
      </c>
      <c r="AW118" s="314" t="e">
        <f t="shared" si="73"/>
        <v>#DIV/0!</v>
      </c>
      <c r="AX118" s="190">
        <v>12</v>
      </c>
      <c r="AY118" s="314" t="e">
        <f t="shared" si="74"/>
        <v>#DIV/0!</v>
      </c>
      <c r="AZ118" s="314" t="e">
        <f t="shared" si="64"/>
        <v>#DIV/0!</v>
      </c>
      <c r="BA118" s="314" t="e">
        <f t="shared" si="64"/>
        <v>#DIV/0!</v>
      </c>
      <c r="BB118" s="314" t="e">
        <f t="shared" si="64"/>
        <v>#DIV/0!</v>
      </c>
      <c r="BC118" s="314" t="e">
        <f t="shared" si="64"/>
        <v>#DIV/0!</v>
      </c>
      <c r="BD118" s="318"/>
      <c r="BE118" s="318"/>
      <c r="BF118" s="314" t="e">
        <f t="shared" si="65"/>
        <v>#DIV/0!</v>
      </c>
      <c r="BG118" s="314" t="e">
        <f t="shared" si="66"/>
        <v>#DIV/0!</v>
      </c>
      <c r="BH118" s="101"/>
      <c r="BI118" s="314" t="e">
        <f t="shared" si="67"/>
        <v>#DIV/0!</v>
      </c>
      <c r="BJ118" s="323">
        <f t="shared" si="68"/>
        <v>1</v>
      </c>
      <c r="BK118" s="324"/>
      <c r="BL118" s="2">
        <f t="shared" si="69"/>
        <v>0</v>
      </c>
    </row>
    <row r="119" ht="20.1" customHeight="1" spans="24:64">
      <c r="X119" s="11" t="s">
        <v>58</v>
      </c>
      <c r="Y119" s="296">
        <f>(AF79-CJ30-$AF$81-AK79)/(CJ30+$AF$81+AK79)</f>
        <v>4.2605178692886</v>
      </c>
      <c r="Z119" s="296">
        <f>(AG79-CK30-$AG$81-AK79)/(CK30+$AG$81+AK79)</f>
        <v>0.367640747202247</v>
      </c>
      <c r="AA119" s="296">
        <f>(AH79-CL30-$AH$81-AK79)/(CL30+$AH$81+AK79)</f>
        <v>0.240493996932594</v>
      </c>
      <c r="AB119" s="296">
        <f>(AI79-CM30-$AI$81-AK79)/(CM30+$AI$81+AK79)</f>
        <v>0.125658232372652</v>
      </c>
      <c r="AC119" s="297"/>
      <c r="AR119" s="313"/>
      <c r="AS119" s="190">
        <v>13</v>
      </c>
      <c r="AT119" s="314">
        <f t="shared" si="70"/>
        <v>0.15</v>
      </c>
      <c r="AU119" s="314">
        <f t="shared" si="71"/>
        <v>0.15</v>
      </c>
      <c r="AV119" s="314" t="e">
        <f t="shared" si="72"/>
        <v>#DIV/0!</v>
      </c>
      <c r="AW119" s="314" t="e">
        <f t="shared" si="73"/>
        <v>#DIV/0!</v>
      </c>
      <c r="AX119" s="190">
        <v>13</v>
      </c>
      <c r="AY119" s="314" t="e">
        <f t="shared" si="74"/>
        <v>#DIV/0!</v>
      </c>
      <c r="AZ119" s="314" t="e">
        <f t="shared" si="64"/>
        <v>#DIV/0!</v>
      </c>
      <c r="BA119" s="314" t="e">
        <f t="shared" si="64"/>
        <v>#DIV/0!</v>
      </c>
      <c r="BB119" s="314" t="e">
        <f t="shared" si="64"/>
        <v>#DIV/0!</v>
      </c>
      <c r="BC119" s="314" t="e">
        <f t="shared" si="64"/>
        <v>#DIV/0!</v>
      </c>
      <c r="BD119" s="318"/>
      <c r="BE119" s="318"/>
      <c r="BF119" s="314" t="e">
        <f t="shared" si="65"/>
        <v>#DIV/0!</v>
      </c>
      <c r="BG119" s="314" t="e">
        <f t="shared" si="66"/>
        <v>#DIV/0!</v>
      </c>
      <c r="BH119" s="101"/>
      <c r="BI119" s="314" t="e">
        <f t="shared" si="67"/>
        <v>#DIV/0!</v>
      </c>
      <c r="BJ119" s="323">
        <f t="shared" si="68"/>
        <v>1</v>
      </c>
      <c r="BK119" s="324"/>
      <c r="BL119" s="2">
        <f t="shared" si="69"/>
        <v>0</v>
      </c>
    </row>
    <row r="120" ht="20.1" customHeight="1" spans="44:64">
      <c r="AR120" s="313"/>
      <c r="AS120" s="190">
        <v>14</v>
      </c>
      <c r="AT120" s="314">
        <f t="shared" si="70"/>
        <v>0.15</v>
      </c>
      <c r="AU120" s="314">
        <f t="shared" si="71"/>
        <v>0.15</v>
      </c>
      <c r="AV120" s="314" t="e">
        <f t="shared" si="72"/>
        <v>#DIV/0!</v>
      </c>
      <c r="AW120" s="314" t="e">
        <f t="shared" si="73"/>
        <v>#DIV/0!</v>
      </c>
      <c r="AX120" s="190">
        <v>14</v>
      </c>
      <c r="AY120" s="314" t="e">
        <f t="shared" si="74"/>
        <v>#DIV/0!</v>
      </c>
      <c r="AZ120" s="314" t="e">
        <f t="shared" si="64"/>
        <v>#DIV/0!</v>
      </c>
      <c r="BA120" s="314" t="e">
        <f t="shared" si="64"/>
        <v>#DIV/0!</v>
      </c>
      <c r="BB120" s="314" t="e">
        <f t="shared" si="64"/>
        <v>#DIV/0!</v>
      </c>
      <c r="BC120" s="314" t="e">
        <f t="shared" si="64"/>
        <v>#DIV/0!</v>
      </c>
      <c r="BD120" s="318"/>
      <c r="BE120" s="318"/>
      <c r="BF120" s="314" t="e">
        <f t="shared" si="65"/>
        <v>#DIV/0!</v>
      </c>
      <c r="BG120" s="314" t="e">
        <f t="shared" si="66"/>
        <v>#DIV/0!</v>
      </c>
      <c r="BH120" s="101"/>
      <c r="BI120" s="314" t="e">
        <f t="shared" si="67"/>
        <v>#DIV/0!</v>
      </c>
      <c r="BJ120" s="323">
        <f t="shared" si="68"/>
        <v>1</v>
      </c>
      <c r="BK120" s="324"/>
      <c r="BL120" s="2">
        <f t="shared" si="69"/>
        <v>0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>
        <f t="shared" si="70"/>
        <v>0.15</v>
      </c>
      <c r="AU121" s="314">
        <f t="shared" si="71"/>
        <v>0.15</v>
      </c>
      <c r="AV121" s="314" t="e">
        <f t="shared" si="72"/>
        <v>#DIV/0!</v>
      </c>
      <c r="AW121" s="314" t="e">
        <f t="shared" si="73"/>
        <v>#DIV/0!</v>
      </c>
      <c r="AX121" s="190">
        <v>15</v>
      </c>
      <c r="AY121" s="314" t="e">
        <f t="shared" si="74"/>
        <v>#DIV/0!</v>
      </c>
      <c r="AZ121" s="314" t="e">
        <f t="shared" si="64"/>
        <v>#DIV/0!</v>
      </c>
      <c r="BA121" s="314" t="e">
        <f t="shared" si="64"/>
        <v>#DIV/0!</v>
      </c>
      <c r="BB121" s="314" t="e">
        <f t="shared" si="64"/>
        <v>#DIV/0!</v>
      </c>
      <c r="BC121" s="314" t="e">
        <f t="shared" si="64"/>
        <v>#DIV/0!</v>
      </c>
      <c r="BD121" s="318"/>
      <c r="BE121" s="318"/>
      <c r="BF121" s="314" t="e">
        <f t="shared" si="65"/>
        <v>#DIV/0!</v>
      </c>
      <c r="BG121" s="314" t="e">
        <f t="shared" si="66"/>
        <v>#DIV/0!</v>
      </c>
      <c r="BH121" s="101"/>
      <c r="BI121" s="314" t="e">
        <f t="shared" si="67"/>
        <v>#DIV/0!</v>
      </c>
      <c r="BJ121" s="323">
        <f t="shared" si="68"/>
        <v>1</v>
      </c>
      <c r="BK121" s="324"/>
      <c r="BL121" s="2">
        <f t="shared" si="69"/>
        <v>0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0.0479000000000001</v>
      </c>
      <c r="Z122" s="299">
        <f>IF(1-(($AH$18-1)*Z125/10+0.95+(H43-0.95)*Z124)&gt;0,1-(($AH$18-1)*Z125/10+0.95+(H43-0.95)*Z124),0)</f>
        <v>0.0479000000000001</v>
      </c>
      <c r="AA122" s="299">
        <f>1-(($AH$18-1)*AA125/10+0.95+(H44-0.95)*AA124)</f>
        <v>0.0479000000000001</v>
      </c>
      <c r="AB122" s="299">
        <f>1-(($AH$18-1)*AB125/10+0.95+(H45-0.95)*AB124)</f>
        <v>0.0479000000000001</v>
      </c>
      <c r="AR122" s="313"/>
      <c r="AS122" s="190">
        <v>16</v>
      </c>
      <c r="AT122" s="314">
        <f t="shared" si="70"/>
        <v>0.15</v>
      </c>
      <c r="AU122" s="314">
        <f t="shared" si="71"/>
        <v>0.15</v>
      </c>
      <c r="AV122" s="314" t="e">
        <f t="shared" si="72"/>
        <v>#DIV/0!</v>
      </c>
      <c r="AW122" s="314" t="e">
        <f t="shared" si="73"/>
        <v>#DIV/0!</v>
      </c>
      <c r="AX122" s="190">
        <v>16</v>
      </c>
      <c r="AY122" s="314" t="e">
        <f t="shared" si="74"/>
        <v>#DIV/0!</v>
      </c>
      <c r="AZ122" s="314" t="e">
        <f t="shared" si="64"/>
        <v>#DIV/0!</v>
      </c>
      <c r="BA122" s="314" t="e">
        <f t="shared" si="64"/>
        <v>#DIV/0!</v>
      </c>
      <c r="BB122" s="314" t="e">
        <f t="shared" si="64"/>
        <v>#DIV/0!</v>
      </c>
      <c r="BC122" s="314" t="e">
        <f t="shared" si="64"/>
        <v>#DIV/0!</v>
      </c>
      <c r="BD122" s="318"/>
      <c r="BE122" s="318"/>
      <c r="BF122" s="314" t="e">
        <f t="shared" si="65"/>
        <v>#DIV/0!</v>
      </c>
      <c r="BG122" s="314" t="e">
        <f t="shared" si="66"/>
        <v>#DIV/0!</v>
      </c>
      <c r="BH122" s="101"/>
      <c r="BI122" s="314" t="e">
        <f t="shared" si="67"/>
        <v>#DIV/0!</v>
      </c>
      <c r="BJ122" s="323">
        <f t="shared" si="68"/>
        <v>1</v>
      </c>
      <c r="BK122" s="324"/>
      <c r="BL122" s="2">
        <f t="shared" si="69"/>
        <v>0</v>
      </c>
    </row>
    <row r="123" ht="20.1" customHeight="1" spans="24:64">
      <c r="X123" s="282" t="s">
        <v>113</v>
      </c>
      <c r="Y123" s="299">
        <f>1-Y122</f>
        <v>0.9521</v>
      </c>
      <c r="Z123" s="299">
        <f>1-Z122</f>
        <v>0.9521</v>
      </c>
      <c r="AA123" s="299">
        <f>1-AA122</f>
        <v>0.9521</v>
      </c>
      <c r="AB123" s="299">
        <f>1-AB122</f>
        <v>0.9521</v>
      </c>
      <c r="AR123" s="313"/>
      <c r="AS123" s="190">
        <v>17</v>
      </c>
      <c r="AT123" s="314">
        <f t="shared" si="70"/>
        <v>0.15</v>
      </c>
      <c r="AU123" s="314">
        <f t="shared" si="71"/>
        <v>0.15</v>
      </c>
      <c r="AV123" s="314" t="e">
        <f t="shared" si="72"/>
        <v>#DIV/0!</v>
      </c>
      <c r="AW123" s="314" t="e">
        <f t="shared" si="73"/>
        <v>#DIV/0!</v>
      </c>
      <c r="AX123" s="190">
        <v>17</v>
      </c>
      <c r="AY123" s="314" t="e">
        <f t="shared" si="74"/>
        <v>#DIV/0!</v>
      </c>
      <c r="AZ123" s="314" t="e">
        <f t="shared" si="64"/>
        <v>#DIV/0!</v>
      </c>
      <c r="BA123" s="314" t="e">
        <f t="shared" si="64"/>
        <v>#DIV/0!</v>
      </c>
      <c r="BB123" s="314" t="e">
        <f t="shared" si="64"/>
        <v>#DIV/0!</v>
      </c>
      <c r="BC123" s="314" t="e">
        <f t="shared" si="64"/>
        <v>#DIV/0!</v>
      </c>
      <c r="BD123" s="318"/>
      <c r="BE123" s="318"/>
      <c r="BF123" s="314" t="e">
        <f t="shared" si="65"/>
        <v>#DIV/0!</v>
      </c>
      <c r="BG123" s="314" t="e">
        <f t="shared" si="66"/>
        <v>#DIV/0!</v>
      </c>
      <c r="BH123" s="101"/>
      <c r="BI123" s="314" t="e">
        <f t="shared" si="67"/>
        <v>#DIV/0!</v>
      </c>
      <c r="BJ123" s="323">
        <f t="shared" si="68"/>
        <v>1</v>
      </c>
      <c r="BK123" s="324"/>
      <c r="BL123" s="2">
        <f t="shared" si="69"/>
        <v>0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>
        <f t="shared" si="70"/>
        <v>0.15</v>
      </c>
      <c r="AU124" s="314">
        <f t="shared" si="71"/>
        <v>0.15</v>
      </c>
      <c r="AV124" s="314" t="e">
        <f t="shared" si="72"/>
        <v>#DIV/0!</v>
      </c>
      <c r="AW124" s="314" t="e">
        <f t="shared" si="73"/>
        <v>#DIV/0!</v>
      </c>
      <c r="AX124" s="190">
        <v>18</v>
      </c>
      <c r="AY124" s="314" t="e">
        <f t="shared" si="74"/>
        <v>#DIV/0!</v>
      </c>
      <c r="AZ124" s="314" t="e">
        <f t="shared" si="64"/>
        <v>#DIV/0!</v>
      </c>
      <c r="BA124" s="314" t="e">
        <f t="shared" si="64"/>
        <v>#DIV/0!</v>
      </c>
      <c r="BB124" s="314" t="e">
        <f t="shared" si="64"/>
        <v>#DIV/0!</v>
      </c>
      <c r="BC124" s="314" t="e">
        <f t="shared" si="64"/>
        <v>#DIV/0!</v>
      </c>
      <c r="BD124" s="318"/>
      <c r="BE124" s="318"/>
      <c r="BF124" s="314" t="e">
        <f t="shared" si="65"/>
        <v>#DIV/0!</v>
      </c>
      <c r="BG124" s="314" t="e">
        <f t="shared" si="66"/>
        <v>#DIV/0!</v>
      </c>
      <c r="BH124" s="101"/>
      <c r="BI124" s="314" t="e">
        <f t="shared" si="67"/>
        <v>#DIV/0!</v>
      </c>
      <c r="BJ124" s="323">
        <f t="shared" si="68"/>
        <v>1</v>
      </c>
      <c r="BK124" s="324"/>
      <c r="BL124" s="2">
        <f t="shared" si="69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>
        <f t="shared" si="70"/>
        <v>0.15</v>
      </c>
      <c r="AU125" s="314">
        <f t="shared" si="71"/>
        <v>0.15</v>
      </c>
      <c r="AV125" s="314" t="e">
        <f t="shared" si="72"/>
        <v>#DIV/0!</v>
      </c>
      <c r="AW125" s="314" t="e">
        <f t="shared" si="73"/>
        <v>#DIV/0!</v>
      </c>
      <c r="AX125" s="190">
        <v>19</v>
      </c>
      <c r="AY125" s="314" t="e">
        <f t="shared" si="74"/>
        <v>#DIV/0!</v>
      </c>
      <c r="AZ125" s="314" t="e">
        <f t="shared" si="64"/>
        <v>#DIV/0!</v>
      </c>
      <c r="BA125" s="314" t="e">
        <f t="shared" si="64"/>
        <v>#DIV/0!</v>
      </c>
      <c r="BB125" s="314" t="e">
        <f t="shared" si="64"/>
        <v>#DIV/0!</v>
      </c>
      <c r="BC125" s="314" t="e">
        <f t="shared" si="64"/>
        <v>#DIV/0!</v>
      </c>
      <c r="BD125" s="318"/>
      <c r="BE125" s="318"/>
      <c r="BF125" s="314" t="e">
        <f t="shared" si="65"/>
        <v>#DIV/0!</v>
      </c>
      <c r="BG125" s="314" t="e">
        <f t="shared" si="66"/>
        <v>#DIV/0!</v>
      </c>
      <c r="BH125" s="101"/>
      <c r="BI125" s="314" t="e">
        <f t="shared" si="67"/>
        <v>#DIV/0!</v>
      </c>
      <c r="BJ125" s="323">
        <f t="shared" si="68"/>
        <v>1</v>
      </c>
      <c r="BK125" s="324"/>
      <c r="BL125" s="2">
        <f t="shared" si="69"/>
        <v>0</v>
      </c>
    </row>
    <row r="126" ht="20.1" customHeight="1" spans="44:64">
      <c r="AR126" s="313"/>
      <c r="AS126" s="190">
        <v>20</v>
      </c>
      <c r="AT126" s="314" t="str">
        <f t="shared" si="70"/>
        <v/>
      </c>
      <c r="AU126" s="314" t="str">
        <f t="shared" si="71"/>
        <v/>
      </c>
      <c r="AV126" s="314" t="str">
        <f t="shared" si="72"/>
        <v/>
      </c>
      <c r="AW126" s="314" t="str">
        <f t="shared" si="73"/>
        <v/>
      </c>
      <c r="AX126" s="190">
        <v>20</v>
      </c>
      <c r="AY126" s="314" t="str">
        <f t="shared" si="74"/>
        <v/>
      </c>
      <c r="AZ126" s="314" t="str">
        <f t="shared" si="64"/>
        <v/>
      </c>
      <c r="BA126" s="314" t="str">
        <f t="shared" si="64"/>
        <v/>
      </c>
      <c r="BB126" s="314" t="str">
        <f t="shared" si="64"/>
        <v/>
      </c>
      <c r="BC126" s="314" t="str">
        <f t="shared" si="64"/>
        <v/>
      </c>
      <c r="BD126" s="318"/>
      <c r="BE126" s="318"/>
      <c r="BF126" s="314">
        <f t="shared" si="65"/>
        <v>0</v>
      </c>
      <c r="BG126" s="314">
        <f t="shared" si="66"/>
        <v>0</v>
      </c>
      <c r="BH126" s="101"/>
      <c r="BI126" s="314">
        <f t="shared" si="67"/>
        <v>0</v>
      </c>
      <c r="BJ126" s="323">
        <f t="shared" si="68"/>
        <v>0</v>
      </c>
      <c r="BK126" s="324"/>
      <c r="BL126" s="2">
        <f t="shared" si="69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143</v>
      </c>
      <c r="AC130" s="338">
        <f>AF65</f>
        <v>144</v>
      </c>
      <c r="AD130" s="338">
        <f>AF66</f>
        <v>179</v>
      </c>
      <c r="AE130" s="338">
        <f>AF67</f>
        <v>141</v>
      </c>
      <c r="AH130" s="101"/>
      <c r="AI130" s="101"/>
      <c r="AJ130" s="101"/>
      <c r="AK130" s="101"/>
      <c r="AL130" s="338">
        <f>AG64</f>
        <v>38</v>
      </c>
      <c r="AM130" s="338">
        <f>AG65</f>
        <v>37</v>
      </c>
      <c r="AN130" s="338">
        <f>AG66</f>
        <v>57</v>
      </c>
      <c r="AO130" s="338">
        <f>AG67</f>
        <v>54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5">D50</f>
        <v>3100</v>
      </c>
      <c r="Y131" s="335">
        <f t="shared" si="75"/>
        <v>3100</v>
      </c>
      <c r="Z131" s="335">
        <f t="shared" si="75"/>
        <v>3300</v>
      </c>
      <c r="AA131" s="335">
        <f t="shared" si="75"/>
        <v>3300</v>
      </c>
      <c r="AB131" s="339">
        <f t="shared" ref="AB131:AE150" si="76">INT(Y$232*D73+0.5)</f>
        <v>79</v>
      </c>
      <c r="AC131" s="339">
        <f t="shared" si="76"/>
        <v>80</v>
      </c>
      <c r="AD131" s="339">
        <f t="shared" si="76"/>
        <v>115</v>
      </c>
      <c r="AE131" s="339">
        <f t="shared" si="76"/>
        <v>123</v>
      </c>
      <c r="AF131" s="334" t="s">
        <v>403</v>
      </c>
      <c r="AG131" s="11">
        <v>1</v>
      </c>
      <c r="AH131" s="340">
        <f t="shared" ref="AH131:AK150" si="77">H50</f>
        <v>5800</v>
      </c>
      <c r="AI131" s="340">
        <f t="shared" si="77"/>
        <v>5800</v>
      </c>
      <c r="AJ131" s="340">
        <f t="shared" si="77"/>
        <v>6000</v>
      </c>
      <c r="AK131" s="340">
        <f t="shared" si="77"/>
        <v>6000</v>
      </c>
      <c r="AL131" s="341">
        <f t="shared" ref="AL131:AO150" si="78">INT(AC$232*H73+0.5)</f>
        <v>57</v>
      </c>
      <c r="AM131" s="341">
        <f t="shared" si="78"/>
        <v>57</v>
      </c>
      <c r="AN131" s="341">
        <f t="shared" si="78"/>
        <v>75</v>
      </c>
      <c r="AO131" s="341">
        <f t="shared" si="78"/>
        <v>73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5"/>
        <v>3100</v>
      </c>
      <c r="Y132" s="335">
        <f t="shared" si="75"/>
        <v>3100</v>
      </c>
      <c r="Z132" s="335">
        <f t="shared" si="75"/>
        <v>3300</v>
      </c>
      <c r="AA132" s="335">
        <f t="shared" si="75"/>
        <v>3300</v>
      </c>
      <c r="AB132" s="339">
        <f t="shared" si="76"/>
        <v>79</v>
      </c>
      <c r="AC132" s="339">
        <f t="shared" si="76"/>
        <v>80</v>
      </c>
      <c r="AD132" s="339">
        <f t="shared" si="76"/>
        <v>115</v>
      </c>
      <c r="AE132" s="339">
        <f t="shared" si="76"/>
        <v>123</v>
      </c>
      <c r="AF132" s="336"/>
      <c r="AG132" s="11">
        <v>2</v>
      </c>
      <c r="AH132" s="340">
        <f t="shared" si="77"/>
        <v>5800</v>
      </c>
      <c r="AI132" s="340">
        <f t="shared" si="77"/>
        <v>5800</v>
      </c>
      <c r="AJ132" s="340">
        <f t="shared" si="77"/>
        <v>6000</v>
      </c>
      <c r="AK132" s="340">
        <f t="shared" si="77"/>
        <v>6000</v>
      </c>
      <c r="AL132" s="341">
        <f t="shared" si="78"/>
        <v>57</v>
      </c>
      <c r="AM132" s="341">
        <f t="shared" si="78"/>
        <v>57</v>
      </c>
      <c r="AN132" s="341">
        <f t="shared" si="78"/>
        <v>75</v>
      </c>
      <c r="AO132" s="341">
        <f t="shared" si="78"/>
        <v>73</v>
      </c>
      <c r="AR132" s="190">
        <v>1</v>
      </c>
      <c r="AS132" s="345">
        <f>IF(F95="","",F95)</f>
        <v>1</v>
      </c>
      <c r="AT132" s="346">
        <f>IF(G95="","",G95)</f>
        <v>1</v>
      </c>
      <c r="AU132" s="346">
        <f>IF(H95="","",H95)</f>
        <v>1</v>
      </c>
      <c r="AV132" s="346">
        <f>IF(J95="","",J95)</f>
        <v>1</v>
      </c>
      <c r="AW132" s="350"/>
      <c r="AX132" s="155"/>
      <c r="AY132" s="346">
        <f>IF(AU132="","",AU132+AX132)</f>
        <v>1</v>
      </c>
      <c r="AZ132" s="346">
        <f>IF(AV132="","",AV132-AX132)</f>
        <v>1</v>
      </c>
      <c r="BA132" s="190">
        <v>1</v>
      </c>
      <c r="BB132" s="351" t="e">
        <f t="shared" ref="BB132:BC151" si="79">(AY132-AY$153)/AY$178*BB$130</f>
        <v>#DIV/0!</v>
      </c>
      <c r="BC132" s="318" t="e">
        <f t="shared" si="79"/>
        <v>#DIV/0!</v>
      </c>
      <c r="BD132" s="352" t="e">
        <f t="shared" ref="BD132:BD151" si="80">BB132+BC132</f>
        <v>#DIV/0!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5"/>
        <v>3100</v>
      </c>
      <c r="Y133" s="335">
        <f t="shared" si="75"/>
        <v>3100</v>
      </c>
      <c r="Z133" s="335">
        <f t="shared" si="75"/>
        <v>3300</v>
      </c>
      <c r="AA133" s="335">
        <f t="shared" si="75"/>
        <v>3300</v>
      </c>
      <c r="AB133" s="339">
        <f t="shared" si="76"/>
        <v>79</v>
      </c>
      <c r="AC133" s="339">
        <f t="shared" si="76"/>
        <v>80</v>
      </c>
      <c r="AD133" s="339">
        <f t="shared" si="76"/>
        <v>115</v>
      </c>
      <c r="AE133" s="339">
        <f t="shared" si="76"/>
        <v>123</v>
      </c>
      <c r="AF133" s="336"/>
      <c r="AG133" s="11">
        <v>3</v>
      </c>
      <c r="AH133" s="340">
        <f t="shared" si="77"/>
        <v>5800</v>
      </c>
      <c r="AI133" s="340">
        <f t="shared" si="77"/>
        <v>5800</v>
      </c>
      <c r="AJ133" s="340">
        <f t="shared" si="77"/>
        <v>6000</v>
      </c>
      <c r="AK133" s="340">
        <f t="shared" si="77"/>
        <v>6000</v>
      </c>
      <c r="AL133" s="341">
        <f t="shared" si="78"/>
        <v>57</v>
      </c>
      <c r="AM133" s="341">
        <f t="shared" si="78"/>
        <v>57</v>
      </c>
      <c r="AN133" s="341">
        <f t="shared" si="78"/>
        <v>75</v>
      </c>
      <c r="AO133" s="341">
        <f t="shared" si="78"/>
        <v>73</v>
      </c>
      <c r="AR133" s="190">
        <v>2</v>
      </c>
      <c r="AS133" s="346">
        <f t="shared" ref="AS133:AU148" si="81">IF(F96="","",F96)</f>
        <v>1</v>
      </c>
      <c r="AT133" s="346">
        <f t="shared" si="81"/>
        <v>1</v>
      </c>
      <c r="AU133" s="346">
        <f t="shared" si="81"/>
        <v>1</v>
      </c>
      <c r="AV133" s="346">
        <f t="shared" ref="AV133:AV151" si="82">IF(J96="","",J96)</f>
        <v>1</v>
      </c>
      <c r="AX133" s="155"/>
      <c r="AY133" s="346">
        <f t="shared" ref="AY133:AY151" si="83">IF(AU133="","",AU133+AX133)</f>
        <v>1</v>
      </c>
      <c r="AZ133" s="346">
        <f t="shared" ref="AZ133:AZ151" si="84">IF(AV133="","",AV133-AX133)</f>
        <v>1</v>
      </c>
      <c r="BA133" s="190">
        <v>2</v>
      </c>
      <c r="BB133" s="351" t="e">
        <f t="shared" si="79"/>
        <v>#DIV/0!</v>
      </c>
      <c r="BC133" s="318" t="e">
        <f t="shared" si="79"/>
        <v>#DIV/0!</v>
      </c>
      <c r="BD133" s="352" t="e">
        <f t="shared" si="80"/>
        <v>#DIV/0!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5"/>
        <v>3100</v>
      </c>
      <c r="Y134" s="335">
        <f t="shared" si="75"/>
        <v>3100</v>
      </c>
      <c r="Z134" s="335">
        <f t="shared" si="75"/>
        <v>3300</v>
      </c>
      <c r="AA134" s="335">
        <f t="shared" si="75"/>
        <v>3300</v>
      </c>
      <c r="AB134" s="339">
        <f t="shared" si="76"/>
        <v>79</v>
      </c>
      <c r="AC134" s="339">
        <f t="shared" si="76"/>
        <v>80</v>
      </c>
      <c r="AD134" s="339">
        <f t="shared" si="76"/>
        <v>115</v>
      </c>
      <c r="AE134" s="339">
        <f t="shared" si="76"/>
        <v>123</v>
      </c>
      <c r="AF134" s="336"/>
      <c r="AG134" s="11">
        <v>4</v>
      </c>
      <c r="AH134" s="340">
        <f t="shared" si="77"/>
        <v>5800</v>
      </c>
      <c r="AI134" s="340">
        <f t="shared" si="77"/>
        <v>5800</v>
      </c>
      <c r="AJ134" s="340">
        <f t="shared" si="77"/>
        <v>6000</v>
      </c>
      <c r="AK134" s="340">
        <f t="shared" si="77"/>
        <v>6000</v>
      </c>
      <c r="AL134" s="341">
        <f t="shared" si="78"/>
        <v>57</v>
      </c>
      <c r="AM134" s="341">
        <f t="shared" si="78"/>
        <v>57</v>
      </c>
      <c r="AN134" s="341">
        <f t="shared" si="78"/>
        <v>75</v>
      </c>
      <c r="AO134" s="341">
        <f t="shared" si="78"/>
        <v>73</v>
      </c>
      <c r="AR134" s="190">
        <v>3</v>
      </c>
      <c r="AS134" s="346">
        <f t="shared" si="81"/>
        <v>1</v>
      </c>
      <c r="AT134" s="346">
        <f t="shared" si="81"/>
        <v>1</v>
      </c>
      <c r="AU134" s="346">
        <f t="shared" si="81"/>
        <v>1</v>
      </c>
      <c r="AV134" s="346">
        <f t="shared" si="82"/>
        <v>1</v>
      </c>
      <c r="AX134" s="155"/>
      <c r="AY134" s="346">
        <f t="shared" si="83"/>
        <v>1</v>
      </c>
      <c r="AZ134" s="346">
        <f t="shared" si="84"/>
        <v>1</v>
      </c>
      <c r="BA134" s="190">
        <v>3</v>
      </c>
      <c r="BB134" s="351" t="e">
        <f t="shared" si="79"/>
        <v>#DIV/0!</v>
      </c>
      <c r="BC134" s="318" t="e">
        <f t="shared" si="79"/>
        <v>#DIV/0!</v>
      </c>
      <c r="BD134" s="352" t="e">
        <f t="shared" si="80"/>
        <v>#DIV/0!</v>
      </c>
    </row>
    <row r="135" ht="20.1" customHeight="1" spans="22:56">
      <c r="V135" s="336"/>
      <c r="W135" s="11">
        <v>5</v>
      </c>
      <c r="X135" s="335">
        <f t="shared" si="75"/>
        <v>3100</v>
      </c>
      <c r="Y135" s="335">
        <f t="shared" si="75"/>
        <v>3100</v>
      </c>
      <c r="Z135" s="335">
        <f t="shared" si="75"/>
        <v>3300</v>
      </c>
      <c r="AA135" s="335">
        <f t="shared" si="75"/>
        <v>3300</v>
      </c>
      <c r="AB135" s="339">
        <f t="shared" si="76"/>
        <v>79</v>
      </c>
      <c r="AC135" s="339">
        <f t="shared" si="76"/>
        <v>80</v>
      </c>
      <c r="AD135" s="339">
        <f t="shared" si="76"/>
        <v>115</v>
      </c>
      <c r="AE135" s="339">
        <f t="shared" si="76"/>
        <v>123</v>
      </c>
      <c r="AF135" s="336"/>
      <c r="AG135" s="11">
        <v>5</v>
      </c>
      <c r="AH135" s="340">
        <f t="shared" si="77"/>
        <v>5800</v>
      </c>
      <c r="AI135" s="340">
        <f t="shared" si="77"/>
        <v>5800</v>
      </c>
      <c r="AJ135" s="340">
        <f t="shared" si="77"/>
        <v>6000</v>
      </c>
      <c r="AK135" s="340">
        <f t="shared" si="77"/>
        <v>6000</v>
      </c>
      <c r="AL135" s="341">
        <f t="shared" si="78"/>
        <v>57</v>
      </c>
      <c r="AM135" s="341">
        <f t="shared" si="78"/>
        <v>57</v>
      </c>
      <c r="AN135" s="341">
        <f t="shared" si="78"/>
        <v>75</v>
      </c>
      <c r="AO135" s="341">
        <f t="shared" si="78"/>
        <v>73</v>
      </c>
      <c r="AR135" s="190">
        <v>4</v>
      </c>
      <c r="AS135" s="346">
        <f t="shared" si="81"/>
        <v>1</v>
      </c>
      <c r="AT135" s="346">
        <f t="shared" si="81"/>
        <v>1</v>
      </c>
      <c r="AU135" s="346">
        <f t="shared" si="81"/>
        <v>1</v>
      </c>
      <c r="AV135" s="346">
        <f t="shared" si="82"/>
        <v>1</v>
      </c>
      <c r="AX135" s="155"/>
      <c r="AY135" s="346">
        <f t="shared" si="83"/>
        <v>1</v>
      </c>
      <c r="AZ135" s="346">
        <f t="shared" si="84"/>
        <v>1</v>
      </c>
      <c r="BA135" s="190">
        <v>4</v>
      </c>
      <c r="BB135" s="351" t="e">
        <f t="shared" si="79"/>
        <v>#DIV/0!</v>
      </c>
      <c r="BC135" s="318" t="e">
        <f t="shared" si="79"/>
        <v>#DIV/0!</v>
      </c>
      <c r="BD135" s="352" t="e">
        <f t="shared" si="80"/>
        <v>#DIV/0!</v>
      </c>
    </row>
    <row r="136" ht="20.1" customHeight="1" spans="22:56">
      <c r="V136" s="336"/>
      <c r="W136" s="11">
        <v>6</v>
      </c>
      <c r="X136" s="335">
        <f t="shared" si="75"/>
        <v>3100</v>
      </c>
      <c r="Y136" s="335">
        <f t="shared" si="75"/>
        <v>3100</v>
      </c>
      <c r="Z136" s="335">
        <f t="shared" si="75"/>
        <v>3300</v>
      </c>
      <c r="AA136" s="335">
        <f t="shared" si="75"/>
        <v>3300</v>
      </c>
      <c r="AB136" s="339">
        <f t="shared" si="76"/>
        <v>79</v>
      </c>
      <c r="AC136" s="339">
        <f t="shared" si="76"/>
        <v>80</v>
      </c>
      <c r="AD136" s="339">
        <f t="shared" si="76"/>
        <v>115</v>
      </c>
      <c r="AE136" s="339">
        <f t="shared" si="76"/>
        <v>123</v>
      </c>
      <c r="AF136" s="336"/>
      <c r="AG136" s="11">
        <v>6</v>
      </c>
      <c r="AH136" s="340">
        <f t="shared" si="77"/>
        <v>5800</v>
      </c>
      <c r="AI136" s="340">
        <f t="shared" si="77"/>
        <v>5800</v>
      </c>
      <c r="AJ136" s="340">
        <f t="shared" si="77"/>
        <v>6000</v>
      </c>
      <c r="AK136" s="340">
        <f t="shared" si="77"/>
        <v>6000</v>
      </c>
      <c r="AL136" s="341">
        <f t="shared" si="78"/>
        <v>57</v>
      </c>
      <c r="AM136" s="341">
        <f t="shared" si="78"/>
        <v>57</v>
      </c>
      <c r="AN136" s="341">
        <f t="shared" si="78"/>
        <v>75</v>
      </c>
      <c r="AO136" s="341">
        <f t="shared" si="78"/>
        <v>73</v>
      </c>
      <c r="AR136" s="190">
        <v>5</v>
      </c>
      <c r="AS136" s="346">
        <f t="shared" si="81"/>
        <v>1</v>
      </c>
      <c r="AT136" s="346">
        <f t="shared" si="81"/>
        <v>1</v>
      </c>
      <c r="AU136" s="346">
        <f t="shared" si="81"/>
        <v>1</v>
      </c>
      <c r="AV136" s="346">
        <f t="shared" si="82"/>
        <v>1</v>
      </c>
      <c r="AX136" s="155"/>
      <c r="AY136" s="346">
        <f t="shared" si="83"/>
        <v>1</v>
      </c>
      <c r="AZ136" s="346">
        <f t="shared" si="84"/>
        <v>1</v>
      </c>
      <c r="BA136" s="190">
        <v>5</v>
      </c>
      <c r="BB136" s="351" t="e">
        <f t="shared" si="79"/>
        <v>#DIV/0!</v>
      </c>
      <c r="BC136" s="318" t="e">
        <f t="shared" si="79"/>
        <v>#DIV/0!</v>
      </c>
      <c r="BD136" s="352" t="e">
        <f t="shared" si="80"/>
        <v>#DIV/0!</v>
      </c>
    </row>
    <row r="137" ht="20.1" customHeight="1" spans="22:56">
      <c r="V137" s="336"/>
      <c r="W137" s="11">
        <v>7</v>
      </c>
      <c r="X137" s="335">
        <f t="shared" si="75"/>
        <v>3100</v>
      </c>
      <c r="Y137" s="335">
        <f t="shared" si="75"/>
        <v>3100</v>
      </c>
      <c r="Z137" s="335">
        <f t="shared" si="75"/>
        <v>3300</v>
      </c>
      <c r="AA137" s="335">
        <f t="shared" si="75"/>
        <v>3300</v>
      </c>
      <c r="AB137" s="339">
        <f t="shared" si="76"/>
        <v>79</v>
      </c>
      <c r="AC137" s="339">
        <f t="shared" si="76"/>
        <v>80</v>
      </c>
      <c r="AD137" s="339">
        <f t="shared" si="76"/>
        <v>115</v>
      </c>
      <c r="AE137" s="339">
        <f t="shared" si="76"/>
        <v>123</v>
      </c>
      <c r="AF137" s="336"/>
      <c r="AG137" s="11">
        <v>7</v>
      </c>
      <c r="AH137" s="340">
        <f t="shared" si="77"/>
        <v>5800</v>
      </c>
      <c r="AI137" s="340">
        <f t="shared" si="77"/>
        <v>5800</v>
      </c>
      <c r="AJ137" s="340">
        <f t="shared" si="77"/>
        <v>6000</v>
      </c>
      <c r="AK137" s="340">
        <f t="shared" si="77"/>
        <v>6000</v>
      </c>
      <c r="AL137" s="341">
        <f t="shared" si="78"/>
        <v>57</v>
      </c>
      <c r="AM137" s="341">
        <f t="shared" si="78"/>
        <v>57</v>
      </c>
      <c r="AN137" s="341">
        <f t="shared" si="78"/>
        <v>75</v>
      </c>
      <c r="AO137" s="341">
        <f t="shared" si="78"/>
        <v>73</v>
      </c>
      <c r="AR137" s="190">
        <v>6</v>
      </c>
      <c r="AS137" s="346">
        <f t="shared" si="81"/>
        <v>1</v>
      </c>
      <c r="AT137" s="346">
        <f t="shared" si="81"/>
        <v>1</v>
      </c>
      <c r="AU137" s="346">
        <f t="shared" si="81"/>
        <v>1</v>
      </c>
      <c r="AV137" s="346">
        <f t="shared" si="82"/>
        <v>1</v>
      </c>
      <c r="AX137" s="155"/>
      <c r="AY137" s="346">
        <f t="shared" si="83"/>
        <v>1</v>
      </c>
      <c r="AZ137" s="346">
        <f t="shared" si="84"/>
        <v>1</v>
      </c>
      <c r="BA137" s="190">
        <v>6</v>
      </c>
      <c r="BB137" s="351" t="e">
        <f t="shared" si="79"/>
        <v>#DIV/0!</v>
      </c>
      <c r="BC137" s="318" t="e">
        <f t="shared" si="79"/>
        <v>#DIV/0!</v>
      </c>
      <c r="BD137" s="352" t="e">
        <f t="shared" si="80"/>
        <v>#DIV/0!</v>
      </c>
    </row>
    <row r="138" ht="20.1" customHeight="1" spans="22:56">
      <c r="V138" s="336"/>
      <c r="W138" s="11">
        <v>8</v>
      </c>
      <c r="X138" s="335">
        <f t="shared" si="75"/>
        <v>3100</v>
      </c>
      <c r="Y138" s="335">
        <f t="shared" si="75"/>
        <v>3100</v>
      </c>
      <c r="Z138" s="335">
        <f t="shared" si="75"/>
        <v>3300</v>
      </c>
      <c r="AA138" s="335">
        <f t="shared" si="75"/>
        <v>3300</v>
      </c>
      <c r="AB138" s="339">
        <f t="shared" si="76"/>
        <v>79</v>
      </c>
      <c r="AC138" s="339">
        <f t="shared" si="76"/>
        <v>80</v>
      </c>
      <c r="AD138" s="339">
        <f t="shared" si="76"/>
        <v>115</v>
      </c>
      <c r="AE138" s="339">
        <f t="shared" si="76"/>
        <v>123</v>
      </c>
      <c r="AF138" s="336"/>
      <c r="AG138" s="11">
        <v>8</v>
      </c>
      <c r="AH138" s="340">
        <f t="shared" si="77"/>
        <v>5800</v>
      </c>
      <c r="AI138" s="340">
        <f t="shared" si="77"/>
        <v>5800</v>
      </c>
      <c r="AJ138" s="340">
        <f t="shared" si="77"/>
        <v>6000</v>
      </c>
      <c r="AK138" s="340">
        <f t="shared" si="77"/>
        <v>6000</v>
      </c>
      <c r="AL138" s="341">
        <f t="shared" si="78"/>
        <v>57</v>
      </c>
      <c r="AM138" s="341">
        <f t="shared" si="78"/>
        <v>57</v>
      </c>
      <c r="AN138" s="341">
        <f t="shared" si="78"/>
        <v>75</v>
      </c>
      <c r="AO138" s="341">
        <f t="shared" si="78"/>
        <v>73</v>
      </c>
      <c r="AR138" s="190">
        <v>7</v>
      </c>
      <c r="AS138" s="346">
        <f t="shared" si="81"/>
        <v>1</v>
      </c>
      <c r="AT138" s="346">
        <f t="shared" si="81"/>
        <v>1</v>
      </c>
      <c r="AU138" s="346">
        <f t="shared" si="81"/>
        <v>1</v>
      </c>
      <c r="AV138" s="346">
        <f t="shared" si="82"/>
        <v>1</v>
      </c>
      <c r="AX138" s="155"/>
      <c r="AY138" s="346">
        <f t="shared" si="83"/>
        <v>1</v>
      </c>
      <c r="AZ138" s="346">
        <f t="shared" si="84"/>
        <v>1</v>
      </c>
      <c r="BA138" s="190">
        <v>7</v>
      </c>
      <c r="BB138" s="351" t="e">
        <f t="shared" si="79"/>
        <v>#DIV/0!</v>
      </c>
      <c r="BC138" s="318" t="e">
        <f t="shared" si="79"/>
        <v>#DIV/0!</v>
      </c>
      <c r="BD138" s="352" t="e">
        <f t="shared" si="80"/>
        <v>#DIV/0!</v>
      </c>
    </row>
    <row r="139" ht="20.1" customHeight="1" spans="22:56">
      <c r="V139" s="336"/>
      <c r="W139" s="11">
        <v>9</v>
      </c>
      <c r="X139" s="335">
        <f t="shared" si="75"/>
        <v>3100</v>
      </c>
      <c r="Y139" s="335">
        <f t="shared" si="75"/>
        <v>3100</v>
      </c>
      <c r="Z139" s="335">
        <f t="shared" si="75"/>
        <v>3300</v>
      </c>
      <c r="AA139" s="335">
        <f t="shared" si="75"/>
        <v>3300</v>
      </c>
      <c r="AB139" s="339">
        <f t="shared" si="76"/>
        <v>79</v>
      </c>
      <c r="AC139" s="339">
        <f t="shared" si="76"/>
        <v>80</v>
      </c>
      <c r="AD139" s="339">
        <f t="shared" si="76"/>
        <v>115</v>
      </c>
      <c r="AE139" s="339">
        <f t="shared" si="76"/>
        <v>123</v>
      </c>
      <c r="AF139" s="336"/>
      <c r="AG139" s="11">
        <v>9</v>
      </c>
      <c r="AH139" s="340">
        <f t="shared" si="77"/>
        <v>5800</v>
      </c>
      <c r="AI139" s="340">
        <f t="shared" si="77"/>
        <v>5800</v>
      </c>
      <c r="AJ139" s="340">
        <f t="shared" si="77"/>
        <v>6000</v>
      </c>
      <c r="AK139" s="340">
        <f t="shared" si="77"/>
        <v>6000</v>
      </c>
      <c r="AL139" s="341">
        <f t="shared" si="78"/>
        <v>57</v>
      </c>
      <c r="AM139" s="341">
        <f t="shared" si="78"/>
        <v>57</v>
      </c>
      <c r="AN139" s="341">
        <f t="shared" si="78"/>
        <v>75</v>
      </c>
      <c r="AO139" s="341">
        <f t="shared" si="78"/>
        <v>73</v>
      </c>
      <c r="AR139" s="190">
        <v>8</v>
      </c>
      <c r="AS139" s="346">
        <f t="shared" si="81"/>
        <v>1</v>
      </c>
      <c r="AT139" s="346">
        <f t="shared" si="81"/>
        <v>1</v>
      </c>
      <c r="AU139" s="346">
        <f t="shared" si="81"/>
        <v>1</v>
      </c>
      <c r="AV139" s="346">
        <f t="shared" si="82"/>
        <v>1</v>
      </c>
      <c r="AX139" s="155"/>
      <c r="AY139" s="346">
        <f t="shared" si="83"/>
        <v>1</v>
      </c>
      <c r="AZ139" s="346">
        <f t="shared" si="84"/>
        <v>1</v>
      </c>
      <c r="BA139" s="190">
        <v>8</v>
      </c>
      <c r="BB139" s="351" t="e">
        <f t="shared" si="79"/>
        <v>#DIV/0!</v>
      </c>
      <c r="BC139" s="318" t="e">
        <f t="shared" si="79"/>
        <v>#DIV/0!</v>
      </c>
      <c r="BD139" s="352" t="e">
        <f t="shared" si="80"/>
        <v>#DIV/0!</v>
      </c>
    </row>
    <row r="140" ht="20.1" customHeight="1" spans="22:56">
      <c r="V140" s="336"/>
      <c r="W140" s="11">
        <v>10</v>
      </c>
      <c r="X140" s="335">
        <f t="shared" si="75"/>
        <v>3100</v>
      </c>
      <c r="Y140" s="335">
        <f t="shared" si="75"/>
        <v>3100</v>
      </c>
      <c r="Z140" s="335">
        <f t="shared" si="75"/>
        <v>3300</v>
      </c>
      <c r="AA140" s="335">
        <f t="shared" si="75"/>
        <v>3300</v>
      </c>
      <c r="AB140" s="339">
        <f t="shared" si="76"/>
        <v>79</v>
      </c>
      <c r="AC140" s="339">
        <f t="shared" si="76"/>
        <v>80</v>
      </c>
      <c r="AD140" s="339">
        <f t="shared" si="76"/>
        <v>115</v>
      </c>
      <c r="AE140" s="339">
        <f t="shared" si="76"/>
        <v>123</v>
      </c>
      <c r="AF140" s="336"/>
      <c r="AG140" s="11">
        <v>10</v>
      </c>
      <c r="AH140" s="340">
        <f t="shared" si="77"/>
        <v>5800</v>
      </c>
      <c r="AI140" s="340">
        <f t="shared" si="77"/>
        <v>5800</v>
      </c>
      <c r="AJ140" s="340">
        <f t="shared" si="77"/>
        <v>6000</v>
      </c>
      <c r="AK140" s="340">
        <f t="shared" si="77"/>
        <v>6000</v>
      </c>
      <c r="AL140" s="341">
        <f t="shared" si="78"/>
        <v>57</v>
      </c>
      <c r="AM140" s="341">
        <f t="shared" si="78"/>
        <v>57</v>
      </c>
      <c r="AN140" s="341">
        <f t="shared" si="78"/>
        <v>75</v>
      </c>
      <c r="AO140" s="341">
        <f t="shared" si="78"/>
        <v>73</v>
      </c>
      <c r="AR140" s="190">
        <v>9</v>
      </c>
      <c r="AS140" s="346">
        <f t="shared" si="81"/>
        <v>1</v>
      </c>
      <c r="AT140" s="346">
        <f t="shared" si="81"/>
        <v>1</v>
      </c>
      <c r="AU140" s="346">
        <f t="shared" si="81"/>
        <v>1</v>
      </c>
      <c r="AV140" s="346">
        <f t="shared" si="82"/>
        <v>1</v>
      </c>
      <c r="AX140" s="155"/>
      <c r="AY140" s="346">
        <f t="shared" si="83"/>
        <v>1</v>
      </c>
      <c r="AZ140" s="346">
        <f t="shared" si="84"/>
        <v>1</v>
      </c>
      <c r="BA140" s="190">
        <v>9</v>
      </c>
      <c r="BB140" s="351" t="e">
        <f t="shared" si="79"/>
        <v>#DIV/0!</v>
      </c>
      <c r="BC140" s="318" t="e">
        <f t="shared" si="79"/>
        <v>#DIV/0!</v>
      </c>
      <c r="BD140" s="352" t="e">
        <f t="shared" si="80"/>
        <v>#DIV/0!</v>
      </c>
    </row>
    <row r="141" ht="20.1" customHeight="1" spans="22:56">
      <c r="V141" s="336"/>
      <c r="W141" s="11">
        <v>11</v>
      </c>
      <c r="X141" s="335">
        <f t="shared" si="75"/>
        <v>3100</v>
      </c>
      <c r="Y141" s="335">
        <f t="shared" si="75"/>
        <v>3100</v>
      </c>
      <c r="Z141" s="335">
        <f t="shared" si="75"/>
        <v>3300</v>
      </c>
      <c r="AA141" s="335">
        <f t="shared" si="75"/>
        <v>3300</v>
      </c>
      <c r="AB141" s="339">
        <f t="shared" si="76"/>
        <v>79</v>
      </c>
      <c r="AC141" s="339">
        <f t="shared" si="76"/>
        <v>80</v>
      </c>
      <c r="AD141" s="339">
        <f t="shared" si="76"/>
        <v>115</v>
      </c>
      <c r="AE141" s="339">
        <f t="shared" si="76"/>
        <v>123</v>
      </c>
      <c r="AF141" s="336"/>
      <c r="AG141" s="11">
        <v>11</v>
      </c>
      <c r="AH141" s="340">
        <f t="shared" si="77"/>
        <v>5800</v>
      </c>
      <c r="AI141" s="340">
        <f t="shared" si="77"/>
        <v>5800</v>
      </c>
      <c r="AJ141" s="340">
        <f t="shared" si="77"/>
        <v>6000</v>
      </c>
      <c r="AK141" s="340">
        <f t="shared" si="77"/>
        <v>6000</v>
      </c>
      <c r="AL141" s="341">
        <f t="shared" si="78"/>
        <v>57</v>
      </c>
      <c r="AM141" s="341">
        <f t="shared" si="78"/>
        <v>57</v>
      </c>
      <c r="AN141" s="341">
        <f t="shared" si="78"/>
        <v>75</v>
      </c>
      <c r="AO141" s="341">
        <f t="shared" si="78"/>
        <v>73</v>
      </c>
      <c r="AR141" s="190">
        <v>10</v>
      </c>
      <c r="AS141" s="346">
        <f t="shared" si="81"/>
        <v>1</v>
      </c>
      <c r="AT141" s="346">
        <f t="shared" si="81"/>
        <v>1</v>
      </c>
      <c r="AU141" s="346">
        <f t="shared" si="81"/>
        <v>1</v>
      </c>
      <c r="AV141" s="346">
        <f t="shared" si="82"/>
        <v>1</v>
      </c>
      <c r="AX141" s="155"/>
      <c r="AY141" s="346">
        <f t="shared" si="83"/>
        <v>1</v>
      </c>
      <c r="AZ141" s="346">
        <f t="shared" si="84"/>
        <v>1</v>
      </c>
      <c r="BA141" s="190">
        <v>10</v>
      </c>
      <c r="BB141" s="351" t="e">
        <f t="shared" si="79"/>
        <v>#DIV/0!</v>
      </c>
      <c r="BC141" s="318" t="e">
        <f t="shared" si="79"/>
        <v>#DIV/0!</v>
      </c>
      <c r="BD141" s="352" t="e">
        <f t="shared" si="80"/>
        <v>#DIV/0!</v>
      </c>
    </row>
    <row r="142" ht="20.1" customHeight="1" spans="22:56">
      <c r="V142" s="336"/>
      <c r="W142" s="11">
        <v>12</v>
      </c>
      <c r="X142" s="335">
        <f t="shared" si="75"/>
        <v>3100</v>
      </c>
      <c r="Y142" s="335">
        <f t="shared" si="75"/>
        <v>3100</v>
      </c>
      <c r="Z142" s="335">
        <f t="shared" si="75"/>
        <v>3300</v>
      </c>
      <c r="AA142" s="335">
        <f t="shared" si="75"/>
        <v>3300</v>
      </c>
      <c r="AB142" s="339">
        <f t="shared" si="76"/>
        <v>79</v>
      </c>
      <c r="AC142" s="339">
        <f t="shared" si="76"/>
        <v>80</v>
      </c>
      <c r="AD142" s="339">
        <f t="shared" si="76"/>
        <v>115</v>
      </c>
      <c r="AE142" s="339">
        <f t="shared" si="76"/>
        <v>123</v>
      </c>
      <c r="AF142" s="336"/>
      <c r="AG142" s="11">
        <v>12</v>
      </c>
      <c r="AH142" s="340">
        <f t="shared" si="77"/>
        <v>5800</v>
      </c>
      <c r="AI142" s="340">
        <f t="shared" si="77"/>
        <v>5800</v>
      </c>
      <c r="AJ142" s="340">
        <f t="shared" si="77"/>
        <v>6000</v>
      </c>
      <c r="AK142" s="340">
        <f t="shared" si="77"/>
        <v>6000</v>
      </c>
      <c r="AL142" s="341">
        <f t="shared" si="78"/>
        <v>57</v>
      </c>
      <c r="AM142" s="341">
        <f t="shared" si="78"/>
        <v>57</v>
      </c>
      <c r="AN142" s="341">
        <f t="shared" si="78"/>
        <v>75</v>
      </c>
      <c r="AO142" s="341">
        <f t="shared" si="78"/>
        <v>73</v>
      </c>
      <c r="AR142" s="190">
        <v>11</v>
      </c>
      <c r="AS142" s="346">
        <f t="shared" si="81"/>
        <v>1</v>
      </c>
      <c r="AT142" s="346">
        <f t="shared" si="81"/>
        <v>1</v>
      </c>
      <c r="AU142" s="346">
        <f t="shared" si="81"/>
        <v>1</v>
      </c>
      <c r="AV142" s="346">
        <f t="shared" si="82"/>
        <v>1</v>
      </c>
      <c r="AX142" s="155"/>
      <c r="AY142" s="346">
        <f t="shared" si="83"/>
        <v>1</v>
      </c>
      <c r="AZ142" s="346">
        <f t="shared" si="84"/>
        <v>1</v>
      </c>
      <c r="BA142" s="190">
        <v>11</v>
      </c>
      <c r="BB142" s="351" t="e">
        <f t="shared" si="79"/>
        <v>#DIV/0!</v>
      </c>
      <c r="BC142" s="318" t="e">
        <f t="shared" si="79"/>
        <v>#DIV/0!</v>
      </c>
      <c r="BD142" s="352" t="e">
        <f t="shared" si="80"/>
        <v>#DIV/0!</v>
      </c>
    </row>
    <row r="143" ht="20.1" customHeight="1" spans="22:56">
      <c r="V143" s="336"/>
      <c r="W143" s="11">
        <v>13</v>
      </c>
      <c r="X143" s="335">
        <f t="shared" si="75"/>
        <v>3100</v>
      </c>
      <c r="Y143" s="335">
        <f t="shared" si="75"/>
        <v>3100</v>
      </c>
      <c r="Z143" s="335">
        <f t="shared" si="75"/>
        <v>3300</v>
      </c>
      <c r="AA143" s="335">
        <f t="shared" si="75"/>
        <v>3300</v>
      </c>
      <c r="AB143" s="339">
        <f t="shared" si="76"/>
        <v>79</v>
      </c>
      <c r="AC143" s="339">
        <f t="shared" si="76"/>
        <v>80</v>
      </c>
      <c r="AD143" s="339">
        <f t="shared" si="76"/>
        <v>115</v>
      </c>
      <c r="AE143" s="339">
        <f t="shared" si="76"/>
        <v>123</v>
      </c>
      <c r="AF143" s="336"/>
      <c r="AG143" s="11">
        <v>13</v>
      </c>
      <c r="AH143" s="340">
        <f t="shared" si="77"/>
        <v>5800</v>
      </c>
      <c r="AI143" s="340">
        <f t="shared" si="77"/>
        <v>5800</v>
      </c>
      <c r="AJ143" s="340">
        <f t="shared" si="77"/>
        <v>6000</v>
      </c>
      <c r="AK143" s="340">
        <f t="shared" si="77"/>
        <v>6000</v>
      </c>
      <c r="AL143" s="341">
        <f t="shared" si="78"/>
        <v>57</v>
      </c>
      <c r="AM143" s="341">
        <f t="shared" si="78"/>
        <v>57</v>
      </c>
      <c r="AN143" s="341">
        <f t="shared" si="78"/>
        <v>75</v>
      </c>
      <c r="AO143" s="341">
        <f t="shared" si="78"/>
        <v>73</v>
      </c>
      <c r="AR143" s="190">
        <v>12</v>
      </c>
      <c r="AS143" s="346">
        <f t="shared" si="81"/>
        <v>1</v>
      </c>
      <c r="AT143" s="346">
        <f t="shared" si="81"/>
        <v>1</v>
      </c>
      <c r="AU143" s="346">
        <f t="shared" si="81"/>
        <v>1</v>
      </c>
      <c r="AV143" s="346">
        <f t="shared" si="82"/>
        <v>1</v>
      </c>
      <c r="AX143" s="155"/>
      <c r="AY143" s="346">
        <f t="shared" si="83"/>
        <v>1</v>
      </c>
      <c r="AZ143" s="346">
        <f t="shared" si="84"/>
        <v>1</v>
      </c>
      <c r="BA143" s="190">
        <v>12</v>
      </c>
      <c r="BB143" s="351" t="e">
        <f t="shared" si="79"/>
        <v>#DIV/0!</v>
      </c>
      <c r="BC143" s="318" t="e">
        <f t="shared" si="79"/>
        <v>#DIV/0!</v>
      </c>
      <c r="BD143" s="352" t="e">
        <f t="shared" si="80"/>
        <v>#DIV/0!</v>
      </c>
    </row>
    <row r="144" ht="20.1" customHeight="1" spans="22:56">
      <c r="V144" s="336"/>
      <c r="W144" s="11">
        <v>14</v>
      </c>
      <c r="X144" s="335">
        <f t="shared" si="75"/>
        <v>3100</v>
      </c>
      <c r="Y144" s="335">
        <f t="shared" si="75"/>
        <v>3100</v>
      </c>
      <c r="Z144" s="335">
        <f t="shared" si="75"/>
        <v>3300</v>
      </c>
      <c r="AA144" s="335">
        <f t="shared" si="75"/>
        <v>3300</v>
      </c>
      <c r="AB144" s="339">
        <f t="shared" si="76"/>
        <v>79</v>
      </c>
      <c r="AC144" s="339">
        <f t="shared" si="76"/>
        <v>80</v>
      </c>
      <c r="AD144" s="339">
        <f t="shared" si="76"/>
        <v>115</v>
      </c>
      <c r="AE144" s="339">
        <f t="shared" si="76"/>
        <v>123</v>
      </c>
      <c r="AF144" s="336"/>
      <c r="AG144" s="11">
        <v>14</v>
      </c>
      <c r="AH144" s="340">
        <f t="shared" si="77"/>
        <v>5800</v>
      </c>
      <c r="AI144" s="340">
        <f t="shared" si="77"/>
        <v>5800</v>
      </c>
      <c r="AJ144" s="340">
        <f t="shared" si="77"/>
        <v>6000</v>
      </c>
      <c r="AK144" s="340">
        <f t="shared" si="77"/>
        <v>6000</v>
      </c>
      <c r="AL144" s="341">
        <f t="shared" si="78"/>
        <v>57</v>
      </c>
      <c r="AM144" s="341">
        <f t="shared" si="78"/>
        <v>57</v>
      </c>
      <c r="AN144" s="341">
        <f t="shared" si="78"/>
        <v>75</v>
      </c>
      <c r="AO144" s="341">
        <f t="shared" si="78"/>
        <v>73</v>
      </c>
      <c r="AR144" s="190">
        <v>13</v>
      </c>
      <c r="AS144" s="346">
        <f t="shared" si="81"/>
        <v>1</v>
      </c>
      <c r="AT144" s="346">
        <f t="shared" si="81"/>
        <v>1</v>
      </c>
      <c r="AU144" s="346">
        <f t="shared" si="81"/>
        <v>1</v>
      </c>
      <c r="AV144" s="346">
        <f t="shared" si="82"/>
        <v>1</v>
      </c>
      <c r="AX144" s="155"/>
      <c r="AY144" s="346">
        <f t="shared" si="83"/>
        <v>1</v>
      </c>
      <c r="AZ144" s="346">
        <f t="shared" si="84"/>
        <v>1</v>
      </c>
      <c r="BA144" s="190">
        <v>13</v>
      </c>
      <c r="BB144" s="351" t="e">
        <f t="shared" si="79"/>
        <v>#DIV/0!</v>
      </c>
      <c r="BC144" s="318" t="e">
        <f t="shared" si="79"/>
        <v>#DIV/0!</v>
      </c>
      <c r="BD144" s="352" t="e">
        <f t="shared" si="80"/>
        <v>#DIV/0!</v>
      </c>
    </row>
    <row r="145" ht="20.1" customHeight="1" spans="22:56">
      <c r="V145" s="336"/>
      <c r="W145" s="11">
        <v>15</v>
      </c>
      <c r="X145" s="335">
        <f t="shared" si="75"/>
        <v>3100</v>
      </c>
      <c r="Y145" s="335">
        <f t="shared" si="75"/>
        <v>3100</v>
      </c>
      <c r="Z145" s="335">
        <f t="shared" si="75"/>
        <v>3300</v>
      </c>
      <c r="AA145" s="335">
        <f t="shared" si="75"/>
        <v>3300</v>
      </c>
      <c r="AB145" s="339">
        <f t="shared" si="76"/>
        <v>79</v>
      </c>
      <c r="AC145" s="339">
        <f t="shared" si="76"/>
        <v>80</v>
      </c>
      <c r="AD145" s="339">
        <f t="shared" si="76"/>
        <v>115</v>
      </c>
      <c r="AE145" s="339">
        <f t="shared" si="76"/>
        <v>123</v>
      </c>
      <c r="AF145" s="336"/>
      <c r="AG145" s="11">
        <v>15</v>
      </c>
      <c r="AH145" s="340">
        <f t="shared" si="77"/>
        <v>5800</v>
      </c>
      <c r="AI145" s="340">
        <f t="shared" si="77"/>
        <v>5800</v>
      </c>
      <c r="AJ145" s="340">
        <f t="shared" si="77"/>
        <v>6000</v>
      </c>
      <c r="AK145" s="340">
        <f t="shared" si="77"/>
        <v>6000</v>
      </c>
      <c r="AL145" s="341">
        <f t="shared" si="78"/>
        <v>57</v>
      </c>
      <c r="AM145" s="341">
        <f t="shared" si="78"/>
        <v>57</v>
      </c>
      <c r="AN145" s="341">
        <f t="shared" si="78"/>
        <v>75</v>
      </c>
      <c r="AO145" s="341">
        <f t="shared" si="78"/>
        <v>73</v>
      </c>
      <c r="AR145" s="190">
        <v>14</v>
      </c>
      <c r="AS145" s="346">
        <f t="shared" si="81"/>
        <v>1</v>
      </c>
      <c r="AT145" s="346">
        <f t="shared" si="81"/>
        <v>1</v>
      </c>
      <c r="AU145" s="346">
        <f t="shared" si="81"/>
        <v>1</v>
      </c>
      <c r="AV145" s="346">
        <f t="shared" si="82"/>
        <v>1</v>
      </c>
      <c r="AX145" s="155"/>
      <c r="AY145" s="346">
        <f t="shared" si="83"/>
        <v>1</v>
      </c>
      <c r="AZ145" s="346">
        <f t="shared" si="84"/>
        <v>1</v>
      </c>
      <c r="BA145" s="190">
        <v>14</v>
      </c>
      <c r="BB145" s="351" t="e">
        <f t="shared" si="79"/>
        <v>#DIV/0!</v>
      </c>
      <c r="BC145" s="318" t="e">
        <f t="shared" si="79"/>
        <v>#DIV/0!</v>
      </c>
      <c r="BD145" s="352" t="e">
        <f t="shared" si="80"/>
        <v>#DIV/0!</v>
      </c>
    </row>
    <row r="146" ht="20.1" customHeight="1" spans="22:56">
      <c r="V146" s="336"/>
      <c r="W146" s="11">
        <v>16</v>
      </c>
      <c r="X146" s="335">
        <f t="shared" si="75"/>
        <v>3100</v>
      </c>
      <c r="Y146" s="335">
        <f t="shared" si="75"/>
        <v>3100</v>
      </c>
      <c r="Z146" s="335">
        <f t="shared" si="75"/>
        <v>3300</v>
      </c>
      <c r="AA146" s="335">
        <f t="shared" si="75"/>
        <v>3300</v>
      </c>
      <c r="AB146" s="339">
        <f t="shared" si="76"/>
        <v>79</v>
      </c>
      <c r="AC146" s="339">
        <f t="shared" si="76"/>
        <v>80</v>
      </c>
      <c r="AD146" s="339">
        <f t="shared" si="76"/>
        <v>115</v>
      </c>
      <c r="AE146" s="339">
        <f t="shared" si="76"/>
        <v>123</v>
      </c>
      <c r="AF146" s="336"/>
      <c r="AG146" s="11">
        <v>16</v>
      </c>
      <c r="AH146" s="340">
        <f t="shared" si="77"/>
        <v>5800</v>
      </c>
      <c r="AI146" s="340">
        <f t="shared" si="77"/>
        <v>5800</v>
      </c>
      <c r="AJ146" s="340">
        <f t="shared" si="77"/>
        <v>6000</v>
      </c>
      <c r="AK146" s="340">
        <f t="shared" si="77"/>
        <v>6000</v>
      </c>
      <c r="AL146" s="341">
        <f t="shared" si="78"/>
        <v>57</v>
      </c>
      <c r="AM146" s="341">
        <f t="shared" si="78"/>
        <v>57</v>
      </c>
      <c r="AN146" s="341">
        <f t="shared" si="78"/>
        <v>75</v>
      </c>
      <c r="AO146" s="341">
        <f t="shared" si="78"/>
        <v>73</v>
      </c>
      <c r="AR146" s="190">
        <v>15</v>
      </c>
      <c r="AS146" s="346">
        <f t="shared" si="81"/>
        <v>1</v>
      </c>
      <c r="AT146" s="346">
        <f t="shared" si="81"/>
        <v>1</v>
      </c>
      <c r="AU146" s="346">
        <f t="shared" si="81"/>
        <v>1</v>
      </c>
      <c r="AV146" s="346">
        <f t="shared" si="82"/>
        <v>1</v>
      </c>
      <c r="AX146" s="155"/>
      <c r="AY146" s="346">
        <f t="shared" si="83"/>
        <v>1</v>
      </c>
      <c r="AZ146" s="346">
        <f t="shared" si="84"/>
        <v>1</v>
      </c>
      <c r="BA146" s="190">
        <v>15</v>
      </c>
      <c r="BB146" s="351" t="e">
        <f t="shared" si="79"/>
        <v>#DIV/0!</v>
      </c>
      <c r="BC146" s="318" t="e">
        <f t="shared" si="79"/>
        <v>#DIV/0!</v>
      </c>
      <c r="BD146" s="352" t="e">
        <f t="shared" si="80"/>
        <v>#DIV/0!</v>
      </c>
    </row>
    <row r="147" ht="20.1" customHeight="1" spans="22:56">
      <c r="V147" s="336"/>
      <c r="W147" s="11">
        <v>17</v>
      </c>
      <c r="X147" s="335">
        <f t="shared" si="75"/>
        <v>3100</v>
      </c>
      <c r="Y147" s="335">
        <f t="shared" si="75"/>
        <v>3100</v>
      </c>
      <c r="Z147" s="335">
        <f t="shared" si="75"/>
        <v>3300</v>
      </c>
      <c r="AA147" s="335">
        <f t="shared" si="75"/>
        <v>3300</v>
      </c>
      <c r="AB147" s="339">
        <f t="shared" si="76"/>
        <v>79</v>
      </c>
      <c r="AC147" s="339">
        <f t="shared" si="76"/>
        <v>80</v>
      </c>
      <c r="AD147" s="339">
        <f t="shared" si="76"/>
        <v>115</v>
      </c>
      <c r="AE147" s="339">
        <f t="shared" si="76"/>
        <v>123</v>
      </c>
      <c r="AF147" s="336"/>
      <c r="AG147" s="11">
        <v>17</v>
      </c>
      <c r="AH147" s="340">
        <f t="shared" si="77"/>
        <v>5800</v>
      </c>
      <c r="AI147" s="340">
        <f t="shared" si="77"/>
        <v>5800</v>
      </c>
      <c r="AJ147" s="340">
        <f t="shared" si="77"/>
        <v>6000</v>
      </c>
      <c r="AK147" s="340">
        <f t="shared" si="77"/>
        <v>6000</v>
      </c>
      <c r="AL147" s="341">
        <f t="shared" si="78"/>
        <v>57</v>
      </c>
      <c r="AM147" s="341">
        <f t="shared" si="78"/>
        <v>57</v>
      </c>
      <c r="AN147" s="341">
        <f t="shared" si="78"/>
        <v>75</v>
      </c>
      <c r="AO147" s="341">
        <f t="shared" si="78"/>
        <v>73</v>
      </c>
      <c r="AR147" s="190">
        <v>16</v>
      </c>
      <c r="AS147" s="346">
        <f t="shared" si="81"/>
        <v>1</v>
      </c>
      <c r="AT147" s="346">
        <f t="shared" si="81"/>
        <v>1</v>
      </c>
      <c r="AU147" s="346">
        <f t="shared" si="81"/>
        <v>1</v>
      </c>
      <c r="AV147" s="346">
        <f t="shared" si="82"/>
        <v>1</v>
      </c>
      <c r="AX147" s="155"/>
      <c r="AY147" s="346">
        <f t="shared" si="83"/>
        <v>1</v>
      </c>
      <c r="AZ147" s="346">
        <f t="shared" si="84"/>
        <v>1</v>
      </c>
      <c r="BA147" s="190">
        <v>16</v>
      </c>
      <c r="BB147" s="351" t="e">
        <f t="shared" si="79"/>
        <v>#DIV/0!</v>
      </c>
      <c r="BC147" s="318" t="e">
        <f t="shared" si="79"/>
        <v>#DIV/0!</v>
      </c>
      <c r="BD147" s="352" t="e">
        <f t="shared" si="80"/>
        <v>#DIV/0!</v>
      </c>
    </row>
    <row r="148" ht="20.1" customHeight="1" spans="22:56">
      <c r="V148" s="336"/>
      <c r="W148" s="11">
        <v>18</v>
      </c>
      <c r="X148" s="335">
        <f t="shared" si="75"/>
        <v>3100</v>
      </c>
      <c r="Y148" s="335">
        <f t="shared" si="75"/>
        <v>3100</v>
      </c>
      <c r="Z148" s="335">
        <f t="shared" si="75"/>
        <v>3300</v>
      </c>
      <c r="AA148" s="335">
        <f t="shared" si="75"/>
        <v>3300</v>
      </c>
      <c r="AB148" s="339">
        <f t="shared" si="76"/>
        <v>79</v>
      </c>
      <c r="AC148" s="339">
        <f t="shared" si="76"/>
        <v>80</v>
      </c>
      <c r="AD148" s="339">
        <f t="shared" si="76"/>
        <v>115</v>
      </c>
      <c r="AE148" s="339">
        <f t="shared" si="76"/>
        <v>123</v>
      </c>
      <c r="AF148" s="336"/>
      <c r="AG148" s="11">
        <v>18</v>
      </c>
      <c r="AH148" s="340">
        <f t="shared" si="77"/>
        <v>5800</v>
      </c>
      <c r="AI148" s="340">
        <f t="shared" si="77"/>
        <v>5800</v>
      </c>
      <c r="AJ148" s="340">
        <f t="shared" si="77"/>
        <v>6000</v>
      </c>
      <c r="AK148" s="340">
        <f t="shared" si="77"/>
        <v>6000</v>
      </c>
      <c r="AL148" s="341">
        <f t="shared" si="78"/>
        <v>57</v>
      </c>
      <c r="AM148" s="341">
        <f t="shared" si="78"/>
        <v>57</v>
      </c>
      <c r="AN148" s="341">
        <f t="shared" si="78"/>
        <v>75</v>
      </c>
      <c r="AO148" s="341">
        <f t="shared" si="78"/>
        <v>73</v>
      </c>
      <c r="AR148" s="190">
        <v>17</v>
      </c>
      <c r="AS148" s="346">
        <f t="shared" si="81"/>
        <v>1</v>
      </c>
      <c r="AT148" s="346">
        <f t="shared" si="81"/>
        <v>1</v>
      </c>
      <c r="AU148" s="346">
        <f t="shared" si="81"/>
        <v>1</v>
      </c>
      <c r="AV148" s="346">
        <f t="shared" si="82"/>
        <v>1</v>
      </c>
      <c r="AX148" s="155"/>
      <c r="AY148" s="346">
        <f t="shared" si="83"/>
        <v>1</v>
      </c>
      <c r="AZ148" s="346">
        <f t="shared" si="84"/>
        <v>1</v>
      </c>
      <c r="BA148" s="190">
        <v>17</v>
      </c>
      <c r="BB148" s="351" t="e">
        <f t="shared" si="79"/>
        <v>#DIV/0!</v>
      </c>
      <c r="BC148" s="318" t="e">
        <f t="shared" si="79"/>
        <v>#DIV/0!</v>
      </c>
      <c r="BD148" s="352" t="e">
        <f t="shared" si="80"/>
        <v>#DIV/0!</v>
      </c>
    </row>
    <row r="149" ht="20.1" customHeight="1" spans="22:56">
      <c r="V149" s="336"/>
      <c r="W149" s="11">
        <v>19</v>
      </c>
      <c r="X149" s="335">
        <f t="shared" si="75"/>
        <v>3100</v>
      </c>
      <c r="Y149" s="335">
        <f t="shared" si="75"/>
        <v>3100</v>
      </c>
      <c r="Z149" s="335">
        <f t="shared" si="75"/>
        <v>3300</v>
      </c>
      <c r="AA149" s="335">
        <f t="shared" si="75"/>
        <v>3300</v>
      </c>
      <c r="AB149" s="339">
        <f t="shared" si="76"/>
        <v>79</v>
      </c>
      <c r="AC149" s="339">
        <f t="shared" si="76"/>
        <v>80</v>
      </c>
      <c r="AD149" s="339">
        <f t="shared" si="76"/>
        <v>115</v>
      </c>
      <c r="AE149" s="339">
        <f t="shared" si="76"/>
        <v>123</v>
      </c>
      <c r="AF149" s="336"/>
      <c r="AG149" s="11">
        <v>19</v>
      </c>
      <c r="AH149" s="340">
        <f t="shared" si="77"/>
        <v>5800</v>
      </c>
      <c r="AI149" s="340">
        <f t="shared" si="77"/>
        <v>5800</v>
      </c>
      <c r="AJ149" s="340">
        <f t="shared" si="77"/>
        <v>6000</v>
      </c>
      <c r="AK149" s="340">
        <f t="shared" si="77"/>
        <v>6000</v>
      </c>
      <c r="AL149" s="341">
        <f t="shared" si="78"/>
        <v>57</v>
      </c>
      <c r="AM149" s="341">
        <f t="shared" si="78"/>
        <v>57</v>
      </c>
      <c r="AN149" s="341">
        <f t="shared" si="78"/>
        <v>75</v>
      </c>
      <c r="AO149" s="341">
        <f t="shared" si="78"/>
        <v>73</v>
      </c>
      <c r="AR149" s="190">
        <v>18</v>
      </c>
      <c r="AS149" s="346">
        <f t="shared" ref="AS149:AU151" si="85">IF(F112="","",F112)</f>
        <v>1</v>
      </c>
      <c r="AT149" s="346">
        <f t="shared" si="85"/>
        <v>1</v>
      </c>
      <c r="AU149" s="346">
        <f t="shared" si="85"/>
        <v>1</v>
      </c>
      <c r="AV149" s="346">
        <f t="shared" si="82"/>
        <v>1</v>
      </c>
      <c r="AX149" s="155"/>
      <c r="AY149" s="346">
        <f t="shared" si="83"/>
        <v>1</v>
      </c>
      <c r="AZ149" s="346">
        <f t="shared" si="84"/>
        <v>1</v>
      </c>
      <c r="BA149" s="190">
        <v>18</v>
      </c>
      <c r="BB149" s="351" t="e">
        <f t="shared" si="79"/>
        <v>#DIV/0!</v>
      </c>
      <c r="BC149" s="318" t="e">
        <f t="shared" si="79"/>
        <v>#DIV/0!</v>
      </c>
      <c r="BD149" s="352" t="e">
        <f t="shared" si="80"/>
        <v>#DIV/0!</v>
      </c>
    </row>
    <row r="150" ht="20.1" customHeight="1" spans="22:56">
      <c r="V150" s="337"/>
      <c r="W150" s="11">
        <v>20</v>
      </c>
      <c r="X150" s="335">
        <f t="shared" si="75"/>
        <v>0</v>
      </c>
      <c r="Y150" s="335">
        <f t="shared" si="75"/>
        <v>0</v>
      </c>
      <c r="Z150" s="335">
        <f t="shared" si="75"/>
        <v>0</v>
      </c>
      <c r="AA150" s="335">
        <f t="shared" si="75"/>
        <v>0</v>
      </c>
      <c r="AB150" s="339">
        <f t="shared" si="76"/>
        <v>0</v>
      </c>
      <c r="AC150" s="339">
        <f t="shared" si="76"/>
        <v>0</v>
      </c>
      <c r="AD150" s="339">
        <f t="shared" si="76"/>
        <v>0</v>
      </c>
      <c r="AE150" s="339">
        <f t="shared" si="76"/>
        <v>0</v>
      </c>
      <c r="AF150" s="337"/>
      <c r="AG150" s="11">
        <v>20</v>
      </c>
      <c r="AH150" s="340">
        <f t="shared" si="77"/>
        <v>0</v>
      </c>
      <c r="AI150" s="340">
        <f t="shared" si="77"/>
        <v>0</v>
      </c>
      <c r="AJ150" s="340">
        <f t="shared" si="77"/>
        <v>0</v>
      </c>
      <c r="AK150" s="340">
        <f t="shared" si="77"/>
        <v>0</v>
      </c>
      <c r="AL150" s="341">
        <f t="shared" si="78"/>
        <v>0</v>
      </c>
      <c r="AM150" s="341">
        <f t="shared" si="78"/>
        <v>0</v>
      </c>
      <c r="AN150" s="341">
        <f t="shared" si="78"/>
        <v>0</v>
      </c>
      <c r="AO150" s="341">
        <f t="shared" si="78"/>
        <v>0</v>
      </c>
      <c r="AR150" s="190">
        <v>19</v>
      </c>
      <c r="AS150" s="346">
        <f t="shared" si="85"/>
        <v>1</v>
      </c>
      <c r="AT150" s="346">
        <f t="shared" si="85"/>
        <v>1</v>
      </c>
      <c r="AU150" s="346">
        <f t="shared" si="85"/>
        <v>1</v>
      </c>
      <c r="AV150" s="346">
        <f t="shared" si="82"/>
        <v>1</v>
      </c>
      <c r="AX150" s="155"/>
      <c r="AY150" s="346">
        <f t="shared" si="83"/>
        <v>1</v>
      </c>
      <c r="AZ150" s="346">
        <f t="shared" si="84"/>
        <v>1</v>
      </c>
      <c r="BA150" s="190">
        <v>19</v>
      </c>
      <c r="BB150" s="351" t="e">
        <f t="shared" si="79"/>
        <v>#DIV/0!</v>
      </c>
      <c r="BC150" s="318" t="e">
        <f t="shared" si="79"/>
        <v>#DIV/0!</v>
      </c>
      <c r="BD150" s="352" t="e">
        <f t="shared" si="80"/>
        <v>#DIV/0!</v>
      </c>
    </row>
    <row r="151" ht="20.1" customHeight="1" spans="44:56">
      <c r="AR151" s="190">
        <v>20</v>
      </c>
      <c r="AS151" s="346" t="str">
        <f t="shared" si="85"/>
        <v/>
      </c>
      <c r="AT151" s="346" t="str">
        <f t="shared" si="85"/>
        <v/>
      </c>
      <c r="AU151" s="346" t="str">
        <f t="shared" si="85"/>
        <v/>
      </c>
      <c r="AV151" s="346" t="str">
        <f t="shared" si="82"/>
        <v/>
      </c>
      <c r="AX151" s="155"/>
      <c r="AY151" s="346" t="str">
        <f t="shared" si="83"/>
        <v/>
      </c>
      <c r="AZ151" s="346" t="str">
        <f t="shared" si="84"/>
        <v/>
      </c>
      <c r="BA151" s="190">
        <v>20</v>
      </c>
      <c r="BB151" s="351" t="e">
        <f t="shared" si="79"/>
        <v>#VALUE!</v>
      </c>
      <c r="BC151" s="318" t="e">
        <f t="shared" si="79"/>
        <v>#VALUE!</v>
      </c>
      <c r="BD151" s="352" t="e">
        <f t="shared" si="80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28</v>
      </c>
      <c r="AC153" s="338">
        <f>AH65</f>
        <v>28</v>
      </c>
      <c r="AD153" s="338">
        <f>AH66</f>
        <v>40</v>
      </c>
      <c r="AE153" s="338">
        <f>AH67</f>
        <v>42</v>
      </c>
      <c r="AH153" s="101"/>
      <c r="AI153" s="101"/>
      <c r="AJ153" s="101"/>
      <c r="AK153" s="101"/>
      <c r="AL153" s="338">
        <f>AI64</f>
        <v>19</v>
      </c>
      <c r="AM153" s="338">
        <f>AI65</f>
        <v>19</v>
      </c>
      <c r="AN153" s="338">
        <f>AI66</f>
        <v>26</v>
      </c>
      <c r="AO153" s="338">
        <f>AI67</f>
        <v>29</v>
      </c>
      <c r="AR153" s="2" t="s">
        <v>25</v>
      </c>
      <c r="AS153" s="2">
        <f>SUM(AS132:AS151)/比赛参数!$G$4</f>
        <v>1</v>
      </c>
      <c r="AT153" s="2">
        <f>SUM(AT132:AT151)/比赛参数!$G$4</f>
        <v>1</v>
      </c>
      <c r="AU153" s="2">
        <f>SUM(AU132:AU151)/比赛参数!$G$4</f>
        <v>1</v>
      </c>
      <c r="AV153" s="2">
        <f>SUM(AV132:AV151)/比赛参数!$G$4</f>
        <v>1</v>
      </c>
      <c r="AY153" s="2">
        <f>SUM(AY132:AY151)/比赛参数!$G$4</f>
        <v>1</v>
      </c>
      <c r="AZ153" s="2">
        <f>SUM(AZ132:AZ151)/比赛参数!$G$4</f>
        <v>1</v>
      </c>
    </row>
    <row r="154" ht="20.1" customHeight="1" spans="22:41">
      <c r="V154" s="334" t="s">
        <v>23</v>
      </c>
      <c r="W154" s="11">
        <v>1</v>
      </c>
      <c r="X154" s="335">
        <f t="shared" ref="X154:AA173" si="86">L50</f>
        <v>7300</v>
      </c>
      <c r="Y154" s="335">
        <f t="shared" si="86"/>
        <v>7300</v>
      </c>
      <c r="Z154" s="335">
        <f t="shared" si="86"/>
        <v>7600</v>
      </c>
      <c r="AA154" s="335">
        <f t="shared" si="86"/>
        <v>7600</v>
      </c>
      <c r="AB154" s="339">
        <f t="shared" ref="AB154:AE173" si="87">INT(AG$232*L73+0.5)</f>
        <v>0</v>
      </c>
      <c r="AC154" s="339">
        <f t="shared" si="87"/>
        <v>0</v>
      </c>
      <c r="AD154" s="339">
        <f t="shared" si="87"/>
        <v>0</v>
      </c>
      <c r="AE154" s="339">
        <f t="shared" si="87"/>
        <v>0</v>
      </c>
      <c r="AF154" s="334" t="s">
        <v>24</v>
      </c>
      <c r="AG154" s="11">
        <v>1</v>
      </c>
      <c r="AH154" s="340">
        <f t="shared" ref="AH154:AK173" si="88">P50</f>
        <v>9300</v>
      </c>
      <c r="AI154" s="340">
        <f t="shared" si="88"/>
        <v>9300</v>
      </c>
      <c r="AJ154" s="340">
        <f t="shared" si="88"/>
        <v>9600</v>
      </c>
      <c r="AK154" s="340">
        <f t="shared" si="88"/>
        <v>9600</v>
      </c>
      <c r="AL154" s="341">
        <f t="shared" ref="AL154:AO173" si="89">INT(AK$232*P73+0.5)</f>
        <v>0</v>
      </c>
      <c r="AM154" s="341">
        <f t="shared" si="89"/>
        <v>0</v>
      </c>
      <c r="AN154" s="341">
        <f t="shared" si="89"/>
        <v>0</v>
      </c>
      <c r="AO154" s="341">
        <f t="shared" si="89"/>
        <v>0</v>
      </c>
    </row>
    <row r="155" ht="20.1" customHeight="1" spans="22:41">
      <c r="V155" s="336"/>
      <c r="W155" s="11">
        <v>2</v>
      </c>
      <c r="X155" s="335">
        <f t="shared" si="86"/>
        <v>7300</v>
      </c>
      <c r="Y155" s="335">
        <f t="shared" si="86"/>
        <v>7300</v>
      </c>
      <c r="Z155" s="335">
        <f t="shared" si="86"/>
        <v>7600</v>
      </c>
      <c r="AA155" s="335">
        <f t="shared" si="86"/>
        <v>7600</v>
      </c>
      <c r="AB155" s="339">
        <f t="shared" si="87"/>
        <v>0</v>
      </c>
      <c r="AC155" s="339">
        <f t="shared" si="87"/>
        <v>0</v>
      </c>
      <c r="AD155" s="339">
        <f t="shared" si="87"/>
        <v>0</v>
      </c>
      <c r="AE155" s="339">
        <f t="shared" si="87"/>
        <v>0</v>
      </c>
      <c r="AF155" s="336"/>
      <c r="AG155" s="11">
        <v>2</v>
      </c>
      <c r="AH155" s="340">
        <f t="shared" si="88"/>
        <v>9300</v>
      </c>
      <c r="AI155" s="340">
        <f t="shared" si="88"/>
        <v>9300</v>
      </c>
      <c r="AJ155" s="340">
        <f t="shared" si="88"/>
        <v>9600</v>
      </c>
      <c r="AK155" s="340">
        <f t="shared" si="88"/>
        <v>9600</v>
      </c>
      <c r="AL155" s="341">
        <f t="shared" si="89"/>
        <v>0</v>
      </c>
      <c r="AM155" s="341">
        <f t="shared" si="89"/>
        <v>0</v>
      </c>
      <c r="AN155" s="341">
        <f t="shared" si="89"/>
        <v>0</v>
      </c>
      <c r="AO155" s="341">
        <f t="shared" si="89"/>
        <v>0</v>
      </c>
    </row>
    <row r="156" ht="20.1" customHeight="1" spans="22:44">
      <c r="V156" s="336"/>
      <c r="W156" s="11">
        <v>3</v>
      </c>
      <c r="X156" s="335">
        <f t="shared" si="86"/>
        <v>7300</v>
      </c>
      <c r="Y156" s="335">
        <f t="shared" si="86"/>
        <v>7300</v>
      </c>
      <c r="Z156" s="335">
        <f t="shared" si="86"/>
        <v>7600</v>
      </c>
      <c r="AA156" s="335">
        <f t="shared" si="86"/>
        <v>7600</v>
      </c>
      <c r="AB156" s="339">
        <f t="shared" si="87"/>
        <v>0</v>
      </c>
      <c r="AC156" s="339">
        <f t="shared" si="87"/>
        <v>0</v>
      </c>
      <c r="AD156" s="339">
        <f t="shared" si="87"/>
        <v>0</v>
      </c>
      <c r="AE156" s="339">
        <f t="shared" si="87"/>
        <v>0</v>
      </c>
      <c r="AF156" s="336"/>
      <c r="AG156" s="11">
        <v>3</v>
      </c>
      <c r="AH156" s="340">
        <f t="shared" si="88"/>
        <v>9300</v>
      </c>
      <c r="AI156" s="340">
        <f t="shared" si="88"/>
        <v>9300</v>
      </c>
      <c r="AJ156" s="340">
        <f t="shared" si="88"/>
        <v>9600</v>
      </c>
      <c r="AK156" s="340">
        <f t="shared" si="88"/>
        <v>9600</v>
      </c>
      <c r="AL156" s="341">
        <f t="shared" si="89"/>
        <v>0</v>
      </c>
      <c r="AM156" s="341">
        <f t="shared" si="89"/>
        <v>0</v>
      </c>
      <c r="AN156" s="341">
        <f t="shared" si="89"/>
        <v>0</v>
      </c>
      <c r="AO156" s="341">
        <f t="shared" si="89"/>
        <v>0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6"/>
        <v>7300</v>
      </c>
      <c r="Y157" s="335">
        <f t="shared" si="86"/>
        <v>7300</v>
      </c>
      <c r="Z157" s="335">
        <f t="shared" si="86"/>
        <v>7600</v>
      </c>
      <c r="AA157" s="335">
        <f t="shared" si="86"/>
        <v>7600</v>
      </c>
      <c r="AB157" s="339">
        <f t="shared" si="87"/>
        <v>0</v>
      </c>
      <c r="AC157" s="339">
        <f t="shared" si="87"/>
        <v>0</v>
      </c>
      <c r="AD157" s="339">
        <f t="shared" si="87"/>
        <v>0</v>
      </c>
      <c r="AE157" s="339">
        <f t="shared" si="87"/>
        <v>0</v>
      </c>
      <c r="AF157" s="336"/>
      <c r="AG157" s="11">
        <v>4</v>
      </c>
      <c r="AH157" s="340">
        <f t="shared" si="88"/>
        <v>9300</v>
      </c>
      <c r="AI157" s="340">
        <f t="shared" si="88"/>
        <v>9300</v>
      </c>
      <c r="AJ157" s="340">
        <f t="shared" si="88"/>
        <v>9600</v>
      </c>
      <c r="AK157" s="340">
        <f t="shared" si="88"/>
        <v>9600</v>
      </c>
      <c r="AL157" s="341">
        <f t="shared" si="89"/>
        <v>0</v>
      </c>
      <c r="AM157" s="341">
        <f t="shared" si="89"/>
        <v>0</v>
      </c>
      <c r="AN157" s="341">
        <f t="shared" si="89"/>
        <v>0</v>
      </c>
      <c r="AO157" s="341">
        <f t="shared" si="89"/>
        <v>0</v>
      </c>
      <c r="AR157" s="2">
        <v>1</v>
      </c>
      <c r="AS157" s="2">
        <f>IF(AS132="","",(AS132-AS$153)^2)</f>
        <v>0</v>
      </c>
      <c r="AT157" s="2">
        <f>IF(AT132="","",(AT132-AT$153)^2)</f>
        <v>0</v>
      </c>
      <c r="AU157" s="2">
        <f>IF(AU132="","",(AU132-AU$153)^2)</f>
        <v>0</v>
      </c>
      <c r="AV157" s="2">
        <f>IF(AV132="","",(AV132-AV$153)^2)</f>
        <v>0</v>
      </c>
      <c r="AY157" s="2">
        <f>IF(AY132="","",(AY132-AY$153)^2)</f>
        <v>0</v>
      </c>
      <c r="AZ157" s="2">
        <f>IF(AZ132="","",(AZ132-AZ$153)^2)</f>
        <v>0</v>
      </c>
    </row>
    <row r="158" ht="20.1" customHeight="1" spans="22:52">
      <c r="V158" s="336"/>
      <c r="W158" s="11">
        <v>5</v>
      </c>
      <c r="X158" s="335">
        <f t="shared" si="86"/>
        <v>7300</v>
      </c>
      <c r="Y158" s="335">
        <f t="shared" si="86"/>
        <v>7300</v>
      </c>
      <c r="Z158" s="335">
        <f t="shared" si="86"/>
        <v>7600</v>
      </c>
      <c r="AA158" s="335">
        <f t="shared" si="86"/>
        <v>7600</v>
      </c>
      <c r="AB158" s="339">
        <f t="shared" si="87"/>
        <v>0</v>
      </c>
      <c r="AC158" s="339">
        <f t="shared" si="87"/>
        <v>0</v>
      </c>
      <c r="AD158" s="339">
        <f t="shared" si="87"/>
        <v>0</v>
      </c>
      <c r="AE158" s="339">
        <f t="shared" si="87"/>
        <v>0</v>
      </c>
      <c r="AF158" s="336"/>
      <c r="AG158" s="11">
        <v>5</v>
      </c>
      <c r="AH158" s="340">
        <f t="shared" si="88"/>
        <v>9300</v>
      </c>
      <c r="AI158" s="340">
        <f t="shared" si="88"/>
        <v>9300</v>
      </c>
      <c r="AJ158" s="340">
        <f t="shared" si="88"/>
        <v>9600</v>
      </c>
      <c r="AK158" s="340">
        <f t="shared" si="88"/>
        <v>9600</v>
      </c>
      <c r="AL158" s="341">
        <f t="shared" si="89"/>
        <v>0</v>
      </c>
      <c r="AM158" s="341">
        <f t="shared" si="89"/>
        <v>0</v>
      </c>
      <c r="AN158" s="341">
        <f t="shared" si="89"/>
        <v>0</v>
      </c>
      <c r="AO158" s="341">
        <f t="shared" si="89"/>
        <v>0</v>
      </c>
      <c r="AR158" s="2">
        <v>2</v>
      </c>
      <c r="AS158" s="2">
        <f t="shared" ref="AS158:AV173" si="90">IF(AS133="","",(AS133-AS$153)^2)</f>
        <v>0</v>
      </c>
      <c r="AT158" s="2">
        <f t="shared" si="90"/>
        <v>0</v>
      </c>
      <c r="AU158" s="2">
        <f t="shared" si="90"/>
        <v>0</v>
      </c>
      <c r="AV158" s="2">
        <f t="shared" si="90"/>
        <v>0</v>
      </c>
      <c r="AY158" s="2">
        <f t="shared" ref="AY158:AZ173" si="91">IF(AY133="","",(AY133-AY$153)^2)</f>
        <v>0</v>
      </c>
      <c r="AZ158" s="2">
        <f t="shared" si="91"/>
        <v>0</v>
      </c>
    </row>
    <row r="159" ht="20.1" customHeight="1" spans="22:52">
      <c r="V159" s="336"/>
      <c r="W159" s="11">
        <v>6</v>
      </c>
      <c r="X159" s="335">
        <f t="shared" si="86"/>
        <v>7300</v>
      </c>
      <c r="Y159" s="335">
        <f t="shared" si="86"/>
        <v>7300</v>
      </c>
      <c r="Z159" s="335">
        <f t="shared" si="86"/>
        <v>7600</v>
      </c>
      <c r="AA159" s="335">
        <f t="shared" si="86"/>
        <v>7600</v>
      </c>
      <c r="AB159" s="339">
        <f t="shared" si="87"/>
        <v>0</v>
      </c>
      <c r="AC159" s="339">
        <f t="shared" si="87"/>
        <v>0</v>
      </c>
      <c r="AD159" s="339">
        <f t="shared" si="87"/>
        <v>0</v>
      </c>
      <c r="AE159" s="339">
        <f t="shared" si="87"/>
        <v>0</v>
      </c>
      <c r="AF159" s="336"/>
      <c r="AG159" s="11">
        <v>6</v>
      </c>
      <c r="AH159" s="340">
        <f t="shared" si="88"/>
        <v>9300</v>
      </c>
      <c r="AI159" s="340">
        <f t="shared" si="88"/>
        <v>9300</v>
      </c>
      <c r="AJ159" s="340">
        <f t="shared" si="88"/>
        <v>9600</v>
      </c>
      <c r="AK159" s="340">
        <f t="shared" si="88"/>
        <v>9600</v>
      </c>
      <c r="AL159" s="341">
        <f t="shared" si="89"/>
        <v>0</v>
      </c>
      <c r="AM159" s="341">
        <f t="shared" si="89"/>
        <v>0</v>
      </c>
      <c r="AN159" s="341">
        <f t="shared" si="89"/>
        <v>0</v>
      </c>
      <c r="AO159" s="341">
        <f t="shared" si="89"/>
        <v>0</v>
      </c>
      <c r="AR159" s="2">
        <v>3</v>
      </c>
      <c r="AS159" s="2">
        <f t="shared" si="90"/>
        <v>0</v>
      </c>
      <c r="AT159" s="2">
        <f t="shared" si="90"/>
        <v>0</v>
      </c>
      <c r="AU159" s="2">
        <f t="shared" si="90"/>
        <v>0</v>
      </c>
      <c r="AV159" s="2">
        <f t="shared" si="90"/>
        <v>0</v>
      </c>
      <c r="AY159" s="2">
        <f t="shared" si="91"/>
        <v>0</v>
      </c>
      <c r="AZ159" s="2">
        <f t="shared" si="91"/>
        <v>0</v>
      </c>
    </row>
    <row r="160" ht="20.1" customHeight="1" spans="22:52">
      <c r="V160" s="336"/>
      <c r="W160" s="11">
        <v>7</v>
      </c>
      <c r="X160" s="335">
        <f t="shared" si="86"/>
        <v>7300</v>
      </c>
      <c r="Y160" s="335">
        <f t="shared" si="86"/>
        <v>7300</v>
      </c>
      <c r="Z160" s="335">
        <f t="shared" si="86"/>
        <v>7600</v>
      </c>
      <c r="AA160" s="335">
        <f t="shared" si="86"/>
        <v>7600</v>
      </c>
      <c r="AB160" s="339">
        <f t="shared" si="87"/>
        <v>0</v>
      </c>
      <c r="AC160" s="339">
        <f t="shared" si="87"/>
        <v>0</v>
      </c>
      <c r="AD160" s="339">
        <f t="shared" si="87"/>
        <v>0</v>
      </c>
      <c r="AE160" s="339">
        <f t="shared" si="87"/>
        <v>0</v>
      </c>
      <c r="AF160" s="336"/>
      <c r="AG160" s="11">
        <v>7</v>
      </c>
      <c r="AH160" s="340">
        <f t="shared" si="88"/>
        <v>9300</v>
      </c>
      <c r="AI160" s="340">
        <f t="shared" si="88"/>
        <v>9300</v>
      </c>
      <c r="AJ160" s="340">
        <f t="shared" si="88"/>
        <v>9600</v>
      </c>
      <c r="AK160" s="340">
        <f t="shared" si="88"/>
        <v>9600</v>
      </c>
      <c r="AL160" s="341">
        <f t="shared" si="89"/>
        <v>0</v>
      </c>
      <c r="AM160" s="341">
        <f t="shared" si="89"/>
        <v>0</v>
      </c>
      <c r="AN160" s="341">
        <f t="shared" si="89"/>
        <v>0</v>
      </c>
      <c r="AO160" s="341">
        <f t="shared" si="89"/>
        <v>0</v>
      </c>
      <c r="AR160" s="2">
        <v>4</v>
      </c>
      <c r="AS160" s="2">
        <f t="shared" si="90"/>
        <v>0</v>
      </c>
      <c r="AT160" s="2">
        <f t="shared" si="90"/>
        <v>0</v>
      </c>
      <c r="AU160" s="2">
        <f t="shared" si="90"/>
        <v>0</v>
      </c>
      <c r="AV160" s="2">
        <f t="shared" si="90"/>
        <v>0</v>
      </c>
      <c r="AY160" s="2">
        <f t="shared" si="91"/>
        <v>0</v>
      </c>
      <c r="AZ160" s="2">
        <f t="shared" si="91"/>
        <v>0</v>
      </c>
    </row>
    <row r="161" ht="20.1" customHeight="1" spans="22:52">
      <c r="V161" s="336"/>
      <c r="W161" s="11">
        <v>8</v>
      </c>
      <c r="X161" s="335">
        <f t="shared" si="86"/>
        <v>7300</v>
      </c>
      <c r="Y161" s="335">
        <f t="shared" si="86"/>
        <v>7300</v>
      </c>
      <c r="Z161" s="335">
        <f t="shared" si="86"/>
        <v>7600</v>
      </c>
      <c r="AA161" s="335">
        <f t="shared" si="86"/>
        <v>7600</v>
      </c>
      <c r="AB161" s="339">
        <f t="shared" si="87"/>
        <v>0</v>
      </c>
      <c r="AC161" s="339">
        <f t="shared" si="87"/>
        <v>0</v>
      </c>
      <c r="AD161" s="339">
        <f t="shared" si="87"/>
        <v>0</v>
      </c>
      <c r="AE161" s="339">
        <f t="shared" si="87"/>
        <v>0</v>
      </c>
      <c r="AF161" s="336"/>
      <c r="AG161" s="11">
        <v>8</v>
      </c>
      <c r="AH161" s="340">
        <f t="shared" si="88"/>
        <v>9300</v>
      </c>
      <c r="AI161" s="340">
        <f t="shared" si="88"/>
        <v>9300</v>
      </c>
      <c r="AJ161" s="340">
        <f t="shared" si="88"/>
        <v>9600</v>
      </c>
      <c r="AK161" s="340">
        <f t="shared" si="88"/>
        <v>9600</v>
      </c>
      <c r="AL161" s="341">
        <f t="shared" si="89"/>
        <v>0</v>
      </c>
      <c r="AM161" s="341">
        <f t="shared" si="89"/>
        <v>0</v>
      </c>
      <c r="AN161" s="341">
        <f t="shared" si="89"/>
        <v>0</v>
      </c>
      <c r="AO161" s="341">
        <f t="shared" si="89"/>
        <v>0</v>
      </c>
      <c r="AR161" s="2">
        <v>5</v>
      </c>
      <c r="AS161" s="2">
        <f t="shared" si="90"/>
        <v>0</v>
      </c>
      <c r="AT161" s="2">
        <f t="shared" si="90"/>
        <v>0</v>
      </c>
      <c r="AU161" s="2">
        <f t="shared" si="90"/>
        <v>0</v>
      </c>
      <c r="AV161" s="2">
        <f t="shared" si="90"/>
        <v>0</v>
      </c>
      <c r="AY161" s="2">
        <f t="shared" si="91"/>
        <v>0</v>
      </c>
      <c r="AZ161" s="2">
        <f t="shared" si="91"/>
        <v>0</v>
      </c>
    </row>
    <row r="162" ht="20.1" customHeight="1" spans="22:52">
      <c r="V162" s="336"/>
      <c r="W162" s="11">
        <v>9</v>
      </c>
      <c r="X162" s="335">
        <f t="shared" si="86"/>
        <v>7300</v>
      </c>
      <c r="Y162" s="335">
        <f t="shared" si="86"/>
        <v>7300</v>
      </c>
      <c r="Z162" s="335">
        <f t="shared" si="86"/>
        <v>7600</v>
      </c>
      <c r="AA162" s="335">
        <f t="shared" si="86"/>
        <v>7600</v>
      </c>
      <c r="AB162" s="339">
        <f t="shared" si="87"/>
        <v>0</v>
      </c>
      <c r="AC162" s="339">
        <f t="shared" si="87"/>
        <v>0</v>
      </c>
      <c r="AD162" s="339">
        <f t="shared" si="87"/>
        <v>0</v>
      </c>
      <c r="AE162" s="339">
        <f t="shared" si="87"/>
        <v>0</v>
      </c>
      <c r="AF162" s="336"/>
      <c r="AG162" s="11">
        <v>9</v>
      </c>
      <c r="AH162" s="340">
        <f t="shared" si="88"/>
        <v>9300</v>
      </c>
      <c r="AI162" s="340">
        <f t="shared" si="88"/>
        <v>9300</v>
      </c>
      <c r="AJ162" s="340">
        <f t="shared" si="88"/>
        <v>9600</v>
      </c>
      <c r="AK162" s="340">
        <f t="shared" si="88"/>
        <v>9600</v>
      </c>
      <c r="AL162" s="341">
        <f t="shared" si="89"/>
        <v>0</v>
      </c>
      <c r="AM162" s="341">
        <f t="shared" si="89"/>
        <v>0</v>
      </c>
      <c r="AN162" s="341">
        <f t="shared" si="89"/>
        <v>0</v>
      </c>
      <c r="AO162" s="341">
        <f t="shared" si="89"/>
        <v>0</v>
      </c>
      <c r="AR162" s="2">
        <v>6</v>
      </c>
      <c r="AS162" s="2">
        <f t="shared" si="90"/>
        <v>0</v>
      </c>
      <c r="AT162" s="2">
        <f t="shared" si="90"/>
        <v>0</v>
      </c>
      <c r="AU162" s="2">
        <f t="shared" si="90"/>
        <v>0</v>
      </c>
      <c r="AV162" s="2">
        <f t="shared" si="90"/>
        <v>0</v>
      </c>
      <c r="AY162" s="2">
        <f t="shared" si="91"/>
        <v>0</v>
      </c>
      <c r="AZ162" s="2">
        <f t="shared" si="91"/>
        <v>0</v>
      </c>
    </row>
    <row r="163" ht="20.1" customHeight="1" spans="22:52">
      <c r="V163" s="336"/>
      <c r="W163" s="11">
        <v>10</v>
      </c>
      <c r="X163" s="335">
        <f t="shared" si="86"/>
        <v>7300</v>
      </c>
      <c r="Y163" s="335">
        <f t="shared" si="86"/>
        <v>7300</v>
      </c>
      <c r="Z163" s="335">
        <f t="shared" si="86"/>
        <v>7600</v>
      </c>
      <c r="AA163" s="335">
        <f t="shared" si="86"/>
        <v>7600</v>
      </c>
      <c r="AB163" s="339">
        <f t="shared" si="87"/>
        <v>0</v>
      </c>
      <c r="AC163" s="339">
        <f t="shared" si="87"/>
        <v>0</v>
      </c>
      <c r="AD163" s="339">
        <f t="shared" si="87"/>
        <v>0</v>
      </c>
      <c r="AE163" s="339">
        <f t="shared" si="87"/>
        <v>0</v>
      </c>
      <c r="AF163" s="336"/>
      <c r="AG163" s="11">
        <v>10</v>
      </c>
      <c r="AH163" s="340">
        <f t="shared" si="88"/>
        <v>9300</v>
      </c>
      <c r="AI163" s="340">
        <f t="shared" si="88"/>
        <v>9300</v>
      </c>
      <c r="AJ163" s="340">
        <f t="shared" si="88"/>
        <v>9600</v>
      </c>
      <c r="AK163" s="340">
        <f t="shared" si="88"/>
        <v>9600</v>
      </c>
      <c r="AL163" s="341">
        <f t="shared" si="89"/>
        <v>0</v>
      </c>
      <c r="AM163" s="341">
        <f t="shared" si="89"/>
        <v>0</v>
      </c>
      <c r="AN163" s="341">
        <f t="shared" si="89"/>
        <v>0</v>
      </c>
      <c r="AO163" s="341">
        <f t="shared" si="89"/>
        <v>0</v>
      </c>
      <c r="AR163" s="2">
        <v>7</v>
      </c>
      <c r="AS163" s="2">
        <f t="shared" si="90"/>
        <v>0</v>
      </c>
      <c r="AT163" s="2">
        <f t="shared" si="90"/>
        <v>0</v>
      </c>
      <c r="AU163" s="2">
        <f t="shared" si="90"/>
        <v>0</v>
      </c>
      <c r="AV163" s="2">
        <f t="shared" si="90"/>
        <v>0</v>
      </c>
      <c r="AY163" s="2">
        <f t="shared" si="91"/>
        <v>0</v>
      </c>
      <c r="AZ163" s="2">
        <f t="shared" si="91"/>
        <v>0</v>
      </c>
    </row>
    <row r="164" ht="20.1" customHeight="1" spans="22:52">
      <c r="V164" s="336"/>
      <c r="W164" s="11">
        <v>11</v>
      </c>
      <c r="X164" s="335">
        <f t="shared" si="86"/>
        <v>7300</v>
      </c>
      <c r="Y164" s="335">
        <f t="shared" si="86"/>
        <v>7300</v>
      </c>
      <c r="Z164" s="335">
        <f t="shared" si="86"/>
        <v>7600</v>
      </c>
      <c r="AA164" s="335">
        <f t="shared" si="86"/>
        <v>7600</v>
      </c>
      <c r="AB164" s="339">
        <f t="shared" si="87"/>
        <v>0</v>
      </c>
      <c r="AC164" s="339">
        <f t="shared" si="87"/>
        <v>0</v>
      </c>
      <c r="AD164" s="339">
        <f t="shared" si="87"/>
        <v>0</v>
      </c>
      <c r="AE164" s="339">
        <f t="shared" si="87"/>
        <v>0</v>
      </c>
      <c r="AF164" s="336"/>
      <c r="AG164" s="11">
        <v>11</v>
      </c>
      <c r="AH164" s="340">
        <f t="shared" si="88"/>
        <v>9300</v>
      </c>
      <c r="AI164" s="340">
        <f t="shared" si="88"/>
        <v>9300</v>
      </c>
      <c r="AJ164" s="340">
        <f t="shared" si="88"/>
        <v>9600</v>
      </c>
      <c r="AK164" s="340">
        <f t="shared" si="88"/>
        <v>9600</v>
      </c>
      <c r="AL164" s="341">
        <f t="shared" si="89"/>
        <v>0</v>
      </c>
      <c r="AM164" s="341">
        <f t="shared" si="89"/>
        <v>0</v>
      </c>
      <c r="AN164" s="341">
        <f t="shared" si="89"/>
        <v>0</v>
      </c>
      <c r="AO164" s="341">
        <f t="shared" si="89"/>
        <v>0</v>
      </c>
      <c r="AR164" s="2">
        <v>8</v>
      </c>
      <c r="AS164" s="2">
        <f t="shared" si="90"/>
        <v>0</v>
      </c>
      <c r="AT164" s="2">
        <f t="shared" si="90"/>
        <v>0</v>
      </c>
      <c r="AU164" s="2">
        <f t="shared" si="90"/>
        <v>0</v>
      </c>
      <c r="AV164" s="2">
        <f t="shared" si="90"/>
        <v>0</v>
      </c>
      <c r="AY164" s="2">
        <f t="shared" si="91"/>
        <v>0</v>
      </c>
      <c r="AZ164" s="2">
        <f t="shared" si="91"/>
        <v>0</v>
      </c>
    </row>
    <row r="165" ht="20.1" customHeight="1" spans="22:52">
      <c r="V165" s="336"/>
      <c r="W165" s="11">
        <v>12</v>
      </c>
      <c r="X165" s="335">
        <f t="shared" si="86"/>
        <v>7300</v>
      </c>
      <c r="Y165" s="335">
        <f t="shared" si="86"/>
        <v>7300</v>
      </c>
      <c r="Z165" s="335">
        <f t="shared" si="86"/>
        <v>7600</v>
      </c>
      <c r="AA165" s="335">
        <f t="shared" si="86"/>
        <v>7600</v>
      </c>
      <c r="AB165" s="339">
        <f t="shared" si="87"/>
        <v>0</v>
      </c>
      <c r="AC165" s="339">
        <f t="shared" si="87"/>
        <v>0</v>
      </c>
      <c r="AD165" s="339">
        <f t="shared" si="87"/>
        <v>0</v>
      </c>
      <c r="AE165" s="339">
        <f t="shared" si="87"/>
        <v>0</v>
      </c>
      <c r="AF165" s="336"/>
      <c r="AG165" s="11">
        <v>12</v>
      </c>
      <c r="AH165" s="340">
        <f t="shared" si="88"/>
        <v>9300</v>
      </c>
      <c r="AI165" s="340">
        <f t="shared" si="88"/>
        <v>9300</v>
      </c>
      <c r="AJ165" s="340">
        <f t="shared" si="88"/>
        <v>9600</v>
      </c>
      <c r="AK165" s="340">
        <f t="shared" si="88"/>
        <v>9600</v>
      </c>
      <c r="AL165" s="341">
        <f t="shared" si="89"/>
        <v>0</v>
      </c>
      <c r="AM165" s="341">
        <f t="shared" si="89"/>
        <v>0</v>
      </c>
      <c r="AN165" s="341">
        <f t="shared" si="89"/>
        <v>0</v>
      </c>
      <c r="AO165" s="341">
        <f t="shared" si="89"/>
        <v>0</v>
      </c>
      <c r="AR165" s="2">
        <v>9</v>
      </c>
      <c r="AS165" s="2">
        <f t="shared" si="90"/>
        <v>0</v>
      </c>
      <c r="AT165" s="2">
        <f t="shared" si="90"/>
        <v>0</v>
      </c>
      <c r="AU165" s="2">
        <f t="shared" si="90"/>
        <v>0</v>
      </c>
      <c r="AV165" s="2">
        <f t="shared" si="90"/>
        <v>0</v>
      </c>
      <c r="AY165" s="2">
        <f t="shared" si="91"/>
        <v>0</v>
      </c>
      <c r="AZ165" s="2">
        <f t="shared" si="91"/>
        <v>0</v>
      </c>
    </row>
    <row r="166" ht="20.1" customHeight="1" spans="22:52">
      <c r="V166" s="336"/>
      <c r="W166" s="11">
        <v>13</v>
      </c>
      <c r="X166" s="335">
        <f t="shared" si="86"/>
        <v>7300</v>
      </c>
      <c r="Y166" s="335">
        <f t="shared" si="86"/>
        <v>7300</v>
      </c>
      <c r="Z166" s="335">
        <f t="shared" si="86"/>
        <v>7600</v>
      </c>
      <c r="AA166" s="335">
        <f t="shared" si="86"/>
        <v>7600</v>
      </c>
      <c r="AB166" s="339">
        <f t="shared" si="87"/>
        <v>0</v>
      </c>
      <c r="AC166" s="339">
        <f t="shared" si="87"/>
        <v>0</v>
      </c>
      <c r="AD166" s="339">
        <f t="shared" si="87"/>
        <v>0</v>
      </c>
      <c r="AE166" s="339">
        <f t="shared" si="87"/>
        <v>0</v>
      </c>
      <c r="AF166" s="336"/>
      <c r="AG166" s="11">
        <v>13</v>
      </c>
      <c r="AH166" s="340">
        <f t="shared" si="88"/>
        <v>9300</v>
      </c>
      <c r="AI166" s="340">
        <f t="shared" si="88"/>
        <v>9300</v>
      </c>
      <c r="AJ166" s="340">
        <f t="shared" si="88"/>
        <v>9600</v>
      </c>
      <c r="AK166" s="340">
        <f t="shared" si="88"/>
        <v>9600</v>
      </c>
      <c r="AL166" s="341">
        <f t="shared" si="89"/>
        <v>0</v>
      </c>
      <c r="AM166" s="341">
        <f t="shared" si="89"/>
        <v>0</v>
      </c>
      <c r="AN166" s="341">
        <f t="shared" si="89"/>
        <v>0</v>
      </c>
      <c r="AO166" s="341">
        <f t="shared" si="89"/>
        <v>0</v>
      </c>
      <c r="AR166" s="2">
        <v>10</v>
      </c>
      <c r="AS166" s="2">
        <f t="shared" si="90"/>
        <v>0</v>
      </c>
      <c r="AT166" s="2">
        <f t="shared" si="90"/>
        <v>0</v>
      </c>
      <c r="AU166" s="2">
        <f t="shared" si="90"/>
        <v>0</v>
      </c>
      <c r="AV166" s="2">
        <f t="shared" si="90"/>
        <v>0</v>
      </c>
      <c r="AY166" s="2">
        <f t="shared" si="91"/>
        <v>0</v>
      </c>
      <c r="AZ166" s="2">
        <f t="shared" si="91"/>
        <v>0</v>
      </c>
    </row>
    <row r="167" ht="19.5" customHeight="1" spans="22:52">
      <c r="V167" s="336"/>
      <c r="W167" s="11">
        <v>14</v>
      </c>
      <c r="X167" s="335">
        <f t="shared" si="86"/>
        <v>7300</v>
      </c>
      <c r="Y167" s="335">
        <f t="shared" si="86"/>
        <v>7300</v>
      </c>
      <c r="Z167" s="335">
        <f t="shared" si="86"/>
        <v>7600</v>
      </c>
      <c r="AA167" s="335">
        <f t="shared" si="86"/>
        <v>7600</v>
      </c>
      <c r="AB167" s="339">
        <f t="shared" si="87"/>
        <v>0</v>
      </c>
      <c r="AC167" s="339">
        <f t="shared" si="87"/>
        <v>0</v>
      </c>
      <c r="AD167" s="339">
        <f t="shared" si="87"/>
        <v>0</v>
      </c>
      <c r="AE167" s="339">
        <f t="shared" si="87"/>
        <v>0</v>
      </c>
      <c r="AF167" s="336"/>
      <c r="AG167" s="11">
        <v>14</v>
      </c>
      <c r="AH167" s="340">
        <f t="shared" si="88"/>
        <v>9300</v>
      </c>
      <c r="AI167" s="340">
        <f t="shared" si="88"/>
        <v>9300</v>
      </c>
      <c r="AJ167" s="340">
        <f t="shared" si="88"/>
        <v>9600</v>
      </c>
      <c r="AK167" s="340">
        <f t="shared" si="88"/>
        <v>9600</v>
      </c>
      <c r="AL167" s="341">
        <f t="shared" si="89"/>
        <v>0</v>
      </c>
      <c r="AM167" s="341">
        <f t="shared" si="89"/>
        <v>0</v>
      </c>
      <c r="AN167" s="341">
        <f t="shared" si="89"/>
        <v>0</v>
      </c>
      <c r="AO167" s="341">
        <f t="shared" si="89"/>
        <v>0</v>
      </c>
      <c r="AR167" s="2">
        <v>11</v>
      </c>
      <c r="AS167" s="2">
        <f t="shared" si="90"/>
        <v>0</v>
      </c>
      <c r="AT167" s="2">
        <f t="shared" si="90"/>
        <v>0</v>
      </c>
      <c r="AU167" s="2">
        <f t="shared" si="90"/>
        <v>0</v>
      </c>
      <c r="AV167" s="2">
        <f t="shared" si="90"/>
        <v>0</v>
      </c>
      <c r="AY167" s="2">
        <f t="shared" si="91"/>
        <v>0</v>
      </c>
      <c r="AZ167" s="2">
        <f t="shared" si="91"/>
        <v>0</v>
      </c>
    </row>
    <row r="168" ht="19.5" customHeight="1" spans="22:52">
      <c r="V168" s="336"/>
      <c r="W168" s="11">
        <v>15</v>
      </c>
      <c r="X168" s="335">
        <f t="shared" si="86"/>
        <v>7300</v>
      </c>
      <c r="Y168" s="335">
        <f t="shared" si="86"/>
        <v>7300</v>
      </c>
      <c r="Z168" s="335">
        <f t="shared" si="86"/>
        <v>7600</v>
      </c>
      <c r="AA168" s="335">
        <f t="shared" si="86"/>
        <v>7600</v>
      </c>
      <c r="AB168" s="339">
        <f t="shared" si="87"/>
        <v>0</v>
      </c>
      <c r="AC168" s="339">
        <f t="shared" si="87"/>
        <v>0</v>
      </c>
      <c r="AD168" s="339">
        <f t="shared" si="87"/>
        <v>0</v>
      </c>
      <c r="AE168" s="339">
        <f t="shared" si="87"/>
        <v>0</v>
      </c>
      <c r="AF168" s="336"/>
      <c r="AG168" s="11">
        <v>15</v>
      </c>
      <c r="AH168" s="340">
        <f t="shared" si="88"/>
        <v>9300</v>
      </c>
      <c r="AI168" s="340">
        <f t="shared" si="88"/>
        <v>9300</v>
      </c>
      <c r="AJ168" s="340">
        <f t="shared" si="88"/>
        <v>9600</v>
      </c>
      <c r="AK168" s="340">
        <f t="shared" si="88"/>
        <v>9600</v>
      </c>
      <c r="AL168" s="341">
        <f t="shared" si="89"/>
        <v>0</v>
      </c>
      <c r="AM168" s="341">
        <f t="shared" si="89"/>
        <v>0</v>
      </c>
      <c r="AN168" s="341">
        <f t="shared" si="89"/>
        <v>0</v>
      </c>
      <c r="AO168" s="341">
        <f t="shared" si="89"/>
        <v>0</v>
      </c>
      <c r="AR168" s="2">
        <v>12</v>
      </c>
      <c r="AS168" s="2">
        <f t="shared" si="90"/>
        <v>0</v>
      </c>
      <c r="AT168" s="2">
        <f t="shared" si="90"/>
        <v>0</v>
      </c>
      <c r="AU168" s="2">
        <f t="shared" si="90"/>
        <v>0</v>
      </c>
      <c r="AV168" s="2">
        <f t="shared" si="90"/>
        <v>0</v>
      </c>
      <c r="AY168" s="2">
        <f t="shared" si="91"/>
        <v>0</v>
      </c>
      <c r="AZ168" s="2">
        <f t="shared" si="91"/>
        <v>0</v>
      </c>
    </row>
    <row r="169" ht="19.5" customHeight="1" spans="22:52">
      <c r="V169" s="336"/>
      <c r="W169" s="11">
        <v>16</v>
      </c>
      <c r="X169" s="335">
        <f t="shared" si="86"/>
        <v>7300</v>
      </c>
      <c r="Y169" s="335">
        <f t="shared" si="86"/>
        <v>7300</v>
      </c>
      <c r="Z169" s="335">
        <f t="shared" si="86"/>
        <v>7600</v>
      </c>
      <c r="AA169" s="335">
        <f t="shared" si="86"/>
        <v>7600</v>
      </c>
      <c r="AB169" s="339">
        <f t="shared" si="87"/>
        <v>0</v>
      </c>
      <c r="AC169" s="339">
        <f t="shared" si="87"/>
        <v>0</v>
      </c>
      <c r="AD169" s="339">
        <f t="shared" si="87"/>
        <v>0</v>
      </c>
      <c r="AE169" s="339">
        <f t="shared" si="87"/>
        <v>0</v>
      </c>
      <c r="AF169" s="336"/>
      <c r="AG169" s="11">
        <v>16</v>
      </c>
      <c r="AH169" s="340">
        <f t="shared" si="88"/>
        <v>9300</v>
      </c>
      <c r="AI169" s="340">
        <f t="shared" si="88"/>
        <v>9300</v>
      </c>
      <c r="AJ169" s="340">
        <f t="shared" si="88"/>
        <v>9600</v>
      </c>
      <c r="AK169" s="340">
        <f t="shared" si="88"/>
        <v>9600</v>
      </c>
      <c r="AL169" s="341">
        <f t="shared" si="89"/>
        <v>0</v>
      </c>
      <c r="AM169" s="341">
        <f t="shared" si="89"/>
        <v>0</v>
      </c>
      <c r="AN169" s="341">
        <f t="shared" si="89"/>
        <v>0</v>
      </c>
      <c r="AO169" s="341">
        <f t="shared" si="89"/>
        <v>0</v>
      </c>
      <c r="AR169" s="2">
        <v>13</v>
      </c>
      <c r="AS169" s="2">
        <f t="shared" si="90"/>
        <v>0</v>
      </c>
      <c r="AT169" s="2">
        <f t="shared" si="90"/>
        <v>0</v>
      </c>
      <c r="AU169" s="2">
        <f t="shared" si="90"/>
        <v>0</v>
      </c>
      <c r="AV169" s="2">
        <f t="shared" si="90"/>
        <v>0</v>
      </c>
      <c r="AY169" s="2">
        <f t="shared" si="91"/>
        <v>0</v>
      </c>
      <c r="AZ169" s="2">
        <f t="shared" si="91"/>
        <v>0</v>
      </c>
    </row>
    <row r="170" ht="19.5" customHeight="1" spans="22:52">
      <c r="V170" s="336"/>
      <c r="W170" s="11">
        <v>17</v>
      </c>
      <c r="X170" s="335">
        <f t="shared" si="86"/>
        <v>7300</v>
      </c>
      <c r="Y170" s="335">
        <f t="shared" si="86"/>
        <v>7300</v>
      </c>
      <c r="Z170" s="335">
        <f t="shared" si="86"/>
        <v>7600</v>
      </c>
      <c r="AA170" s="335">
        <f t="shared" si="86"/>
        <v>7600</v>
      </c>
      <c r="AB170" s="339">
        <f t="shared" si="87"/>
        <v>0</v>
      </c>
      <c r="AC170" s="339">
        <f t="shared" si="87"/>
        <v>0</v>
      </c>
      <c r="AD170" s="339">
        <f t="shared" si="87"/>
        <v>0</v>
      </c>
      <c r="AE170" s="339">
        <f t="shared" si="87"/>
        <v>0</v>
      </c>
      <c r="AF170" s="336"/>
      <c r="AG170" s="11">
        <v>17</v>
      </c>
      <c r="AH170" s="340">
        <f t="shared" si="88"/>
        <v>9300</v>
      </c>
      <c r="AI170" s="340">
        <f t="shared" si="88"/>
        <v>9300</v>
      </c>
      <c r="AJ170" s="340">
        <f t="shared" si="88"/>
        <v>9600</v>
      </c>
      <c r="AK170" s="340">
        <f t="shared" si="88"/>
        <v>9600</v>
      </c>
      <c r="AL170" s="341">
        <f t="shared" si="89"/>
        <v>0</v>
      </c>
      <c r="AM170" s="341">
        <f t="shared" si="89"/>
        <v>0</v>
      </c>
      <c r="AN170" s="341">
        <f t="shared" si="89"/>
        <v>0</v>
      </c>
      <c r="AO170" s="341">
        <f t="shared" si="89"/>
        <v>0</v>
      </c>
      <c r="AR170" s="2">
        <v>14</v>
      </c>
      <c r="AS170" s="2">
        <f t="shared" si="90"/>
        <v>0</v>
      </c>
      <c r="AT170" s="2">
        <f t="shared" si="90"/>
        <v>0</v>
      </c>
      <c r="AU170" s="2">
        <f t="shared" si="90"/>
        <v>0</v>
      </c>
      <c r="AV170" s="2">
        <f t="shared" si="90"/>
        <v>0</v>
      </c>
      <c r="AY170" s="2">
        <f t="shared" si="91"/>
        <v>0</v>
      </c>
      <c r="AZ170" s="2">
        <f t="shared" si="91"/>
        <v>0</v>
      </c>
    </row>
    <row r="171" ht="19.5" customHeight="1" spans="22:52">
      <c r="V171" s="336"/>
      <c r="W171" s="11">
        <v>18</v>
      </c>
      <c r="X171" s="335">
        <f t="shared" si="86"/>
        <v>7300</v>
      </c>
      <c r="Y171" s="335">
        <f t="shared" si="86"/>
        <v>7300</v>
      </c>
      <c r="Z171" s="335">
        <f t="shared" si="86"/>
        <v>7600</v>
      </c>
      <c r="AA171" s="335">
        <f t="shared" si="86"/>
        <v>7600</v>
      </c>
      <c r="AB171" s="339">
        <f t="shared" si="87"/>
        <v>0</v>
      </c>
      <c r="AC171" s="339">
        <f t="shared" si="87"/>
        <v>0</v>
      </c>
      <c r="AD171" s="339">
        <f t="shared" si="87"/>
        <v>0</v>
      </c>
      <c r="AE171" s="339">
        <f t="shared" si="87"/>
        <v>0</v>
      </c>
      <c r="AF171" s="336"/>
      <c r="AG171" s="11">
        <v>18</v>
      </c>
      <c r="AH171" s="340">
        <f t="shared" si="88"/>
        <v>9300</v>
      </c>
      <c r="AI171" s="340">
        <f t="shared" si="88"/>
        <v>9300</v>
      </c>
      <c r="AJ171" s="340">
        <f t="shared" si="88"/>
        <v>9600</v>
      </c>
      <c r="AK171" s="340">
        <f t="shared" si="88"/>
        <v>9600</v>
      </c>
      <c r="AL171" s="341">
        <f t="shared" si="89"/>
        <v>0</v>
      </c>
      <c r="AM171" s="341">
        <f t="shared" si="89"/>
        <v>0</v>
      </c>
      <c r="AN171" s="341">
        <f t="shared" si="89"/>
        <v>0</v>
      </c>
      <c r="AO171" s="341">
        <f t="shared" si="89"/>
        <v>0</v>
      </c>
      <c r="AR171" s="2">
        <v>15</v>
      </c>
      <c r="AS171" s="2">
        <f t="shared" si="90"/>
        <v>0</v>
      </c>
      <c r="AT171" s="2">
        <f t="shared" si="90"/>
        <v>0</v>
      </c>
      <c r="AU171" s="2">
        <f t="shared" si="90"/>
        <v>0</v>
      </c>
      <c r="AV171" s="2">
        <f t="shared" si="90"/>
        <v>0</v>
      </c>
      <c r="AY171" s="2">
        <f t="shared" si="91"/>
        <v>0</v>
      </c>
      <c r="AZ171" s="2">
        <f t="shared" si="91"/>
        <v>0</v>
      </c>
    </row>
    <row r="172" ht="19.5" customHeight="1" spans="22:52">
      <c r="V172" s="336"/>
      <c r="W172" s="11">
        <v>19</v>
      </c>
      <c r="X172" s="335">
        <f t="shared" si="86"/>
        <v>7300</v>
      </c>
      <c r="Y172" s="335">
        <f t="shared" si="86"/>
        <v>7300</v>
      </c>
      <c r="Z172" s="335">
        <f t="shared" si="86"/>
        <v>7600</v>
      </c>
      <c r="AA172" s="335">
        <f t="shared" si="86"/>
        <v>7600</v>
      </c>
      <c r="AB172" s="339">
        <f t="shared" si="87"/>
        <v>0</v>
      </c>
      <c r="AC172" s="339">
        <f t="shared" si="87"/>
        <v>0</v>
      </c>
      <c r="AD172" s="339">
        <f t="shared" si="87"/>
        <v>0</v>
      </c>
      <c r="AE172" s="339">
        <f t="shared" si="87"/>
        <v>0</v>
      </c>
      <c r="AF172" s="336"/>
      <c r="AG172" s="11">
        <v>19</v>
      </c>
      <c r="AH172" s="340">
        <f t="shared" si="88"/>
        <v>9300</v>
      </c>
      <c r="AI172" s="340">
        <f t="shared" si="88"/>
        <v>9300</v>
      </c>
      <c r="AJ172" s="340">
        <f t="shared" si="88"/>
        <v>9600</v>
      </c>
      <c r="AK172" s="340">
        <f t="shared" si="88"/>
        <v>9600</v>
      </c>
      <c r="AL172" s="341">
        <f t="shared" si="89"/>
        <v>0</v>
      </c>
      <c r="AM172" s="341">
        <f t="shared" si="89"/>
        <v>0</v>
      </c>
      <c r="AN172" s="341">
        <f t="shared" si="89"/>
        <v>0</v>
      </c>
      <c r="AO172" s="341">
        <f t="shared" si="89"/>
        <v>0</v>
      </c>
      <c r="AR172" s="2">
        <v>16</v>
      </c>
      <c r="AS172" s="2">
        <f t="shared" si="90"/>
        <v>0</v>
      </c>
      <c r="AT172" s="2">
        <f t="shared" si="90"/>
        <v>0</v>
      </c>
      <c r="AU172" s="2">
        <f t="shared" si="90"/>
        <v>0</v>
      </c>
      <c r="AV172" s="2">
        <f t="shared" si="90"/>
        <v>0</v>
      </c>
      <c r="AY172" s="2">
        <f t="shared" si="91"/>
        <v>0</v>
      </c>
      <c r="AZ172" s="2">
        <f t="shared" si="91"/>
        <v>0</v>
      </c>
    </row>
    <row r="173" ht="19.5" customHeight="1" spans="22:52">
      <c r="V173" s="337"/>
      <c r="W173" s="11">
        <v>20</v>
      </c>
      <c r="X173" s="335">
        <f t="shared" si="86"/>
        <v>0</v>
      </c>
      <c r="Y173" s="335">
        <f t="shared" si="86"/>
        <v>0</v>
      </c>
      <c r="Z173" s="335">
        <f t="shared" si="86"/>
        <v>0</v>
      </c>
      <c r="AA173" s="335">
        <f t="shared" si="86"/>
        <v>0</v>
      </c>
      <c r="AB173" s="339">
        <f t="shared" si="87"/>
        <v>0</v>
      </c>
      <c r="AC173" s="339">
        <f t="shared" si="87"/>
        <v>0</v>
      </c>
      <c r="AD173" s="339">
        <f t="shared" si="87"/>
        <v>0</v>
      </c>
      <c r="AE173" s="339">
        <f t="shared" si="87"/>
        <v>0</v>
      </c>
      <c r="AF173" s="337"/>
      <c r="AG173" s="11">
        <v>20</v>
      </c>
      <c r="AH173" s="340">
        <f t="shared" si="88"/>
        <v>0</v>
      </c>
      <c r="AI173" s="340">
        <f t="shared" si="88"/>
        <v>0</v>
      </c>
      <c r="AJ173" s="340">
        <f t="shared" si="88"/>
        <v>0</v>
      </c>
      <c r="AK173" s="340">
        <f t="shared" si="88"/>
        <v>0</v>
      </c>
      <c r="AL173" s="341">
        <f t="shared" si="89"/>
        <v>0</v>
      </c>
      <c r="AM173" s="341">
        <f t="shared" si="89"/>
        <v>0</v>
      </c>
      <c r="AN173" s="341">
        <f t="shared" si="89"/>
        <v>0</v>
      </c>
      <c r="AO173" s="341">
        <f t="shared" si="89"/>
        <v>0</v>
      </c>
      <c r="AR173" s="2">
        <v>17</v>
      </c>
      <c r="AS173" s="2">
        <f t="shared" si="90"/>
        <v>0</v>
      </c>
      <c r="AT173" s="2">
        <f t="shared" si="90"/>
        <v>0</v>
      </c>
      <c r="AU173" s="2">
        <f t="shared" si="90"/>
        <v>0</v>
      </c>
      <c r="AV173" s="2">
        <f t="shared" si="90"/>
        <v>0</v>
      </c>
      <c r="AY173" s="2">
        <f t="shared" si="91"/>
        <v>0</v>
      </c>
      <c r="AZ173" s="2">
        <f t="shared" si="91"/>
        <v>0</v>
      </c>
    </row>
    <row r="174" ht="19.5" customHeight="1" spans="44:52">
      <c r="AR174" s="2">
        <v>18</v>
      </c>
      <c r="AS174" s="2">
        <f t="shared" ref="AS174:AV176" si="92">IF(AS149="","",(AS149-AS$153)^2)</f>
        <v>0</v>
      </c>
      <c r="AT174" s="2">
        <f t="shared" si="92"/>
        <v>0</v>
      </c>
      <c r="AU174" s="2">
        <f t="shared" si="92"/>
        <v>0</v>
      </c>
      <c r="AV174" s="2">
        <f t="shared" si="92"/>
        <v>0</v>
      </c>
      <c r="AY174" s="2">
        <f t="shared" ref="AY174:AZ176" si="93">IF(AY149="","",(AY149-AY$153)^2)</f>
        <v>0</v>
      </c>
      <c r="AZ174" s="2">
        <f t="shared" si="93"/>
        <v>0</v>
      </c>
    </row>
    <row r="175" ht="19.5" customHeight="1" spans="44:52">
      <c r="AR175" s="2">
        <v>19</v>
      </c>
      <c r="AS175" s="2">
        <f t="shared" si="92"/>
        <v>0</v>
      </c>
      <c r="AT175" s="2">
        <f t="shared" si="92"/>
        <v>0</v>
      </c>
      <c r="AU175" s="2">
        <f t="shared" si="92"/>
        <v>0</v>
      </c>
      <c r="AV175" s="2">
        <f t="shared" si="92"/>
        <v>0</v>
      </c>
      <c r="AY175" s="2">
        <f t="shared" si="93"/>
        <v>0</v>
      </c>
      <c r="AZ175" s="2">
        <f t="shared" si="93"/>
        <v>0</v>
      </c>
    </row>
    <row r="176" ht="19.5" customHeight="1" spans="44:52">
      <c r="AR176" s="2">
        <v>20</v>
      </c>
      <c r="AS176" s="2" t="str">
        <f t="shared" si="92"/>
        <v/>
      </c>
      <c r="AT176" s="2" t="str">
        <f t="shared" si="92"/>
        <v/>
      </c>
      <c r="AU176" s="2" t="str">
        <f t="shared" si="92"/>
        <v/>
      </c>
      <c r="AV176" s="2" t="str">
        <f t="shared" si="92"/>
        <v/>
      </c>
      <c r="AY176" s="2" t="str">
        <f t="shared" si="93"/>
        <v/>
      </c>
      <c r="AZ176" s="2" t="str">
        <f t="shared" si="93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 t="e">
        <f t="shared" ref="AS183:AS199" si="94">IF(AS132="","",(AS132-AS$153)/AS$178*AS$181)</f>
        <v>#DIV/0!</v>
      </c>
      <c r="AT183" s="318" t="e">
        <f t="shared" ref="AT183:AV198" si="95">IF(AT132="","",(AT132-AT$153)/AT$178*AT$181)</f>
        <v>#DIV/0!</v>
      </c>
      <c r="AU183" s="318" t="e">
        <f t="shared" si="95"/>
        <v>#DIV/0!</v>
      </c>
      <c r="AV183" s="318" t="e">
        <f t="shared" si="95"/>
        <v>#DIV/0!</v>
      </c>
    </row>
    <row r="184" customHeight="1" spans="44:48">
      <c r="AR184" s="347">
        <v>2</v>
      </c>
      <c r="AS184" s="318" t="e">
        <f t="shared" si="94"/>
        <v>#DIV/0!</v>
      </c>
      <c r="AT184" s="318" t="e">
        <f t="shared" si="95"/>
        <v>#DIV/0!</v>
      </c>
      <c r="AU184" s="318" t="e">
        <f t="shared" si="95"/>
        <v>#DIV/0!</v>
      </c>
      <c r="AV184" s="318" t="e">
        <f t="shared" si="95"/>
        <v>#DIV/0!</v>
      </c>
    </row>
    <row r="185" customHeight="1" spans="44:48">
      <c r="AR185" s="347">
        <v>3</v>
      </c>
      <c r="AS185" s="318" t="e">
        <f t="shared" si="94"/>
        <v>#DIV/0!</v>
      </c>
      <c r="AT185" s="318" t="e">
        <f t="shared" si="95"/>
        <v>#DIV/0!</v>
      </c>
      <c r="AU185" s="318" t="e">
        <f t="shared" si="95"/>
        <v>#DIV/0!</v>
      </c>
      <c r="AV185" s="318" t="e">
        <f t="shared" si="95"/>
        <v>#DIV/0!</v>
      </c>
    </row>
    <row r="186" customHeight="1" spans="44:48">
      <c r="AR186" s="347">
        <v>4</v>
      </c>
      <c r="AS186" s="318" t="e">
        <f t="shared" si="94"/>
        <v>#DIV/0!</v>
      </c>
      <c r="AT186" s="318" t="e">
        <f t="shared" si="95"/>
        <v>#DIV/0!</v>
      </c>
      <c r="AU186" s="318" t="e">
        <f t="shared" si="95"/>
        <v>#DIV/0!</v>
      </c>
      <c r="AV186" s="318" t="e">
        <f t="shared" si="95"/>
        <v>#DIV/0!</v>
      </c>
    </row>
    <row r="187" customHeight="1" spans="44:48">
      <c r="AR187" s="347">
        <v>5</v>
      </c>
      <c r="AS187" s="318" t="e">
        <f t="shared" si="94"/>
        <v>#DIV/0!</v>
      </c>
      <c r="AT187" s="318" t="e">
        <f t="shared" si="95"/>
        <v>#DIV/0!</v>
      </c>
      <c r="AU187" s="318" t="e">
        <f t="shared" si="95"/>
        <v>#DIV/0!</v>
      </c>
      <c r="AV187" s="318" t="e">
        <f t="shared" si="95"/>
        <v>#DIV/0!</v>
      </c>
    </row>
    <row r="188" customHeight="1" spans="44:48">
      <c r="AR188" s="347">
        <v>6</v>
      </c>
      <c r="AS188" s="318" t="e">
        <f t="shared" si="94"/>
        <v>#DIV/0!</v>
      </c>
      <c r="AT188" s="318" t="e">
        <f t="shared" si="95"/>
        <v>#DIV/0!</v>
      </c>
      <c r="AU188" s="318" t="e">
        <f t="shared" si="95"/>
        <v>#DIV/0!</v>
      </c>
      <c r="AV188" s="318" t="e">
        <f t="shared" si="95"/>
        <v>#DIV/0!</v>
      </c>
    </row>
    <row r="189" customHeight="1" spans="44:48">
      <c r="AR189" s="347">
        <v>7</v>
      </c>
      <c r="AS189" s="318" t="e">
        <f t="shared" si="94"/>
        <v>#DIV/0!</v>
      </c>
      <c r="AT189" s="318" t="e">
        <f t="shared" si="95"/>
        <v>#DIV/0!</v>
      </c>
      <c r="AU189" s="318" t="e">
        <f t="shared" si="95"/>
        <v>#DIV/0!</v>
      </c>
      <c r="AV189" s="318" t="e">
        <f t="shared" si="95"/>
        <v>#DIV/0!</v>
      </c>
    </row>
    <row r="190" customHeight="1" spans="44:48">
      <c r="AR190" s="347">
        <v>8</v>
      </c>
      <c r="AS190" s="318" t="e">
        <f t="shared" si="94"/>
        <v>#DIV/0!</v>
      </c>
      <c r="AT190" s="318" t="e">
        <f t="shared" si="95"/>
        <v>#DIV/0!</v>
      </c>
      <c r="AU190" s="318" t="e">
        <f t="shared" si="95"/>
        <v>#DIV/0!</v>
      </c>
      <c r="AV190" s="318" t="e">
        <f t="shared" si="95"/>
        <v>#DIV/0!</v>
      </c>
    </row>
    <row r="191" customHeight="1" spans="44:48">
      <c r="AR191" s="347">
        <v>9</v>
      </c>
      <c r="AS191" s="318" t="e">
        <f t="shared" si="94"/>
        <v>#DIV/0!</v>
      </c>
      <c r="AT191" s="318" t="e">
        <f t="shared" si="95"/>
        <v>#DIV/0!</v>
      </c>
      <c r="AU191" s="318" t="e">
        <f t="shared" si="95"/>
        <v>#DIV/0!</v>
      </c>
      <c r="AV191" s="318" t="e">
        <f t="shared" si="95"/>
        <v>#DIV/0!</v>
      </c>
    </row>
    <row r="192" customHeight="1" spans="44:48">
      <c r="AR192" s="347">
        <v>10</v>
      </c>
      <c r="AS192" s="318" t="e">
        <f t="shared" si="94"/>
        <v>#DIV/0!</v>
      </c>
      <c r="AT192" s="318" t="e">
        <f t="shared" si="95"/>
        <v>#DIV/0!</v>
      </c>
      <c r="AU192" s="318" t="e">
        <f t="shared" si="95"/>
        <v>#DIV/0!</v>
      </c>
      <c r="AV192" s="318" t="e">
        <f t="shared" si="95"/>
        <v>#DIV/0!</v>
      </c>
    </row>
    <row r="193" customHeight="1" spans="44:48">
      <c r="AR193" s="347">
        <v>11</v>
      </c>
      <c r="AS193" s="318" t="e">
        <f t="shared" si="94"/>
        <v>#DIV/0!</v>
      </c>
      <c r="AT193" s="318" t="e">
        <f t="shared" si="95"/>
        <v>#DIV/0!</v>
      </c>
      <c r="AU193" s="318" t="e">
        <f t="shared" si="95"/>
        <v>#DIV/0!</v>
      </c>
      <c r="AV193" s="318" t="e">
        <f t="shared" si="95"/>
        <v>#DIV/0!</v>
      </c>
    </row>
    <row r="194" customHeight="1" spans="44:48">
      <c r="AR194" s="347">
        <v>12</v>
      </c>
      <c r="AS194" s="318" t="e">
        <f t="shared" si="94"/>
        <v>#DIV/0!</v>
      </c>
      <c r="AT194" s="318" t="e">
        <f t="shared" si="95"/>
        <v>#DIV/0!</v>
      </c>
      <c r="AU194" s="318" t="e">
        <f t="shared" si="95"/>
        <v>#DIV/0!</v>
      </c>
      <c r="AV194" s="318" t="e">
        <f t="shared" si="95"/>
        <v>#DIV/0!</v>
      </c>
    </row>
    <row r="195" customHeight="1" spans="44:48">
      <c r="AR195" s="347">
        <v>13</v>
      </c>
      <c r="AS195" s="318" t="e">
        <f t="shared" si="94"/>
        <v>#DIV/0!</v>
      </c>
      <c r="AT195" s="318" t="e">
        <f t="shared" si="95"/>
        <v>#DIV/0!</v>
      </c>
      <c r="AU195" s="318" t="e">
        <f t="shared" si="95"/>
        <v>#DIV/0!</v>
      </c>
      <c r="AV195" s="318" t="e">
        <f t="shared" si="95"/>
        <v>#DIV/0!</v>
      </c>
    </row>
    <row r="196" customHeight="1" spans="44:48">
      <c r="AR196" s="347">
        <v>14</v>
      </c>
      <c r="AS196" s="318" t="e">
        <f t="shared" si="94"/>
        <v>#DIV/0!</v>
      </c>
      <c r="AT196" s="318" t="e">
        <f t="shared" si="95"/>
        <v>#DIV/0!</v>
      </c>
      <c r="AU196" s="318" t="e">
        <f t="shared" si="95"/>
        <v>#DIV/0!</v>
      </c>
      <c r="AV196" s="318" t="e">
        <f t="shared" si="95"/>
        <v>#DIV/0!</v>
      </c>
    </row>
    <row r="197" ht="19.5" customHeight="1" spans="44:48">
      <c r="AR197" s="347">
        <v>15</v>
      </c>
      <c r="AS197" s="318" t="e">
        <f t="shared" si="94"/>
        <v>#DIV/0!</v>
      </c>
      <c r="AT197" s="318" t="e">
        <f t="shared" si="95"/>
        <v>#DIV/0!</v>
      </c>
      <c r="AU197" s="318" t="e">
        <f t="shared" si="95"/>
        <v>#DIV/0!</v>
      </c>
      <c r="AV197" s="318" t="e">
        <f t="shared" si="95"/>
        <v>#DIV/0!</v>
      </c>
    </row>
    <row r="198" ht="19.5" customHeight="1" spans="44:48">
      <c r="AR198" s="347">
        <v>16</v>
      </c>
      <c r="AS198" s="318" t="e">
        <f t="shared" si="94"/>
        <v>#DIV/0!</v>
      </c>
      <c r="AT198" s="318" t="e">
        <f t="shared" si="95"/>
        <v>#DIV/0!</v>
      </c>
      <c r="AU198" s="318" t="e">
        <f t="shared" si="95"/>
        <v>#DIV/0!</v>
      </c>
      <c r="AV198" s="318" t="e">
        <f t="shared" si="95"/>
        <v>#DIV/0!</v>
      </c>
    </row>
    <row r="199" ht="19.5" customHeight="1" spans="44:48">
      <c r="AR199" s="347">
        <v>17</v>
      </c>
      <c r="AS199" s="318" t="e">
        <f t="shared" si="94"/>
        <v>#DIV/0!</v>
      </c>
      <c r="AT199" s="318" t="e">
        <f>IF(AT148="","",(AT148-AT$153)/AT$178*AT$181)</f>
        <v>#DIV/0!</v>
      </c>
      <c r="AU199" s="318" t="e">
        <f>IF(AU148="","",(AU148-AU$153)/AU$178*AU$181)</f>
        <v>#DIV/0!</v>
      </c>
      <c r="AV199" s="318" t="e">
        <f>IF(AV148="","",(AV148-AV$153)/AV$178*AV$181)</f>
        <v>#DIV/0!</v>
      </c>
    </row>
    <row r="200" ht="19.5" customHeight="1" spans="44:48">
      <c r="AR200" s="347">
        <v>18</v>
      </c>
      <c r="AS200" s="318" t="e">
        <f t="shared" ref="AS200:AV202" si="96">IF(AS149="","",(AS149-AS$153)/AS$178*AS$181)</f>
        <v>#DIV/0!</v>
      </c>
      <c r="AT200" s="318" t="e">
        <f t="shared" si="96"/>
        <v>#DIV/0!</v>
      </c>
      <c r="AU200" s="318" t="e">
        <f t="shared" si="96"/>
        <v>#DIV/0!</v>
      </c>
      <c r="AV200" s="318" t="e">
        <f t="shared" si="96"/>
        <v>#DIV/0!</v>
      </c>
    </row>
    <row r="201" ht="19.5" customHeight="1" spans="44:48">
      <c r="AR201" s="347">
        <v>19</v>
      </c>
      <c r="AS201" s="318" t="e">
        <f t="shared" si="96"/>
        <v>#DIV/0!</v>
      </c>
      <c r="AT201" s="318" t="e">
        <f t="shared" si="96"/>
        <v>#DIV/0!</v>
      </c>
      <c r="AU201" s="318" t="e">
        <f t="shared" si="96"/>
        <v>#DIV/0!</v>
      </c>
      <c r="AV201" s="318" t="e">
        <f t="shared" si="96"/>
        <v>#DIV/0!</v>
      </c>
    </row>
    <row r="202" ht="19.5" customHeight="1" spans="44:48">
      <c r="AR202" s="347">
        <v>20</v>
      </c>
      <c r="AS202" s="318" t="str">
        <f t="shared" si="96"/>
        <v/>
      </c>
      <c r="AT202" s="318" t="str">
        <f t="shared" si="96"/>
        <v/>
      </c>
      <c r="AU202" s="318" t="str">
        <f t="shared" si="96"/>
        <v/>
      </c>
      <c r="AV202" s="318" t="str">
        <f t="shared" si="96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79</v>
      </c>
      <c r="Z231" s="65">
        <f>G25</f>
        <v>80</v>
      </c>
      <c r="AA231" s="65">
        <f>G26</f>
        <v>115</v>
      </c>
      <c r="AB231" s="65">
        <f>G27</f>
        <v>123</v>
      </c>
      <c r="AC231" s="65">
        <f>G28</f>
        <v>57</v>
      </c>
      <c r="AD231" s="65">
        <f>G29</f>
        <v>57</v>
      </c>
      <c r="AE231" s="65">
        <f>G30</f>
        <v>75</v>
      </c>
      <c r="AF231" s="65">
        <f>G31</f>
        <v>73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406</v>
      </c>
      <c r="Y232" s="65">
        <f t="shared" ref="Y232:AF232" si="97">INT(Y231/DS37+0.5)</f>
        <v>1502</v>
      </c>
      <c r="Z232" s="65">
        <f t="shared" si="97"/>
        <v>1521</v>
      </c>
      <c r="AA232" s="65">
        <f t="shared" si="97"/>
        <v>2186</v>
      </c>
      <c r="AB232" s="65">
        <f t="shared" si="97"/>
        <v>2338</v>
      </c>
      <c r="AC232" s="65">
        <f t="shared" si="97"/>
        <v>1084</v>
      </c>
      <c r="AD232" s="65">
        <f t="shared" si="97"/>
        <v>1084</v>
      </c>
      <c r="AE232" s="65">
        <f t="shared" si="97"/>
        <v>1426</v>
      </c>
      <c r="AF232" s="65">
        <f t="shared" si="97"/>
        <v>1388</v>
      </c>
      <c r="AG232" s="65">
        <f t="shared" ref="AG232:AN232" si="98">IF(EA37&gt;0,INT(AG231/EA37+0.5),0)</f>
        <v>0</v>
      </c>
      <c r="AH232" s="65">
        <f t="shared" si="98"/>
        <v>0</v>
      </c>
      <c r="AI232" s="65">
        <f t="shared" si="98"/>
        <v>0</v>
      </c>
      <c r="AJ232" s="65">
        <f t="shared" si="98"/>
        <v>0</v>
      </c>
      <c r="AK232" s="65">
        <f t="shared" si="98"/>
        <v>0</v>
      </c>
      <c r="AL232" s="65">
        <f t="shared" si="98"/>
        <v>0</v>
      </c>
      <c r="AM232" s="65">
        <f t="shared" si="98"/>
        <v>0</v>
      </c>
      <c r="AN232" s="65">
        <f t="shared" si="98"/>
        <v>0</v>
      </c>
    </row>
    <row r="233" customHeight="1" spans="24:40">
      <c r="X233" s="11" t="s">
        <v>407</v>
      </c>
      <c r="Y233" s="113">
        <f>SUM(AB131:AB150)/比赛参数!$G$4</f>
        <v>79</v>
      </c>
      <c r="Z233" s="113">
        <f>SUM(AC131:AC150)/比赛参数!$G$4</f>
        <v>80</v>
      </c>
      <c r="AA233" s="113">
        <f>SUM(AD131:AD150)/比赛参数!$G$4</f>
        <v>115</v>
      </c>
      <c r="AB233" s="113">
        <f>SUM(AE131:AE150)/比赛参数!$G$4</f>
        <v>123</v>
      </c>
      <c r="AC233" s="113">
        <f>SUM(AL131:AL150)/比赛参数!$G$4</f>
        <v>57</v>
      </c>
      <c r="AD233" s="113">
        <f>SUM(AM131:AM150)/比赛参数!$G$4</f>
        <v>57</v>
      </c>
      <c r="AE233" s="113">
        <f>SUM(AN131:AN150)/比赛参数!$G$4</f>
        <v>75</v>
      </c>
      <c r="AF233" s="113">
        <f>SUM(AO131:AO150)/比赛参数!$G$4</f>
        <v>73</v>
      </c>
      <c r="AG233" s="113">
        <f>SUM(AB154:AB173)/比赛参数!$G$4</f>
        <v>0</v>
      </c>
      <c r="AH233" s="113">
        <f>SUM(AC154:AC173)/比赛参数!$G$4</f>
        <v>0</v>
      </c>
      <c r="AI233" s="113">
        <f>SUM(AD154:AD173)/比赛参数!$G$4</f>
        <v>0</v>
      </c>
      <c r="AJ233" s="113">
        <f>SUM(AE154:AE173)/比赛参数!$G$4</f>
        <v>0</v>
      </c>
      <c r="AK233" s="113">
        <f>SUM(AL154:AL173)/比赛参数!$G$4</f>
        <v>0</v>
      </c>
      <c r="AL233" s="113">
        <f>SUM(AM154:AM173)/比赛参数!$G$4</f>
        <v>0</v>
      </c>
      <c r="AM233" s="113">
        <f>SUM(AN154:AN173)/比赛参数!$G$4</f>
        <v>0</v>
      </c>
      <c r="AN233" s="113">
        <f>SUM(AO154:AO173)/比赛参数!$G$4</f>
        <v>0</v>
      </c>
    </row>
    <row r="234" customHeight="1" spans="24:40">
      <c r="X234" s="11" t="s">
        <v>408</v>
      </c>
      <c r="Y234" s="304">
        <f t="shared" ref="Y234:AN234" si="99">SUMPRODUCT(D50:D69,D73:D92)</f>
        <v>3098.14</v>
      </c>
      <c r="Z234" s="304">
        <f t="shared" si="99"/>
        <v>3098.14</v>
      </c>
      <c r="AA234" s="304">
        <f t="shared" si="99"/>
        <v>3298.02</v>
      </c>
      <c r="AB234" s="304">
        <f t="shared" si="99"/>
        <v>3298.02</v>
      </c>
      <c r="AC234" s="304">
        <f t="shared" si="99"/>
        <v>5796.52</v>
      </c>
      <c r="AD234" s="304">
        <f t="shared" si="99"/>
        <v>5796.52</v>
      </c>
      <c r="AE234" s="304">
        <f t="shared" si="99"/>
        <v>5996.4</v>
      </c>
      <c r="AF234" s="304">
        <f t="shared" si="99"/>
        <v>5996.4</v>
      </c>
      <c r="AG234" s="304">
        <f t="shared" si="99"/>
        <v>0</v>
      </c>
      <c r="AH234" s="304">
        <f t="shared" si="99"/>
        <v>0</v>
      </c>
      <c r="AI234" s="304">
        <f t="shared" si="99"/>
        <v>0</v>
      </c>
      <c r="AJ234" s="304">
        <f t="shared" si="99"/>
        <v>0</v>
      </c>
      <c r="AK234" s="304">
        <f t="shared" si="99"/>
        <v>0</v>
      </c>
      <c r="AL234" s="304">
        <f t="shared" si="99"/>
        <v>0</v>
      </c>
      <c r="AM234" s="304">
        <f t="shared" si="99"/>
        <v>0</v>
      </c>
      <c r="AN234" s="304">
        <f t="shared" si="99"/>
        <v>0</v>
      </c>
    </row>
    <row r="235" customHeight="1" spans="24:40">
      <c r="X235" s="2" t="s">
        <v>409</v>
      </c>
      <c r="Y235" s="113">
        <f t="shared" ref="Y235:AN235" si="100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1.86000000000058</v>
      </c>
      <c r="Z235" s="113">
        <f t="shared" si="100"/>
        <v>1.86000000000058</v>
      </c>
      <c r="AA235" s="113">
        <f t="shared" si="100"/>
        <v>1.98000000000093</v>
      </c>
      <c r="AB235" s="113">
        <f t="shared" si="100"/>
        <v>1.98000000000093</v>
      </c>
      <c r="AC235" s="113">
        <f t="shared" si="100"/>
        <v>3.48000000000047</v>
      </c>
      <c r="AD235" s="113">
        <f t="shared" si="100"/>
        <v>3.48000000000047</v>
      </c>
      <c r="AE235" s="113">
        <f t="shared" si="100"/>
        <v>3.59999999999854</v>
      </c>
      <c r="AF235" s="113">
        <f t="shared" si="100"/>
        <v>3.59999999999854</v>
      </c>
      <c r="AG235" s="113">
        <f t="shared" si="100"/>
        <v>7300</v>
      </c>
      <c r="AH235" s="113">
        <f t="shared" si="100"/>
        <v>7300</v>
      </c>
      <c r="AI235" s="113">
        <f t="shared" si="100"/>
        <v>7600</v>
      </c>
      <c r="AJ235" s="113">
        <f t="shared" si="100"/>
        <v>7600</v>
      </c>
      <c r="AK235" s="113">
        <f t="shared" si="100"/>
        <v>9300</v>
      </c>
      <c r="AL235" s="113">
        <f t="shared" si="100"/>
        <v>9300</v>
      </c>
      <c r="AM235" s="113">
        <f t="shared" si="100"/>
        <v>9600</v>
      </c>
      <c r="AN235" s="113">
        <f t="shared" si="100"/>
        <v>9600</v>
      </c>
    </row>
    <row r="236" customHeight="1" spans="24:40">
      <c r="X236" s="2" t="s">
        <v>410</v>
      </c>
      <c r="Y236" s="114">
        <f t="shared" ref="Y236:AN236" si="101">Y235/Y234</f>
        <v>0.000600360216129866</v>
      </c>
      <c r="Z236" s="114">
        <f t="shared" si="101"/>
        <v>0.000600360216129866</v>
      </c>
      <c r="AA236" s="114">
        <f t="shared" si="101"/>
        <v>0.000600360216129959</v>
      </c>
      <c r="AB236" s="114">
        <f t="shared" si="101"/>
        <v>0.000600360216129959</v>
      </c>
      <c r="AC236" s="114">
        <f t="shared" si="101"/>
        <v>0.000600360216129759</v>
      </c>
      <c r="AD236" s="114">
        <f t="shared" si="101"/>
        <v>0.000600360216129759</v>
      </c>
      <c r="AE236" s="114">
        <f t="shared" si="101"/>
        <v>0.000600360216129435</v>
      </c>
      <c r="AF236" s="114">
        <f t="shared" si="101"/>
        <v>0.000600360216129435</v>
      </c>
      <c r="AG236" s="114" t="e">
        <f t="shared" si="101"/>
        <v>#DIV/0!</v>
      </c>
      <c r="AH236" s="114" t="e">
        <f t="shared" si="101"/>
        <v>#DIV/0!</v>
      </c>
      <c r="AI236" s="114" t="e">
        <f t="shared" si="101"/>
        <v>#DIV/0!</v>
      </c>
      <c r="AJ236" s="114" t="e">
        <f t="shared" si="101"/>
        <v>#DIV/0!</v>
      </c>
      <c r="AK236" s="114" t="e">
        <f t="shared" si="101"/>
        <v>#DIV/0!</v>
      </c>
      <c r="AL236" s="114" t="e">
        <f t="shared" si="101"/>
        <v>#DIV/0!</v>
      </c>
      <c r="AM236" s="114" t="e">
        <f t="shared" si="101"/>
        <v>#DIV/0!</v>
      </c>
      <c r="AN236" s="114" t="e">
        <f t="shared" si="101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45" stopIfTrue="1" operator="equal">
      <formula>"人数 YES"</formula>
    </cfRule>
    <cfRule type="cellIs" dxfId="1" priority="46" stopIfTrue="1" operator="equal">
      <formula>"人数 NO"</formula>
    </cfRule>
  </conditionalFormatting>
  <conditionalFormatting sqref="AH13">
    <cfRule type="cellIs" dxfId="0" priority="38" stopIfTrue="1" operator="greaterThanOrEqual">
      <formula>0</formula>
    </cfRule>
    <cfRule type="cellIs" dxfId="1" priority="39" stopIfTrue="1" operator="lessThan">
      <formula>0</formula>
    </cfRule>
  </conditionalFormatting>
  <conditionalFormatting sqref="AC14">
    <cfRule type="cellIs" dxfId="0" priority="47" stopIfTrue="1" operator="equal">
      <formula>"机器 YES"</formula>
    </cfRule>
    <cfRule type="cellIs" dxfId="1" priority="48" stopIfTrue="1" operator="equal">
      <formula>"机器 NO"</formula>
    </cfRule>
  </conditionalFormatting>
  <conditionalFormatting sqref="AH14">
    <cfRule type="cellIs" dxfId="2" priority="41" stopIfTrue="1" operator="greaterThan">
      <formula>$AJ$14</formula>
    </cfRule>
  </conditionalFormatting>
  <conditionalFormatting sqref="K15">
    <cfRule type="cellIs" dxfId="3" priority="30" stopIfTrue="1" operator="greaterThan">
      <formula>0</formula>
    </cfRule>
  </conditionalFormatting>
  <conditionalFormatting sqref="AC15">
    <cfRule type="cellIs" dxfId="0" priority="49" stopIfTrue="1" operator="equal">
      <formula>"材料 YES"</formula>
    </cfRule>
    <cfRule type="cellIs" dxfId="1" priority="50" stopIfTrue="1" operator="equal">
      <formula>"材料 NO"</formula>
    </cfRule>
  </conditionalFormatting>
  <conditionalFormatting sqref="AH15">
    <cfRule type="cellIs" dxfId="3" priority="40" stopIfTrue="1" operator="greaterThan">
      <formula>$AJ$15</formula>
    </cfRule>
  </conditionalFormatting>
  <conditionalFormatting sqref="Y18">
    <cfRule type="cellIs" dxfId="3" priority="43" stopIfTrue="1" operator="greaterThan">
      <formula>$Y$19</formula>
    </cfRule>
  </conditionalFormatting>
  <conditionalFormatting sqref="AA18">
    <cfRule type="cellIs" dxfId="3" priority="53" stopIfTrue="1" operator="lessThan">
      <formula>$AA$19</formula>
    </cfRule>
  </conditionalFormatting>
  <conditionalFormatting sqref="AC18">
    <cfRule type="cellIs" dxfId="3" priority="44" stopIfTrue="1" operator="lessThan">
      <formula>$AC$19</formula>
    </cfRule>
  </conditionalFormatting>
  <conditionalFormatting sqref="AJ18">
    <cfRule type="cellIs" dxfId="3" priority="37" stopIfTrue="1" operator="greaterThan">
      <formula>$AJ$19</formula>
    </cfRule>
  </conditionalFormatting>
  <conditionalFormatting sqref="BW76">
    <cfRule type="cellIs" dxfId="4" priority="42" stopIfTrue="1" operator="equal">
      <formula>"YES"</formula>
    </cfRule>
  </conditionalFormatting>
  <conditionalFormatting sqref="Y92">
    <cfRule type="cellIs" dxfId="3" priority="33" stopIfTrue="1" operator="greaterThan">
      <formula>$Y$93</formula>
    </cfRule>
  </conditionalFormatting>
  <conditionalFormatting sqref="Z92">
    <cfRule type="cellIs" dxfId="3" priority="34" stopIfTrue="1" operator="greaterThan">
      <formula>$Z$93</formula>
    </cfRule>
  </conditionalFormatting>
  <conditionalFormatting sqref="AA92">
    <cfRule type="cellIs" dxfId="3" priority="35" stopIfTrue="1" operator="greaterThan">
      <formula>$AA$93</formula>
    </cfRule>
  </conditionalFormatting>
  <conditionalFormatting sqref="AB92">
    <cfRule type="cellIs" dxfId="3" priority="36" stopIfTrue="1" operator="greaterThan">
      <formula>$AB$93</formula>
    </cfRule>
  </conditionalFormatting>
  <conditionalFormatting sqref="AC92">
    <cfRule type="cellIs" dxfId="0" priority="31" stopIfTrue="1" operator="equal">
      <formula>"YES"</formula>
    </cfRule>
    <cfRule type="cellIs" dxfId="1" priority="32" stopIfTrue="1" operator="equal">
      <formula>"NO"</formula>
    </cfRule>
  </conditionalFormatting>
  <conditionalFormatting sqref="AJ21:AJ23">
    <cfRule type="cellIs" dxfId="5" priority="51" stopIfTrue="1" operator="greaterThan">
      <formula>$AJ$20</formula>
    </cfRule>
  </conditionalFormatting>
  <conditionalFormatting sqref="BE132:BE133">
    <cfRule type="expression" dxfId="6" priority="26" stopIfTrue="1">
      <formula>(第九期!#REF!-$BE$54)&lt;0</formula>
    </cfRule>
  </conditionalFormatting>
  <conditionalFormatting sqref="BF132:BF133">
    <cfRule type="expression" dxfId="6" priority="27" stopIfTrue="1">
      <formula>(第九期!#REF!-$BF$54)&lt;0</formula>
    </cfRule>
  </conditionalFormatting>
  <conditionalFormatting sqref="BG132:BG133">
    <cfRule type="expression" dxfId="6" priority="28" stopIfTrue="1">
      <formula>(第九期!#REF!-$BG$54)&lt;0</formula>
    </cfRule>
  </conditionalFormatting>
  <conditionalFormatting sqref="BH132:BH133">
    <cfRule type="expression" dxfId="6" priority="29" stopIfTrue="1">
      <formula>(第九期!#REF!-$BH$54)&lt;0</formula>
    </cfRule>
  </conditionalFormatting>
  <conditionalFormatting sqref="AJ40:AN43">
    <cfRule type="cellIs" dxfId="7" priority="6" stopIfTrue="1" operator="equal">
      <formula>CJ70+0.0001</formula>
    </cfRule>
  </conditionalFormatting>
  <conditionalFormatting sqref="AS57:BH76">
    <cfRule type="expression" dxfId="6" priority="10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65" zoomScaleNormal="65" topLeftCell="BN1" workbookViewId="0">
      <selection activeCell="AK82" sqref="AK82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180</v>
      </c>
      <c r="E4" s="9"/>
      <c r="F4" s="10"/>
      <c r="G4" s="11" t="s">
        <v>163</v>
      </c>
      <c r="H4" s="353">
        <v>1400000</v>
      </c>
      <c r="W4" s="43">
        <f>AC4-X4</f>
        <v>-189.75</v>
      </c>
      <c r="X4" s="32">
        <f>SUM(AF70:AF73)</f>
        <v>529</v>
      </c>
      <c r="Y4" s="67">
        <f>AVERAGE(Y76:Y79)</f>
        <v>0.0572646656162774</v>
      </c>
      <c r="Z4" s="67">
        <f>1/比赛参数!$G$4</f>
        <v>0.0526315789473684</v>
      </c>
      <c r="AA4" s="68">
        <f>(AC4-X4)/X4</f>
        <v>-0.358695652173913</v>
      </c>
      <c r="AB4" s="69">
        <f>SUM(Y232:AB232)/比赛参数!$G$4</f>
        <v>318.263157894737</v>
      </c>
      <c r="AC4" s="70">
        <f>AN4+SUM(Y57:Y60)-SUM(AF57:AF60)-SUM(Y108:Y111)</f>
        <v>339.25</v>
      </c>
      <c r="AD4" s="2">
        <v>571</v>
      </c>
      <c r="AE4" s="71">
        <f>DK29</f>
        <v>16.5973496240602</v>
      </c>
      <c r="AF4" s="72">
        <f>DK41</f>
        <v>19.5252067669173</v>
      </c>
      <c r="AG4" s="71">
        <f>DQ29</f>
        <v>13.8311246867168</v>
      </c>
      <c r="AH4" s="77">
        <f>DK35*15</f>
        <v>12.7328067100449</v>
      </c>
      <c r="AJ4" s="72">
        <f>DD29</f>
        <v>8.89205320994794</v>
      </c>
      <c r="AK4" s="77">
        <f>DD35*15</f>
        <v>4.8828427637046</v>
      </c>
      <c r="AL4" s="132">
        <f>CJ24/比赛参数!D26</f>
        <v>19.5542712938222</v>
      </c>
      <c r="AM4" s="32">
        <f>AF68</f>
        <v>339</v>
      </c>
      <c r="AN4" s="32">
        <f>Y93</f>
        <v>266.25</v>
      </c>
      <c r="AO4" s="32">
        <f>AC9+D42-Y92</f>
        <v>89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150</v>
      </c>
      <c r="E5" s="9"/>
      <c r="F5" s="10"/>
      <c r="G5" s="11" t="s">
        <v>167</v>
      </c>
      <c r="H5" s="13">
        <v>50000</v>
      </c>
      <c r="M5" s="27"/>
      <c r="N5" s="28"/>
      <c r="O5" s="29"/>
      <c r="P5" s="29"/>
      <c r="Q5" s="44"/>
      <c r="W5" s="43">
        <f>AC5-X5</f>
        <v>70.5</v>
      </c>
      <c r="X5" s="32">
        <f>SUM(AG70:AG73)</f>
        <v>167</v>
      </c>
      <c r="Y5" s="67">
        <f>AVERAGE(Z76:Z79)</f>
        <v>0.0565535478448809</v>
      </c>
      <c r="Z5" s="67">
        <f>1/比赛参数!$G$4</f>
        <v>0.0526315789473684</v>
      </c>
      <c r="AA5" s="68">
        <f>(AC5-X5)/X5</f>
        <v>0.422155688622754</v>
      </c>
      <c r="AB5" s="69">
        <f>SUM(AC232:AF232)/比赛参数!$G$4</f>
        <v>219.842105263158</v>
      </c>
      <c r="AC5" s="70">
        <f>AN5+SUM(Z57:Z60)-SUM(AG57:AG60)-SUM(Z108:Z111)</f>
        <v>237.5</v>
      </c>
      <c r="AD5" s="2">
        <v>679.25</v>
      </c>
      <c r="AE5" s="71">
        <f>DK30</f>
        <v>14.356943231441</v>
      </c>
      <c r="AF5" s="72">
        <f>DK42</f>
        <v>14.4395633187773</v>
      </c>
      <c r="AG5" s="71">
        <f>DQ30</f>
        <v>23.9282387190684</v>
      </c>
      <c r="AH5" s="77">
        <f>DK36*15</f>
        <v>14.9141679874424</v>
      </c>
      <c r="AJ5" s="72">
        <f>DD30</f>
        <v>6.66741283170978</v>
      </c>
      <c r="AK5" s="77">
        <f>DD36*15</f>
        <v>4.51654020201736</v>
      </c>
      <c r="AL5" s="132">
        <f>CK24/比赛参数!E26</f>
        <v>16.3635942294281</v>
      </c>
      <c r="AM5" s="32">
        <f>AG68</f>
        <v>237</v>
      </c>
      <c r="AN5" s="32">
        <f>Z93</f>
        <v>229.5</v>
      </c>
      <c r="AO5" s="32">
        <f>AC10+D43-Z92</f>
        <v>59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193750</v>
      </c>
      <c r="E6" s="9"/>
      <c r="F6" s="10"/>
      <c r="M6" s="30"/>
      <c r="N6" s="31" t="s">
        <v>162</v>
      </c>
      <c r="O6" s="32">
        <f>K8+Y18-AA18</f>
        <v>260</v>
      </c>
      <c r="P6" s="33" t="s">
        <v>163</v>
      </c>
      <c r="Q6" s="32">
        <f>AH15</f>
        <v>3583785</v>
      </c>
      <c r="W6" s="43">
        <f>AC6-X6</f>
        <v>28.75</v>
      </c>
      <c r="X6" s="32">
        <f>SUM(AH70:AH73)</f>
        <v>108</v>
      </c>
      <c r="Y6" s="67">
        <f>AVERAGE(AA76:AA79)</f>
        <v>0.0973945977808936</v>
      </c>
      <c r="Z6" s="67">
        <f>1/比赛参数!$G$4</f>
        <v>0.0526315789473684</v>
      </c>
      <c r="AA6" s="68">
        <f>(AC6-X6)/X6</f>
        <v>0.266203703703704</v>
      </c>
      <c r="AB6" s="69">
        <f>SUM(AG232:AJ232)/比赛参数!$G$4</f>
        <v>73.1052631578947</v>
      </c>
      <c r="AC6" s="70">
        <f>AN6+SUM(AA57:AA60)-SUM(AH57:AH60)-SUM(AA108:AA111)</f>
        <v>136.75</v>
      </c>
      <c r="AD6" s="2">
        <v>294</v>
      </c>
      <c r="AE6" s="71">
        <f>DK31</f>
        <v>14.0141447368421</v>
      </c>
      <c r="AF6" s="72">
        <f>DK43</f>
        <v>12.9383928571429</v>
      </c>
      <c r="AG6" s="71">
        <f>DQ31</f>
        <v>33.28359375</v>
      </c>
      <c r="AH6" s="77">
        <f>DK37*15</f>
        <v>16.2578198871153</v>
      </c>
      <c r="AJ6" s="72">
        <f>DD31</f>
        <v>6.32211899942163</v>
      </c>
      <c r="AK6" s="77">
        <f>DD37*15</f>
        <v>4.59883369337239</v>
      </c>
      <c r="AL6" s="132">
        <f>CL24/比赛参数!F26</f>
        <v>15.8519413213115</v>
      </c>
      <c r="AM6" s="32">
        <f>AH68</f>
        <v>136</v>
      </c>
      <c r="AN6" s="32">
        <f>AA93</f>
        <v>112.75</v>
      </c>
      <c r="AO6" s="32">
        <f>AC11+D44-AA92</f>
        <v>22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111</v>
      </c>
      <c r="DW6" s="251">
        <f t="shared" ref="DW6:DX21" si="1">I24</f>
        <v>0</v>
      </c>
      <c r="DX6" s="251">
        <f t="shared" si="1"/>
        <v>32</v>
      </c>
    </row>
    <row r="7" customHeight="1" spans="2:128">
      <c r="B7" s="7"/>
      <c r="C7" s="8" t="s">
        <v>166</v>
      </c>
      <c r="D7" s="14">
        <v>2939309.3</v>
      </c>
      <c r="E7" s="9"/>
      <c r="F7" s="10"/>
      <c r="M7" s="30"/>
      <c r="N7" s="31" t="s">
        <v>154</v>
      </c>
      <c r="O7" s="32"/>
      <c r="P7" s="33" t="s">
        <v>167</v>
      </c>
      <c r="Q7" s="32">
        <f>BS58</f>
        <v>120000</v>
      </c>
      <c r="W7" s="43">
        <f>AC7-X7</f>
        <v>-7</v>
      </c>
      <c r="X7" s="32">
        <f>SUM(AI70:AI73)</f>
        <v>125</v>
      </c>
      <c r="Y7" s="67">
        <f>AVERAGE(AB76:AB79)</f>
        <v>0.0893317922605868</v>
      </c>
      <c r="Z7" s="67">
        <f>1/比赛参数!$G$4</f>
        <v>0.0526315789473684</v>
      </c>
      <c r="AA7" s="68">
        <f>(AC7-X7)/X7</f>
        <v>-0.056</v>
      </c>
      <c r="AB7" s="69">
        <f>SUM(AK232:AN232)/比赛参数!$G$4</f>
        <v>69</v>
      </c>
      <c r="AC7" s="70">
        <f>AN7+SUM(AB57:AB60)-SUM(AI57:AI60)-SUM(AB108:AB111)</f>
        <v>118</v>
      </c>
      <c r="AE7" s="71">
        <f>DK32</f>
        <v>12.6766608391608</v>
      </c>
      <c r="AF7" s="72">
        <f>DK44</f>
        <v>12.1987762237762</v>
      </c>
      <c r="AG7" s="71">
        <f>DQ32</f>
        <v>36.6214646464646</v>
      </c>
      <c r="AH7" s="77">
        <f>DK38*15</f>
        <v>15.5938303928183</v>
      </c>
      <c r="AJ7" s="72">
        <f>DD32</f>
        <v>4.98289627039627</v>
      </c>
      <c r="AK7" s="77">
        <f>DD38*15</f>
        <v>3.75757539547436</v>
      </c>
      <c r="AL7" s="132">
        <f>CM24/比赛参数!G26</f>
        <v>16.3135137075756</v>
      </c>
      <c r="AM7" s="32">
        <f>AI68</f>
        <v>118</v>
      </c>
      <c r="AN7" s="32">
        <f>AB93</f>
        <v>132</v>
      </c>
      <c r="AO7" s="32">
        <f>AC12+D45-AB92</f>
        <v>33</v>
      </c>
      <c r="AR7" s="174" t="s">
        <v>107</v>
      </c>
      <c r="BR7" s="197" t="s">
        <v>21</v>
      </c>
      <c r="BS7" s="198">
        <f>第十期!AF76</f>
        <v>3350</v>
      </c>
      <c r="BT7" s="198">
        <f>第十期!AF77</f>
        <v>3350</v>
      </c>
      <c r="BU7" s="198">
        <f>第十期!AF78</f>
        <v>3730</v>
      </c>
      <c r="BV7" s="198">
        <f>第十期!AF79</f>
        <v>3800</v>
      </c>
      <c r="BW7" s="200">
        <f>第十期!$AF$80</f>
        <v>39860</v>
      </c>
      <c r="DT7" s="252" t="s">
        <v>21</v>
      </c>
      <c r="DU7" s="250">
        <v>2</v>
      </c>
      <c r="DV7" s="251">
        <f t="shared" si="0"/>
        <v>111</v>
      </c>
      <c r="DW7" s="251">
        <f t="shared" si="1"/>
        <v>0</v>
      </c>
      <c r="DX7" s="251">
        <f t="shared" si="1"/>
        <v>33</v>
      </c>
    </row>
    <row r="8" customHeight="1" spans="2:128">
      <c r="B8" s="7"/>
      <c r="C8" s="8" t="s">
        <v>168</v>
      </c>
      <c r="D8" s="14">
        <v>5400000</v>
      </c>
      <c r="E8" s="9"/>
      <c r="F8" s="10"/>
      <c r="J8" s="11" t="s">
        <v>162</v>
      </c>
      <c r="K8" s="34">
        <f>D4</f>
        <v>180</v>
      </c>
      <c r="M8" s="30"/>
      <c r="N8" s="31" t="s">
        <v>161</v>
      </c>
      <c r="O8" s="32">
        <f>AL23</f>
        <v>200738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第十期!$AG$76</f>
        <v>6950</v>
      </c>
      <c r="BT8" s="198">
        <f>第十期!$AG$77</f>
        <v>6950</v>
      </c>
      <c r="BU8" s="198">
        <f>第十期!$AG$78</f>
        <v>7300</v>
      </c>
      <c r="BV8" s="198">
        <f>第十期!$AG$79</f>
        <v>7400</v>
      </c>
      <c r="BW8" s="200">
        <f>第十期!$AG$80</f>
        <v>56070</v>
      </c>
      <c r="BX8" s="173"/>
      <c r="DT8" s="253" t="s">
        <v>21</v>
      </c>
      <c r="DU8" s="254">
        <v>3</v>
      </c>
      <c r="DV8" s="255">
        <f t="shared" si="0"/>
        <v>158</v>
      </c>
      <c r="DW8" s="255">
        <f t="shared" si="1"/>
        <v>0</v>
      </c>
      <c r="DX8" s="255">
        <f t="shared" si="1"/>
        <v>21</v>
      </c>
    </row>
    <row r="9" customHeight="1" spans="2:128">
      <c r="B9" s="7"/>
      <c r="C9" s="8" t="s">
        <v>187</v>
      </c>
      <c r="D9" s="14">
        <v>12000000</v>
      </c>
      <c r="E9" s="9"/>
      <c r="F9" s="10"/>
      <c r="J9" s="11" t="s">
        <v>154</v>
      </c>
      <c r="K9" s="34">
        <f>D5</f>
        <v>150</v>
      </c>
      <c r="M9" s="36" t="s">
        <v>188</v>
      </c>
      <c r="N9" s="31" t="s">
        <v>189</v>
      </c>
      <c r="O9" s="32">
        <f>AJ20</f>
        <v>3407930.53876923</v>
      </c>
      <c r="P9" s="35"/>
      <c r="Q9" s="45"/>
      <c r="X9" s="47" t="s">
        <v>190</v>
      </c>
      <c r="Y9" s="75">
        <v>355</v>
      </c>
      <c r="Z9" s="75"/>
      <c r="AA9" s="75"/>
      <c r="AB9" s="75"/>
      <c r="AC9" s="76">
        <f>SUM(Y9:AB9)</f>
        <v>355</v>
      </c>
      <c r="AE9" s="72">
        <f>SUMPRODUCT(Y96:Y99,AF64:AF67)/SUM(AF64:AF67)</f>
        <v>16.1277346058828</v>
      </c>
      <c r="AF9" s="77">
        <f>CC24*15</f>
        <v>12.3547026685521</v>
      </c>
      <c r="AG9" s="133">
        <f>SUMPRODUCT(Y102:Y105,AF64:AF67)/SUM(AF64:AF67)*20</f>
        <v>9.02920513512894</v>
      </c>
      <c r="AH9" s="32">
        <f>AC9*比赛参数!D26</f>
        <v>35500</v>
      </c>
      <c r="AI9" s="134">
        <f>第十期!DB56</f>
        <v>1605.96298861188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>
        <f>SUM(AB131:AE131)*比赛参数!$D$26+SUM(AL131:AO131)*比赛参数!$E$26+SUM(AB154:AE154)*比赛参数!$F$26+SUM(AL154:AO154)*比赛参数!$G$26</f>
        <v>118340</v>
      </c>
      <c r="AT9" s="55">
        <f t="shared" ref="AT9:AT28" si="3">AS9/1300</f>
        <v>91.0307692307692</v>
      </c>
      <c r="AU9" s="175">
        <f t="shared" ref="AU9:AU28" si="4">F95</f>
        <v>-101944.87</v>
      </c>
      <c r="AV9" s="176">
        <f t="shared" ref="AV9:AV28" si="5">AU9/AS9</f>
        <v>-0.861457410850093</v>
      </c>
      <c r="AW9" s="175">
        <f t="shared" ref="AW9:AW28" si="6">E95</f>
        <v>3469984.87</v>
      </c>
      <c r="AX9" s="192">
        <f t="shared" ref="AX9:AX28" si="7">AU9/AW9</f>
        <v>-0.0293790531714912</v>
      </c>
      <c r="AY9" s="65">
        <f t="shared" ref="AY9:AY28" si="8">X131*AB131+Y131*AC131+Z131*AD131+AA131*AE131+AH131*AL131+AI131*AM131+AJ131*AN131+AK131*AO131+X154*AB154+Y154*AC154+Z154*AD154+AA154*AE154+AH154*AL154+AI154*AM154+AJ154*AN154+AK154*AO154</f>
        <v>3388420</v>
      </c>
      <c r="AZ9" s="193">
        <f t="shared" ref="AZ9:AZ28" si="9">D95</f>
        <v>3368040</v>
      </c>
      <c r="BA9" s="65">
        <f t="shared" ref="BA9:BA28" si="10">AZ9-AY9</f>
        <v>-20380</v>
      </c>
      <c r="BB9" s="65">
        <f>IF(BA9&lt;比赛参数!$K$34,0,IF(BA9&lt;比赛参数!$K$35,BA9/(1-比赛参数!$E$36),IF(BA9&lt;比赛参数!$K$36,BA9/(1-比赛参数!$E$34))))</f>
        <v>0</v>
      </c>
      <c r="BC9" s="65">
        <f t="shared" ref="BC9:BC28" si="11">AU9-BA9</f>
        <v>-81564.87</v>
      </c>
      <c r="BD9" s="101"/>
      <c r="BE9" s="65">
        <f t="shared" ref="BE9:BE28" si="12">BC9-BD9</f>
        <v>-81564.87</v>
      </c>
      <c r="BF9" s="176">
        <f t="shared" ref="BF9:BF28" si="13">BE9/AS9</f>
        <v>-0.689241761027548</v>
      </c>
      <c r="BQ9" s="173"/>
      <c r="BR9" s="196" t="s">
        <v>23</v>
      </c>
      <c r="BS9" s="198">
        <f>第十期!$AH$76</f>
        <v>10150</v>
      </c>
      <c r="BT9" s="198">
        <f>第十期!$AH$77</f>
        <v>10150</v>
      </c>
      <c r="BU9" s="198">
        <f>第十期!$AH$78</f>
        <v>10200</v>
      </c>
      <c r="BV9" s="198">
        <f>第十期!$AH$79</f>
        <v>10400</v>
      </c>
      <c r="BW9" s="200">
        <f>第十期!$AH$80</f>
        <v>47330</v>
      </c>
      <c r="BX9" s="173"/>
      <c r="DT9" s="256" t="s">
        <v>21</v>
      </c>
      <c r="DU9" s="257">
        <v>4</v>
      </c>
      <c r="DV9" s="258">
        <f t="shared" si="0"/>
        <v>149</v>
      </c>
      <c r="DW9" s="258">
        <f t="shared" si="1"/>
        <v>1</v>
      </c>
      <c r="DX9" s="259">
        <f t="shared" si="1"/>
        <v>0</v>
      </c>
    </row>
    <row r="10" customHeight="1" spans="2:128">
      <c r="B10" s="7"/>
      <c r="C10" s="8" t="s">
        <v>191</v>
      </c>
      <c r="D10" s="9">
        <v>0</v>
      </c>
      <c r="E10" s="9"/>
      <c r="F10" s="10"/>
      <c r="J10" s="11" t="s">
        <v>161</v>
      </c>
      <c r="K10" s="34">
        <f>D6</f>
        <v>193750</v>
      </c>
      <c r="M10" s="30"/>
      <c r="N10" s="31" t="s">
        <v>168</v>
      </c>
      <c r="O10" s="37"/>
      <c r="P10" s="35"/>
      <c r="Q10" s="45"/>
      <c r="X10" s="11" t="s">
        <v>192</v>
      </c>
      <c r="Y10" s="75">
        <v>170</v>
      </c>
      <c r="Z10" s="75"/>
      <c r="AA10" s="75">
        <v>64</v>
      </c>
      <c r="AB10" s="75"/>
      <c r="AC10" s="76">
        <f>SUM(Y10:AB10)</f>
        <v>234</v>
      </c>
      <c r="AE10" s="72">
        <f>SUMPRODUCT(Z96:Z99,AG64:AG67)/SUM(AG64:AG67)</f>
        <v>12.3528614667744</v>
      </c>
      <c r="AF10" s="77">
        <f>CD24*15</f>
        <v>11.3225278045007</v>
      </c>
      <c r="AG10" s="133">
        <f>SUMPRODUCT(Z102:Z105,AG64:AG67)/SUM(AG64:AG67)*20</f>
        <v>8.60224662407596</v>
      </c>
      <c r="AH10" s="32">
        <f>AC10*比赛参数!E26</f>
        <v>58500</v>
      </c>
      <c r="AI10" s="134">
        <f>第十期!DB57</f>
        <v>3073.48118947842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>
        <f>SUM(AB132:AE132)*比赛参数!$D$26+SUM(AL132:AO132)*比赛参数!$E$26+SUM(AB155:AE155)*比赛参数!$F$26+SUM(AL155:AO155)*比赛参数!$G$26</f>
        <v>142250</v>
      </c>
      <c r="AT10" s="55">
        <f t="shared" si="3"/>
        <v>109.423076923077</v>
      </c>
      <c r="AU10" s="175">
        <f t="shared" si="4"/>
        <v>64857.35</v>
      </c>
      <c r="AV10" s="176">
        <f t="shared" si="5"/>
        <v>0.455939191564148</v>
      </c>
      <c r="AW10" s="175">
        <f t="shared" si="6"/>
        <v>3505543.65</v>
      </c>
      <c r="AX10" s="192">
        <f t="shared" si="7"/>
        <v>0.0185013671132008</v>
      </c>
      <c r="AY10" s="65">
        <f t="shared" si="8"/>
        <v>3441466</v>
      </c>
      <c r="AZ10" s="193">
        <f t="shared" si="9"/>
        <v>3570401</v>
      </c>
      <c r="BA10" s="65">
        <f t="shared" si="10"/>
        <v>128935</v>
      </c>
      <c r="BB10" s="65">
        <f>IF(BA10&lt;比赛参数!$K$34,0,IF(BA10&lt;比赛参数!$K$35,BA10/(1-比赛参数!$E$36),IF(BA10&lt;比赛参数!$K$36,BA10/(1-比赛参数!$E$34))))</f>
        <v>1611687.5</v>
      </c>
      <c r="BC10" s="65">
        <f t="shared" si="11"/>
        <v>-64077.65</v>
      </c>
      <c r="BD10" s="101"/>
      <c r="BE10" s="65">
        <f t="shared" si="12"/>
        <v>-64077.65</v>
      </c>
      <c r="BF10" s="176">
        <f t="shared" si="13"/>
        <v>-0.450457996485062</v>
      </c>
      <c r="BQ10" s="173"/>
      <c r="BR10" s="196" t="s">
        <v>24</v>
      </c>
      <c r="BS10" s="198">
        <f>第十期!$AI$76</f>
        <v>12700</v>
      </c>
      <c r="BT10" s="198">
        <f>第十期!$AI$77</f>
        <v>12700</v>
      </c>
      <c r="BU10" s="198">
        <f>第十期!$AI$78</f>
        <v>13000</v>
      </c>
      <c r="BV10" s="198">
        <f>第十期!$AI$79</f>
        <v>13150</v>
      </c>
      <c r="BW10" s="200">
        <f>第十期!$AI$80</f>
        <v>51840</v>
      </c>
      <c r="BX10" s="173"/>
      <c r="DT10" s="249" t="s">
        <v>22</v>
      </c>
      <c r="DU10" s="260">
        <v>1</v>
      </c>
      <c r="DV10" s="261">
        <f t="shared" si="0"/>
        <v>28</v>
      </c>
      <c r="DW10" s="261">
        <f t="shared" si="1"/>
        <v>0</v>
      </c>
      <c r="DX10" s="261">
        <f t="shared" si="1"/>
        <v>10</v>
      </c>
    </row>
    <row r="11" customHeight="1" spans="2:128">
      <c r="B11" s="7"/>
      <c r="C11" s="8" t="s">
        <v>193</v>
      </c>
      <c r="D11" s="14">
        <v>1950000</v>
      </c>
      <c r="E11" s="9"/>
      <c r="F11" s="10"/>
      <c r="J11" s="11" t="s">
        <v>166</v>
      </c>
      <c r="K11" s="34">
        <f>D7</f>
        <v>2939309.3</v>
      </c>
      <c r="M11" s="36" t="s">
        <v>194</v>
      </c>
      <c r="N11" s="32" t="s">
        <v>195</v>
      </c>
      <c r="O11" s="32">
        <f>AL14</f>
        <v>12000000</v>
      </c>
      <c r="P11" s="35"/>
      <c r="Q11" s="45"/>
      <c r="X11" s="11" t="s">
        <v>196</v>
      </c>
      <c r="Y11" s="75"/>
      <c r="Z11" s="75"/>
      <c r="AA11" s="75">
        <v>85</v>
      </c>
      <c r="AB11" s="75"/>
      <c r="AC11" s="76">
        <f>SUM(Y11:AB11)</f>
        <v>85</v>
      </c>
      <c r="AE11" s="72">
        <f>SUMPRODUCT(AA96:AA99,AH64:AH67)/SUM(AH64:AH67)</f>
        <v>11.0994905672334</v>
      </c>
      <c r="AF11" s="77">
        <f>CE24*15</f>
        <v>10.5088487922189</v>
      </c>
      <c r="AG11" s="133">
        <f>SUMPRODUCT(AA102:AA105,AH64:AH67)/SUM(AH64:AH67)*20</f>
        <v>8.23724259822978</v>
      </c>
      <c r="AH11" s="32">
        <f>AC11*比赛参数!F26</f>
        <v>32300</v>
      </c>
      <c r="AI11" s="134">
        <f>第十期!DB58</f>
        <v>4222.90935672515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>
        <f>SUM(AB133:AE133)*比赛参数!$D$26+SUM(AL133:AO133)*比赛参数!$E$26+SUM(AB156:AE156)*比赛参数!$F$26+SUM(AL156:AO156)*比赛参数!$G$26</f>
        <v>186230</v>
      </c>
      <c r="AT11" s="55">
        <f t="shared" si="3"/>
        <v>143.253846153846</v>
      </c>
      <c r="AU11" s="175">
        <f t="shared" si="4"/>
        <v>7855.44</v>
      </c>
      <c r="AV11" s="176">
        <f t="shared" si="5"/>
        <v>0.0421813886054878</v>
      </c>
      <c r="AW11" s="175">
        <f t="shared" si="6"/>
        <v>4551744.56</v>
      </c>
      <c r="AX11" s="192">
        <f t="shared" si="7"/>
        <v>0.00172580862050835</v>
      </c>
      <c r="AY11" s="65">
        <f t="shared" si="8"/>
        <v>4538800</v>
      </c>
      <c r="AZ11" s="193">
        <f t="shared" si="9"/>
        <v>4559600</v>
      </c>
      <c r="BA11" s="65">
        <f t="shared" si="10"/>
        <v>20800</v>
      </c>
      <c r="BB11" s="65">
        <f>IF(BA11&lt;比赛参数!$K$34,0,IF(BA11&lt;比赛参数!$K$35,BA11/(1-比赛参数!$E$36),IF(BA11&lt;比赛参数!$K$36,BA11/(1-比赛参数!$E$34))))</f>
        <v>0</v>
      </c>
      <c r="BC11" s="65">
        <f t="shared" si="11"/>
        <v>-12944.56</v>
      </c>
      <c r="BD11" s="101"/>
      <c r="BE11" s="65">
        <f t="shared" si="12"/>
        <v>-12944.56</v>
      </c>
      <c r="BF11" s="176">
        <f t="shared" si="13"/>
        <v>-0.0695084572840037</v>
      </c>
      <c r="BQ11" s="173"/>
      <c r="BR11" s="199" t="s">
        <v>197</v>
      </c>
      <c r="BS11" s="200">
        <f>第十期!$AJ$76</f>
        <v>38880</v>
      </c>
      <c r="BT11" s="200">
        <f>第十期!$AJ$77</f>
        <v>39420</v>
      </c>
      <c r="BU11" s="200">
        <f>第十期!$AJ$78</f>
        <v>55770</v>
      </c>
      <c r="BV11" s="200">
        <f>第十期!$AJ$79</f>
        <v>57870</v>
      </c>
      <c r="BW11" s="210"/>
      <c r="BX11" s="173"/>
      <c r="DT11" s="252" t="s">
        <v>22</v>
      </c>
      <c r="DU11" s="250">
        <v>2</v>
      </c>
      <c r="DV11" s="251">
        <f t="shared" si="0"/>
        <v>28</v>
      </c>
      <c r="DW11" s="251">
        <f t="shared" si="1"/>
        <v>0</v>
      </c>
      <c r="DX11" s="251">
        <f t="shared" si="1"/>
        <v>9</v>
      </c>
    </row>
    <row r="12" ht="17.25" customHeight="1" spans="2:128">
      <c r="B12" s="7"/>
      <c r="C12" s="8" t="s">
        <v>198</v>
      </c>
      <c r="D12" s="14">
        <v>1370000</v>
      </c>
      <c r="E12" s="9"/>
      <c r="F12" s="10"/>
      <c r="J12" s="11" t="s">
        <v>187</v>
      </c>
      <c r="K12" s="34">
        <f>D9</f>
        <v>12000000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57</v>
      </c>
      <c r="AB12" s="75">
        <v>75</v>
      </c>
      <c r="AC12" s="78">
        <f>SUM(Y12:AB12)</f>
        <v>132</v>
      </c>
      <c r="AE12" s="72">
        <f>SUMPRODUCT(AB96:AB99,AI64:AI67)/SUM(AI64:AI67)</f>
        <v>8.55447846973857</v>
      </c>
      <c r="AF12" s="77">
        <f>CF24*15</f>
        <v>7.86741204264671</v>
      </c>
      <c r="AG12" s="133">
        <f>SUMPRODUCT(AB102:AB105,AI64:AI67)/SUM(AI64:AI67)*20</f>
        <v>6.88035284790325</v>
      </c>
      <c r="AH12" s="32">
        <f>AC12*比赛参数!G26</f>
        <v>68640</v>
      </c>
      <c r="AI12" s="134">
        <f>第十期!DB59</f>
        <v>4438.37117714541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>
        <f>SUM(AB134:AE134)*比赛参数!$D$26+SUM(AL134:AO134)*比赛参数!$E$26+SUM(AB157:AE157)*比赛参数!$F$26+SUM(AL157:AO157)*比赛参数!$G$26</f>
        <v>130150</v>
      </c>
      <c r="AT12" s="55">
        <f t="shared" si="3"/>
        <v>100.115384615385</v>
      </c>
      <c r="AU12" s="175">
        <f t="shared" si="4"/>
        <v>-165317.96</v>
      </c>
      <c r="AV12" s="176">
        <f t="shared" si="5"/>
        <v>-1.27021098732232</v>
      </c>
      <c r="AW12" s="175">
        <f t="shared" si="6"/>
        <v>3611675.96</v>
      </c>
      <c r="AX12" s="192">
        <f t="shared" si="7"/>
        <v>-0.0457731983242483</v>
      </c>
      <c r="AY12" s="65">
        <f t="shared" si="8"/>
        <v>3464958</v>
      </c>
      <c r="AZ12" s="193">
        <f t="shared" si="9"/>
        <v>3446358</v>
      </c>
      <c r="BA12" s="65">
        <f t="shared" si="10"/>
        <v>-18600</v>
      </c>
      <c r="BB12" s="65">
        <f>IF(BA12&lt;比赛参数!$K$34,0,IF(BA12&lt;比赛参数!$K$35,BA12/(1-比赛参数!$E$36),IF(BA12&lt;比赛参数!$K$36,BA12/(1-比赛参数!$E$34))))</f>
        <v>0</v>
      </c>
      <c r="BC12" s="65">
        <f t="shared" si="11"/>
        <v>-146717.96</v>
      </c>
      <c r="BD12" s="101"/>
      <c r="BE12" s="65">
        <f t="shared" si="12"/>
        <v>-146717.96</v>
      </c>
      <c r="BF12" s="176">
        <f t="shared" si="13"/>
        <v>-1.12729896273531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57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100</v>
      </c>
      <c r="D13" s="14">
        <v>406675.58</v>
      </c>
      <c r="E13" s="9"/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5413785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130.961538461538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64.3461538461538</v>
      </c>
      <c r="AB13" s="79">
        <f>(AB9*比赛参数!D27+AB10*比赛参数!E27+AB11*比赛参数!F27+AB12*比赛参数!G27)/260</f>
        <v>51.9230769230769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第十期!BU86</f>
        <v>5558539.96923077</v>
      </c>
      <c r="AG13" s="135" t="s">
        <v>203</v>
      </c>
      <c r="AH13" s="136">
        <f>第十期!BV76</f>
        <v>2307633.06</v>
      </c>
      <c r="AI13" s="42" t="s">
        <v>204</v>
      </c>
      <c r="AJ13" s="137">
        <f>SUMPRODUCT(AE4:AE7,AH9:AH12)</f>
        <v>2751869.96569344</v>
      </c>
      <c r="AL13" s="48"/>
      <c r="AQ13" s="173"/>
      <c r="AR13" s="11">
        <v>5</v>
      </c>
      <c r="AS13" s="65">
        <f>SUM(AB135:AE135)*比赛参数!$D$26+SUM(AL135:AO135)*比赛参数!$E$26+SUM(AB158:AE158)*比赛参数!$F$26+SUM(AL158:AO158)*比赛参数!$G$26</f>
        <v>186020</v>
      </c>
      <c r="AT13" s="55">
        <f t="shared" si="3"/>
        <v>143.092307692308</v>
      </c>
      <c r="AU13" s="175">
        <f t="shared" si="4"/>
        <v>403750.58</v>
      </c>
      <c r="AV13" s="176">
        <f t="shared" si="5"/>
        <v>2.17046865928395</v>
      </c>
      <c r="AW13" s="175">
        <f t="shared" si="6"/>
        <v>4820549.42</v>
      </c>
      <c r="AX13" s="192">
        <f t="shared" si="7"/>
        <v>0.0837561333413319</v>
      </c>
      <c r="AY13" s="65">
        <f t="shared" si="8"/>
        <v>5245500</v>
      </c>
      <c r="AZ13" s="193">
        <f t="shared" si="9"/>
        <v>5224300</v>
      </c>
      <c r="BA13" s="65">
        <f t="shared" si="10"/>
        <v>-21200</v>
      </c>
      <c r="BB13" s="65">
        <f>IF(BA13&lt;比赛参数!$K$34,0,IF(BA13&lt;比赛参数!$K$35,BA13/(1-比赛参数!$E$36),IF(BA13&lt;比赛参数!$K$36,BA13/(1-比赛参数!$E$34))))</f>
        <v>0</v>
      </c>
      <c r="BC13" s="65">
        <f t="shared" si="11"/>
        <v>424950.58</v>
      </c>
      <c r="BD13" s="101"/>
      <c r="BE13" s="65">
        <f t="shared" si="12"/>
        <v>424950.58</v>
      </c>
      <c r="BF13" s="176">
        <f t="shared" si="13"/>
        <v>2.28443489947317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54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206</v>
      </c>
      <c r="D14" s="14">
        <v>101668.9</v>
      </c>
      <c r="E14" s="9"/>
      <c r="F14" s="10"/>
      <c r="J14" s="11" t="s">
        <v>193</v>
      </c>
      <c r="K14" s="34">
        <f>D11</f>
        <v>1950000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150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149.884615384615</v>
      </c>
      <c r="AB14" s="79">
        <f>(AB9*比赛参数!D26+AB10*比赛参数!E26+AB11*比赛参数!F26+AB12*比赛参数!G26)/260</f>
        <v>150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第十期!BW92</f>
        <v>400990.67076923</v>
      </c>
      <c r="AG14" s="73" t="s">
        <v>208</v>
      </c>
      <c r="AH14" s="138"/>
      <c r="AI14" s="42" t="s">
        <v>93</v>
      </c>
      <c r="AJ14" s="139">
        <f>第十期!K12</f>
        <v>12000000</v>
      </c>
      <c r="AK14" s="42" t="s">
        <v>209</v>
      </c>
      <c r="AL14" s="91">
        <f>AJ14-AH14</f>
        <v>12000000</v>
      </c>
      <c r="AQ14" s="173"/>
      <c r="AR14" s="11">
        <v>6</v>
      </c>
      <c r="AS14" s="65">
        <f>SUM(AB136:AE136)*比赛参数!$D$26+SUM(AL136:AO136)*比赛参数!$E$26+SUM(AB159:AE159)*比赛参数!$F$26+SUM(AL159:AO159)*比赛参数!$G$26</f>
        <v>53770</v>
      </c>
      <c r="AT14" s="55">
        <f t="shared" si="3"/>
        <v>41.3615384615385</v>
      </c>
      <c r="AU14" s="175">
        <f t="shared" si="4"/>
        <v>-1286553.33</v>
      </c>
      <c r="AV14" s="176">
        <f t="shared" si="5"/>
        <v>-23.9269728473126</v>
      </c>
      <c r="AW14" s="175">
        <f t="shared" si="6"/>
        <v>2928633.33</v>
      </c>
      <c r="AX14" s="192">
        <f t="shared" si="7"/>
        <v>-0.439301607620507</v>
      </c>
      <c r="AY14" s="65">
        <f t="shared" si="8"/>
        <v>1503790</v>
      </c>
      <c r="AZ14" s="193">
        <f t="shared" si="9"/>
        <v>1642080</v>
      </c>
      <c r="BA14" s="65">
        <f t="shared" si="10"/>
        <v>138290</v>
      </c>
      <c r="BB14" s="65">
        <f>IF(BA14&lt;比赛参数!$K$34,0,IF(BA14&lt;比赛参数!$K$35,BA14/(1-比赛参数!$E$36),IF(BA14&lt;比赛参数!$K$36,BA14/(1-比赛参数!$E$34))))</f>
        <v>1728625</v>
      </c>
      <c r="BC14" s="65">
        <f t="shared" si="11"/>
        <v>-1424843.33</v>
      </c>
      <c r="BD14" s="101"/>
      <c r="BE14" s="65">
        <f t="shared" si="12"/>
        <v>-1424843.33</v>
      </c>
      <c r="BF14" s="176">
        <f t="shared" si="13"/>
        <v>-26.4988530779245</v>
      </c>
      <c r="BQ14" s="173"/>
      <c r="BR14" s="197" t="s">
        <v>21</v>
      </c>
      <c r="BS14" s="198">
        <f>第十期!Y88</f>
        <v>50</v>
      </c>
      <c r="BT14" s="198">
        <f>第十期!Y89</f>
        <v>49</v>
      </c>
      <c r="BU14" s="198">
        <f>第十期!Y90</f>
        <v>77</v>
      </c>
      <c r="BV14" s="198">
        <f>第十期!Y91</f>
        <v>90</v>
      </c>
      <c r="BW14" s="202"/>
      <c r="BX14" s="173"/>
      <c r="DT14" s="249" t="s">
        <v>23</v>
      </c>
      <c r="DU14" s="260">
        <v>1</v>
      </c>
      <c r="DV14" s="261">
        <f t="shared" si="0"/>
        <v>22</v>
      </c>
      <c r="DW14" s="261">
        <f t="shared" si="1"/>
        <v>0</v>
      </c>
      <c r="DX14" s="261">
        <f t="shared" si="1"/>
        <v>6</v>
      </c>
    </row>
    <row r="15" customHeight="1" spans="2:128">
      <c r="B15" s="7"/>
      <c r="C15" s="8" t="s">
        <v>210</v>
      </c>
      <c r="D15" s="14">
        <v>105923.71</v>
      </c>
      <c r="E15" s="9"/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1</v>
      </c>
      <c r="Z15" s="86">
        <f>(Z14+AA14)/AA20</f>
        <v>0.999230769230769</v>
      </c>
      <c r="AA15" s="87"/>
      <c r="AB15" s="88">
        <f>AB14/AA20</f>
        <v>1</v>
      </c>
      <c r="AC15" s="89" t="str">
        <f>IF(AC21&lt;=AC20,"材料 YES","材料 NO")</f>
        <v>材料 YES</v>
      </c>
      <c r="AE15" s="83" t="s">
        <v>105</v>
      </c>
      <c r="AF15" s="90">
        <f>AF14/(Y18+第十期!K8-AA18)</f>
        <v>1542.27181065089</v>
      </c>
      <c r="AG15" s="73" t="s">
        <v>214</v>
      </c>
      <c r="AH15" s="138">
        <v>3583785</v>
      </c>
      <c r="AI15" s="42" t="s">
        <v>215</v>
      </c>
      <c r="AJ15" s="139">
        <f>第十期!K16*0.5-第十期!K14</f>
        <v>5449410.42</v>
      </c>
      <c r="AK15" s="42" t="s">
        <v>216</v>
      </c>
      <c r="AL15" s="111">
        <f>O20*0.5-O13</f>
        <v>2075972.15476923</v>
      </c>
      <c r="AQ15" s="173"/>
      <c r="AR15" s="11">
        <v>7</v>
      </c>
      <c r="AS15" s="65">
        <f>SUM(AB137:AE137)*比赛参数!$D$26+SUM(AL137:AO137)*比赛参数!$E$26+SUM(AB160:AE160)*比赛参数!$F$26+SUM(AL160:AO160)*比赛参数!$G$26</f>
        <v>165170</v>
      </c>
      <c r="AT15" s="55">
        <f t="shared" si="3"/>
        <v>127.053846153846</v>
      </c>
      <c r="AU15" s="175">
        <f t="shared" si="4"/>
        <v>-70962.65</v>
      </c>
      <c r="AV15" s="176">
        <f t="shared" si="5"/>
        <v>-0.429634013440697</v>
      </c>
      <c r="AW15" s="175">
        <f t="shared" si="6"/>
        <v>4036712.65</v>
      </c>
      <c r="AX15" s="192">
        <f t="shared" si="7"/>
        <v>-0.0175793166749186</v>
      </c>
      <c r="AY15" s="65">
        <f t="shared" si="8"/>
        <v>3941350</v>
      </c>
      <c r="AZ15" s="193">
        <f t="shared" si="9"/>
        <v>3965750</v>
      </c>
      <c r="BA15" s="65">
        <f t="shared" si="10"/>
        <v>24400</v>
      </c>
      <c r="BB15" s="65">
        <f>IF(BA15&lt;比赛参数!$K$34,0,IF(BA15&lt;比赛参数!$K$35,BA15/(1-比赛参数!$E$36),IF(BA15&lt;比赛参数!$K$36,BA15/(1-比赛参数!$E$34))))</f>
        <v>0</v>
      </c>
      <c r="BC15" s="65">
        <f t="shared" si="11"/>
        <v>-95362.65</v>
      </c>
      <c r="BD15" s="101"/>
      <c r="BE15" s="65">
        <f t="shared" si="12"/>
        <v>-95362.65</v>
      </c>
      <c r="BF15" s="176">
        <f t="shared" si="13"/>
        <v>-0.577360598171581</v>
      </c>
      <c r="BQ15" s="173"/>
      <c r="BR15" s="196" t="s">
        <v>22</v>
      </c>
      <c r="BS15" s="198">
        <f>第十期!Z88</f>
        <v>42</v>
      </c>
      <c r="BT15" s="198">
        <f>第十期!Z89</f>
        <v>44</v>
      </c>
      <c r="BU15" s="198">
        <f>第十期!Z90</f>
        <v>73</v>
      </c>
      <c r="BV15" s="198">
        <f>第十期!Z91</f>
        <v>70</v>
      </c>
      <c r="BW15" s="202"/>
      <c r="BX15" s="173"/>
      <c r="DT15" s="252" t="s">
        <v>23</v>
      </c>
      <c r="DU15" s="250">
        <v>2</v>
      </c>
      <c r="DV15" s="251">
        <f t="shared" si="0"/>
        <v>23</v>
      </c>
      <c r="DW15" s="251">
        <f t="shared" si="1"/>
        <v>0</v>
      </c>
      <c r="DX15" s="251">
        <f t="shared" si="1"/>
        <v>5</v>
      </c>
    </row>
    <row r="16" customHeight="1" spans="2:130">
      <c r="B16" s="7"/>
      <c r="C16" s="8" t="s">
        <v>211</v>
      </c>
      <c r="D16" s="14">
        <v>0</v>
      </c>
      <c r="E16" s="9"/>
      <c r="F16" s="10">
        <f>D16*4</f>
        <v>0</v>
      </c>
      <c r="J16" s="11" t="s">
        <v>104</v>
      </c>
      <c r="K16" s="34">
        <f>D18</f>
        <v>14798820.84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第十期!DM60</f>
        <v>102000</v>
      </c>
      <c r="Z16" s="92" t="s">
        <v>218</v>
      </c>
      <c r="AA16" s="93">
        <f>AH20+Y16+第十期!K9*比赛参数!D30*比赛参数!F30</f>
        <v>2028520</v>
      </c>
      <c r="AB16" s="73" t="s">
        <v>219</v>
      </c>
      <c r="AC16" s="94">
        <f>Y20-Y21</f>
        <v>0.192307692307708</v>
      </c>
      <c r="AE16" s="83" t="s">
        <v>220</v>
      </c>
      <c r="AF16" s="95">
        <f>AJ13/SUM(AH9:AH12)</f>
        <v>14.1164972078252</v>
      </c>
      <c r="AG16" s="83" t="s">
        <v>221</v>
      </c>
      <c r="AH16" s="140">
        <f>AF14/AL111</f>
        <v>2528.1918230758</v>
      </c>
      <c r="AI16" s="42" t="s">
        <v>222</v>
      </c>
      <c r="AJ16" s="141">
        <f>BS75+BS76</f>
        <v>387040</v>
      </c>
      <c r="AK16" s="142">
        <f>AJ16/BS77</f>
        <v>0.065274512515558</v>
      </c>
      <c r="AL16" s="143"/>
      <c r="AQ16" s="173"/>
      <c r="AR16" s="11">
        <v>8</v>
      </c>
      <c r="AS16" s="65">
        <f>SUM(AB138:AE138)*比赛参数!$D$26+SUM(AL138:AO138)*比赛参数!$E$26+SUM(AB161:AE161)*比赛参数!$F$26+SUM(AL161:AO161)*比赛参数!$G$26</f>
        <v>178240</v>
      </c>
      <c r="AT16" s="55">
        <f t="shared" si="3"/>
        <v>137.107692307692</v>
      </c>
      <c r="AU16" s="175">
        <f t="shared" si="4"/>
        <v>205758.54</v>
      </c>
      <c r="AV16" s="176">
        <f t="shared" si="5"/>
        <v>1.15439037253142</v>
      </c>
      <c r="AW16" s="175">
        <f t="shared" si="6"/>
        <v>4660941.46</v>
      </c>
      <c r="AX16" s="192">
        <f t="shared" si="7"/>
        <v>0.0441452744613531</v>
      </c>
      <c r="AY16" s="65">
        <f t="shared" si="8"/>
        <v>4739100</v>
      </c>
      <c r="AZ16" s="193">
        <f t="shared" si="9"/>
        <v>4866700</v>
      </c>
      <c r="BA16" s="65">
        <f t="shared" si="10"/>
        <v>127600</v>
      </c>
      <c r="BB16" s="65">
        <f>IF(BA16&lt;比赛参数!$K$34,0,IF(BA16&lt;比赛参数!$K$35,BA16/(1-比赛参数!$E$36),IF(BA16&lt;比赛参数!$K$36,BA16/(1-比赛参数!$E$34))))</f>
        <v>1595000</v>
      </c>
      <c r="BC16" s="65">
        <f t="shared" si="11"/>
        <v>78158.54</v>
      </c>
      <c r="BD16" s="101"/>
      <c r="BE16" s="65">
        <f t="shared" si="12"/>
        <v>78158.54</v>
      </c>
      <c r="BF16" s="176">
        <f t="shared" si="13"/>
        <v>0.438501683123878</v>
      </c>
      <c r="BQ16" s="173"/>
      <c r="BR16" s="196" t="s">
        <v>23</v>
      </c>
      <c r="BS16" s="198">
        <f>第十期!AA88</f>
        <v>22</v>
      </c>
      <c r="BT16" s="198">
        <f>第十期!AA89</f>
        <v>24</v>
      </c>
      <c r="BU16" s="198">
        <f>第十期!AA90</f>
        <v>31</v>
      </c>
      <c r="BV16" s="198">
        <f>第十期!AA91</f>
        <v>35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30</v>
      </c>
      <c r="DW16" s="251">
        <f t="shared" si="1"/>
        <v>0</v>
      </c>
      <c r="DX16" s="251">
        <f t="shared" si="1"/>
        <v>10</v>
      </c>
      <c r="DZ16" s="43"/>
    </row>
    <row r="17" customHeight="1" spans="2:128">
      <c r="B17" s="7"/>
      <c r="C17" s="8" t="s">
        <v>102</v>
      </c>
      <c r="D17" s="14">
        <v>210000</v>
      </c>
      <c r="E17" s="9"/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1000.00000000008</v>
      </c>
      <c r="AE17" s="83" t="s">
        <v>233</v>
      </c>
      <c r="AF17" s="100">
        <f>(AE9*SUM(AF64:AF67)+AE10*SUM(AG64:AG67)+AE11*SUM(AH64:AH67)+AE12*SUM(AI64:AI67))/SUM(AF64:AI67)</f>
        <v>13.149264307943</v>
      </c>
      <c r="AG17" s="2" t="s">
        <v>106</v>
      </c>
      <c r="AH17" s="2">
        <f>AF14/(O20+O13)</f>
        <v>0.0196628639967873</v>
      </c>
      <c r="AI17" s="48"/>
      <c r="AJ17" s="48"/>
      <c r="AK17" s="48"/>
      <c r="AL17" s="48"/>
      <c r="AQ17" s="173"/>
      <c r="AR17" s="11">
        <v>9</v>
      </c>
      <c r="AS17" s="65">
        <f>SUM(AB139:AE139)*比赛参数!$D$26+SUM(AL139:AO139)*比赛参数!$E$26+SUM(AB162:AE162)*比赛参数!$F$26+SUM(AL162:AO162)*比赛参数!$G$26</f>
        <v>203290</v>
      </c>
      <c r="AT17" s="55">
        <f t="shared" si="3"/>
        <v>156.376923076923</v>
      </c>
      <c r="AU17" s="175">
        <f t="shared" si="4"/>
        <v>294147.18</v>
      </c>
      <c r="AV17" s="176">
        <f t="shared" si="5"/>
        <v>1.44693383835899</v>
      </c>
      <c r="AW17" s="175">
        <f t="shared" si="6"/>
        <v>5155091.82</v>
      </c>
      <c r="AX17" s="192">
        <f t="shared" si="7"/>
        <v>0.0570595423458432</v>
      </c>
      <c r="AY17" s="65">
        <f t="shared" si="8"/>
        <v>5508804</v>
      </c>
      <c r="AZ17" s="193">
        <f t="shared" si="9"/>
        <v>5449239</v>
      </c>
      <c r="BA17" s="65">
        <f t="shared" si="10"/>
        <v>-59565</v>
      </c>
      <c r="BB17" s="65">
        <f>IF(BA17&lt;比赛参数!$K$34,0,IF(BA17&lt;比赛参数!$K$35,BA17/(1-比赛参数!$E$36),IF(BA17&lt;比赛参数!$K$36,BA17/(1-比赛参数!$E$34))))</f>
        <v>0</v>
      </c>
      <c r="BC17" s="65">
        <f t="shared" si="11"/>
        <v>353712.18</v>
      </c>
      <c r="BD17" s="101"/>
      <c r="BE17" s="65">
        <f t="shared" si="12"/>
        <v>353712.18</v>
      </c>
      <c r="BF17" s="176">
        <f t="shared" si="13"/>
        <v>1.73993890501254</v>
      </c>
      <c r="BQ17" s="173"/>
      <c r="BR17" s="196" t="s">
        <v>24</v>
      </c>
      <c r="BS17" s="198">
        <f>第十期!AB88</f>
        <v>25</v>
      </c>
      <c r="BT17" s="198">
        <f>第十期!AB89</f>
        <v>25</v>
      </c>
      <c r="BU17" s="198">
        <f>第十期!AB90</f>
        <v>39</v>
      </c>
      <c r="BV17" s="198">
        <f>第十期!AB91</f>
        <v>43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33</v>
      </c>
      <c r="DW17" s="268">
        <f t="shared" si="1"/>
        <v>0</v>
      </c>
      <c r="DX17" s="268">
        <f t="shared" si="1"/>
        <v>9</v>
      </c>
    </row>
    <row r="18" customHeight="1" spans="2:130">
      <c r="B18" s="7"/>
      <c r="C18" s="8" t="s">
        <v>104</v>
      </c>
      <c r="D18" s="14">
        <v>14798820.84</v>
      </c>
      <c r="E18" s="9"/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86</v>
      </c>
      <c r="Z18" s="11" t="s">
        <v>235</v>
      </c>
      <c r="AA18" s="101">
        <v>6</v>
      </c>
      <c r="AB18" s="11" t="s">
        <v>236</v>
      </c>
      <c r="AC18" s="102">
        <v>1003688</v>
      </c>
      <c r="AE18" s="11" t="s">
        <v>237</v>
      </c>
      <c r="AF18" s="103">
        <v>56</v>
      </c>
      <c r="AG18" s="73" t="s">
        <v>108</v>
      </c>
      <c r="AH18" s="144">
        <v>1</v>
      </c>
      <c r="AI18" s="73" t="s">
        <v>238</v>
      </c>
      <c r="AJ18" s="102">
        <v>100000</v>
      </c>
      <c r="AK18" s="42" t="s">
        <v>239</v>
      </c>
      <c r="AL18" s="145">
        <f>AL109</f>
        <v>150</v>
      </c>
      <c r="AQ18" s="173"/>
      <c r="AR18" s="11">
        <v>10</v>
      </c>
      <c r="AS18" s="65">
        <f>SUM(AB140:AE140)*比赛参数!$D$26+SUM(AL140:AO140)*比赛参数!$E$26+SUM(AB163:AE163)*比赛参数!$F$26+SUM(AL163:AO163)*比赛参数!$G$26</f>
        <v>205010</v>
      </c>
      <c r="AT18" s="55">
        <f t="shared" si="3"/>
        <v>157.7</v>
      </c>
      <c r="AU18" s="175">
        <f t="shared" si="4"/>
        <v>434108.73</v>
      </c>
      <c r="AV18" s="176">
        <f t="shared" si="5"/>
        <v>2.1175002682796</v>
      </c>
      <c r="AW18" s="175">
        <f t="shared" si="6"/>
        <v>5114491.27</v>
      </c>
      <c r="AX18" s="192">
        <f t="shared" si="7"/>
        <v>0.0848781837885511</v>
      </c>
      <c r="AY18" s="65">
        <f t="shared" si="8"/>
        <v>5564600</v>
      </c>
      <c r="AZ18" s="193">
        <f t="shared" si="9"/>
        <v>5548600</v>
      </c>
      <c r="BA18" s="65">
        <f t="shared" si="10"/>
        <v>-16000</v>
      </c>
      <c r="BB18" s="65">
        <f>IF(BA18&lt;比赛参数!$K$34,0,IF(BA18&lt;比赛参数!$K$35,BA18/(1-比赛参数!$E$36),IF(BA18&lt;比赛参数!$K$36,BA18/(1-比赛参数!$E$34))))</f>
        <v>0</v>
      </c>
      <c r="BC18" s="65">
        <f t="shared" si="11"/>
        <v>450108.73</v>
      </c>
      <c r="BD18" s="101"/>
      <c r="BE18" s="65">
        <f t="shared" si="12"/>
        <v>450108.73</v>
      </c>
      <c r="BF18" s="176">
        <f t="shared" si="13"/>
        <v>2.19554524169553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23</v>
      </c>
      <c r="DW18" s="261">
        <f t="shared" si="1"/>
        <v>1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>
        <v>2259.31</v>
      </c>
      <c r="E19" s="9"/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第十期!K8*比赛参数!D57</f>
        <v>90</v>
      </c>
      <c r="Z19" s="104" t="s">
        <v>244</v>
      </c>
      <c r="AA19" s="99">
        <f>第十期!K8*比赛参数!D60</f>
        <v>5.4</v>
      </c>
      <c r="AB19" s="104" t="s">
        <v>244</v>
      </c>
      <c r="AC19" s="105">
        <f>IF((AC21-第十期!K10)/比赛参数!D41&gt;0,(AC21-第十期!K10)/比赛参数!D41,0)</f>
        <v>1003687.5</v>
      </c>
      <c r="AE19" s="42" t="s">
        <v>36</v>
      </c>
      <c r="AF19" s="106">
        <f>BS67</f>
        <v>30110.64</v>
      </c>
      <c r="AG19" s="48"/>
      <c r="AH19" s="48"/>
      <c r="AI19" s="146" t="s">
        <v>245</v>
      </c>
      <c r="AJ19" s="105">
        <f>IF((第十期!BW92-第十期!BS87)&gt;0,第十期!BW92-第十期!BS87,0)</f>
        <v>280693.469538461</v>
      </c>
      <c r="AK19" s="42" t="s">
        <v>246</v>
      </c>
      <c r="AL19" s="145">
        <f>AL110</f>
        <v>158.607692307692</v>
      </c>
      <c r="AM19" s="2" t="s">
        <v>247</v>
      </c>
      <c r="AR19" s="11">
        <v>11</v>
      </c>
      <c r="AS19" s="65">
        <f>SUM(AB141:AE141)*比赛参数!$D$26+SUM(AL141:AO141)*比赛参数!$E$26+SUM(AB164:AE164)*比赛参数!$F$26+SUM(AL164:AO164)*比赛参数!$G$26</f>
        <v>192000</v>
      </c>
      <c r="AT19" s="55">
        <f t="shared" si="3"/>
        <v>147.692307692308</v>
      </c>
      <c r="AU19" s="175">
        <f t="shared" si="4"/>
        <v>406675.58</v>
      </c>
      <c r="AV19" s="176">
        <f t="shared" si="5"/>
        <v>2.11810197916667</v>
      </c>
      <c r="AW19" s="175">
        <f t="shared" si="6"/>
        <v>4887164.42</v>
      </c>
      <c r="AX19" s="192">
        <f t="shared" si="7"/>
        <v>0.0832129932718736</v>
      </c>
      <c r="AY19" s="65">
        <f t="shared" si="8"/>
        <v>5339340</v>
      </c>
      <c r="AZ19" s="193">
        <f t="shared" si="9"/>
        <v>5293840</v>
      </c>
      <c r="BA19" s="65">
        <f t="shared" si="10"/>
        <v>-45500</v>
      </c>
      <c r="BB19" s="65">
        <f>IF(BA19&lt;比赛参数!$K$34,0,IF(BA19&lt;比赛参数!$K$35,BA19/(1-比赛参数!$E$36),IF(BA19&lt;比赛参数!$K$36,BA19/(1-比赛参数!$E$34))))</f>
        <v>0</v>
      </c>
      <c r="BC19" s="65">
        <f t="shared" si="11"/>
        <v>452175.58</v>
      </c>
      <c r="BD19" s="101"/>
      <c r="BE19" s="65">
        <f t="shared" si="12"/>
        <v>452175.58</v>
      </c>
      <c r="BF19" s="176">
        <f t="shared" si="13"/>
        <v>2.35508114583333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第十期!$CX$68</f>
        <v>0.771749001777096</v>
      </c>
      <c r="CD19" s="110">
        <f>第十期!$CX$69</f>
        <v>0.729492961885111</v>
      </c>
      <c r="CE19" s="110">
        <f>第十期!$CX$70</f>
        <v>0.70714746590918</v>
      </c>
      <c r="CF19" s="110">
        <f>第十期!$CX$71</f>
        <v>0.517663060505766</v>
      </c>
      <c r="CG19" s="219"/>
      <c r="CH19" s="225"/>
      <c r="CI19" s="226" t="s">
        <v>55</v>
      </c>
      <c r="CJ19" s="110">
        <f>第十期!$CX$50</f>
        <v>1890.78701138812</v>
      </c>
      <c r="CK19" s="110">
        <f>第十期!$CX$51</f>
        <v>4018.51881052158</v>
      </c>
      <c r="CL19" s="110">
        <f>第十期!$CX$52</f>
        <v>5945.59064327485</v>
      </c>
      <c r="CM19" s="110">
        <f>第十期!$CX$53</f>
        <v>8368.12882285459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23</v>
      </c>
      <c r="DW19" s="251">
        <f t="shared" si="1"/>
        <v>1</v>
      </c>
      <c r="DX19" s="251">
        <f t="shared" si="1"/>
        <v>0</v>
      </c>
    </row>
    <row r="20" customHeight="1" spans="2:130">
      <c r="B20" s="7"/>
      <c r="C20" s="8" t="s">
        <v>106</v>
      </c>
      <c r="D20" s="9">
        <v>0.0243</v>
      </c>
      <c r="E20" s="9"/>
      <c r="F20" s="10"/>
      <c r="M20" s="30"/>
      <c r="N20" s="32" t="s">
        <v>104</v>
      </c>
      <c r="O20" s="38">
        <f>K16+AJ19-AJ18</f>
        <v>14979514.3095385</v>
      </c>
      <c r="P20" s="35"/>
      <c r="Q20" s="45"/>
      <c r="W20" s="50"/>
      <c r="X20" s="42" t="s">
        <v>249</v>
      </c>
      <c r="Y20" s="107">
        <f>第十期!K8+第十期!Y18*比赛参数!D59-第十期!AA18</f>
        <v>195.5</v>
      </c>
      <c r="Z20" s="42" t="s">
        <v>239</v>
      </c>
      <c r="AA20" s="108">
        <f>第十期!K9</f>
        <v>150</v>
      </c>
      <c r="AB20" s="42" t="s">
        <v>250</v>
      </c>
      <c r="AC20" s="109">
        <f>AC18*比赛参数!D41+第十期!K10</f>
        <v>996700.4</v>
      </c>
      <c r="AE20" s="11" t="s">
        <v>251</v>
      </c>
      <c r="AF20" s="101"/>
      <c r="AG20" s="42" t="s">
        <v>87</v>
      </c>
      <c r="AH20" s="147">
        <f>第十期!BS62+第十期!BS71</f>
        <v>1326520</v>
      </c>
      <c r="AI20" s="73" t="s">
        <v>252</v>
      </c>
      <c r="AJ20" s="111">
        <f>第十期!BV90</f>
        <v>3407930.53876923</v>
      </c>
      <c r="AK20" s="148" t="s">
        <v>253</v>
      </c>
      <c r="AL20" s="145">
        <f>AL111</f>
        <v>158.607692307692</v>
      </c>
      <c r="AM20" s="2">
        <f>AF14/AL20/1300</f>
        <v>1.94476294082754</v>
      </c>
      <c r="AR20" s="11">
        <v>12</v>
      </c>
      <c r="AS20" s="65">
        <f>SUM(AB142:AE142)*比赛参数!$D$26+SUM(AL142:AO142)*比赛参数!$E$26+SUM(AB165:AE165)*比赛参数!$F$26+SUM(AL165:AO165)*比赛参数!$G$26</f>
        <v>103000</v>
      </c>
      <c r="AT20" s="55">
        <f t="shared" si="3"/>
        <v>79.2307692307692</v>
      </c>
      <c r="AU20" s="175">
        <f t="shared" si="4"/>
        <v>143039.85</v>
      </c>
      <c r="AV20" s="176">
        <f t="shared" si="5"/>
        <v>1.38873640776699</v>
      </c>
      <c r="AW20" s="175">
        <f t="shared" si="6"/>
        <v>2856480.15</v>
      </c>
      <c r="AX20" s="192">
        <f t="shared" si="7"/>
        <v>0.0500755624015101</v>
      </c>
      <c r="AY20" s="65">
        <f t="shared" si="8"/>
        <v>2849330</v>
      </c>
      <c r="AZ20" s="193">
        <f t="shared" si="9"/>
        <v>2999520</v>
      </c>
      <c r="BA20" s="65">
        <f t="shared" si="10"/>
        <v>150190</v>
      </c>
      <c r="BB20" s="65">
        <f>IF(BA20&lt;比赛参数!$K$34,0,IF(BA20&lt;比赛参数!$K$35,BA20/(1-比赛参数!$E$36),IF(BA20&lt;比赛参数!$K$36,BA20/(1-比赛参数!$E$34))))</f>
        <v>1877375</v>
      </c>
      <c r="BC20" s="65">
        <f t="shared" si="11"/>
        <v>-7150.14999999999</v>
      </c>
      <c r="BD20" s="101"/>
      <c r="BE20" s="65">
        <f t="shared" si="12"/>
        <v>-7150.14999999999</v>
      </c>
      <c r="BF20" s="176">
        <f t="shared" si="13"/>
        <v>-0.0694189320388349</v>
      </c>
      <c r="BR20" s="197" t="s">
        <v>21</v>
      </c>
      <c r="BS20" s="198">
        <f>第十期!Y9</f>
        <v>355</v>
      </c>
      <c r="BT20" s="198">
        <f>第十期!Z9</f>
        <v>0</v>
      </c>
      <c r="BU20" s="198">
        <f>第十期!AA9</f>
        <v>0</v>
      </c>
      <c r="BV20" s="198">
        <f>第十期!AB9</f>
        <v>0</v>
      </c>
      <c r="BW20" s="200">
        <f>第十期!AJ34</f>
        <v>130000</v>
      </c>
      <c r="BX20" s="215"/>
      <c r="CA20" s="213"/>
      <c r="CB20" s="196" t="s">
        <v>56</v>
      </c>
      <c r="CC20" s="110">
        <f>第十期!$CY$68</f>
        <v>0.811019311615822</v>
      </c>
      <c r="CD20" s="110">
        <f>第十期!$CY$69</f>
        <v>0.766416767767002</v>
      </c>
      <c r="CE20" s="110">
        <f>第十期!$CY$70</f>
        <v>0.739923251505698</v>
      </c>
      <c r="CF20" s="110">
        <f>第十期!$CY$71</f>
        <v>0.543110718356296</v>
      </c>
      <c r="CG20" s="219"/>
      <c r="CH20" s="225"/>
      <c r="CI20" s="227" t="s">
        <v>56</v>
      </c>
      <c r="CJ20" s="110">
        <f>第十期!$CY$50</f>
        <v>1849.78701138812</v>
      </c>
      <c r="CK20" s="110">
        <f>第十期!$CY$51</f>
        <v>3934.51881052158</v>
      </c>
      <c r="CL20" s="110">
        <f>第十期!$CY$52</f>
        <v>5833.59064327485</v>
      </c>
      <c r="CM20" s="110">
        <f>第十期!$CY$53</f>
        <v>8230.12882285459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37</v>
      </c>
      <c r="DW20" s="251">
        <f t="shared" si="1"/>
        <v>3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>
        <v>0.428</v>
      </c>
      <c r="E21" s="9"/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195.307692307692</v>
      </c>
      <c r="Z21" s="42" t="s">
        <v>256</v>
      </c>
      <c r="AA21" s="110">
        <f>MAX(Y14,Z14+AA14,AB14)</f>
        <v>150</v>
      </c>
      <c r="AB21" s="42" t="s">
        <v>257</v>
      </c>
      <c r="AC21" s="111">
        <f>AC9*比赛参数!D28+AC10*比赛参数!E28+AC11*比赛参数!F28+AC12*比赛参数!G28</f>
        <v>996700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287617.81232062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>
        <f>SUM(AB143:AE143)*比赛参数!$D$26+SUM(AL143:AO143)*比赛参数!$E$26+SUM(AB166:AE166)*比赛参数!$F$26+SUM(AL166:AO166)*比赛参数!$G$26</f>
        <v>196040</v>
      </c>
      <c r="AT21" s="55">
        <f t="shared" si="3"/>
        <v>150.8</v>
      </c>
      <c r="AU21" s="175">
        <f t="shared" si="4"/>
        <v>344290.31</v>
      </c>
      <c r="AV21" s="176">
        <f t="shared" si="5"/>
        <v>1.75622480106101</v>
      </c>
      <c r="AW21" s="175">
        <f t="shared" si="6"/>
        <v>5069219.69</v>
      </c>
      <c r="AX21" s="192">
        <f t="shared" si="7"/>
        <v>0.0679178120212817</v>
      </c>
      <c r="AY21" s="65">
        <f t="shared" si="8"/>
        <v>5297260</v>
      </c>
      <c r="AZ21" s="193">
        <f t="shared" si="9"/>
        <v>5413510</v>
      </c>
      <c r="BA21" s="65">
        <f t="shared" si="10"/>
        <v>116250</v>
      </c>
      <c r="BB21" s="65">
        <f>IF(BA21&lt;比赛参数!$K$34,0,IF(BA21&lt;比赛参数!$K$35,BA21/(1-比赛参数!$E$36),IF(BA21&lt;比赛参数!$K$36,BA21/(1-比赛参数!$E$34))))</f>
        <v>1453125</v>
      </c>
      <c r="BC21" s="65">
        <f t="shared" si="11"/>
        <v>228040.31</v>
      </c>
      <c r="BD21" s="101"/>
      <c r="BE21" s="65">
        <f t="shared" si="12"/>
        <v>228040.31</v>
      </c>
      <c r="BF21" s="176">
        <f t="shared" si="13"/>
        <v>1.16323357478066</v>
      </c>
      <c r="BR21" s="196" t="s">
        <v>22</v>
      </c>
      <c r="BS21" s="198">
        <f>第十期!Y10</f>
        <v>170</v>
      </c>
      <c r="BT21" s="198">
        <f>第十期!Z10</f>
        <v>0</v>
      </c>
      <c r="BU21" s="198">
        <f>第十期!AA10</f>
        <v>64</v>
      </c>
      <c r="BV21" s="198">
        <f>第十期!AB10</f>
        <v>0</v>
      </c>
      <c r="BW21" s="200">
        <f>第十期!AJ35</f>
        <v>150000</v>
      </c>
      <c r="BX21" s="215"/>
      <c r="CA21" s="213"/>
      <c r="CB21" s="196" t="s">
        <v>57</v>
      </c>
      <c r="CC21" s="110">
        <f>第十期!$CZ$68</f>
        <v>0.857766774485306</v>
      </c>
      <c r="CD21" s="110">
        <f>第十期!$CZ$69</f>
        <v>0.758392610795579</v>
      </c>
      <c r="CE21" s="110">
        <f>第十期!$CZ$70</f>
        <v>0.674989436484462</v>
      </c>
      <c r="CF21" s="110">
        <f>第十期!$CZ$71</f>
        <v>0.516189022650106</v>
      </c>
      <c r="CG21" s="219"/>
      <c r="CH21" s="225"/>
      <c r="CI21" s="227" t="s">
        <v>57</v>
      </c>
      <c r="CJ21" s="110">
        <f>第十期!$CZ$50</f>
        <v>2007.78701138812</v>
      </c>
      <c r="CK21" s="110">
        <f>第十期!$CZ$51</f>
        <v>4151.51881052158</v>
      </c>
      <c r="CL21" s="110">
        <f>第十期!$CZ$52</f>
        <v>6089.59064327485</v>
      </c>
      <c r="CM21" s="110">
        <f>第十期!$CZ$53</f>
        <v>8574.12882285459</v>
      </c>
      <c r="CN21" s="48"/>
      <c r="CO21" s="239"/>
      <c r="DT21" s="252" t="s">
        <v>24</v>
      </c>
      <c r="DU21" s="250">
        <v>4</v>
      </c>
      <c r="DV21" s="251">
        <f t="shared" si="0"/>
        <v>42</v>
      </c>
      <c r="DW21" s="251">
        <f t="shared" si="1"/>
        <v>3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149.953846153846</v>
      </c>
      <c r="AB22" s="114">
        <f>AA22/AA20</f>
        <v>0.999692307692308</v>
      </c>
      <c r="AD22" s="115"/>
      <c r="AH22" s="151">
        <f>AH20+AH21</f>
        <v>1614137.81232062</v>
      </c>
      <c r="AI22" s="42" t="s">
        <v>264</v>
      </c>
      <c r="AJ22" s="139">
        <f>K11</f>
        <v>2939309.3</v>
      </c>
      <c r="AK22" s="2" t="s">
        <v>265</v>
      </c>
      <c r="AL22" s="152">
        <f>K10</f>
        <v>193750</v>
      </c>
      <c r="AR22" s="11">
        <v>14</v>
      </c>
      <c r="AS22" s="65">
        <f>SUM(AB144:AE144)*比赛参数!$D$26+SUM(AL144:AO144)*比赛参数!$E$26+SUM(AB167:AE167)*比赛参数!$F$26+SUM(AL167:AO167)*比赛参数!$G$26</f>
        <v>158490</v>
      </c>
      <c r="AT22" s="55">
        <f t="shared" si="3"/>
        <v>121.915384615385</v>
      </c>
      <c r="AU22" s="175">
        <f t="shared" si="4"/>
        <v>177042.88</v>
      </c>
      <c r="AV22" s="176">
        <f t="shared" si="5"/>
        <v>1.11706025616758</v>
      </c>
      <c r="AW22" s="175">
        <f t="shared" si="6"/>
        <v>4412557.12</v>
      </c>
      <c r="AX22" s="192">
        <f t="shared" si="7"/>
        <v>0.0401225129069831</v>
      </c>
      <c r="AY22" s="65">
        <f t="shared" si="8"/>
        <v>3820600</v>
      </c>
      <c r="AZ22" s="193">
        <f t="shared" si="9"/>
        <v>4589600</v>
      </c>
      <c r="BA22" s="65">
        <f t="shared" si="10"/>
        <v>769000</v>
      </c>
      <c r="BB22" s="65" t="b">
        <f>IF(BA22&lt;比赛参数!$K$34,0,IF(BA22&lt;比赛参数!$K$35,BA22/(1-比赛参数!$E$36),IF(BA22&lt;比赛参数!$K$36,BA22/(1-比赛参数!$E$34))))</f>
        <v>0</v>
      </c>
      <c r="BC22" s="65">
        <f t="shared" si="11"/>
        <v>-591957.12</v>
      </c>
      <c r="BD22" s="101"/>
      <c r="BE22" s="65">
        <f t="shared" si="12"/>
        <v>-591957.12</v>
      </c>
      <c r="BF22" s="176">
        <f t="shared" si="13"/>
        <v>-3.73498088207458</v>
      </c>
      <c r="BR22" s="196" t="s">
        <v>23</v>
      </c>
      <c r="BS22" s="198">
        <f>第十期!Y11</f>
        <v>0</v>
      </c>
      <c r="BT22" s="198">
        <f>第十期!Z11</f>
        <v>0</v>
      </c>
      <c r="BU22" s="198">
        <f>第十期!AA11</f>
        <v>85</v>
      </c>
      <c r="BV22" s="198">
        <f>第十期!AB11</f>
        <v>0</v>
      </c>
      <c r="BW22" s="200">
        <f>第十期!AJ36</f>
        <v>150000</v>
      </c>
      <c r="BX22" s="215"/>
      <c r="CA22" s="213"/>
      <c r="CB22" s="196" t="s">
        <v>58</v>
      </c>
      <c r="CC22" s="110">
        <f>第十期!$DA$68</f>
        <v>0.846643981602662</v>
      </c>
      <c r="CD22" s="110">
        <f>第十期!$DA$69</f>
        <v>0.761267849490208</v>
      </c>
      <c r="CE22" s="110">
        <f>第十期!$DA$70</f>
        <v>0.693924009639289</v>
      </c>
      <c r="CF22" s="110">
        <f>第十期!$DA$71</f>
        <v>0.524791694339203</v>
      </c>
      <c r="CG22" s="219"/>
      <c r="CH22" s="225"/>
      <c r="CI22" s="227" t="s">
        <v>58</v>
      </c>
      <c r="CJ22" s="110">
        <f>第十期!$DA$50</f>
        <v>2057.78701138812</v>
      </c>
      <c r="CK22" s="110">
        <f>第十期!$DA$51</f>
        <v>4201.51881052158</v>
      </c>
      <c r="CL22" s="110">
        <f>第十期!$DA$52</f>
        <v>6139.59064327485</v>
      </c>
      <c r="CM22" s="110">
        <f>第十期!$DA$53</f>
        <v>8624.12882285459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5558539.96923077</v>
      </c>
      <c r="AK23" s="2" t="s">
        <v>272</v>
      </c>
      <c r="AL23" s="152">
        <f>AL22+AC18-AC21</f>
        <v>200738</v>
      </c>
      <c r="AQ23" s="177"/>
      <c r="AR23" s="11">
        <v>15</v>
      </c>
      <c r="AS23" s="65">
        <f>SUM(AB145:AE145)*比赛参数!$D$26+SUM(AL145:AO145)*比赛参数!$E$26+SUM(AB168:AE168)*比赛参数!$F$26+SUM(AL168:AO168)*比赛参数!$G$26</f>
        <v>71850</v>
      </c>
      <c r="AT23" s="55">
        <f t="shared" si="3"/>
        <v>55.2692307692308</v>
      </c>
      <c r="AU23" s="175">
        <f t="shared" si="4"/>
        <v>-1186936.91</v>
      </c>
      <c r="AV23" s="176">
        <f t="shared" si="5"/>
        <v>-16.5196508002784</v>
      </c>
      <c r="AW23" s="175">
        <f t="shared" si="6"/>
        <v>3036036.91</v>
      </c>
      <c r="AX23" s="192">
        <f t="shared" si="7"/>
        <v>-0.390949433483666</v>
      </c>
      <c r="AY23" s="65">
        <f t="shared" si="8"/>
        <v>1851800</v>
      </c>
      <c r="AZ23" s="193">
        <f t="shared" si="9"/>
        <v>1849100</v>
      </c>
      <c r="BA23" s="65">
        <f t="shared" si="10"/>
        <v>-2700</v>
      </c>
      <c r="BB23" s="65">
        <f>IF(BA23&lt;比赛参数!$K$34,0,IF(BA23&lt;比赛参数!$K$35,BA23/(1-比赛参数!$E$36),IF(BA23&lt;比赛参数!$K$36,BA23/(1-比赛参数!$E$34))))</f>
        <v>0</v>
      </c>
      <c r="BC23" s="65">
        <f t="shared" si="11"/>
        <v>-1184236.91</v>
      </c>
      <c r="BD23" s="101"/>
      <c r="BE23" s="65">
        <f t="shared" si="12"/>
        <v>-1184236.91</v>
      </c>
      <c r="BF23" s="176">
        <f t="shared" si="13"/>
        <v>-16.4820725121781</v>
      </c>
      <c r="BQ23" s="177"/>
      <c r="BR23" s="196" t="s">
        <v>24</v>
      </c>
      <c r="BS23" s="198">
        <f>第十期!Y12</f>
        <v>0</v>
      </c>
      <c r="BT23" s="198">
        <f>第十期!Z12</f>
        <v>0</v>
      </c>
      <c r="BU23" s="198">
        <f>第十期!AA12</f>
        <v>57</v>
      </c>
      <c r="BV23" s="198">
        <f>第十期!AB12</f>
        <v>75</v>
      </c>
      <c r="BW23" s="200">
        <f>第十期!AJ37</f>
        <v>100000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709.76923076923</v>
      </c>
      <c r="DA23" s="2">
        <f t="shared" si="14"/>
        <v>750.76923076923</v>
      </c>
      <c r="DB23" s="2">
        <f t="shared" si="14"/>
        <v>972.76923076923</v>
      </c>
      <c r="DC23" s="2">
        <f t="shared" si="14"/>
        <v>992.76923076923</v>
      </c>
      <c r="DF23" s="2" t="s">
        <v>38</v>
      </c>
      <c r="DG23" s="2">
        <f t="shared" ref="DG23:DJ26" si="15">BS7-DG17</f>
        <v>1499.5</v>
      </c>
      <c r="DH23" s="2">
        <f t="shared" si="15"/>
        <v>1499.5</v>
      </c>
      <c r="DI23" s="2">
        <f t="shared" si="15"/>
        <v>1717</v>
      </c>
      <c r="DJ23" s="2">
        <f t="shared" si="15"/>
        <v>1787</v>
      </c>
      <c r="DM23" s="2">
        <f t="shared" ref="DM23:DP26" si="16">DG23/CS23</f>
        <v>14.995</v>
      </c>
      <c r="DN23" s="2">
        <f t="shared" si="16"/>
        <v>14.995</v>
      </c>
      <c r="DO23" s="2">
        <f t="shared" si="16"/>
        <v>17.17</v>
      </c>
      <c r="DP23" s="2">
        <f t="shared" si="16"/>
        <v>17.87</v>
      </c>
      <c r="DQ23" s="2">
        <f>SUMPRODUCT(DM23:DP23,BS14:BV14)/SUM(BS14:BV14)</f>
        <v>16.5973496240602</v>
      </c>
      <c r="DT23" s="219"/>
      <c r="DU23" s="196" t="s">
        <v>273</v>
      </c>
      <c r="DV23" s="251">
        <f>SUM(E42:E45)</f>
        <v>1070000</v>
      </c>
    </row>
    <row r="24" ht="16.35" spans="2:126">
      <c r="B24" s="7"/>
      <c r="C24" s="18">
        <v>1</v>
      </c>
      <c r="D24" s="18">
        <v>1</v>
      </c>
      <c r="E24" s="9">
        <v>0</v>
      </c>
      <c r="F24" s="9">
        <v>111</v>
      </c>
      <c r="G24" s="9">
        <v>111</v>
      </c>
      <c r="H24" s="19">
        <v>0.0906</v>
      </c>
      <c r="I24" s="9">
        <v>0</v>
      </c>
      <c r="J24" s="9">
        <v>32</v>
      </c>
      <c r="K24" s="9">
        <v>0</v>
      </c>
      <c r="L24" s="10"/>
      <c r="M24" s="39">
        <f>AF64-AF104</f>
        <v>80</v>
      </c>
      <c r="N24" s="35"/>
      <c r="O24" s="35"/>
      <c r="P24" s="35"/>
      <c r="Q24" s="45"/>
      <c r="AH24" s="153"/>
      <c r="AQ24" s="177"/>
      <c r="AR24" s="11">
        <v>16</v>
      </c>
      <c r="AS24" s="65">
        <f>SUM(AB146:AE146)*比赛参数!$D$26+SUM(AL146:AO146)*比赛参数!$E$26+SUM(AB169:AE169)*比赛参数!$F$26+SUM(AL169:AO169)*比赛参数!$G$26</f>
        <v>190210</v>
      </c>
      <c r="AT24" s="55">
        <f t="shared" si="3"/>
        <v>146.315384615385</v>
      </c>
      <c r="AU24" s="175">
        <f t="shared" si="4"/>
        <v>302062.09</v>
      </c>
      <c r="AV24" s="176">
        <f t="shared" si="5"/>
        <v>1.5880452657589</v>
      </c>
      <c r="AW24" s="175">
        <f t="shared" si="6"/>
        <v>4756937.91</v>
      </c>
      <c r="AX24" s="192">
        <f t="shared" si="7"/>
        <v>0.0634992711098893</v>
      </c>
      <c r="AY24" s="65">
        <f t="shared" si="8"/>
        <v>5084800</v>
      </c>
      <c r="AZ24" s="193">
        <f t="shared" si="9"/>
        <v>5059000</v>
      </c>
      <c r="BA24" s="65">
        <f t="shared" si="10"/>
        <v>-25800</v>
      </c>
      <c r="BB24" s="65">
        <f>IF(BA24&lt;比赛参数!$K$34,0,IF(BA24&lt;比赛参数!$K$35,BA24/(1-比赛参数!$E$36),IF(BA24&lt;比赛参数!$K$36,BA24/(1-比赛参数!$E$34))))</f>
        <v>0</v>
      </c>
      <c r="BC24" s="65">
        <f t="shared" si="11"/>
        <v>327862.09</v>
      </c>
      <c r="BD24" s="101"/>
      <c r="BE24" s="65">
        <f t="shared" si="12"/>
        <v>327862.09</v>
      </c>
      <c r="BF24" s="176">
        <f t="shared" si="13"/>
        <v>1.7236848220388</v>
      </c>
      <c r="BQ24" s="177"/>
      <c r="BX24" s="215"/>
      <c r="CA24" s="213"/>
      <c r="CB24" s="196" t="s">
        <v>274</v>
      </c>
      <c r="CC24" s="110">
        <f>SUMPRODUCT(CC19:CC22,AF64:AF67)/SUM(AF64:AF67)</f>
        <v>0.823646844570143</v>
      </c>
      <c r="CD24" s="110">
        <f>SUMPRODUCT(CD19:CD22,AG64:AG67)/SUM(AG64:AG67)</f>
        <v>0.754835186966715</v>
      </c>
      <c r="CE24" s="110">
        <f>SUMPRODUCT(CE19:CE22,AH64:AH67)/SUM(AH64:AH67)</f>
        <v>0.700589919481261</v>
      </c>
      <c r="CF24" s="110">
        <f>SUMPRODUCT(CF19:CF22,AI64:AI67)/SUM(AI64:AI67)</f>
        <v>0.524494136176447</v>
      </c>
      <c r="CG24" s="219"/>
      <c r="CH24" s="225"/>
      <c r="CI24" s="227" t="s">
        <v>274</v>
      </c>
      <c r="CJ24" s="110">
        <f>SUMPRODUCT(CJ19:CJ22,AF64:AF67)/SUM(AF64:AF67)</f>
        <v>1955.42712938222</v>
      </c>
      <c r="CK24" s="110">
        <f>SUMPRODUCT(CK19:CK22,AG64:AG67)/SUM(AG64:AG67)</f>
        <v>4090.89855735702</v>
      </c>
      <c r="CL24" s="110">
        <f>SUMPRODUCT(CL19:CL22,AH64:AH67)/SUM(AH64:AH67)</f>
        <v>6023.73770209838</v>
      </c>
      <c r="CM24" s="110">
        <f>SUMPRODUCT(CM19:CM22,AI64:AI67)/SUM(AI64:AI67)</f>
        <v>8483.02712793933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1499.92307692308</v>
      </c>
      <c r="DA24" s="2">
        <f t="shared" si="14"/>
        <v>1583.92307692308</v>
      </c>
      <c r="DB24" s="2">
        <f t="shared" si="14"/>
        <v>1716.92307692308</v>
      </c>
      <c r="DC24" s="2">
        <f t="shared" si="14"/>
        <v>1766.92307692308</v>
      </c>
      <c r="DF24" s="2" t="s">
        <v>39</v>
      </c>
      <c r="DG24" s="2">
        <f t="shared" si="15"/>
        <v>3465</v>
      </c>
      <c r="DH24" s="2">
        <f t="shared" si="15"/>
        <v>3465</v>
      </c>
      <c r="DI24" s="2">
        <f t="shared" si="15"/>
        <v>3615</v>
      </c>
      <c r="DJ24" s="2">
        <f t="shared" si="15"/>
        <v>3715</v>
      </c>
      <c r="DM24" s="2">
        <f t="shared" si="16"/>
        <v>13.86</v>
      </c>
      <c r="DN24" s="2">
        <f t="shared" si="16"/>
        <v>13.86</v>
      </c>
      <c r="DO24" s="2">
        <f t="shared" si="16"/>
        <v>14.46</v>
      </c>
      <c r="DP24" s="2">
        <f t="shared" si="16"/>
        <v>14.86</v>
      </c>
      <c r="DQ24" s="2">
        <f>SUMPRODUCT(DM24:DP24,BS15:BV15)/SUM(BS15:BV15)</f>
        <v>14.356943231441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>
        <v>0</v>
      </c>
      <c r="F25" s="9">
        <v>111</v>
      </c>
      <c r="G25" s="9">
        <v>111</v>
      </c>
      <c r="H25" s="19">
        <v>0.0865</v>
      </c>
      <c r="I25" s="9">
        <v>0</v>
      </c>
      <c r="J25" s="9">
        <v>33</v>
      </c>
      <c r="K25" s="9">
        <v>1</v>
      </c>
      <c r="L25" s="10"/>
      <c r="M25" s="39">
        <f>AF65-AF105</f>
        <v>80</v>
      </c>
      <c r="N25" s="35"/>
      <c r="O25" s="35"/>
      <c r="P25" s="35"/>
      <c r="Q25" s="45"/>
      <c r="W25" s="3"/>
      <c r="AD25" s="116" t="s">
        <v>275</v>
      </c>
      <c r="AE25" s="117">
        <f>AC5/AC$4</f>
        <v>0.700073691967576</v>
      </c>
      <c r="AF25" s="117">
        <f>AC6/AC$4</f>
        <v>0.403095062638172</v>
      </c>
      <c r="AG25" s="117">
        <f>AC7/AC$4</f>
        <v>0.347826086956522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>
        <f>SUM(AB147:AE147)*比赛参数!$D$26+SUM(AL147:AO147)*比赛参数!$E$26+SUM(AB170:AE170)*比赛参数!$F$26+SUM(AL170:AO170)*比赛参数!$G$26</f>
        <v>109600</v>
      </c>
      <c r="AT25" s="55">
        <f t="shared" si="3"/>
        <v>84.3076923076923</v>
      </c>
      <c r="AU25" s="175">
        <f t="shared" si="4"/>
        <v>131859.12</v>
      </c>
      <c r="AV25" s="176">
        <f t="shared" si="5"/>
        <v>1.20309416058394</v>
      </c>
      <c r="AW25" s="175">
        <f t="shared" si="6"/>
        <v>2841940.88</v>
      </c>
      <c r="AX25" s="192">
        <f t="shared" si="7"/>
        <v>0.046397559121638</v>
      </c>
      <c r="AY25" s="65">
        <f t="shared" si="8"/>
        <v>2973800</v>
      </c>
      <c r="AZ25" s="193">
        <f t="shared" si="9"/>
        <v>2973800</v>
      </c>
      <c r="BA25" s="65">
        <f t="shared" si="10"/>
        <v>0</v>
      </c>
      <c r="BB25" s="65">
        <f>IF(BA25&lt;比赛参数!$K$34,0,IF(BA25&lt;比赛参数!$K$35,BA25/(1-比赛参数!$E$36),IF(BA25&lt;比赛参数!$K$36,BA25/(1-比赛参数!$E$34))))</f>
        <v>0</v>
      </c>
      <c r="BC25" s="65">
        <f t="shared" si="11"/>
        <v>131859.12</v>
      </c>
      <c r="BD25" s="101"/>
      <c r="BE25" s="65">
        <f t="shared" si="12"/>
        <v>131859.12</v>
      </c>
      <c r="BF25" s="176">
        <f t="shared" si="13"/>
        <v>1.20309416058394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2386.92307692308</v>
      </c>
      <c r="DA25" s="2">
        <f t="shared" si="14"/>
        <v>2498.92307692308</v>
      </c>
      <c r="DB25" s="2">
        <f t="shared" si="14"/>
        <v>2292.92307692308</v>
      </c>
      <c r="DC25" s="2">
        <f t="shared" si="14"/>
        <v>2442.92307692308</v>
      </c>
      <c r="DF25" s="2" t="s">
        <v>40</v>
      </c>
      <c r="DG25" s="2">
        <f t="shared" si="15"/>
        <v>5366</v>
      </c>
      <c r="DH25" s="2">
        <f t="shared" si="15"/>
        <v>5366</v>
      </c>
      <c r="DI25" s="2">
        <f t="shared" si="15"/>
        <v>5191</v>
      </c>
      <c r="DJ25" s="2">
        <f t="shared" si="15"/>
        <v>5391</v>
      </c>
      <c r="DM25" s="2">
        <f t="shared" si="16"/>
        <v>14.1210526315789</v>
      </c>
      <c r="DN25" s="2">
        <f t="shared" si="16"/>
        <v>14.1210526315789</v>
      </c>
      <c r="DO25" s="2">
        <f t="shared" si="16"/>
        <v>13.6605263157895</v>
      </c>
      <c r="DP25" s="2">
        <f t="shared" si="16"/>
        <v>14.1868421052632</v>
      </c>
      <c r="DQ25" s="2">
        <f>SUMPRODUCT(DM25:DP25,BS16:BV16)/SUM(BS16:BV16)</f>
        <v>14.0141447368421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>
        <v>0</v>
      </c>
      <c r="F26" s="9">
        <v>158</v>
      </c>
      <c r="G26" s="9">
        <v>158</v>
      </c>
      <c r="H26" s="19">
        <v>0.092</v>
      </c>
      <c r="I26" s="9">
        <v>0</v>
      </c>
      <c r="J26" s="9">
        <v>21</v>
      </c>
      <c r="K26" s="9">
        <v>1</v>
      </c>
      <c r="L26" s="10"/>
      <c r="M26" s="39">
        <f>AF66-AF106</f>
        <v>94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第十期!BV57-第十期!BV76</f>
        <v>4215461.24</v>
      </c>
      <c r="AJ26" s="65">
        <f>第十期!K9</f>
        <v>150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第十期!DB50</f>
        <v>1951.53701138812</v>
      </c>
      <c r="AQ26" s="177"/>
      <c r="AR26" s="11">
        <v>18</v>
      </c>
      <c r="AS26" s="65">
        <f>SUM(AB148:AE148)*比赛参数!$D$26+SUM(AL148:AO148)*比赛参数!$E$26+SUM(AB171:AE171)*比赛参数!$F$26+SUM(AL171:AO171)*比赛参数!$G$26</f>
        <v>145700</v>
      </c>
      <c r="AT26" s="55">
        <f t="shared" si="3"/>
        <v>112.076923076923</v>
      </c>
      <c r="AU26" s="178">
        <f t="shared" si="4"/>
        <v>50876.01</v>
      </c>
      <c r="AV26" s="176">
        <f t="shared" si="5"/>
        <v>0.349183321894303</v>
      </c>
      <c r="AW26" s="175">
        <f t="shared" si="6"/>
        <v>3816623.99</v>
      </c>
      <c r="AX26" s="192">
        <f t="shared" si="7"/>
        <v>0.0133301080046924</v>
      </c>
      <c r="AY26" s="65">
        <f t="shared" si="8"/>
        <v>3876900</v>
      </c>
      <c r="AZ26" s="193">
        <f t="shared" si="9"/>
        <v>3867500</v>
      </c>
      <c r="BA26" s="65">
        <f t="shared" si="10"/>
        <v>-9400</v>
      </c>
      <c r="BB26" s="65">
        <f>IF(BA26&lt;比赛参数!$K$34,0,IF(BA26&lt;比赛参数!$K$35,BA26/(1-比赛参数!$E$36),IF(BA26&lt;比赛参数!$K$36,BA26/(1-比赛参数!$E$34))))</f>
        <v>0</v>
      </c>
      <c r="BC26" s="65">
        <f t="shared" si="11"/>
        <v>60276.01</v>
      </c>
      <c r="BD26" s="101"/>
      <c r="BE26" s="65">
        <f t="shared" si="12"/>
        <v>60276.01</v>
      </c>
      <c r="BF26" s="176">
        <f t="shared" si="13"/>
        <v>0.413699450926561</v>
      </c>
      <c r="BQ26" s="177"/>
      <c r="BR26" s="201"/>
      <c r="BS26" s="198">
        <f>第十期!Y18</f>
        <v>86</v>
      </c>
      <c r="BT26" s="198">
        <f>第十期!AA18</f>
        <v>6</v>
      </c>
      <c r="BU26" s="198">
        <f>第十期!AF18</f>
        <v>56</v>
      </c>
      <c r="BV26" s="204">
        <f>第十期!AC18</f>
        <v>1003688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2474</v>
      </c>
      <c r="DA26" s="2">
        <f t="shared" si="14"/>
        <v>2612</v>
      </c>
      <c r="DB26" s="2">
        <f t="shared" si="14"/>
        <v>2568</v>
      </c>
      <c r="DC26" s="2">
        <f t="shared" si="14"/>
        <v>2668</v>
      </c>
      <c r="DF26" s="2" t="s">
        <v>41</v>
      </c>
      <c r="DG26" s="2">
        <f t="shared" si="15"/>
        <v>6543</v>
      </c>
      <c r="DH26" s="2">
        <f t="shared" si="15"/>
        <v>6543</v>
      </c>
      <c r="DI26" s="2">
        <f t="shared" si="15"/>
        <v>6543</v>
      </c>
      <c r="DJ26" s="2">
        <f t="shared" si="15"/>
        <v>6693</v>
      </c>
      <c r="DM26" s="2">
        <f t="shared" si="16"/>
        <v>12.5826923076923</v>
      </c>
      <c r="DN26" s="2">
        <f t="shared" si="16"/>
        <v>12.5826923076923</v>
      </c>
      <c r="DO26" s="2">
        <f t="shared" si="16"/>
        <v>12.5826923076923</v>
      </c>
      <c r="DP26" s="2">
        <f t="shared" si="16"/>
        <v>12.8711538461538</v>
      </c>
      <c r="DQ26" s="2">
        <f>SUMPRODUCT(DM26:DP26,BS17:BV17)/SUM(BS17:BV17)</f>
        <v>12.6766608391608</v>
      </c>
      <c r="DT26" s="127" t="s">
        <v>21</v>
      </c>
      <c r="DU26" s="251">
        <f>D42</f>
        <v>0</v>
      </c>
      <c r="DV26" s="270">
        <f>G42</f>
        <v>2</v>
      </c>
    </row>
    <row r="27" ht="17.1" spans="2:126">
      <c r="B27" s="7"/>
      <c r="C27" s="18">
        <v>1</v>
      </c>
      <c r="D27" s="18">
        <v>4</v>
      </c>
      <c r="E27" s="9">
        <v>0</v>
      </c>
      <c r="F27" s="9">
        <v>149</v>
      </c>
      <c r="G27" s="9">
        <v>141</v>
      </c>
      <c r="H27" s="19">
        <v>0.0774</v>
      </c>
      <c r="I27" s="9">
        <v>1</v>
      </c>
      <c r="J27" s="9">
        <v>0</v>
      </c>
      <c r="K27" s="9">
        <v>3</v>
      </c>
      <c r="L27" s="10"/>
      <c r="M27" s="39">
        <f>AF67-AF107</f>
        <v>85</v>
      </c>
      <c r="N27" s="35"/>
      <c r="O27" s="35"/>
      <c r="P27" s="35"/>
      <c r="Q27" s="45"/>
      <c r="U27" s="53"/>
      <c r="V27" s="54"/>
      <c r="W27" s="11">
        <v>1</v>
      </c>
      <c r="X27" s="55">
        <f t="shared" ref="X27:Z46" si="17">AT9</f>
        <v>91.0307692307692</v>
      </c>
      <c r="Y27" s="118">
        <f t="shared" si="17"/>
        <v>-101944.87</v>
      </c>
      <c r="Z27" s="119">
        <f t="shared" si="17"/>
        <v>-0.861457410850093</v>
      </c>
      <c r="AA27" s="120">
        <f t="shared" ref="AA27:AA46" si="18">SUM(AB131:AE131)</f>
        <v>135</v>
      </c>
      <c r="AB27" s="121">
        <f t="shared" ref="AB27:AB46" si="19">SUM(AL131:AO131)</f>
        <v>184</v>
      </c>
      <c r="AC27" s="121">
        <f t="shared" ref="AC27:AC46" si="20">SUM(AB154:AE154)</f>
        <v>122</v>
      </c>
      <c r="AD27" s="122">
        <f t="shared" ref="AD27:AD46" si="21">SUM(AL154:AO154)</f>
        <v>24</v>
      </c>
      <c r="AE27" s="123">
        <f t="shared" ref="AE27:AG46" si="22">AB27/$AA27</f>
        <v>1.36296296296296</v>
      </c>
      <c r="AF27" s="124">
        <f t="shared" si="22"/>
        <v>0.903703703703704</v>
      </c>
      <c r="AG27" s="158">
        <f t="shared" si="22"/>
        <v>0.177777777777778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第十期!DB51</f>
        <v>4076.51881052158</v>
      </c>
      <c r="AO27" s="179"/>
      <c r="AQ27" s="177"/>
      <c r="AR27" s="11">
        <v>19</v>
      </c>
      <c r="AS27" s="65">
        <f>SUM(AB149:AE149)*比赛参数!$D$26+SUM(AL149:AO149)*比赛参数!$E$26+SUM(AB172:AE172)*比赛参数!$F$26+SUM(AL172:AO172)*比赛参数!$G$26</f>
        <v>122780</v>
      </c>
      <c r="AT27" s="55">
        <f t="shared" si="3"/>
        <v>94.4461538461538</v>
      </c>
      <c r="AU27" s="175">
        <f t="shared" si="4"/>
        <v>-47340.69</v>
      </c>
      <c r="AV27" s="176">
        <f t="shared" si="5"/>
        <v>-0.385573301840691</v>
      </c>
      <c r="AW27" s="175">
        <f t="shared" si="6"/>
        <v>3191190.69</v>
      </c>
      <c r="AX27" s="192">
        <f t="shared" si="7"/>
        <v>-0.0148348044973771</v>
      </c>
      <c r="AY27" s="65">
        <f t="shared" si="8"/>
        <v>3145600</v>
      </c>
      <c r="AZ27" s="193">
        <f t="shared" si="9"/>
        <v>3143850</v>
      </c>
      <c r="BA27" s="65">
        <f t="shared" si="10"/>
        <v>-1750</v>
      </c>
      <c r="BB27" s="65">
        <f>IF(BA27&lt;比赛参数!$K$34,0,IF(BA27&lt;比赛参数!$K$35,BA27/(1-比赛参数!$E$36),IF(BA27&lt;比赛参数!$K$36,BA27/(1-比赛参数!$E$34))))</f>
        <v>0</v>
      </c>
      <c r="BC27" s="65">
        <f t="shared" si="11"/>
        <v>-45590.69</v>
      </c>
      <c r="BD27" s="101"/>
      <c r="BE27" s="65">
        <f t="shared" si="12"/>
        <v>-45590.69</v>
      </c>
      <c r="BF27" s="176">
        <f t="shared" si="13"/>
        <v>-0.371320166150839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123.22</v>
      </c>
      <c r="CD27" s="107">
        <f t="shared" si="23"/>
        <v>694.238095238095</v>
      </c>
      <c r="CE27" s="107">
        <f t="shared" si="23"/>
        <v>1257</v>
      </c>
      <c r="CF27" s="107">
        <f t="shared" si="23"/>
        <v>1414</v>
      </c>
      <c r="CG27" s="225"/>
      <c r="CH27" s="225"/>
      <c r="CI27" s="226" t="s">
        <v>55</v>
      </c>
      <c r="CJ27" s="110">
        <f t="shared" ref="CJ27:CM30" si="24">IF(AF64&gt;0,CJ19+CC27,0)</f>
        <v>2014.00701138812</v>
      </c>
      <c r="CK27" s="110">
        <f t="shared" si="24"/>
        <v>4712.75690575968</v>
      </c>
      <c r="CL27" s="110">
        <f t="shared" si="24"/>
        <v>7202.59064327485</v>
      </c>
      <c r="CM27" s="110">
        <f t="shared" si="24"/>
        <v>9782.12882285459</v>
      </c>
      <c r="CN27" s="48"/>
      <c r="CO27" s="239"/>
      <c r="DT27" s="271" t="s">
        <v>22</v>
      </c>
      <c r="DU27" s="251">
        <f>D43</f>
        <v>54</v>
      </c>
      <c r="DV27" s="270">
        <f>G43</f>
        <v>2</v>
      </c>
    </row>
    <row r="28" ht="17.1" spans="2:126">
      <c r="B28" s="7"/>
      <c r="C28" s="18">
        <v>2</v>
      </c>
      <c r="D28" s="18">
        <v>1</v>
      </c>
      <c r="E28" s="9">
        <v>6</v>
      </c>
      <c r="F28" s="9">
        <v>28</v>
      </c>
      <c r="G28" s="9">
        <v>34</v>
      </c>
      <c r="H28" s="19">
        <v>0.0371</v>
      </c>
      <c r="I28" s="9">
        <v>0</v>
      </c>
      <c r="J28" s="9">
        <v>10</v>
      </c>
      <c r="K28" s="9">
        <v>2</v>
      </c>
      <c r="L28" s="10"/>
      <c r="M28" s="39">
        <f>AG64-AG104</f>
        <v>50</v>
      </c>
      <c r="N28" s="35"/>
      <c r="O28" s="35"/>
      <c r="P28" s="35"/>
      <c r="Q28" s="45"/>
      <c r="U28" s="53"/>
      <c r="V28" s="54"/>
      <c r="W28" s="11">
        <v>2</v>
      </c>
      <c r="X28" s="55">
        <f t="shared" si="17"/>
        <v>109.423076923077</v>
      </c>
      <c r="Y28" s="118">
        <f t="shared" si="17"/>
        <v>64857.35</v>
      </c>
      <c r="Z28" s="119">
        <f t="shared" si="17"/>
        <v>0.455939191564148</v>
      </c>
      <c r="AA28" s="120">
        <f t="shared" si="18"/>
        <v>45</v>
      </c>
      <c r="AB28" s="121">
        <f t="shared" si="19"/>
        <v>239</v>
      </c>
      <c r="AC28" s="121">
        <f t="shared" si="20"/>
        <v>0</v>
      </c>
      <c r="AD28" s="122">
        <f t="shared" si="21"/>
        <v>150</v>
      </c>
      <c r="AE28" s="123">
        <f t="shared" si="22"/>
        <v>5.31111111111111</v>
      </c>
      <c r="AF28" s="124">
        <f t="shared" si="22"/>
        <v>0</v>
      </c>
      <c r="AG28" s="158">
        <f t="shared" si="22"/>
        <v>3.33333333333333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第十期!DB52</f>
        <v>6002.09064327485</v>
      </c>
      <c r="AQ28" s="177"/>
      <c r="AR28" s="11">
        <v>20</v>
      </c>
      <c r="AS28" s="65">
        <f>SUM(AB150:AE150)*比赛参数!$D$26+SUM(AL150:AO150)*比赛参数!$E$26+SUM(AB173:AE173)*比赛参数!$F$26+SUM(AL173:AO173)*比赛参数!$G$26</f>
        <v>0</v>
      </c>
      <c r="AT28" s="55">
        <f t="shared" si="3"/>
        <v>0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>
        <f t="shared" si="8"/>
        <v>0</v>
      </c>
      <c r="AZ28" s="193">
        <f t="shared" si="9"/>
        <v>0</v>
      </c>
      <c r="BA28" s="65">
        <f t="shared" si="10"/>
        <v>0</v>
      </c>
      <c r="BB28" s="65">
        <f>IF(BA28&lt;比赛参数!$K$34,0,IF(BA28&lt;比赛参数!$K$35,BA28/(1-比赛参数!$E$36),IF(BA28&lt;比赛参数!$K$36,BA28/(1-比赛参数!$E$34))))</f>
        <v>0</v>
      </c>
      <c r="BC28" s="65">
        <f t="shared" si="11"/>
        <v>0</v>
      </c>
      <c r="BD28" s="101"/>
      <c r="BE28" s="65">
        <f t="shared" si="12"/>
        <v>0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68.3061224489796</v>
      </c>
      <c r="CD28" s="107">
        <f t="shared" si="23"/>
        <v>545.636363636364</v>
      </c>
      <c r="CE28" s="107">
        <f t="shared" si="23"/>
        <v>1013.91666666667</v>
      </c>
      <c r="CF28" s="107">
        <f t="shared" si="23"/>
        <v>1176</v>
      </c>
      <c r="CG28" s="225"/>
      <c r="CH28" s="225"/>
      <c r="CI28" s="227" t="s">
        <v>56</v>
      </c>
      <c r="CJ28" s="110">
        <f t="shared" si="24"/>
        <v>1918.0931338371</v>
      </c>
      <c r="CK28" s="110">
        <f t="shared" si="24"/>
        <v>4480.15517415794</v>
      </c>
      <c r="CL28" s="110">
        <f t="shared" si="24"/>
        <v>6847.50730994152</v>
      </c>
      <c r="CM28" s="110">
        <f t="shared" si="24"/>
        <v>9406.12882285459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49</v>
      </c>
      <c r="DV28" s="270">
        <f>G44</f>
        <v>1</v>
      </c>
    </row>
    <row r="29" ht="16.35" spans="2:126">
      <c r="B29" s="7"/>
      <c r="C29" s="18">
        <v>2</v>
      </c>
      <c r="D29" s="18">
        <v>2</v>
      </c>
      <c r="E29" s="9">
        <v>7</v>
      </c>
      <c r="F29" s="9">
        <v>28</v>
      </c>
      <c r="G29" s="9">
        <v>35</v>
      </c>
      <c r="H29" s="19">
        <v>0.0381</v>
      </c>
      <c r="I29" s="9">
        <v>0</v>
      </c>
      <c r="J29" s="9">
        <v>9</v>
      </c>
      <c r="K29" s="9">
        <v>2</v>
      </c>
      <c r="L29" s="10"/>
      <c r="M29" s="39">
        <f>AG65-AG105</f>
        <v>51</v>
      </c>
      <c r="N29" s="35"/>
      <c r="O29" s="35"/>
      <c r="P29" s="35"/>
      <c r="Q29" s="45"/>
      <c r="U29" s="53"/>
      <c r="V29" s="56"/>
      <c r="W29" s="11">
        <v>3</v>
      </c>
      <c r="X29" s="55">
        <f t="shared" si="17"/>
        <v>143.253846153846</v>
      </c>
      <c r="Y29" s="118">
        <f t="shared" si="17"/>
        <v>7855.44</v>
      </c>
      <c r="Z29" s="119">
        <f t="shared" si="17"/>
        <v>0.0421813886054878</v>
      </c>
      <c r="AA29" s="120">
        <f t="shared" si="18"/>
        <v>371</v>
      </c>
      <c r="AB29" s="121">
        <f t="shared" si="19"/>
        <v>237</v>
      </c>
      <c r="AC29" s="121">
        <f t="shared" si="20"/>
        <v>86</v>
      </c>
      <c r="AD29" s="122">
        <f t="shared" si="21"/>
        <v>110</v>
      </c>
      <c r="AE29" s="123">
        <f t="shared" si="22"/>
        <v>0.638814016172507</v>
      </c>
      <c r="AF29" s="124">
        <f t="shared" si="22"/>
        <v>0.231805929919137</v>
      </c>
      <c r="AG29" s="158">
        <f t="shared" si="22"/>
        <v>0.296495956873315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第十期!DB53</f>
        <v>8449.12882285459</v>
      </c>
      <c r="BQ29" s="177"/>
      <c r="BR29" s="201"/>
      <c r="BS29" s="204">
        <f>第十期!AH14</f>
        <v>0</v>
      </c>
      <c r="BT29" s="204">
        <f>第十期!AH15</f>
        <v>3583785</v>
      </c>
      <c r="BU29" s="198">
        <f>第十期!AF20</f>
        <v>0</v>
      </c>
      <c r="BV29" s="204">
        <f>第十期!AJ18</f>
        <v>100000</v>
      </c>
      <c r="BW29" s="218">
        <f>第十期!AH18</f>
        <v>1</v>
      </c>
      <c r="BX29" s="215"/>
      <c r="CA29" s="213"/>
      <c r="CB29" s="196" t="s">
        <v>57</v>
      </c>
      <c r="CC29" s="107">
        <f t="shared" si="23"/>
        <v>253.246753246753</v>
      </c>
      <c r="CD29" s="107">
        <f t="shared" si="23"/>
        <v>764.383561643836</v>
      </c>
      <c r="CE29" s="107">
        <f t="shared" si="23"/>
        <v>1316.12903225806</v>
      </c>
      <c r="CF29" s="107">
        <f t="shared" si="23"/>
        <v>1461.53846153846</v>
      </c>
      <c r="CG29" s="225"/>
      <c r="CH29" s="225"/>
      <c r="CI29" s="227" t="s">
        <v>57</v>
      </c>
      <c r="CJ29" s="110">
        <f t="shared" si="24"/>
        <v>2261.03376463487</v>
      </c>
      <c r="CK29" s="110">
        <f t="shared" si="24"/>
        <v>4915.90237216542</v>
      </c>
      <c r="CL29" s="110">
        <f t="shared" si="24"/>
        <v>7405.71967553292</v>
      </c>
      <c r="CM29" s="110">
        <f t="shared" si="24"/>
        <v>10035.667284393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7.0976923076923</v>
      </c>
      <c r="DA29" s="2">
        <f t="shared" si="25"/>
        <v>7.5076923076923</v>
      </c>
      <c r="DB29" s="2">
        <f t="shared" si="25"/>
        <v>9.7276923076923</v>
      </c>
      <c r="DC29" s="2">
        <f t="shared" si="25"/>
        <v>9.9276923076923</v>
      </c>
      <c r="DD29" s="2">
        <f>SUMPRODUCT(CZ29:DC29,BS14:BV14)/SUM(BS14:BV14)</f>
        <v>8.89205320994794</v>
      </c>
      <c r="DF29" s="2" t="s">
        <v>38</v>
      </c>
      <c r="DG29" s="2">
        <f t="shared" ref="DG29:DJ32" si="26">DG23/CS23</f>
        <v>14.995</v>
      </c>
      <c r="DH29" s="2">
        <f t="shared" si="26"/>
        <v>14.995</v>
      </c>
      <c r="DI29" s="2">
        <f t="shared" si="26"/>
        <v>17.17</v>
      </c>
      <c r="DJ29" s="2">
        <f t="shared" si="26"/>
        <v>17.87</v>
      </c>
      <c r="DK29" s="2">
        <f>SUMPRODUCT(DG29:DJ29,BS14:BV14)/SUM(BS14:BV14)</f>
        <v>16.5973496240602</v>
      </c>
      <c r="DM29" s="2">
        <f t="shared" ref="DM29:DP32" si="27">DG23/CS29</f>
        <v>12.4958333333333</v>
      </c>
      <c r="DN29" s="2">
        <f t="shared" si="27"/>
        <v>12.4958333333333</v>
      </c>
      <c r="DO29" s="2">
        <f t="shared" si="27"/>
        <v>14.3083333333333</v>
      </c>
      <c r="DP29" s="2">
        <f t="shared" si="27"/>
        <v>14.8916666666667</v>
      </c>
      <c r="DQ29" s="2">
        <f>SUMPRODUCT(DM29:DP29,BS14:BV14)/SUM(BS14:BV14)</f>
        <v>13.8311246867168</v>
      </c>
      <c r="DT29" s="127" t="s">
        <v>24</v>
      </c>
      <c r="DU29" s="251">
        <f>D45</f>
        <v>33</v>
      </c>
      <c r="DV29" s="270">
        <f>G45</f>
        <v>1</v>
      </c>
    </row>
    <row r="30" ht="16.35" spans="2:121">
      <c r="B30" s="7"/>
      <c r="C30" s="18">
        <v>2</v>
      </c>
      <c r="D30" s="18">
        <v>3</v>
      </c>
      <c r="E30" s="9">
        <v>9</v>
      </c>
      <c r="F30" s="9">
        <v>57</v>
      </c>
      <c r="G30" s="9">
        <v>66</v>
      </c>
      <c r="H30" s="19">
        <v>0.0559</v>
      </c>
      <c r="I30" s="9">
        <v>0</v>
      </c>
      <c r="J30" s="9">
        <v>0</v>
      </c>
      <c r="K30" s="9">
        <v>3</v>
      </c>
      <c r="L30" s="10"/>
      <c r="M30" s="39">
        <f>AG66-AG106</f>
        <v>69</v>
      </c>
      <c r="N30" s="35"/>
      <c r="O30" s="35"/>
      <c r="P30" s="35"/>
      <c r="Q30" s="45"/>
      <c r="U30" s="53"/>
      <c r="V30" s="54"/>
      <c r="W30" s="11">
        <v>4</v>
      </c>
      <c r="X30" s="55">
        <f t="shared" si="17"/>
        <v>100.115384615385</v>
      </c>
      <c r="Y30" s="118">
        <f t="shared" si="17"/>
        <v>-165317.96</v>
      </c>
      <c r="Z30" s="119">
        <f t="shared" si="17"/>
        <v>-1.27021098732232</v>
      </c>
      <c r="AA30" s="120">
        <f t="shared" si="18"/>
        <v>16</v>
      </c>
      <c r="AB30" s="121">
        <f t="shared" si="19"/>
        <v>193</v>
      </c>
      <c r="AC30" s="121">
        <f t="shared" si="20"/>
        <v>69</v>
      </c>
      <c r="AD30" s="122">
        <f t="shared" si="21"/>
        <v>104</v>
      </c>
      <c r="AE30" s="123">
        <f t="shared" si="22"/>
        <v>12.0625</v>
      </c>
      <c r="AF30" s="124">
        <f t="shared" si="22"/>
        <v>4.3125</v>
      </c>
      <c r="AG30" s="158">
        <f t="shared" si="22"/>
        <v>6.5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305.555555555556</v>
      </c>
      <c r="CD30" s="107">
        <f t="shared" si="23"/>
        <v>835.714285714286</v>
      </c>
      <c r="CE30" s="107">
        <f t="shared" si="23"/>
        <v>1335.71428571429</v>
      </c>
      <c r="CF30" s="107">
        <f t="shared" si="23"/>
        <v>1503.48837209302</v>
      </c>
      <c r="CG30" s="225"/>
      <c r="CH30" s="225"/>
      <c r="CI30" s="227" t="s">
        <v>58</v>
      </c>
      <c r="CJ30" s="110">
        <f t="shared" si="24"/>
        <v>2363.34256694368</v>
      </c>
      <c r="CK30" s="110">
        <f t="shared" si="24"/>
        <v>5037.23309623587</v>
      </c>
      <c r="CL30" s="110">
        <f t="shared" si="24"/>
        <v>7475.30492898914</v>
      </c>
      <c r="CM30" s="110">
        <f t="shared" si="24"/>
        <v>10127.6171949476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5.99969230769231</v>
      </c>
      <c r="DA30" s="2">
        <f t="shared" si="25"/>
        <v>6.33569230769231</v>
      </c>
      <c r="DB30" s="2">
        <f t="shared" si="25"/>
        <v>6.86769230769231</v>
      </c>
      <c r="DC30" s="2">
        <f t="shared" si="25"/>
        <v>7.06769230769231</v>
      </c>
      <c r="DD30" s="2">
        <f>SUMPRODUCT(CZ30:DC30,BS15:BV15)/SUM(BS15:BV15)</f>
        <v>6.66741283170978</v>
      </c>
      <c r="DF30" s="2" t="s">
        <v>39</v>
      </c>
      <c r="DG30" s="2">
        <f t="shared" si="26"/>
        <v>13.86</v>
      </c>
      <c r="DH30" s="2">
        <f t="shared" si="26"/>
        <v>13.86</v>
      </c>
      <c r="DI30" s="2">
        <f t="shared" si="26"/>
        <v>14.46</v>
      </c>
      <c r="DJ30" s="2">
        <f t="shared" si="26"/>
        <v>14.86</v>
      </c>
      <c r="DK30" s="2">
        <f>SUMPRODUCT(DG30:DJ30,BS15:BV15)/SUM(BS15:BV15)</f>
        <v>14.356943231441</v>
      </c>
      <c r="DM30" s="2">
        <f t="shared" si="27"/>
        <v>23.1</v>
      </c>
      <c r="DN30" s="2">
        <f t="shared" si="27"/>
        <v>23.1</v>
      </c>
      <c r="DO30" s="2">
        <f t="shared" si="27"/>
        <v>24.1</v>
      </c>
      <c r="DP30" s="2">
        <f t="shared" si="27"/>
        <v>24.7666666666667</v>
      </c>
      <c r="DQ30" s="2">
        <f>SUMPRODUCT(DM30:DP30,BS15:BV15)/SUM(BS15:BV15)</f>
        <v>23.9282387190684</v>
      </c>
    </row>
    <row r="31" ht="16.35" spans="2:138">
      <c r="B31" s="7"/>
      <c r="C31" s="18">
        <v>2</v>
      </c>
      <c r="D31" s="18">
        <v>4</v>
      </c>
      <c r="E31" s="9">
        <v>13</v>
      </c>
      <c r="F31" s="9">
        <v>54</v>
      </c>
      <c r="G31" s="9">
        <v>67</v>
      </c>
      <c r="H31" s="19">
        <v>0.0577</v>
      </c>
      <c r="I31" s="9">
        <v>0</v>
      </c>
      <c r="J31" s="9">
        <v>0</v>
      </c>
      <c r="K31" s="9">
        <v>3</v>
      </c>
      <c r="L31" s="10"/>
      <c r="M31" s="39">
        <f>AG67-AG107</f>
        <v>67</v>
      </c>
      <c r="N31" s="35"/>
      <c r="O31" s="35"/>
      <c r="P31" s="35"/>
      <c r="Q31" s="45"/>
      <c r="U31" s="53"/>
      <c r="V31" s="54"/>
      <c r="W31" s="11">
        <v>5</v>
      </c>
      <c r="X31" s="55">
        <f t="shared" si="17"/>
        <v>143.092307692308</v>
      </c>
      <c r="Y31" s="118">
        <f t="shared" si="17"/>
        <v>403750.58</v>
      </c>
      <c r="Z31" s="119">
        <f t="shared" si="17"/>
        <v>2.17046865928395</v>
      </c>
      <c r="AA31" s="120">
        <f t="shared" si="18"/>
        <v>493</v>
      </c>
      <c r="AB31" s="121">
        <f t="shared" si="19"/>
        <v>178</v>
      </c>
      <c r="AC31" s="121">
        <f t="shared" si="20"/>
        <v>99</v>
      </c>
      <c r="AD31" s="122">
        <f t="shared" si="21"/>
        <v>105</v>
      </c>
      <c r="AE31" s="123">
        <f t="shared" si="22"/>
        <v>0.36105476673428</v>
      </c>
      <c r="AF31" s="124">
        <f t="shared" si="22"/>
        <v>0.200811359026369</v>
      </c>
      <c r="AG31" s="158">
        <f t="shared" si="22"/>
        <v>0.212981744421907</v>
      </c>
      <c r="AL31" s="156">
        <f>Y20/AA20/2</f>
        <v>0.651666666666667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6.28137651821862</v>
      </c>
      <c r="DA31" s="2">
        <f t="shared" si="25"/>
        <v>6.57611336032389</v>
      </c>
      <c r="DB31" s="2">
        <f t="shared" si="25"/>
        <v>6.03400809716599</v>
      </c>
      <c r="DC31" s="2">
        <f t="shared" si="25"/>
        <v>6.42874493927126</v>
      </c>
      <c r="DD31" s="2">
        <f>SUMPRODUCT(CZ31:DC31,BS16:BV16)/SUM(BS16:BV16)</f>
        <v>6.32211899942163</v>
      </c>
      <c r="DF31" s="2" t="s">
        <v>40</v>
      </c>
      <c r="DG31" s="2">
        <f t="shared" si="26"/>
        <v>14.1210526315789</v>
      </c>
      <c r="DH31" s="2">
        <f t="shared" si="26"/>
        <v>14.1210526315789</v>
      </c>
      <c r="DI31" s="2">
        <f t="shared" si="26"/>
        <v>13.6605263157895</v>
      </c>
      <c r="DJ31" s="2">
        <f t="shared" si="26"/>
        <v>14.1868421052632</v>
      </c>
      <c r="DK31" s="2">
        <f>SUMPRODUCT(DG31:DJ31,BS16:BV16)/SUM(BS16:BV16)</f>
        <v>14.0141447368421</v>
      </c>
      <c r="DM31" s="2">
        <f t="shared" si="27"/>
        <v>33.5375</v>
      </c>
      <c r="DN31" s="2">
        <f t="shared" si="27"/>
        <v>33.5375</v>
      </c>
      <c r="DO31" s="2">
        <f t="shared" si="27"/>
        <v>32.44375</v>
      </c>
      <c r="DP31" s="2">
        <f t="shared" si="27"/>
        <v>33.69375</v>
      </c>
      <c r="DQ31" s="2">
        <f>SUMPRODUCT(DM31:DP31,BS16:BV16)/SUM(BS16:BV16)</f>
        <v>33.28359375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>
        <v>0</v>
      </c>
      <c r="F32" s="9">
        <v>22</v>
      </c>
      <c r="G32" s="9">
        <v>22</v>
      </c>
      <c r="H32" s="19">
        <v>0.0655</v>
      </c>
      <c r="I32" s="9">
        <v>0</v>
      </c>
      <c r="J32" s="9">
        <v>6</v>
      </c>
      <c r="K32" s="9">
        <v>1</v>
      </c>
      <c r="L32" s="10"/>
      <c r="M32" s="39">
        <f>AH64-AH104</f>
        <v>27</v>
      </c>
      <c r="N32" s="35"/>
      <c r="O32" s="35"/>
      <c r="P32" s="35"/>
      <c r="Q32" s="45"/>
      <c r="U32" s="53"/>
      <c r="V32" s="54"/>
      <c r="W32" s="11">
        <v>6</v>
      </c>
      <c r="X32" s="55">
        <f t="shared" si="17"/>
        <v>41.3615384615385</v>
      </c>
      <c r="Y32" s="118">
        <f t="shared" si="17"/>
        <v>-1286553.33</v>
      </c>
      <c r="Z32" s="119">
        <f t="shared" si="17"/>
        <v>-23.9269728473126</v>
      </c>
      <c r="AA32" s="120">
        <f t="shared" si="18"/>
        <v>100</v>
      </c>
      <c r="AB32" s="121">
        <f t="shared" si="19"/>
        <v>117</v>
      </c>
      <c r="AC32" s="121">
        <f t="shared" si="20"/>
        <v>4</v>
      </c>
      <c r="AD32" s="122">
        <f t="shared" si="21"/>
        <v>25</v>
      </c>
      <c r="AE32" s="123">
        <f t="shared" si="22"/>
        <v>1.17</v>
      </c>
      <c r="AF32" s="124">
        <f t="shared" si="22"/>
        <v>0.04</v>
      </c>
      <c r="AG32" s="158">
        <f t="shared" si="22"/>
        <v>0.25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4.75769230769231</v>
      </c>
      <c r="DA32" s="2">
        <f t="shared" si="25"/>
        <v>5.02307692307692</v>
      </c>
      <c r="DB32" s="2">
        <f t="shared" si="25"/>
        <v>4.93846153846154</v>
      </c>
      <c r="DC32" s="2">
        <f t="shared" si="25"/>
        <v>5.13076923076923</v>
      </c>
      <c r="DD32" s="2">
        <f>SUMPRODUCT(CZ32:DC32,BS17:BV17)/SUM(BS17:BV17)</f>
        <v>4.98289627039627</v>
      </c>
      <c r="DF32" s="2" t="s">
        <v>41</v>
      </c>
      <c r="DG32" s="2">
        <f t="shared" si="26"/>
        <v>12.5826923076923</v>
      </c>
      <c r="DH32" s="2">
        <f t="shared" si="26"/>
        <v>12.5826923076923</v>
      </c>
      <c r="DI32" s="2">
        <f t="shared" si="26"/>
        <v>12.5826923076923</v>
      </c>
      <c r="DJ32" s="2">
        <f t="shared" si="26"/>
        <v>12.8711538461538</v>
      </c>
      <c r="DK32" s="2">
        <f>SUMPRODUCT(DG32:DJ32,BS17:BV17)/SUM(BS17:BV17)</f>
        <v>12.6766608391608</v>
      </c>
      <c r="DM32" s="2">
        <f t="shared" si="27"/>
        <v>36.35</v>
      </c>
      <c r="DN32" s="2">
        <f t="shared" si="27"/>
        <v>36.35</v>
      </c>
      <c r="DO32" s="2">
        <f t="shared" si="27"/>
        <v>36.35</v>
      </c>
      <c r="DP32" s="2">
        <f t="shared" si="27"/>
        <v>37.1833333333333</v>
      </c>
      <c r="DQ32" s="2">
        <f>SUMPRODUCT(DM32:DP32,BS17:BV17)/SUM(BS17:BV17)</f>
        <v>36.6214646464646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>
        <v>0</v>
      </c>
      <c r="F33" s="9">
        <v>23</v>
      </c>
      <c r="G33" s="9">
        <v>23</v>
      </c>
      <c r="H33" s="19">
        <v>0.071</v>
      </c>
      <c r="I33" s="9">
        <v>0</v>
      </c>
      <c r="J33" s="9">
        <v>5</v>
      </c>
      <c r="K33" s="9">
        <v>1</v>
      </c>
      <c r="L33" s="10"/>
      <c r="M33" s="39">
        <f>AH65-AH105</f>
        <v>28</v>
      </c>
      <c r="N33" s="35"/>
      <c r="O33" s="35"/>
      <c r="P33" s="35"/>
      <c r="Q33" s="45"/>
      <c r="U33" s="53"/>
      <c r="V33" s="54"/>
      <c r="W33" s="11">
        <v>7</v>
      </c>
      <c r="X33" s="55">
        <f t="shared" si="17"/>
        <v>127.053846153846</v>
      </c>
      <c r="Y33" s="118">
        <f t="shared" si="17"/>
        <v>-70962.65</v>
      </c>
      <c r="Z33" s="119">
        <f t="shared" si="17"/>
        <v>-0.429634013440697</v>
      </c>
      <c r="AA33" s="120">
        <f t="shared" si="18"/>
        <v>126</v>
      </c>
      <c r="AB33" s="121">
        <f t="shared" si="19"/>
        <v>311</v>
      </c>
      <c r="AC33" s="121">
        <f t="shared" si="20"/>
        <v>97</v>
      </c>
      <c r="AD33" s="122">
        <f t="shared" si="21"/>
        <v>73</v>
      </c>
      <c r="AE33" s="123">
        <f t="shared" si="22"/>
        <v>2.46825396825397</v>
      </c>
      <c r="AF33" s="124">
        <f t="shared" si="22"/>
        <v>0.76984126984127</v>
      </c>
      <c r="AG33" s="158">
        <f t="shared" si="22"/>
        <v>0.579365079365079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>
        <f t="shared" ref="AS33:BH48" si="28">IF(D73="","",D73)</f>
        <v>0.022</v>
      </c>
      <c r="AT33" s="187">
        <f t="shared" si="28"/>
        <v>0.021</v>
      </c>
      <c r="AU33" s="187">
        <f t="shared" si="28"/>
        <v>0.0215</v>
      </c>
      <c r="AV33" s="188">
        <f t="shared" si="28"/>
        <v>0.0242</v>
      </c>
      <c r="AW33" s="186">
        <f t="shared" si="28"/>
        <v>0.0382</v>
      </c>
      <c r="AX33" s="187">
        <f t="shared" si="28"/>
        <v>0.0403</v>
      </c>
      <c r="AY33" s="187">
        <f t="shared" si="28"/>
        <v>0.0424</v>
      </c>
      <c r="AZ33" s="188">
        <f t="shared" si="28"/>
        <v>0.0534</v>
      </c>
      <c r="BA33" s="186">
        <f t="shared" si="28"/>
        <v>0.0804</v>
      </c>
      <c r="BB33" s="187">
        <f t="shared" si="28"/>
        <v>0.0895</v>
      </c>
      <c r="BC33" s="187">
        <f t="shared" si="28"/>
        <v>0.0769</v>
      </c>
      <c r="BD33" s="188">
        <f t="shared" si="28"/>
        <v>0.1023</v>
      </c>
      <c r="BE33" s="186">
        <f t="shared" si="28"/>
        <v>0</v>
      </c>
      <c r="BF33" s="187">
        <f t="shared" si="28"/>
        <v>0.0157</v>
      </c>
      <c r="BG33" s="187">
        <f t="shared" si="28"/>
        <v>0.0247</v>
      </c>
      <c r="BH33" s="188">
        <f t="shared" si="28"/>
        <v>0.0298</v>
      </c>
      <c r="BX33" s="215"/>
      <c r="CA33" s="213"/>
      <c r="CB33" s="196" t="s">
        <v>304</v>
      </c>
      <c r="CC33" s="230">
        <f t="shared" ref="CC33:CF35" si="29">CC70</f>
        <v>1612.77346058828</v>
      </c>
      <c r="CD33" s="230">
        <f t="shared" si="29"/>
        <v>3088.21536669361</v>
      </c>
      <c r="CE33" s="230">
        <f t="shared" si="29"/>
        <v>4217.80641554868</v>
      </c>
      <c r="CF33" s="230">
        <f t="shared" si="29"/>
        <v>4448.32880426406</v>
      </c>
      <c r="CG33" s="225"/>
      <c r="CH33" s="225"/>
      <c r="CI33" s="197" t="s">
        <v>55</v>
      </c>
      <c r="CJ33" s="231">
        <f t="shared" ref="CJ33:CM36" si="30">IF(CJ27&gt;0,(AF76-CJ27)/CJ27,0)</f>
        <v>0.663350713804651</v>
      </c>
      <c r="CK33" s="231">
        <f t="shared" si="30"/>
        <v>0.474720665414778</v>
      </c>
      <c r="CL33" s="231">
        <f t="shared" si="30"/>
        <v>0.409215170305031</v>
      </c>
      <c r="CM33" s="231">
        <f t="shared" si="30"/>
        <v>0.298285907902604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3150</v>
      </c>
      <c r="DT33" s="37">
        <f t="shared" si="31"/>
        <v>3150</v>
      </c>
      <c r="DU33" s="37">
        <f t="shared" si="31"/>
        <v>3380</v>
      </c>
      <c r="DV33" s="37">
        <f t="shared" si="31"/>
        <v>3450</v>
      </c>
      <c r="DW33" s="37">
        <f t="shared" si="31"/>
        <v>7000</v>
      </c>
      <c r="DX33" s="37">
        <f t="shared" si="31"/>
        <v>7000</v>
      </c>
      <c r="DY33" s="37">
        <f t="shared" si="31"/>
        <v>7300</v>
      </c>
      <c r="DZ33" s="37">
        <f t="shared" si="31"/>
        <v>7400</v>
      </c>
      <c r="EA33" s="37">
        <f t="shared" si="31"/>
        <v>9550</v>
      </c>
      <c r="EB33" s="37">
        <f t="shared" si="31"/>
        <v>9550</v>
      </c>
      <c r="EC33" s="37">
        <f t="shared" si="31"/>
        <v>9650</v>
      </c>
      <c r="ED33" s="37">
        <f t="shared" si="31"/>
        <v>9850</v>
      </c>
      <c r="EE33" s="37">
        <f t="shared" si="31"/>
        <v>11850</v>
      </c>
      <c r="EF33" s="37">
        <f t="shared" si="31"/>
        <v>11850</v>
      </c>
      <c r="EG33" s="37">
        <f t="shared" si="31"/>
        <v>12000</v>
      </c>
      <c r="EH33" s="37">
        <f t="shared" si="31"/>
        <v>12150</v>
      </c>
    </row>
    <row r="34" ht="16.35" spans="2:110">
      <c r="B34" s="7"/>
      <c r="C34" s="18">
        <v>3</v>
      </c>
      <c r="D34" s="18">
        <v>3</v>
      </c>
      <c r="E34" s="9">
        <v>0</v>
      </c>
      <c r="F34" s="9">
        <v>30</v>
      </c>
      <c r="G34" s="9">
        <v>30</v>
      </c>
      <c r="H34" s="19">
        <v>0.0888</v>
      </c>
      <c r="I34" s="9">
        <v>0</v>
      </c>
      <c r="J34" s="9">
        <v>10</v>
      </c>
      <c r="K34" s="9">
        <v>2</v>
      </c>
      <c r="L34" s="10"/>
      <c r="M34" s="39">
        <f>AH66-AH106</f>
        <v>39</v>
      </c>
      <c r="N34" s="35"/>
      <c r="O34" s="35"/>
      <c r="P34" s="35"/>
      <c r="Q34" s="45"/>
      <c r="U34" s="53"/>
      <c r="V34" s="54"/>
      <c r="W34" s="11">
        <v>8</v>
      </c>
      <c r="X34" s="55">
        <f t="shared" si="17"/>
        <v>137.107692307692</v>
      </c>
      <c r="Y34" s="118">
        <f t="shared" si="17"/>
        <v>205758.54</v>
      </c>
      <c r="Z34" s="119">
        <f t="shared" si="17"/>
        <v>1.15439037253142</v>
      </c>
      <c r="AA34" s="120">
        <f t="shared" si="18"/>
        <v>346</v>
      </c>
      <c r="AB34" s="121">
        <f t="shared" si="19"/>
        <v>186</v>
      </c>
      <c r="AC34" s="121">
        <f t="shared" si="20"/>
        <v>127</v>
      </c>
      <c r="AD34" s="122">
        <f t="shared" si="21"/>
        <v>94</v>
      </c>
      <c r="AE34" s="123">
        <f t="shared" si="22"/>
        <v>0.53757225433526</v>
      </c>
      <c r="AF34" s="124">
        <f t="shared" si="22"/>
        <v>0.367052023121387</v>
      </c>
      <c r="AG34" s="158">
        <f t="shared" si="22"/>
        <v>0.271676300578035</v>
      </c>
      <c r="AI34" s="64" t="s">
        <v>38</v>
      </c>
      <c r="AJ34" s="163">
        <v>130000</v>
      </c>
      <c r="AK34" s="164">
        <f>IF(AM34=1,CK70-CJ70,IF(AM34=2,CL70-CK70,IF(AM34=3,CM70-CL70,IF(AM34=4,CN70-CM70,0))))</f>
        <v>130000</v>
      </c>
      <c r="AL34" s="162"/>
      <c r="AM34" s="65">
        <f>INT(第十期!DV26)</f>
        <v>2</v>
      </c>
      <c r="AN34" s="126"/>
      <c r="AR34" s="185">
        <v>2</v>
      </c>
      <c r="AS34" s="186">
        <f t="shared" si="28"/>
        <v>0.0082</v>
      </c>
      <c r="AT34" s="187">
        <f t="shared" si="28"/>
        <v>0.0078</v>
      </c>
      <c r="AU34" s="187">
        <f t="shared" si="28"/>
        <v>0.0076</v>
      </c>
      <c r="AV34" s="188">
        <f t="shared" si="28"/>
        <v>0.0066</v>
      </c>
      <c r="AW34" s="186">
        <f t="shared" si="28"/>
        <v>0.0523</v>
      </c>
      <c r="AX34" s="187">
        <f t="shared" si="28"/>
        <v>0.0523</v>
      </c>
      <c r="AY34" s="187">
        <f t="shared" si="28"/>
        <v>0.061</v>
      </c>
      <c r="AZ34" s="188">
        <f t="shared" si="28"/>
        <v>0.0612</v>
      </c>
      <c r="BA34" s="186">
        <f t="shared" si="28"/>
        <v>0</v>
      </c>
      <c r="BB34" s="187">
        <f t="shared" si="28"/>
        <v>0</v>
      </c>
      <c r="BC34" s="187">
        <f t="shared" si="28"/>
        <v>0</v>
      </c>
      <c r="BD34" s="188">
        <f t="shared" si="28"/>
        <v>0</v>
      </c>
      <c r="BE34" s="186">
        <f t="shared" si="28"/>
        <v>0.099</v>
      </c>
      <c r="BF34" s="187">
        <f t="shared" si="28"/>
        <v>0.1352</v>
      </c>
      <c r="BG34" s="187">
        <f t="shared" si="28"/>
        <v>0.1621</v>
      </c>
      <c r="BH34" s="188">
        <f t="shared" si="28"/>
        <v>0.0565</v>
      </c>
      <c r="BX34" s="215"/>
      <c r="CA34" s="213"/>
      <c r="CB34" s="196" t="s">
        <v>305</v>
      </c>
      <c r="CC34" s="230">
        <f t="shared" si="29"/>
        <v>16.1277346058828</v>
      </c>
      <c r="CD34" s="230">
        <f t="shared" si="29"/>
        <v>12.3528614667744</v>
      </c>
      <c r="CE34" s="230">
        <f t="shared" si="29"/>
        <v>11.0994905672334</v>
      </c>
      <c r="CF34" s="230">
        <f t="shared" si="29"/>
        <v>8.55447846973858</v>
      </c>
      <c r="CG34" s="232"/>
      <c r="CH34" s="225"/>
      <c r="CI34" s="196" t="s">
        <v>56</v>
      </c>
      <c r="CJ34" s="231">
        <f t="shared" si="30"/>
        <v>0.746526245729479</v>
      </c>
      <c r="CK34" s="231">
        <f t="shared" si="30"/>
        <v>0.551285553698766</v>
      </c>
      <c r="CL34" s="231">
        <f t="shared" si="30"/>
        <v>0.4822912251972</v>
      </c>
      <c r="CM34" s="231">
        <f t="shared" si="30"/>
        <v>0.350183506858009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>
        <v>0</v>
      </c>
      <c r="F35" s="9">
        <v>33</v>
      </c>
      <c r="G35" s="9">
        <v>33</v>
      </c>
      <c r="H35" s="19">
        <v>0.0844</v>
      </c>
      <c r="I35" s="9">
        <v>0</v>
      </c>
      <c r="J35" s="9">
        <v>9</v>
      </c>
      <c r="K35" s="9">
        <v>2</v>
      </c>
      <c r="L35" s="10"/>
      <c r="M35" s="39">
        <f>AH67-AH107</f>
        <v>42</v>
      </c>
      <c r="N35" s="35"/>
      <c r="O35" s="35"/>
      <c r="P35" s="35"/>
      <c r="Q35" s="57"/>
      <c r="U35" s="53"/>
      <c r="V35" s="54"/>
      <c r="W35" s="11">
        <v>9</v>
      </c>
      <c r="X35" s="55">
        <f t="shared" si="17"/>
        <v>156.376923076923</v>
      </c>
      <c r="Y35" s="118">
        <f t="shared" si="17"/>
        <v>294147.18</v>
      </c>
      <c r="Z35" s="119">
        <f t="shared" si="17"/>
        <v>1.44693383835899</v>
      </c>
      <c r="AA35" s="120">
        <f t="shared" si="18"/>
        <v>628</v>
      </c>
      <c r="AB35" s="121">
        <f t="shared" si="19"/>
        <v>135</v>
      </c>
      <c r="AC35" s="121">
        <f t="shared" si="20"/>
        <v>103</v>
      </c>
      <c r="AD35" s="122">
        <f t="shared" si="21"/>
        <v>130</v>
      </c>
      <c r="AE35" s="123">
        <f t="shared" si="22"/>
        <v>0.214968152866242</v>
      </c>
      <c r="AF35" s="124">
        <f t="shared" si="22"/>
        <v>0.164012738853503</v>
      </c>
      <c r="AG35" s="158">
        <f t="shared" si="22"/>
        <v>0.207006369426752</v>
      </c>
      <c r="AI35" s="11" t="s">
        <v>39</v>
      </c>
      <c r="AJ35" s="163">
        <v>150000</v>
      </c>
      <c r="AK35" s="164">
        <f>IF(AM35=1,CK71-CJ71,IF(AM35=2,CL71-CK71,IF(AM35=3,CM71-CL71,IF(AM35=4,CN71-CM71,0))))</f>
        <v>150000</v>
      </c>
      <c r="AL35" s="165"/>
      <c r="AM35" s="65">
        <f>INT(第十期!DV27)</f>
        <v>2</v>
      </c>
      <c r="AN35" s="126"/>
      <c r="AR35" s="185">
        <v>3</v>
      </c>
      <c r="AS35" s="186">
        <f t="shared" si="28"/>
        <v>0.0563</v>
      </c>
      <c r="AT35" s="187">
        <f t="shared" si="28"/>
        <v>0.0538</v>
      </c>
      <c r="AU35" s="187">
        <f t="shared" si="28"/>
        <v>0.0612</v>
      </c>
      <c r="AV35" s="188">
        <f t="shared" si="28"/>
        <v>0.0703</v>
      </c>
      <c r="AW35" s="186">
        <f t="shared" si="28"/>
        <v>0.0676</v>
      </c>
      <c r="AX35" s="187">
        <f t="shared" si="28"/>
        <v>0.0664</v>
      </c>
      <c r="AY35" s="187">
        <f t="shared" si="28"/>
        <v>0.0483</v>
      </c>
      <c r="AZ35" s="188">
        <f t="shared" si="28"/>
        <v>0.0491</v>
      </c>
      <c r="BA35" s="186">
        <f t="shared" si="28"/>
        <v>0.0625</v>
      </c>
      <c r="BB35" s="187">
        <f t="shared" si="28"/>
        <v>0.0648</v>
      </c>
      <c r="BC35" s="187">
        <f t="shared" si="28"/>
        <v>0.0651</v>
      </c>
      <c r="BD35" s="188">
        <f t="shared" si="28"/>
        <v>0.0563</v>
      </c>
      <c r="BE35" s="186">
        <f t="shared" si="28"/>
        <v>0.0819</v>
      </c>
      <c r="BF35" s="187">
        <f t="shared" si="28"/>
        <v>0.088</v>
      </c>
      <c r="BG35" s="187">
        <f t="shared" si="28"/>
        <v>0.0797</v>
      </c>
      <c r="BH35" s="188">
        <f t="shared" si="28"/>
        <v>0.0863</v>
      </c>
      <c r="CA35" s="213"/>
      <c r="CB35" s="196" t="s">
        <v>307</v>
      </c>
      <c r="CC35" s="230">
        <f t="shared" si="29"/>
        <v>0.451985088820809</v>
      </c>
      <c r="CD35" s="230">
        <f t="shared" si="29"/>
        <v>0.430166647216424</v>
      </c>
      <c r="CE35" s="230">
        <f t="shared" si="29"/>
        <v>0.411833056333862</v>
      </c>
      <c r="CF35" s="230">
        <f t="shared" si="29"/>
        <v>0.343995542894789</v>
      </c>
      <c r="CG35" s="232"/>
      <c r="CH35" s="225"/>
      <c r="CI35" s="196" t="s">
        <v>57</v>
      </c>
      <c r="CJ35" s="231">
        <f t="shared" si="30"/>
        <v>0.649687880977906</v>
      </c>
      <c r="CK35" s="231">
        <f t="shared" si="30"/>
        <v>0.484976601922306</v>
      </c>
      <c r="CL35" s="231">
        <f t="shared" si="30"/>
        <v>0.377313812417023</v>
      </c>
      <c r="CM35" s="231">
        <f t="shared" si="30"/>
        <v>0.295379732269217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0.268828482358768</v>
      </c>
      <c r="DA35" s="2">
        <f t="shared" si="32"/>
        <v>0.288842852915064</v>
      </c>
      <c r="DB35" s="2">
        <f t="shared" si="32"/>
        <v>0.352806606405535</v>
      </c>
      <c r="DC35" s="2">
        <f t="shared" si="32"/>
        <v>0.353647174878062</v>
      </c>
      <c r="DD35" s="2">
        <f>SUMPRODUCT(CZ35:DC35,BS14:BV14)/SUM(BS14:BV14)</f>
        <v>0.32552285091364</v>
      </c>
      <c r="DG35" s="2">
        <f t="shared" ref="DG35:DJ38" si="33">DG23/DG17</f>
        <v>0.810321534720346</v>
      </c>
      <c r="DH35" s="2">
        <f t="shared" si="33"/>
        <v>0.810321534720346</v>
      </c>
      <c r="DI35" s="2">
        <f t="shared" si="33"/>
        <v>0.852955787382017</v>
      </c>
      <c r="DJ35" s="2">
        <f t="shared" si="33"/>
        <v>0.887729756582216</v>
      </c>
      <c r="DK35" s="2">
        <f>SUMPRODUCT(DG35:DJ35,BS14:BV14)/SUM(BS14:BV14)</f>
        <v>0.848853780669658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>
        <v>0</v>
      </c>
      <c r="F36" s="9">
        <v>23</v>
      </c>
      <c r="G36" s="9">
        <v>19</v>
      </c>
      <c r="H36" s="19">
        <v>0.0648</v>
      </c>
      <c r="I36" s="9">
        <v>1</v>
      </c>
      <c r="J36" s="9">
        <v>0</v>
      </c>
      <c r="K36" s="9">
        <v>1</v>
      </c>
      <c r="L36" s="10"/>
      <c r="M36" s="39">
        <f>AI64-AI104</f>
        <v>23</v>
      </c>
      <c r="N36" s="35"/>
      <c r="O36" s="35"/>
      <c r="P36" s="35"/>
      <c r="Q36" s="57"/>
      <c r="U36" s="53"/>
      <c r="V36" s="54"/>
      <c r="W36" s="11">
        <v>10</v>
      </c>
      <c r="X36" s="55">
        <f t="shared" si="17"/>
        <v>157.7</v>
      </c>
      <c r="Y36" s="118">
        <f t="shared" si="17"/>
        <v>434108.73</v>
      </c>
      <c r="Z36" s="119">
        <f t="shared" si="17"/>
        <v>2.1175002682796</v>
      </c>
      <c r="AA36" s="120">
        <f t="shared" si="18"/>
        <v>521</v>
      </c>
      <c r="AB36" s="121">
        <f t="shared" si="19"/>
        <v>199</v>
      </c>
      <c r="AC36" s="121">
        <f t="shared" si="20"/>
        <v>136</v>
      </c>
      <c r="AD36" s="122">
        <f t="shared" si="21"/>
        <v>99</v>
      </c>
      <c r="AE36" s="123">
        <f t="shared" si="22"/>
        <v>0.381957773512476</v>
      </c>
      <c r="AF36" s="124">
        <f t="shared" si="22"/>
        <v>0.261036468330134</v>
      </c>
      <c r="AG36" s="158">
        <f t="shared" si="22"/>
        <v>0.190019193857965</v>
      </c>
      <c r="AI36" s="11" t="s">
        <v>40</v>
      </c>
      <c r="AJ36" s="163">
        <v>150000</v>
      </c>
      <c r="AK36" s="164">
        <f>IF(AM36=0,CJ72,IF(AM36=1,CK72-CJ72,IF(AM36=2,CL72-CK72,IF(AM36=3,CM72-CL72,IF(AM36=4,CN72-CM72,0)))))</f>
        <v>150000</v>
      </c>
      <c r="AL36" s="42" t="s">
        <v>308</v>
      </c>
      <c r="AM36" s="65">
        <f>INT(第十期!DV28)</f>
        <v>1</v>
      </c>
      <c r="AN36" s="126"/>
      <c r="AR36" s="185">
        <v>4</v>
      </c>
      <c r="AS36" s="186">
        <f t="shared" si="28"/>
        <v>0.0041</v>
      </c>
      <c r="AT36" s="187">
        <f t="shared" si="28"/>
        <v>0.0039</v>
      </c>
      <c r="AU36" s="187">
        <f t="shared" si="28"/>
        <v>0.0017</v>
      </c>
      <c r="AV36" s="188">
        <f t="shared" si="28"/>
        <v>0.0016</v>
      </c>
      <c r="AW36" s="186">
        <f t="shared" si="28"/>
        <v>0.0403</v>
      </c>
      <c r="AX36" s="187">
        <f t="shared" si="28"/>
        <v>0.0414</v>
      </c>
      <c r="AY36" s="187">
        <f t="shared" si="28"/>
        <v>0.0466</v>
      </c>
      <c r="AZ36" s="188">
        <f t="shared" si="28"/>
        <v>0.0543</v>
      </c>
      <c r="BA36" s="186">
        <f t="shared" si="28"/>
        <v>0.0506</v>
      </c>
      <c r="BB36" s="187">
        <f t="shared" si="28"/>
        <v>0.0556</v>
      </c>
      <c r="BC36" s="187">
        <f t="shared" si="28"/>
        <v>0.0414</v>
      </c>
      <c r="BD36" s="188">
        <f t="shared" si="28"/>
        <v>0.0511</v>
      </c>
      <c r="BE36" s="186">
        <f t="shared" si="28"/>
        <v>0.0819</v>
      </c>
      <c r="BF36" s="187">
        <f t="shared" si="28"/>
        <v>0.0755</v>
      </c>
      <c r="BG36" s="187">
        <f t="shared" si="28"/>
        <v>0.0879</v>
      </c>
      <c r="BH36" s="188">
        <f t="shared" si="28"/>
        <v>0.0714</v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0.607892166438757</v>
      </c>
      <c r="CK36" s="231">
        <f t="shared" si="30"/>
        <v>0.46906046605819</v>
      </c>
      <c r="CL36" s="231">
        <f t="shared" si="30"/>
        <v>0.39124759441838</v>
      </c>
      <c r="CM36" s="231">
        <f t="shared" si="30"/>
        <v>0.298429803069588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0.275211359049272</v>
      </c>
      <c r="DA36" s="2">
        <f t="shared" si="32"/>
        <v>0.295173382645967</v>
      </c>
      <c r="DB36" s="2">
        <f t="shared" si="32"/>
        <v>0.307522733535409</v>
      </c>
      <c r="DC36" s="2">
        <f t="shared" si="32"/>
        <v>0.313669261231736</v>
      </c>
      <c r="DD36" s="2">
        <f>SUMPRODUCT(CZ36:DC36,BS15:BV15)/SUM(BS15:BV15)</f>
        <v>0.301102680134491</v>
      </c>
      <c r="DG36" s="2">
        <f t="shared" si="33"/>
        <v>0.994261119081779</v>
      </c>
      <c r="DH36" s="2">
        <f t="shared" si="33"/>
        <v>0.994261119081779</v>
      </c>
      <c r="DI36" s="2">
        <f t="shared" si="33"/>
        <v>0.981004070556309</v>
      </c>
      <c r="DJ36" s="2">
        <f t="shared" si="33"/>
        <v>1.00814111261872</v>
      </c>
      <c r="DK36" s="2">
        <f>SUMPRODUCT(DG36:DJ36,BS15:BV15)/SUM(BS15:BV15)</f>
        <v>0.994277865829495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>
        <v>0</v>
      </c>
      <c r="F37" s="9">
        <v>23</v>
      </c>
      <c r="G37" s="9">
        <v>19</v>
      </c>
      <c r="H37" s="19">
        <v>0.0597</v>
      </c>
      <c r="I37" s="9">
        <v>1</v>
      </c>
      <c r="J37" s="9">
        <v>0</v>
      </c>
      <c r="K37" s="9">
        <v>1</v>
      </c>
      <c r="L37" s="10"/>
      <c r="M37" s="39">
        <f>AI65-AI105</f>
        <v>23</v>
      </c>
      <c r="N37" s="35"/>
      <c r="O37" s="35"/>
      <c r="P37" s="35"/>
      <c r="Q37" s="57"/>
      <c r="U37" s="53"/>
      <c r="V37" s="54"/>
      <c r="W37" s="11">
        <v>11</v>
      </c>
      <c r="X37" s="55">
        <f t="shared" si="17"/>
        <v>147.692307692308</v>
      </c>
      <c r="Y37" s="118">
        <f t="shared" si="17"/>
        <v>406675.58</v>
      </c>
      <c r="Z37" s="119">
        <f t="shared" si="17"/>
        <v>2.11810197916667</v>
      </c>
      <c r="AA37" s="120">
        <f t="shared" si="18"/>
        <v>521</v>
      </c>
      <c r="AB37" s="121">
        <f t="shared" si="19"/>
        <v>202</v>
      </c>
      <c r="AC37" s="121">
        <f t="shared" si="20"/>
        <v>108</v>
      </c>
      <c r="AD37" s="122">
        <f t="shared" si="21"/>
        <v>93</v>
      </c>
      <c r="AE37" s="123">
        <f t="shared" si="22"/>
        <v>0.387715930902111</v>
      </c>
      <c r="AF37" s="124">
        <f t="shared" si="22"/>
        <v>0.207293666026871</v>
      </c>
      <c r="AG37" s="158">
        <f t="shared" si="22"/>
        <v>0.178502879078695</v>
      </c>
      <c r="AI37" s="11" t="s">
        <v>41</v>
      </c>
      <c r="AJ37" s="163">
        <v>100000</v>
      </c>
      <c r="AK37" s="164">
        <f>IF(AM37=0,CJ73,IF(AM37=1,CK73-CJ73,IF(AM37=2,CL73-CK73,IF(AM37=3,CM73-CL73,IF(AM37=4,CN73-CM73,0)))))</f>
        <v>100000</v>
      </c>
      <c r="AL37" s="154">
        <f>SUM(AJ34:AJ37)</f>
        <v>530000</v>
      </c>
      <c r="AM37" s="65">
        <f>INT(第十期!DV29)</f>
        <v>1</v>
      </c>
      <c r="AN37" s="126"/>
      <c r="AR37" s="185">
        <v>5</v>
      </c>
      <c r="AS37" s="186">
        <f t="shared" si="28"/>
        <v>0.0963</v>
      </c>
      <c r="AT37" s="187">
        <f t="shared" si="28"/>
        <v>0.0928</v>
      </c>
      <c r="AU37" s="187">
        <f t="shared" si="28"/>
        <v>0.0716</v>
      </c>
      <c r="AV37" s="188">
        <f t="shared" si="28"/>
        <v>0.073</v>
      </c>
      <c r="AW37" s="186">
        <f t="shared" si="28"/>
        <v>0.0294</v>
      </c>
      <c r="AX37" s="187">
        <f t="shared" si="28"/>
        <v>0.0316</v>
      </c>
      <c r="AY37" s="187">
        <f t="shared" si="28"/>
        <v>0.0458</v>
      </c>
      <c r="AZ37" s="188">
        <f t="shared" si="28"/>
        <v>0.0586</v>
      </c>
      <c r="BA37" s="186">
        <f t="shared" si="28"/>
        <v>0.0714</v>
      </c>
      <c r="BB37" s="187">
        <f t="shared" si="28"/>
        <v>0.0772</v>
      </c>
      <c r="BC37" s="187">
        <f t="shared" si="28"/>
        <v>0.068</v>
      </c>
      <c r="BD37" s="188">
        <f t="shared" si="28"/>
        <v>0.0691</v>
      </c>
      <c r="BE37" s="186">
        <f t="shared" si="28"/>
        <v>0.0785</v>
      </c>
      <c r="BF37" s="187">
        <f t="shared" si="28"/>
        <v>0.0723</v>
      </c>
      <c r="BG37" s="187">
        <f t="shared" si="28"/>
        <v>0.0797</v>
      </c>
      <c r="BH37" s="188">
        <f t="shared" si="28"/>
        <v>0.0893</v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0.307471264367816</v>
      </c>
      <c r="DA37" s="2">
        <f t="shared" si="32"/>
        <v>0.326610632992842</v>
      </c>
      <c r="DB37" s="2">
        <f t="shared" si="32"/>
        <v>0.289983656315667</v>
      </c>
      <c r="DC37" s="2">
        <f t="shared" si="32"/>
        <v>0.30701262543261</v>
      </c>
      <c r="DD37" s="2">
        <f>SUMPRODUCT(CZ37:DC37,BS16:BV16)/SUM(BS16:BV16)</f>
        <v>0.306588912891492</v>
      </c>
      <c r="DG37" s="2">
        <f t="shared" si="33"/>
        <v>1.12165551839465</v>
      </c>
      <c r="DH37" s="2">
        <f t="shared" si="33"/>
        <v>1.12165551839465</v>
      </c>
      <c r="DI37" s="2">
        <f t="shared" si="33"/>
        <v>1.0363345977241</v>
      </c>
      <c r="DJ37" s="2">
        <f t="shared" si="33"/>
        <v>1.07626272709124</v>
      </c>
      <c r="DK37" s="2">
        <f>SUMPRODUCT(DG37:DJ37,BS16:BV16)/SUM(BS16:BV16)</f>
        <v>1.08385465914102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0.0906</v>
      </c>
      <c r="DT37" s="37">
        <f t="shared" si="34"/>
        <v>0.0865</v>
      </c>
      <c r="DU37" s="37">
        <f t="shared" si="34"/>
        <v>0.092</v>
      </c>
      <c r="DV37" s="37">
        <f t="shared" si="34"/>
        <v>0.0774</v>
      </c>
      <c r="DW37" s="37">
        <f t="shared" si="34"/>
        <v>0.0371</v>
      </c>
      <c r="DX37" s="37">
        <f t="shared" si="34"/>
        <v>0.0381</v>
      </c>
      <c r="DY37" s="37">
        <f t="shared" si="34"/>
        <v>0.0559</v>
      </c>
      <c r="DZ37" s="37">
        <f t="shared" si="34"/>
        <v>0.0577</v>
      </c>
      <c r="EA37" s="37">
        <f t="shared" si="34"/>
        <v>0.0655</v>
      </c>
      <c r="EB37" s="37">
        <f t="shared" si="34"/>
        <v>0.071</v>
      </c>
      <c r="EC37" s="37">
        <f t="shared" si="34"/>
        <v>0.0888</v>
      </c>
      <c r="ED37" s="37">
        <f t="shared" si="34"/>
        <v>0.0844</v>
      </c>
      <c r="EE37" s="37">
        <f t="shared" si="34"/>
        <v>0.0648</v>
      </c>
      <c r="EF37" s="37">
        <f t="shared" si="34"/>
        <v>0.0597</v>
      </c>
      <c r="EG37" s="37">
        <f t="shared" si="34"/>
        <v>0.0714</v>
      </c>
      <c r="EH37" s="37">
        <f t="shared" si="34"/>
        <v>0.0863</v>
      </c>
    </row>
    <row r="38" ht="17.1" spans="2:115">
      <c r="B38" s="7"/>
      <c r="C38" s="18">
        <v>4</v>
      </c>
      <c r="D38" s="18">
        <v>3</v>
      </c>
      <c r="E38" s="9">
        <v>0</v>
      </c>
      <c r="F38" s="9">
        <v>37</v>
      </c>
      <c r="G38" s="9">
        <v>26</v>
      </c>
      <c r="H38" s="19">
        <v>0.0714</v>
      </c>
      <c r="I38" s="9">
        <v>3</v>
      </c>
      <c r="J38" s="9">
        <v>0</v>
      </c>
      <c r="K38" s="9">
        <v>1</v>
      </c>
      <c r="L38" s="10"/>
      <c r="M38" s="39">
        <f>AI66-AI106</f>
        <v>34</v>
      </c>
      <c r="N38" s="35"/>
      <c r="O38" s="35"/>
      <c r="P38" s="35"/>
      <c r="Q38" s="57"/>
      <c r="U38" s="53"/>
      <c r="V38" s="54"/>
      <c r="W38" s="11">
        <v>12</v>
      </c>
      <c r="X38" s="55">
        <f t="shared" si="17"/>
        <v>79.2307692307692</v>
      </c>
      <c r="Y38" s="118">
        <f t="shared" si="17"/>
        <v>143039.85</v>
      </c>
      <c r="Z38" s="119">
        <f t="shared" si="17"/>
        <v>1.38873640776699</v>
      </c>
      <c r="AA38" s="120">
        <f t="shared" si="18"/>
        <v>345</v>
      </c>
      <c r="AB38" s="121">
        <f t="shared" si="19"/>
        <v>274</v>
      </c>
      <c r="AC38" s="121">
        <f t="shared" si="20"/>
        <v>0</v>
      </c>
      <c r="AD38" s="122">
        <f t="shared" si="21"/>
        <v>0</v>
      </c>
      <c r="AE38" s="123">
        <f t="shared" si="22"/>
        <v>0.794202898550725</v>
      </c>
      <c r="AF38" s="124">
        <f t="shared" si="22"/>
        <v>0</v>
      </c>
      <c r="AG38" s="158">
        <f t="shared" si="22"/>
        <v>0</v>
      </c>
      <c r="AI38" s="48"/>
      <c r="AJ38" s="48"/>
      <c r="AK38" s="48"/>
      <c r="AL38" s="48"/>
      <c r="AM38" s="48"/>
      <c r="AN38" s="48"/>
      <c r="AR38" s="185">
        <v>6</v>
      </c>
      <c r="AS38" s="186">
        <f t="shared" si="28"/>
        <v>0.0122</v>
      </c>
      <c r="AT38" s="187">
        <f t="shared" si="28"/>
        <v>0.0203</v>
      </c>
      <c r="AU38" s="187">
        <f t="shared" si="28"/>
        <v>0.0198</v>
      </c>
      <c r="AV38" s="188">
        <f t="shared" si="28"/>
        <v>0.0137</v>
      </c>
      <c r="AW38" s="186">
        <f t="shared" si="28"/>
        <v>0.0611</v>
      </c>
      <c r="AX38" s="187">
        <f t="shared" si="28"/>
        <v>0.0545</v>
      </c>
      <c r="AY38" s="187">
        <f t="shared" si="28"/>
        <v>0.0093</v>
      </c>
      <c r="AZ38" s="188">
        <f t="shared" si="28"/>
        <v>0</v>
      </c>
      <c r="BA38" s="186">
        <f t="shared" si="28"/>
        <v>0</v>
      </c>
      <c r="BB38" s="187">
        <f t="shared" si="28"/>
        <v>0.0062</v>
      </c>
      <c r="BC38" s="187">
        <f t="shared" si="28"/>
        <v>0.0059</v>
      </c>
      <c r="BD38" s="188">
        <f t="shared" si="28"/>
        <v>0</v>
      </c>
      <c r="BE38" s="186">
        <f t="shared" si="28"/>
        <v>0.0205</v>
      </c>
      <c r="BF38" s="187">
        <f t="shared" si="28"/>
        <v>0.0189</v>
      </c>
      <c r="BG38" s="187">
        <f t="shared" si="28"/>
        <v>0.0192</v>
      </c>
      <c r="BH38" s="188">
        <f t="shared" si="28"/>
        <v>0.0179</v>
      </c>
      <c r="CA38" s="213"/>
      <c r="CB38" s="197" t="s">
        <v>55</v>
      </c>
      <c r="CC38" s="108">
        <f>第十期!DG56*第十期!DG50+第十期!DG64*第十期!Y88</f>
        <v>6161</v>
      </c>
      <c r="CD38" s="108">
        <f>第十期!DH56*第十期!DH50+第十期!DH64*第十期!Z88</f>
        <v>29158</v>
      </c>
      <c r="CE38" s="108">
        <f>第十期!DI56*第十期!DI50+第十期!DI64*第十期!AA88</f>
        <v>27654</v>
      </c>
      <c r="CF38" s="108">
        <f>第十期!DJ56*第十期!DJ50+第十期!DJ64*第十期!AB88</f>
        <v>35350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0.241932329356542</v>
      </c>
      <c r="DA38" s="2">
        <f t="shared" si="32"/>
        <v>0.258921490880254</v>
      </c>
      <c r="DB38" s="2">
        <f t="shared" si="32"/>
        <v>0.246165644171779</v>
      </c>
      <c r="DC38" s="2">
        <f t="shared" si="32"/>
        <v>0.254531577943141</v>
      </c>
      <c r="DD38" s="2">
        <f>SUMPRODUCT(CZ38:DC38,BS17:BV17)/SUM(BS17:BV17)</f>
        <v>0.250505026364957</v>
      </c>
      <c r="DG38" s="2">
        <f t="shared" si="33"/>
        <v>1.06269286990417</v>
      </c>
      <c r="DH38" s="2">
        <f t="shared" si="33"/>
        <v>1.06269286990417</v>
      </c>
      <c r="DI38" s="2">
        <f t="shared" si="33"/>
        <v>1.01331887873626</v>
      </c>
      <c r="DJ38" s="2">
        <f t="shared" si="33"/>
        <v>1.03654948118321</v>
      </c>
      <c r="DK38" s="2">
        <f>SUMPRODUCT(DG38:DJ38,BS17:BV17)/SUM(BS17:BV17)</f>
        <v>1.03958869285455</v>
      </c>
    </row>
    <row r="39" ht="17.1" spans="2:93">
      <c r="B39" s="7"/>
      <c r="C39" s="18">
        <v>4</v>
      </c>
      <c r="D39" s="18">
        <v>4</v>
      </c>
      <c r="E39" s="9">
        <v>0</v>
      </c>
      <c r="F39" s="9">
        <v>42</v>
      </c>
      <c r="G39" s="9">
        <v>29</v>
      </c>
      <c r="H39" s="19">
        <v>0.0863</v>
      </c>
      <c r="I39" s="9">
        <v>3</v>
      </c>
      <c r="J39" s="9">
        <v>0</v>
      </c>
      <c r="K39" s="9">
        <v>1</v>
      </c>
      <c r="L39" s="10"/>
      <c r="M39" s="39">
        <f>AI67-AI107</f>
        <v>38</v>
      </c>
      <c r="N39" s="35"/>
      <c r="O39" s="35"/>
      <c r="P39" s="35"/>
      <c r="Q39" s="57"/>
      <c r="U39" s="53"/>
      <c r="V39" s="54"/>
      <c r="W39" s="11">
        <v>13</v>
      </c>
      <c r="X39" s="55">
        <f t="shared" si="17"/>
        <v>150.8</v>
      </c>
      <c r="Y39" s="118">
        <f t="shared" si="17"/>
        <v>344290.31</v>
      </c>
      <c r="Z39" s="119">
        <f t="shared" si="17"/>
        <v>1.75622480106101</v>
      </c>
      <c r="AA39" s="120">
        <f t="shared" si="18"/>
        <v>509</v>
      </c>
      <c r="AB39" s="121">
        <f t="shared" si="19"/>
        <v>216</v>
      </c>
      <c r="AC39" s="121">
        <f t="shared" si="20"/>
        <v>155</v>
      </c>
      <c r="AD39" s="122">
        <f t="shared" si="21"/>
        <v>62</v>
      </c>
      <c r="AE39" s="123">
        <f t="shared" si="22"/>
        <v>0.424361493123772</v>
      </c>
      <c r="AF39" s="124">
        <f t="shared" si="22"/>
        <v>0.304518664047151</v>
      </c>
      <c r="AG39" s="158">
        <f t="shared" si="22"/>
        <v>0.121807465618861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>
        <f t="shared" si="28"/>
        <v>0.018</v>
      </c>
      <c r="AT39" s="187">
        <f t="shared" si="28"/>
        <v>0.0171</v>
      </c>
      <c r="AU39" s="187">
        <f t="shared" si="28"/>
        <v>0.0221</v>
      </c>
      <c r="AV39" s="188">
        <f t="shared" si="28"/>
        <v>0.0242</v>
      </c>
      <c r="AW39" s="186">
        <f t="shared" si="28"/>
        <v>0.0513</v>
      </c>
      <c r="AX39" s="187">
        <f t="shared" si="28"/>
        <v>0.085</v>
      </c>
      <c r="AY39" s="187">
        <f t="shared" si="28"/>
        <v>0.0788</v>
      </c>
      <c r="AZ39" s="188">
        <f t="shared" si="28"/>
        <v>0.0801</v>
      </c>
      <c r="BA39" s="186">
        <f t="shared" si="28"/>
        <v>0.0417</v>
      </c>
      <c r="BB39" s="187">
        <f t="shared" si="28"/>
        <v>0.0741</v>
      </c>
      <c r="BC39" s="187">
        <f t="shared" si="28"/>
        <v>0.0858</v>
      </c>
      <c r="BD39" s="188">
        <f t="shared" si="28"/>
        <v>0.0767</v>
      </c>
      <c r="BE39" s="186">
        <f t="shared" si="28"/>
        <v>0.0375</v>
      </c>
      <c r="BF39" s="187">
        <f t="shared" si="28"/>
        <v>0.0503</v>
      </c>
      <c r="BG39" s="187">
        <f t="shared" si="28"/>
        <v>0.0632</v>
      </c>
      <c r="BH39" s="188">
        <f t="shared" si="28"/>
        <v>0.0685</v>
      </c>
      <c r="CA39" s="213"/>
      <c r="CB39" s="196" t="s">
        <v>56</v>
      </c>
      <c r="CC39" s="108">
        <f>第十期!DG57*第十期!DG51+第十期!DG65*第十期!Y89</f>
        <v>3347</v>
      </c>
      <c r="CD39" s="108">
        <f>第十期!DH57*第十期!DH51+第十期!DH65*第十期!Z89</f>
        <v>24008</v>
      </c>
      <c r="CE39" s="108">
        <f>第十期!DI57*第十期!DI51+第十期!DI65*第十期!AA89</f>
        <v>24334</v>
      </c>
      <c r="CF39" s="108">
        <f>第十期!DJ57*第十期!DJ51+第十期!DJ65*第十期!AB89</f>
        <v>29400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>
        <f t="shared" si="17"/>
        <v>121.915384615385</v>
      </c>
      <c r="Y40" s="118">
        <f t="shared" si="17"/>
        <v>177042.88</v>
      </c>
      <c r="Z40" s="119">
        <f t="shared" si="17"/>
        <v>1.11706025616758</v>
      </c>
      <c r="AA40" s="120">
        <f t="shared" si="18"/>
        <v>258</v>
      </c>
      <c r="AB40" s="121">
        <f t="shared" si="19"/>
        <v>313</v>
      </c>
      <c r="AC40" s="121">
        <f t="shared" si="20"/>
        <v>42</v>
      </c>
      <c r="AD40" s="122">
        <f t="shared" si="21"/>
        <v>74</v>
      </c>
      <c r="AE40" s="123">
        <f t="shared" si="22"/>
        <v>1.21317829457364</v>
      </c>
      <c r="AF40" s="124">
        <f t="shared" si="22"/>
        <v>0.162790697674419</v>
      </c>
      <c r="AG40" s="158">
        <f t="shared" si="22"/>
        <v>0.286821705426357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220000.0001</v>
      </c>
      <c r="AL40" s="166">
        <f>IF($AM$34=3,CL70+0.0001,比赛参数!F52)</f>
        <v>350000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>
        <f t="shared" si="28"/>
        <v>0.0792</v>
      </c>
      <c r="AT40" s="187">
        <f t="shared" si="28"/>
        <v>0.0756</v>
      </c>
      <c r="AU40" s="187">
        <f t="shared" si="28"/>
        <v>0.0414</v>
      </c>
      <c r="AV40" s="188">
        <f t="shared" si="28"/>
        <v>0.0445</v>
      </c>
      <c r="AW40" s="186">
        <f t="shared" si="28"/>
        <v>0.0491</v>
      </c>
      <c r="AX40" s="187">
        <f t="shared" si="28"/>
        <v>0.049</v>
      </c>
      <c r="AY40" s="187">
        <f t="shared" si="28"/>
        <v>0.0407</v>
      </c>
      <c r="AZ40" s="188">
        <f t="shared" si="28"/>
        <v>0.0413</v>
      </c>
      <c r="BA40" s="186">
        <f t="shared" si="28"/>
        <v>0.0804</v>
      </c>
      <c r="BB40" s="187">
        <f t="shared" si="28"/>
        <v>0.0833</v>
      </c>
      <c r="BC40" s="187">
        <f t="shared" si="28"/>
        <v>0.0976</v>
      </c>
      <c r="BD40" s="188">
        <f t="shared" si="28"/>
        <v>0.1023</v>
      </c>
      <c r="BE40" s="186">
        <f t="shared" si="28"/>
        <v>0.0648</v>
      </c>
      <c r="BF40" s="187">
        <f t="shared" si="28"/>
        <v>0.0597</v>
      </c>
      <c r="BG40" s="187">
        <f t="shared" si="28"/>
        <v>0.0769</v>
      </c>
      <c r="BH40" s="188">
        <f t="shared" si="28"/>
        <v>0.0833</v>
      </c>
      <c r="CA40" s="213"/>
      <c r="CB40" s="196" t="s">
        <v>57</v>
      </c>
      <c r="CC40" s="108">
        <f>第十期!DG58*第十期!DG52+第十期!DG66*第十期!Y90</f>
        <v>19500</v>
      </c>
      <c r="CD40" s="108">
        <f>第十期!DH58*第十期!DH52+第十期!DH66*第十期!Z90</f>
        <v>55800</v>
      </c>
      <c r="CE40" s="108">
        <f>第十期!DI58*第十期!DI52+第十期!DI66*第十期!AA90</f>
        <v>40800</v>
      </c>
      <c r="CF40" s="108">
        <f>第十期!DJ58*第十期!DJ52+第十期!DJ66*第十期!AB90</f>
        <v>57000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>
        <f t="shared" si="17"/>
        <v>55.2692307692308</v>
      </c>
      <c r="Y41" s="118">
        <f t="shared" si="17"/>
        <v>-1186936.91</v>
      </c>
      <c r="Z41" s="119">
        <f t="shared" si="17"/>
        <v>-16.5196508002784</v>
      </c>
      <c r="AA41" s="120">
        <f t="shared" si="18"/>
        <v>266</v>
      </c>
      <c r="AB41" s="121">
        <f t="shared" si="19"/>
        <v>181</v>
      </c>
      <c r="AC41" s="121">
        <f t="shared" si="20"/>
        <v>0</v>
      </c>
      <c r="AD41" s="122">
        <f t="shared" si="21"/>
        <v>0</v>
      </c>
      <c r="AE41" s="123">
        <f t="shared" si="22"/>
        <v>0.680451127819549</v>
      </c>
      <c r="AF41" s="124">
        <f t="shared" si="22"/>
        <v>0</v>
      </c>
      <c r="AG41" s="158">
        <f t="shared" si="22"/>
        <v>0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350000.0001</v>
      </c>
      <c r="AL41" s="166">
        <f>IF($AM$35=3,CL71+0.0001,比赛参数!F53)</f>
        <v>500000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>
        <f t="shared" si="28"/>
        <v>0.1037</v>
      </c>
      <c r="AT41" s="187">
        <f t="shared" si="28"/>
        <v>0.0982</v>
      </c>
      <c r="AU41" s="187">
        <f t="shared" si="28"/>
        <v>0.1124</v>
      </c>
      <c r="AV41" s="188">
        <f t="shared" si="28"/>
        <v>0.0999</v>
      </c>
      <c r="AW41" s="186">
        <f t="shared" si="28"/>
        <v>0.0349</v>
      </c>
      <c r="AX41" s="187">
        <f t="shared" si="28"/>
        <v>0.0359</v>
      </c>
      <c r="AY41" s="187">
        <f t="shared" si="28"/>
        <v>0.0263</v>
      </c>
      <c r="AZ41" s="188">
        <f t="shared" si="28"/>
        <v>0.0336</v>
      </c>
      <c r="BA41" s="186">
        <f t="shared" si="28"/>
        <v>0.0625</v>
      </c>
      <c r="BB41" s="187">
        <f t="shared" si="28"/>
        <v>0.0648</v>
      </c>
      <c r="BC41" s="187">
        <f t="shared" si="28"/>
        <v>0.0888</v>
      </c>
      <c r="BD41" s="188">
        <f t="shared" si="28"/>
        <v>0.0793</v>
      </c>
      <c r="BE41" s="186">
        <f t="shared" si="28"/>
        <v>0.0887</v>
      </c>
      <c r="BF41" s="187">
        <f t="shared" si="28"/>
        <v>0.0818</v>
      </c>
      <c r="BG41" s="187">
        <f t="shared" si="28"/>
        <v>0.1071</v>
      </c>
      <c r="BH41" s="188">
        <f t="shared" si="28"/>
        <v>0.1161</v>
      </c>
      <c r="CA41" s="213"/>
      <c r="CB41" s="196" t="s">
        <v>58</v>
      </c>
      <c r="CC41" s="108">
        <f>第十期!DG59*第十期!DG53+第十期!DG67*第十期!Y91</f>
        <v>27500</v>
      </c>
      <c r="CD41" s="108">
        <f>第十期!DH59*第十期!DH53+第十期!DH67*第十期!Z91</f>
        <v>58500</v>
      </c>
      <c r="CE41" s="108">
        <f>第十期!DI59*第十期!DI53+第十期!DI67*第十期!AA91</f>
        <v>46750</v>
      </c>
      <c r="CF41" s="108">
        <f>第十期!DJ59*第十期!DJ53+第十期!DJ67*第十期!AB91</f>
        <v>64650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>
        <f>SUMPRODUCT(DG41:DJ41,BS14:BV14)/SUM(BS14:BV14)</f>
        <v>19.5252067669173</v>
      </c>
    </row>
    <row r="42" ht="15.6" spans="2:115">
      <c r="B42" s="7"/>
      <c r="C42" s="18" t="s">
        <v>21</v>
      </c>
      <c r="D42" s="9">
        <v>0</v>
      </c>
      <c r="E42" s="14">
        <v>120000</v>
      </c>
      <c r="F42" s="14">
        <v>220000</v>
      </c>
      <c r="G42" s="9">
        <v>2</v>
      </c>
      <c r="H42" s="9">
        <v>0.952</v>
      </c>
      <c r="I42" s="10"/>
      <c r="M42" s="30"/>
      <c r="N42" s="39" t="s">
        <v>287</v>
      </c>
      <c r="O42" s="39">
        <f>AO4</f>
        <v>89</v>
      </c>
      <c r="P42" s="39">
        <f>AJ34</f>
        <v>130000</v>
      </c>
      <c r="Q42" s="45"/>
      <c r="U42" s="53"/>
      <c r="V42" s="54"/>
      <c r="W42" s="11">
        <v>16</v>
      </c>
      <c r="X42" s="55">
        <f t="shared" si="17"/>
        <v>146.315384615385</v>
      </c>
      <c r="Y42" s="118">
        <f t="shared" si="17"/>
        <v>302062.09</v>
      </c>
      <c r="Z42" s="119">
        <f t="shared" si="17"/>
        <v>1.5880452657589</v>
      </c>
      <c r="AA42" s="120">
        <f t="shared" si="18"/>
        <v>422</v>
      </c>
      <c r="AB42" s="121">
        <f t="shared" si="19"/>
        <v>293</v>
      </c>
      <c r="AC42" s="121">
        <f t="shared" si="20"/>
        <v>90</v>
      </c>
      <c r="AD42" s="122">
        <f t="shared" si="21"/>
        <v>78</v>
      </c>
      <c r="AE42" s="123">
        <f t="shared" si="22"/>
        <v>0.694312796208531</v>
      </c>
      <c r="AF42" s="124">
        <f t="shared" si="22"/>
        <v>0.213270142180095</v>
      </c>
      <c r="AG42" s="158">
        <f t="shared" si="22"/>
        <v>0.184834123222749</v>
      </c>
      <c r="AI42" s="11" t="s">
        <v>23</v>
      </c>
      <c r="AJ42" s="166">
        <f>IF($AM$36=1,CJ72+0.0001,比赛参数!D54)</f>
        <v>300000.0001</v>
      </c>
      <c r="AK42" s="166">
        <f>IF($AM$36=2,CK72+0.0001,比赛参数!E54)</f>
        <v>450000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>
        <f t="shared" si="28"/>
        <v>0.0931</v>
      </c>
      <c r="AT42" s="187">
        <f t="shared" si="28"/>
        <v>0.0779</v>
      </c>
      <c r="AU42" s="187">
        <f t="shared" si="28"/>
        <v>0.078</v>
      </c>
      <c r="AV42" s="188">
        <f t="shared" si="28"/>
        <v>0.095</v>
      </c>
      <c r="AW42" s="186">
        <f t="shared" si="28"/>
        <v>0.0414</v>
      </c>
      <c r="AX42" s="187">
        <f t="shared" si="28"/>
        <v>0.0436</v>
      </c>
      <c r="AY42" s="187">
        <f t="shared" si="28"/>
        <v>0.0449</v>
      </c>
      <c r="AZ42" s="188">
        <f t="shared" si="28"/>
        <v>0.0586</v>
      </c>
      <c r="BA42" s="186">
        <f t="shared" si="28"/>
        <v>0.0893</v>
      </c>
      <c r="BB42" s="187">
        <f t="shared" si="28"/>
        <v>0.0926</v>
      </c>
      <c r="BC42" s="187">
        <f t="shared" si="28"/>
        <v>0.0888</v>
      </c>
      <c r="BD42" s="188">
        <f t="shared" si="28"/>
        <v>0.1176</v>
      </c>
      <c r="BE42" s="186">
        <f t="shared" si="28"/>
        <v>0.0751</v>
      </c>
      <c r="BF42" s="187">
        <f t="shared" si="28"/>
        <v>0.0723</v>
      </c>
      <c r="BG42" s="187">
        <f t="shared" si="28"/>
        <v>0.0659</v>
      </c>
      <c r="BH42" s="188">
        <f t="shared" si="28"/>
        <v>0.0893</v>
      </c>
      <c r="CA42" s="213"/>
      <c r="CB42" s="98" t="s">
        <v>308</v>
      </c>
      <c r="CC42" s="127">
        <f>SUM(CC38:CC41)</f>
        <v>56508</v>
      </c>
      <c r="CD42" s="127">
        <f>SUM(CD38:CD41)</f>
        <v>167466</v>
      </c>
      <c r="CE42" s="127">
        <f>SUM(CE38:CE41)</f>
        <v>139538</v>
      </c>
      <c r="CF42" s="127">
        <f>SUM(CF38:CF41)</f>
        <v>186400</v>
      </c>
      <c r="CG42" s="108">
        <f>SUM(CC42:CF42)</f>
        <v>549912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>
        <f>SUMPRODUCT(DG42:DJ42,BS15:BV15)/SUM(BS15:BV15)</f>
        <v>14.4395633187773</v>
      </c>
    </row>
    <row r="43" ht="16.35" spans="2:115">
      <c r="B43" s="7"/>
      <c r="C43" s="18" t="s">
        <v>22</v>
      </c>
      <c r="D43" s="9">
        <v>54</v>
      </c>
      <c r="E43" s="14">
        <v>150000</v>
      </c>
      <c r="F43" s="14">
        <v>350000</v>
      </c>
      <c r="G43" s="9">
        <v>2</v>
      </c>
      <c r="H43" s="9">
        <v>0.952</v>
      </c>
      <c r="I43" s="10"/>
      <c r="M43" s="30"/>
      <c r="N43" s="39" t="s">
        <v>288</v>
      </c>
      <c r="O43" s="39">
        <f>AO5</f>
        <v>59</v>
      </c>
      <c r="P43" s="39">
        <f>AJ35</f>
        <v>150000</v>
      </c>
      <c r="Q43" s="45"/>
      <c r="U43" s="53"/>
      <c r="V43" s="54"/>
      <c r="W43" s="11">
        <v>17</v>
      </c>
      <c r="X43" s="55">
        <f t="shared" si="17"/>
        <v>84.3076923076923</v>
      </c>
      <c r="Y43" s="118">
        <f t="shared" si="17"/>
        <v>131859.12</v>
      </c>
      <c r="Z43" s="119">
        <f t="shared" si="17"/>
        <v>1.20309416058394</v>
      </c>
      <c r="AA43" s="120">
        <f t="shared" si="18"/>
        <v>446</v>
      </c>
      <c r="AB43" s="121">
        <f t="shared" si="19"/>
        <v>260</v>
      </c>
      <c r="AC43" s="121">
        <f t="shared" si="20"/>
        <v>0</v>
      </c>
      <c r="AD43" s="122">
        <f t="shared" si="21"/>
        <v>0</v>
      </c>
      <c r="AE43" s="123">
        <f t="shared" si="22"/>
        <v>0.582959641255605</v>
      </c>
      <c r="AF43" s="124">
        <f t="shared" si="22"/>
        <v>0</v>
      </c>
      <c r="AG43" s="158">
        <f t="shared" si="22"/>
        <v>0</v>
      </c>
      <c r="AI43" s="11" t="s">
        <v>24</v>
      </c>
      <c r="AJ43" s="166">
        <f>IF($AM$37=1,CJ73+0.0001,比赛参数!D55)</f>
        <v>500000.0001</v>
      </c>
      <c r="AK43" s="166">
        <f>IF($AM$37=2,CK73+0.0001,比赛参数!E55)</f>
        <v>600000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>
        <f t="shared" si="28"/>
        <v>0.0906</v>
      </c>
      <c r="AT43" s="187">
        <f t="shared" si="28"/>
        <v>0.0865</v>
      </c>
      <c r="AU43" s="187">
        <f t="shared" si="28"/>
        <v>0.092</v>
      </c>
      <c r="AV43" s="188">
        <f t="shared" si="28"/>
        <v>0.0774</v>
      </c>
      <c r="AW43" s="186">
        <f t="shared" si="28"/>
        <v>0.0371</v>
      </c>
      <c r="AX43" s="187">
        <f t="shared" si="28"/>
        <v>0.0381</v>
      </c>
      <c r="AY43" s="187">
        <f t="shared" si="28"/>
        <v>0.0559</v>
      </c>
      <c r="AZ43" s="188">
        <f t="shared" si="28"/>
        <v>0.0577</v>
      </c>
      <c r="BA43" s="186">
        <f t="shared" si="28"/>
        <v>0.0655</v>
      </c>
      <c r="BB43" s="187">
        <f t="shared" si="28"/>
        <v>0.071</v>
      </c>
      <c r="BC43" s="187">
        <f t="shared" si="28"/>
        <v>0.0888</v>
      </c>
      <c r="BD43" s="188">
        <f t="shared" si="28"/>
        <v>0.0844</v>
      </c>
      <c r="BE43" s="186">
        <f t="shared" si="28"/>
        <v>0.0648</v>
      </c>
      <c r="BF43" s="187">
        <f t="shared" si="28"/>
        <v>0.0597</v>
      </c>
      <c r="BG43" s="187">
        <f t="shared" si="28"/>
        <v>0.0714</v>
      </c>
      <c r="BH43" s="188">
        <f t="shared" si="28"/>
        <v>0.0863</v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>
        <f>SUMPRODUCT(DG43:DJ43,BS16:BV16)/SUM(BS16:BV16)</f>
        <v>12.9383928571429</v>
      </c>
    </row>
    <row r="44" ht="16.35" spans="2:115">
      <c r="B44" s="7"/>
      <c r="C44" s="18" t="s">
        <v>23</v>
      </c>
      <c r="D44" s="9">
        <v>49</v>
      </c>
      <c r="E44" s="14">
        <v>300000</v>
      </c>
      <c r="F44" s="14">
        <v>300000</v>
      </c>
      <c r="G44" s="9">
        <v>1</v>
      </c>
      <c r="H44" s="9">
        <v>0.952</v>
      </c>
      <c r="I44" s="10"/>
      <c r="M44" s="30"/>
      <c r="N44" s="39" t="s">
        <v>289</v>
      </c>
      <c r="O44" s="39">
        <f>AO6</f>
        <v>22</v>
      </c>
      <c r="P44" s="39">
        <f>AJ36</f>
        <v>150000</v>
      </c>
      <c r="Q44" s="45"/>
      <c r="U44" s="53"/>
      <c r="V44" s="54"/>
      <c r="W44" s="11">
        <v>18</v>
      </c>
      <c r="X44" s="55">
        <f t="shared" si="17"/>
        <v>112.076923076923</v>
      </c>
      <c r="Y44" s="118">
        <f t="shared" si="17"/>
        <v>50876.01</v>
      </c>
      <c r="Z44" s="119">
        <f t="shared" si="17"/>
        <v>0.349183321894303</v>
      </c>
      <c r="AA44" s="125">
        <f t="shared" si="18"/>
        <v>115</v>
      </c>
      <c r="AB44" s="121">
        <f t="shared" si="19"/>
        <v>228</v>
      </c>
      <c r="AC44" s="121">
        <f t="shared" si="20"/>
        <v>80</v>
      </c>
      <c r="AD44" s="122">
        <f t="shared" si="21"/>
        <v>90</v>
      </c>
      <c r="AE44" s="123">
        <f t="shared" si="22"/>
        <v>1.98260869565217</v>
      </c>
      <c r="AF44" s="124">
        <f t="shared" si="22"/>
        <v>0.695652173913043</v>
      </c>
      <c r="AG44" s="158">
        <f t="shared" si="22"/>
        <v>0.782608695652174</v>
      </c>
      <c r="AR44" s="185">
        <v>12</v>
      </c>
      <c r="AS44" s="186">
        <f t="shared" si="28"/>
        <v>0.0498</v>
      </c>
      <c r="AT44" s="187">
        <f t="shared" si="28"/>
        <v>0.0608</v>
      </c>
      <c r="AU44" s="187">
        <f t="shared" si="28"/>
        <v>0.0588</v>
      </c>
      <c r="AV44" s="188">
        <f t="shared" si="28"/>
        <v>0.0577</v>
      </c>
      <c r="AW44" s="186">
        <f t="shared" si="28"/>
        <v>0.0611</v>
      </c>
      <c r="AX44" s="187">
        <f t="shared" si="28"/>
        <v>0.061</v>
      </c>
      <c r="AY44" s="187">
        <f t="shared" si="28"/>
        <v>0.0686</v>
      </c>
      <c r="AZ44" s="188">
        <f t="shared" si="28"/>
        <v>0.0698</v>
      </c>
      <c r="BA44" s="186">
        <f t="shared" si="28"/>
        <v>0</v>
      </c>
      <c r="BB44" s="187">
        <f t="shared" si="28"/>
        <v>0</v>
      </c>
      <c r="BC44" s="187">
        <f t="shared" si="28"/>
        <v>0</v>
      </c>
      <c r="BD44" s="188">
        <f t="shared" si="28"/>
        <v>0</v>
      </c>
      <c r="BE44" s="186">
        <f t="shared" si="28"/>
        <v>0</v>
      </c>
      <c r="BF44" s="187">
        <f t="shared" si="28"/>
        <v>0</v>
      </c>
      <c r="BG44" s="187">
        <f t="shared" si="28"/>
        <v>0</v>
      </c>
      <c r="BH44" s="188">
        <f t="shared" si="28"/>
        <v>0</v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>
        <f>SUMPRODUCT(DG44:DJ44,BS17:BV17)/SUM(BS17:BV17)</f>
        <v>12.1987762237762</v>
      </c>
    </row>
    <row r="45" ht="16.35" spans="2:60">
      <c r="B45" s="7"/>
      <c r="C45" s="18" t="s">
        <v>24</v>
      </c>
      <c r="D45" s="9">
        <v>33</v>
      </c>
      <c r="E45" s="14">
        <v>500000</v>
      </c>
      <c r="F45" s="14">
        <v>500000</v>
      </c>
      <c r="G45" s="9">
        <v>1</v>
      </c>
      <c r="H45" s="9">
        <v>0.952</v>
      </c>
      <c r="I45" s="10"/>
      <c r="M45" s="30"/>
      <c r="N45" s="39" t="s">
        <v>290</v>
      </c>
      <c r="O45" s="39">
        <f>AO7</f>
        <v>33</v>
      </c>
      <c r="P45" s="39">
        <f>AJ37</f>
        <v>100000</v>
      </c>
      <c r="Q45" s="45"/>
      <c r="U45" s="53"/>
      <c r="V45" s="54"/>
      <c r="W45" s="11">
        <v>19</v>
      </c>
      <c r="X45" s="55">
        <f t="shared" si="17"/>
        <v>94.4461538461538</v>
      </c>
      <c r="Y45" s="118">
        <f t="shared" si="17"/>
        <v>-47340.69</v>
      </c>
      <c r="Z45" s="119">
        <f t="shared" si="17"/>
        <v>-0.385573301840691</v>
      </c>
      <c r="AA45" s="120">
        <f t="shared" si="18"/>
        <v>383</v>
      </c>
      <c r="AB45" s="121">
        <f t="shared" si="19"/>
        <v>230</v>
      </c>
      <c r="AC45" s="121">
        <f t="shared" si="20"/>
        <v>71</v>
      </c>
      <c r="AD45" s="122">
        <f t="shared" si="21"/>
        <v>0</v>
      </c>
      <c r="AE45" s="123">
        <f t="shared" si="22"/>
        <v>0.600522193211488</v>
      </c>
      <c r="AF45" s="124">
        <f t="shared" si="22"/>
        <v>0.185378590078329</v>
      </c>
      <c r="AG45" s="158">
        <f t="shared" si="22"/>
        <v>0</v>
      </c>
      <c r="AR45" s="185">
        <v>13</v>
      </c>
      <c r="AS45" s="186">
        <f t="shared" si="28"/>
        <v>0.0849</v>
      </c>
      <c r="AT45" s="187">
        <f t="shared" si="28"/>
        <v>0.0896</v>
      </c>
      <c r="AU45" s="187">
        <f t="shared" si="28"/>
        <v>0.092</v>
      </c>
      <c r="AV45" s="188">
        <f t="shared" si="28"/>
        <v>0.0725</v>
      </c>
      <c r="AW45" s="186">
        <f t="shared" si="28"/>
        <v>0.0382</v>
      </c>
      <c r="AX45" s="187">
        <f t="shared" si="28"/>
        <v>0.0381</v>
      </c>
      <c r="AY45" s="187">
        <f t="shared" si="28"/>
        <v>0.0593</v>
      </c>
      <c r="AZ45" s="188">
        <f t="shared" si="28"/>
        <v>0.0655</v>
      </c>
      <c r="BA45" s="186">
        <f t="shared" si="28"/>
        <v>0.1131</v>
      </c>
      <c r="BB45" s="187">
        <f t="shared" si="28"/>
        <v>0.1173</v>
      </c>
      <c r="BC45" s="187">
        <f t="shared" si="28"/>
        <v>0.1065</v>
      </c>
      <c r="BD45" s="188">
        <f t="shared" si="28"/>
        <v>0.11</v>
      </c>
      <c r="BE45" s="186">
        <f t="shared" si="28"/>
        <v>0.0478</v>
      </c>
      <c r="BF45" s="187">
        <f t="shared" si="28"/>
        <v>0.044</v>
      </c>
      <c r="BG45" s="187">
        <f t="shared" si="28"/>
        <v>0.0385</v>
      </c>
      <c r="BH45" s="188">
        <f t="shared" si="28"/>
        <v>0.0595</v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>
        <f t="shared" si="17"/>
        <v>0</v>
      </c>
      <c r="Y46" s="118">
        <f t="shared" si="17"/>
        <v>0</v>
      </c>
      <c r="Z46" s="119" t="e">
        <f t="shared" si="17"/>
        <v>#DIV/0!</v>
      </c>
      <c r="AA46" s="120">
        <f t="shared" si="18"/>
        <v>0</v>
      </c>
      <c r="AB46" s="121">
        <f t="shared" si="19"/>
        <v>0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>
        <f t="shared" si="28"/>
        <v>0.0506</v>
      </c>
      <c r="AT46" s="187">
        <f t="shared" si="28"/>
        <v>0.0475</v>
      </c>
      <c r="AU46" s="187">
        <f t="shared" si="28"/>
        <v>0.0419</v>
      </c>
      <c r="AV46" s="188">
        <f t="shared" si="28"/>
        <v>0.0346</v>
      </c>
      <c r="AW46" s="186">
        <f t="shared" si="28"/>
        <v>0.0731</v>
      </c>
      <c r="AX46" s="187">
        <f t="shared" si="28"/>
        <v>0.073</v>
      </c>
      <c r="AY46" s="187">
        <f t="shared" si="28"/>
        <v>0.0763</v>
      </c>
      <c r="AZ46" s="188">
        <f t="shared" si="28"/>
        <v>0.0767</v>
      </c>
      <c r="BA46" s="186">
        <f t="shared" si="28"/>
        <v>0.0565</v>
      </c>
      <c r="BB46" s="187">
        <f t="shared" si="28"/>
        <v>0.0586</v>
      </c>
      <c r="BC46" s="187">
        <f t="shared" si="28"/>
        <v>0.0059</v>
      </c>
      <c r="BD46" s="188">
        <f t="shared" si="28"/>
        <v>0.0051</v>
      </c>
      <c r="BE46" s="186">
        <f t="shared" si="28"/>
        <v>0.1126</v>
      </c>
      <c r="BF46" s="187">
        <f t="shared" si="28"/>
        <v>0.1038</v>
      </c>
      <c r="BG46" s="187">
        <f t="shared" si="28"/>
        <v>0.011</v>
      </c>
      <c r="BH46" s="188">
        <f t="shared" si="28"/>
        <v>0.0119</v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>
        <f t="shared" si="28"/>
        <v>0</v>
      </c>
      <c r="AT47" s="187">
        <f t="shared" si="28"/>
        <v>0.0257</v>
      </c>
      <c r="AU47" s="187">
        <f t="shared" si="28"/>
        <v>0.0518</v>
      </c>
      <c r="AV47" s="188">
        <f t="shared" si="28"/>
        <v>0.0791</v>
      </c>
      <c r="AW47" s="186">
        <f t="shared" si="28"/>
        <v>0.084</v>
      </c>
      <c r="AX47" s="187">
        <f t="shared" si="28"/>
        <v>0.0632</v>
      </c>
      <c r="AY47" s="187">
        <f t="shared" si="28"/>
        <v>0.039</v>
      </c>
      <c r="AZ47" s="188">
        <f t="shared" si="28"/>
        <v>0</v>
      </c>
      <c r="BA47" s="186">
        <f t="shared" si="28"/>
        <v>0</v>
      </c>
      <c r="BB47" s="187">
        <f t="shared" si="28"/>
        <v>0</v>
      </c>
      <c r="BC47" s="187">
        <f t="shared" si="28"/>
        <v>0</v>
      </c>
      <c r="BD47" s="188">
        <f t="shared" si="28"/>
        <v>0</v>
      </c>
      <c r="BE47" s="186">
        <f t="shared" si="28"/>
        <v>0</v>
      </c>
      <c r="BF47" s="187">
        <f t="shared" si="28"/>
        <v>0</v>
      </c>
      <c r="BG47" s="187">
        <f t="shared" si="28"/>
        <v>0</v>
      </c>
      <c r="BH47" s="188">
        <f t="shared" si="28"/>
        <v>0</v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>
        <f t="shared" si="28"/>
        <v>0.0735</v>
      </c>
      <c r="AT48" s="187">
        <f t="shared" si="28"/>
        <v>0.0701</v>
      </c>
      <c r="AU48" s="187">
        <f t="shared" si="28"/>
        <v>0.0699</v>
      </c>
      <c r="AV48" s="188">
        <f t="shared" si="28"/>
        <v>0.067</v>
      </c>
      <c r="AW48" s="186">
        <f t="shared" si="28"/>
        <v>0.0622</v>
      </c>
      <c r="AX48" s="187">
        <f t="shared" si="28"/>
        <v>0.0468</v>
      </c>
      <c r="AY48" s="187">
        <f t="shared" si="28"/>
        <v>0.0805</v>
      </c>
      <c r="AZ48" s="188">
        <f t="shared" si="28"/>
        <v>0.0844</v>
      </c>
      <c r="BA48" s="186">
        <f t="shared" si="28"/>
        <v>0.0863</v>
      </c>
      <c r="BB48" s="187">
        <f t="shared" si="28"/>
        <v>0.0586</v>
      </c>
      <c r="BC48" s="187">
        <f t="shared" si="28"/>
        <v>0.0799</v>
      </c>
      <c r="BD48" s="188">
        <f t="shared" si="28"/>
        <v>0.0384</v>
      </c>
      <c r="BE48" s="186">
        <f t="shared" si="28"/>
        <v>0.099</v>
      </c>
      <c r="BF48" s="187">
        <f t="shared" si="28"/>
        <v>0.0755</v>
      </c>
      <c r="BG48" s="187">
        <f t="shared" si="28"/>
        <v>0.0467</v>
      </c>
      <c r="BH48" s="188">
        <f>IF(S88="","",S88)</f>
        <v>0.0238</v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>
        <f t="shared" ref="AS49:BG52" si="36">IF(D89="","",D89)</f>
        <v>0.0718</v>
      </c>
      <c r="AT49" s="187">
        <f t="shared" si="36"/>
        <v>0.0686</v>
      </c>
      <c r="AU49" s="187">
        <f t="shared" si="36"/>
        <v>0.0734</v>
      </c>
      <c r="AV49" s="188">
        <f t="shared" si="36"/>
        <v>0.0791</v>
      </c>
      <c r="AW49" s="186">
        <f t="shared" si="36"/>
        <v>0.0622</v>
      </c>
      <c r="AX49" s="187">
        <f t="shared" si="36"/>
        <v>0.0621</v>
      </c>
      <c r="AY49" s="187">
        <f t="shared" si="36"/>
        <v>0.0627</v>
      </c>
      <c r="AZ49" s="188">
        <f t="shared" si="36"/>
        <v>0.062</v>
      </c>
      <c r="BA49" s="186">
        <f t="shared" si="36"/>
        <v>0</v>
      </c>
      <c r="BB49" s="187">
        <f t="shared" si="36"/>
        <v>0</v>
      </c>
      <c r="BC49" s="187">
        <f t="shared" si="36"/>
        <v>0</v>
      </c>
      <c r="BD49" s="188">
        <f t="shared" si="36"/>
        <v>0</v>
      </c>
      <c r="BE49" s="186">
        <f t="shared" si="36"/>
        <v>0</v>
      </c>
      <c r="BF49" s="187">
        <f t="shared" si="36"/>
        <v>0</v>
      </c>
      <c r="BG49" s="187">
        <f t="shared" si="36"/>
        <v>0</v>
      </c>
      <c r="BH49" s="188">
        <f>IF(S89="","",S89)</f>
        <v>0</v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>
        <v>3688</v>
      </c>
      <c r="E50" s="26">
        <v>3688</v>
      </c>
      <c r="F50" s="26">
        <v>3988</v>
      </c>
      <c r="G50" s="26">
        <v>3988</v>
      </c>
      <c r="H50" s="26">
        <v>6988</v>
      </c>
      <c r="I50" s="26">
        <v>6988</v>
      </c>
      <c r="J50" s="26">
        <v>7588</v>
      </c>
      <c r="K50" s="26">
        <v>7588</v>
      </c>
      <c r="L50" s="26">
        <v>9488</v>
      </c>
      <c r="M50" s="26">
        <v>9488</v>
      </c>
      <c r="N50" s="26">
        <v>9888</v>
      </c>
      <c r="O50" s="26">
        <v>9788</v>
      </c>
      <c r="P50" s="26">
        <v>15888</v>
      </c>
      <c r="Q50" s="26">
        <v>13888</v>
      </c>
      <c r="R50" s="26">
        <v>13888</v>
      </c>
      <c r="S50" s="26">
        <v>13888</v>
      </c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>
        <f t="shared" si="36"/>
        <v>0.022</v>
      </c>
      <c r="AT50" s="187">
        <f t="shared" si="36"/>
        <v>0.0218</v>
      </c>
      <c r="AU50" s="187">
        <f t="shared" si="36"/>
        <v>0.0163</v>
      </c>
      <c r="AV50" s="188">
        <f t="shared" si="36"/>
        <v>0.0176</v>
      </c>
      <c r="AW50" s="186">
        <f t="shared" si="36"/>
        <v>0.0436</v>
      </c>
      <c r="AX50" s="187">
        <f t="shared" si="36"/>
        <v>0.0447</v>
      </c>
      <c r="AY50" s="187">
        <f t="shared" si="36"/>
        <v>0.0568</v>
      </c>
      <c r="AZ50" s="188">
        <f t="shared" si="36"/>
        <v>0.0689</v>
      </c>
      <c r="BA50" s="186">
        <f t="shared" si="36"/>
        <v>0.0417</v>
      </c>
      <c r="BB50" s="187">
        <f t="shared" si="36"/>
        <v>0.0432</v>
      </c>
      <c r="BC50" s="187">
        <f t="shared" si="36"/>
        <v>0.0592</v>
      </c>
      <c r="BD50" s="188">
        <f t="shared" si="36"/>
        <v>0.0818</v>
      </c>
      <c r="BE50" s="186">
        <f t="shared" si="36"/>
        <v>0.0478</v>
      </c>
      <c r="BF50" s="187">
        <f t="shared" si="36"/>
        <v>0.0472</v>
      </c>
      <c r="BG50" s="187">
        <f t="shared" si="36"/>
        <v>0.0659</v>
      </c>
      <c r="BH50" s="188">
        <f>IF(S90="","",S90)</f>
        <v>0.1101</v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268000</v>
      </c>
      <c r="CD50" s="108">
        <f t="shared" si="37"/>
        <v>347500</v>
      </c>
      <c r="CE50" s="108">
        <f t="shared" si="37"/>
        <v>274050</v>
      </c>
      <c r="CF50" s="108">
        <f t="shared" si="37"/>
        <v>303950</v>
      </c>
      <c r="CG50" s="219"/>
      <c r="CH50" s="219"/>
      <c r="CI50" s="197" t="s">
        <v>55</v>
      </c>
      <c r="CJ50" s="108">
        <f t="shared" ref="CJ50:CM53" si="38">Y108*AF76*0.4</f>
        <v>2680</v>
      </c>
      <c r="CK50" s="108">
        <f t="shared" si="38"/>
        <v>5560</v>
      </c>
      <c r="CL50" s="108">
        <f t="shared" si="38"/>
        <v>4060</v>
      </c>
      <c r="CM50" s="108">
        <f t="shared" si="38"/>
        <v>5080</v>
      </c>
      <c r="CN50" s="219"/>
      <c r="CO50" s="219"/>
      <c r="CP50" s="65" t="s">
        <v>38</v>
      </c>
      <c r="CQ50" s="65">
        <f>第十期!Y9*第十期!CQ62*比赛参数!D65</f>
        <v>426000</v>
      </c>
      <c r="CR50" s="65">
        <f>第十期!Z9*第十期!CR62*比赛参数!E65</f>
        <v>0</v>
      </c>
      <c r="CS50" s="65">
        <f>第十期!AA9*第十期!CS62*比赛参数!F65</f>
        <v>0</v>
      </c>
      <c r="CT50" s="65">
        <f>第十期!AB9*第十期!CT62*比赛参数!G65</f>
        <v>0</v>
      </c>
      <c r="CU50" s="65">
        <f>IF(第十期!AC9&gt;0,SUM(CQ50:CT50)/第十期!AC9,0)</f>
        <v>1200</v>
      </c>
      <c r="CW50" s="11" t="s">
        <v>38</v>
      </c>
      <c r="CX50" s="242">
        <f>IF(第十期!$CU$50*第十期!CQ93&gt;0,第十期!$CU$50+第十期!CQ68+第十期!CQ93+第十期!CQ74,0)</f>
        <v>1890.78701138812</v>
      </c>
      <c r="CY50" s="242">
        <f>IF(第十期!$CU$50*第十期!CR93&gt;0,第十期!$CU$50+第十期!CR68+第十期!CR93+第十期!CR74,0)</f>
        <v>1849.78701138812</v>
      </c>
      <c r="CZ50" s="242">
        <f>IF(第十期!$CU$50*第十期!CS93&gt;0,第十期!$CU$50+第十期!CS68+第十期!CS93+第十期!CS74,0)</f>
        <v>2007.78701138812</v>
      </c>
      <c r="DA50" s="242">
        <f>IF(第十期!$CU$50*第十期!CT93&gt;0,第十期!$CU$50+第十期!CT68+第十期!CT93+第十期!CT74,0)</f>
        <v>2057.78701138812</v>
      </c>
      <c r="DB50" s="242">
        <f>AVERAGE(CX50:DA50)</f>
        <v>1951.53701138812</v>
      </c>
      <c r="DF50" s="65" t="s">
        <v>55</v>
      </c>
      <c r="DG50" s="245">
        <f>IF(第十期!Y88&gt;0,1,0)</f>
        <v>1</v>
      </c>
      <c r="DH50" s="245">
        <f>IF(第十期!Z88&gt;0,1,0)</f>
        <v>1</v>
      </c>
      <c r="DI50" s="245">
        <f>IF(第十期!AA88&gt;0,1,0)</f>
        <v>1</v>
      </c>
      <c r="DJ50" s="245">
        <f>IF(第十期!AB88&gt;0,1,0)</f>
        <v>1</v>
      </c>
      <c r="DL50" s="245" t="s">
        <v>21</v>
      </c>
      <c r="DM50" s="248">
        <f>IF(第十期!Y9+第十期!Z9&gt;0,1,0)</f>
        <v>1</v>
      </c>
      <c r="DN50" s="248">
        <f>IF(第十期!AA9+第十期!AB9&gt;0,1,0)</f>
        <v>0</v>
      </c>
      <c r="DO50" s="246"/>
    </row>
    <row r="51" customHeight="1" spans="2:119">
      <c r="B51" s="7"/>
      <c r="C51" s="25">
        <v>2</v>
      </c>
      <c r="D51" s="26">
        <v>3899</v>
      </c>
      <c r="E51" s="26">
        <v>3899</v>
      </c>
      <c r="F51" s="26">
        <v>4299</v>
      </c>
      <c r="G51" s="26">
        <v>4299</v>
      </c>
      <c r="H51" s="26">
        <v>6499</v>
      </c>
      <c r="I51" s="26">
        <v>6499</v>
      </c>
      <c r="J51" s="26">
        <v>6999</v>
      </c>
      <c r="K51" s="26">
        <v>6999</v>
      </c>
      <c r="L51" s="26">
        <v>7399</v>
      </c>
      <c r="M51" s="26">
        <v>7399</v>
      </c>
      <c r="N51" s="26">
        <v>7799</v>
      </c>
      <c r="O51" s="26">
        <v>7999</v>
      </c>
      <c r="P51" s="26">
        <v>10199</v>
      </c>
      <c r="Q51" s="26">
        <v>10199</v>
      </c>
      <c r="R51" s="26">
        <v>11499</v>
      </c>
      <c r="S51" s="26">
        <v>11499</v>
      </c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>
        <f t="shared" si="36"/>
        <v>0.0637</v>
      </c>
      <c r="AT51" s="187">
        <f t="shared" si="36"/>
        <v>0.0608</v>
      </c>
      <c r="AU51" s="187">
        <f t="shared" si="36"/>
        <v>0.0664</v>
      </c>
      <c r="AV51" s="188">
        <f t="shared" si="36"/>
        <v>0.0621</v>
      </c>
      <c r="AW51" s="186">
        <f t="shared" si="36"/>
        <v>0.0731</v>
      </c>
      <c r="AX51" s="187">
        <f t="shared" si="36"/>
        <v>0.073</v>
      </c>
      <c r="AY51" s="187">
        <f t="shared" si="36"/>
        <v>0.0568</v>
      </c>
      <c r="AZ51" s="188">
        <f t="shared" si="36"/>
        <v>0.025</v>
      </c>
      <c r="BA51" s="186">
        <f t="shared" si="36"/>
        <v>0.0982</v>
      </c>
      <c r="BB51" s="187">
        <f t="shared" si="36"/>
        <v>0.0432</v>
      </c>
      <c r="BC51" s="187">
        <f t="shared" si="36"/>
        <v>0.0414</v>
      </c>
      <c r="BD51" s="188">
        <f t="shared" si="36"/>
        <v>0.0256</v>
      </c>
      <c r="BE51" s="186">
        <f t="shared" si="36"/>
        <v>0</v>
      </c>
      <c r="BF51" s="187">
        <f t="shared" si="36"/>
        <v>0</v>
      </c>
      <c r="BG51" s="187">
        <f t="shared" si="36"/>
        <v>0</v>
      </c>
      <c r="BH51" s="188">
        <f>IF(S91="","",S91)</f>
        <v>0</v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268000</v>
      </c>
      <c r="CD51" s="108">
        <f t="shared" si="37"/>
        <v>354450</v>
      </c>
      <c r="CE51" s="108">
        <f t="shared" si="37"/>
        <v>284200</v>
      </c>
      <c r="CF51" s="108">
        <f t="shared" si="37"/>
        <v>303950</v>
      </c>
      <c r="CG51" s="219"/>
      <c r="CH51" s="219"/>
      <c r="CI51" s="196" t="s">
        <v>56</v>
      </c>
      <c r="CJ51" s="108">
        <f t="shared" si="38"/>
        <v>2680</v>
      </c>
      <c r="CK51" s="108">
        <f t="shared" si="38"/>
        <v>5560</v>
      </c>
      <c r="CL51" s="108">
        <f t="shared" si="38"/>
        <v>4060</v>
      </c>
      <c r="CM51" s="108">
        <f t="shared" si="38"/>
        <v>5080</v>
      </c>
      <c r="CN51" s="219"/>
      <c r="CO51" s="219"/>
      <c r="CP51" s="65" t="s">
        <v>39</v>
      </c>
      <c r="CQ51" s="65">
        <f>第十期!Y10*第十期!CQ63*比赛参数!D65</f>
        <v>255000</v>
      </c>
      <c r="CR51" s="65">
        <f>第十期!Z10*第十期!CR63*比赛参数!E65</f>
        <v>0</v>
      </c>
      <c r="CS51" s="65">
        <f>第十期!AA10*第十期!CS63*比赛参数!F65</f>
        <v>115200</v>
      </c>
      <c r="CT51" s="65">
        <f>第十期!AB10*第十期!CT63*比赛参数!G65</f>
        <v>0</v>
      </c>
      <c r="CU51" s="65">
        <f>IF(第十期!AC10&gt;0,SUM(CQ51:CT51)/第十期!AC10,0)</f>
        <v>1582.05128205128</v>
      </c>
      <c r="CW51" s="11" t="s">
        <v>39</v>
      </c>
      <c r="CX51" s="242">
        <f>IF(第十期!$CU$51*第十期!CQ94&gt;0,第十期!$CU$51+第十期!CQ69+第十期!CQ94+第十期!CQ75,0)</f>
        <v>4018.51881052158</v>
      </c>
      <c r="CY51" s="242">
        <f>IF(第十期!$CU$51*第十期!CR94&gt;0,第十期!$CU$51+第十期!CR69+第十期!CR94+第十期!CR75,0)</f>
        <v>3934.51881052158</v>
      </c>
      <c r="CZ51" s="242">
        <f>IF(第十期!$CU$51*第十期!CS94&gt;0,第十期!$CU$51+第十期!CS69+第十期!CS94+第十期!CS75,0)</f>
        <v>4151.51881052158</v>
      </c>
      <c r="DA51" s="242">
        <f>IF(第十期!$CU$51*第十期!CT94&gt;0,第十期!$CU$51+第十期!CT69+第十期!CT94+第十期!CT75,0)</f>
        <v>4201.51881052158</v>
      </c>
      <c r="DB51" s="242">
        <f>AVERAGE(CX51:DA51)</f>
        <v>4076.51881052158</v>
      </c>
      <c r="DF51" s="65" t="s">
        <v>56</v>
      </c>
      <c r="DG51" s="245">
        <f>IF(第十期!Y89&gt;0,1,0)</f>
        <v>1</v>
      </c>
      <c r="DH51" s="245">
        <f>IF(第十期!Z89&gt;0,1,0)</f>
        <v>1</v>
      </c>
      <c r="DI51" s="245">
        <f>IF(第十期!AA89&gt;0,1,0)</f>
        <v>1</v>
      </c>
      <c r="DJ51" s="245">
        <f>IF(第十期!AB89&gt;0,1,0)</f>
        <v>1</v>
      </c>
      <c r="DL51" s="245" t="s">
        <v>22</v>
      </c>
      <c r="DM51" s="248">
        <f>IF(第十期!Y10+第十期!Z10&gt;0,1,0)</f>
        <v>1</v>
      </c>
      <c r="DN51" s="248">
        <f>IF(第十期!AA10+第十期!AB10&gt;0,1,0)</f>
        <v>1</v>
      </c>
      <c r="DO51" s="246"/>
    </row>
    <row r="52" customHeight="1" spans="2:119">
      <c r="B52" s="7"/>
      <c r="C52" s="25">
        <v>3</v>
      </c>
      <c r="D52" s="26">
        <v>3200</v>
      </c>
      <c r="E52" s="26">
        <v>3200</v>
      </c>
      <c r="F52" s="26">
        <v>3400</v>
      </c>
      <c r="G52" s="26">
        <v>3400</v>
      </c>
      <c r="H52" s="26">
        <v>6000</v>
      </c>
      <c r="I52" s="26">
        <v>6000</v>
      </c>
      <c r="J52" s="26">
        <v>6300</v>
      </c>
      <c r="K52" s="26">
        <v>6300</v>
      </c>
      <c r="L52" s="26">
        <v>8000</v>
      </c>
      <c r="M52" s="26">
        <v>8000</v>
      </c>
      <c r="N52" s="26">
        <v>8300</v>
      </c>
      <c r="O52" s="26">
        <v>8300</v>
      </c>
      <c r="P52" s="26">
        <v>9800</v>
      </c>
      <c r="Q52" s="26">
        <v>9800</v>
      </c>
      <c r="R52" s="26">
        <v>11000</v>
      </c>
      <c r="S52" s="26">
        <v>11000</v>
      </c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350620</v>
      </c>
      <c r="CD52" s="108">
        <f t="shared" si="37"/>
        <v>503700</v>
      </c>
      <c r="CE52" s="108">
        <f t="shared" si="37"/>
        <v>397800</v>
      </c>
      <c r="CF52" s="108">
        <f t="shared" si="37"/>
        <v>478000</v>
      </c>
      <c r="CG52" s="108" t="s">
        <v>308</v>
      </c>
      <c r="CH52" s="219"/>
      <c r="CI52" s="196" t="s">
        <v>57</v>
      </c>
      <c r="CJ52" s="108">
        <f t="shared" si="38"/>
        <v>5968</v>
      </c>
      <c r="CK52" s="108">
        <f t="shared" si="38"/>
        <v>11680</v>
      </c>
      <c r="CL52" s="108">
        <f t="shared" si="38"/>
        <v>8160</v>
      </c>
      <c r="CM52" s="108">
        <f t="shared" si="38"/>
        <v>10400</v>
      </c>
      <c r="CN52" s="108" t="s">
        <v>308</v>
      </c>
      <c r="CO52" s="219"/>
      <c r="CP52" s="65" t="s">
        <v>40</v>
      </c>
      <c r="CQ52" s="65">
        <f>第十期!Y11*第十期!CQ64*比赛参数!D65</f>
        <v>0</v>
      </c>
      <c r="CR52" s="65">
        <f>第十期!Z11*第十期!CR64*比赛参数!E65</f>
        <v>0</v>
      </c>
      <c r="CS52" s="65">
        <f>第十期!AA11*第十期!CS64*比赛参数!F65</f>
        <v>163200</v>
      </c>
      <c r="CT52" s="65">
        <f>第十期!AB11*第十期!CT64*比赛参数!G65</f>
        <v>0</v>
      </c>
      <c r="CU52" s="65">
        <f>IF(第十期!AC11&gt;0,SUM(CQ52:CT52)/第十期!AC11,0)</f>
        <v>1920</v>
      </c>
      <c r="CW52" s="11" t="s">
        <v>40</v>
      </c>
      <c r="CX52" s="242">
        <f>IF(第十期!$CU$52*第十期!CQ95&gt;0,第十期!$CU$52+第十期!CQ70+第十期!CQ95+第十期!CQ76,0)</f>
        <v>5945.59064327485</v>
      </c>
      <c r="CY52" s="242">
        <f>IF(第十期!$CU$52*第十期!CR95&gt;0,第十期!$CU$52+第十期!CR70+第十期!CR95+第十期!CR76,0)</f>
        <v>5833.59064327485</v>
      </c>
      <c r="CZ52" s="242">
        <f>IF(第十期!$CU$52*第十期!CS95&gt;0,第十期!$CU$52+第十期!CS70+第十期!CS95+第十期!CS76,0)</f>
        <v>6089.59064327485</v>
      </c>
      <c r="DA52" s="242">
        <f>IF(第十期!$CU$52*第十期!CT95&gt;0,第十期!$CU$52+第十期!CT70+第十期!CT95+第十期!CT76,0)</f>
        <v>6139.59064327485</v>
      </c>
      <c r="DB52" s="242">
        <f>AVERAGE(CX52:DA52)</f>
        <v>6002.09064327485</v>
      </c>
      <c r="DF52" s="65" t="s">
        <v>57</v>
      </c>
      <c r="DG52" s="245">
        <f>IF(第十期!Y90&gt;0,1,0)</f>
        <v>1</v>
      </c>
      <c r="DH52" s="245">
        <f>IF(第十期!Z90&gt;0,1,0)</f>
        <v>1</v>
      </c>
      <c r="DI52" s="245">
        <f>IF(第十期!AA90&gt;0,1,0)</f>
        <v>1</v>
      </c>
      <c r="DJ52" s="245">
        <f>IF(第十期!AB90&gt;0,1,0)</f>
        <v>1</v>
      </c>
      <c r="DL52" s="245" t="s">
        <v>23</v>
      </c>
      <c r="DM52" s="248">
        <f>IF(第十期!Y11+第十期!Z11&gt;0,1,0)</f>
        <v>0</v>
      </c>
      <c r="DN52" s="248">
        <f>IF(第十期!AA11+第十期!AB11&gt;0,1,0)</f>
        <v>1</v>
      </c>
      <c r="DO52" s="246"/>
    </row>
    <row r="53" customHeight="1" spans="2:119">
      <c r="B53" s="7"/>
      <c r="C53" s="25">
        <v>4</v>
      </c>
      <c r="D53" s="26">
        <v>4233</v>
      </c>
      <c r="E53" s="26">
        <v>4233</v>
      </c>
      <c r="F53" s="26">
        <v>4888</v>
      </c>
      <c r="G53" s="26">
        <v>4888</v>
      </c>
      <c r="H53" s="26">
        <v>7000</v>
      </c>
      <c r="I53" s="26">
        <v>7000</v>
      </c>
      <c r="J53" s="26">
        <v>7500</v>
      </c>
      <c r="K53" s="26">
        <v>7500</v>
      </c>
      <c r="L53" s="26">
        <v>9900</v>
      </c>
      <c r="M53" s="26">
        <v>9900</v>
      </c>
      <c r="N53" s="26">
        <v>10400</v>
      </c>
      <c r="O53" s="26">
        <v>10400</v>
      </c>
      <c r="P53" s="26">
        <v>12100</v>
      </c>
      <c r="Q53" s="26">
        <v>12100</v>
      </c>
      <c r="R53" s="26">
        <v>12500</v>
      </c>
      <c r="S53" s="26">
        <v>12600</v>
      </c>
      <c r="T53" s="10"/>
      <c r="AK53" s="167">
        <f>Y20</f>
        <v>195.5</v>
      </c>
      <c r="AL53" s="168"/>
      <c r="AM53" s="168"/>
      <c r="AN53" s="169"/>
      <c r="CB53" s="196" t="s">
        <v>58</v>
      </c>
      <c r="CC53" s="108">
        <f t="shared" si="37"/>
        <v>326450</v>
      </c>
      <c r="CD53" s="108">
        <f t="shared" si="37"/>
        <v>495800</v>
      </c>
      <c r="CE53" s="108">
        <f t="shared" si="37"/>
        <v>436800</v>
      </c>
      <c r="CF53" s="108">
        <f t="shared" si="37"/>
        <v>536150</v>
      </c>
      <c r="CG53" s="108">
        <f>SUM(CC50:CF53)</f>
        <v>5929420</v>
      </c>
      <c r="CH53" s="219"/>
      <c r="CI53" s="196" t="s">
        <v>58</v>
      </c>
      <c r="CJ53" s="108">
        <f t="shared" si="38"/>
        <v>6080</v>
      </c>
      <c r="CK53" s="108">
        <f t="shared" si="38"/>
        <v>8880</v>
      </c>
      <c r="CL53" s="108">
        <f t="shared" si="38"/>
        <v>8320</v>
      </c>
      <c r="CM53" s="108">
        <f t="shared" si="38"/>
        <v>10520</v>
      </c>
      <c r="CN53" s="108">
        <f>SUM(CJ50:CM53)</f>
        <v>104768</v>
      </c>
      <c r="CO53" s="219"/>
      <c r="CP53" s="65" t="s">
        <v>41</v>
      </c>
      <c r="CQ53" s="65">
        <f>第十期!Y12*第十期!CQ65*比赛参数!D65</f>
        <v>0</v>
      </c>
      <c r="CR53" s="65">
        <f>第十期!Z12*第十期!CR65*比赛参数!E65</f>
        <v>0</v>
      </c>
      <c r="CS53" s="65">
        <f>第十期!AA12*第十期!CS65*比赛参数!F65</f>
        <v>123120</v>
      </c>
      <c r="CT53" s="65">
        <f>第十期!AB12*第十期!CT65*比赛参数!G65</f>
        <v>243000</v>
      </c>
      <c r="CU53" s="65">
        <f>IF(第十期!AC12&gt;0,SUM(CQ53:CT53)/第十期!AC12,0)</f>
        <v>2773.63636363636</v>
      </c>
      <c r="CW53" s="11" t="s">
        <v>41</v>
      </c>
      <c r="CX53" s="242">
        <f>IF(第十期!$CU$53*第十期!CQ96&gt;0,第十期!$CU$53+第十期!CQ71+第十期!CQ96+第十期!CQ77,0)</f>
        <v>8368.12882285459</v>
      </c>
      <c r="CY53" s="242">
        <f>IF(第十期!$CU$53*第十期!CR96&gt;0,第十期!$CU$53+第十期!CR71+第十期!CR96+第十期!CR77,0)</f>
        <v>8230.12882285459</v>
      </c>
      <c r="CZ53" s="242">
        <f>IF(第十期!$CU$53*第十期!CS96&gt;0,第十期!$CU$53+第十期!CS71+第十期!CS96+第十期!CS77,0)</f>
        <v>8574.12882285459</v>
      </c>
      <c r="DA53" s="242">
        <f>IF(第十期!$CU$53*第十期!CT96&gt;0,第十期!$CU$53+第十期!CT71+第十期!CT96+第十期!CT77,0)</f>
        <v>8624.12882285459</v>
      </c>
      <c r="DB53" s="242">
        <f>AVERAGE(CX53:DA53)</f>
        <v>8449.12882285459</v>
      </c>
      <c r="DF53" s="65" t="s">
        <v>58</v>
      </c>
      <c r="DG53" s="245">
        <f>IF(第十期!Y91&gt;0,1,0)</f>
        <v>1</v>
      </c>
      <c r="DH53" s="245">
        <f>IF(第十期!Z91&gt;0,1,0)</f>
        <v>1</v>
      </c>
      <c r="DI53" s="245">
        <f>IF(第十期!AA91&gt;0,1,0)</f>
        <v>1</v>
      </c>
      <c r="DJ53" s="245">
        <f>IF(第十期!AB91&gt;0,1,0)</f>
        <v>1</v>
      </c>
      <c r="DL53" s="245" t="s">
        <v>24</v>
      </c>
      <c r="DM53" s="248">
        <f>IF(第十期!Y12+第十期!Z12&gt;0,1,0)</f>
        <v>0</v>
      </c>
      <c r="DN53" s="248">
        <f>IF(第十期!AA12+第十期!AB12&gt;0,1,0)</f>
        <v>1</v>
      </c>
      <c r="DO53" s="246"/>
    </row>
    <row r="54" customHeight="1" spans="2:119">
      <c r="B54" s="7"/>
      <c r="C54" s="25">
        <v>5</v>
      </c>
      <c r="D54" s="26">
        <v>3150</v>
      </c>
      <c r="E54" s="26">
        <v>3150</v>
      </c>
      <c r="F54" s="26">
        <v>3500</v>
      </c>
      <c r="G54" s="26">
        <v>3550</v>
      </c>
      <c r="H54" s="26">
        <v>7200</v>
      </c>
      <c r="I54" s="26">
        <v>7200</v>
      </c>
      <c r="J54" s="26">
        <v>7500</v>
      </c>
      <c r="K54" s="26">
        <v>7500</v>
      </c>
      <c r="L54" s="26">
        <v>9500</v>
      </c>
      <c r="M54" s="26">
        <v>9500</v>
      </c>
      <c r="N54" s="26">
        <v>9900</v>
      </c>
      <c r="O54" s="26">
        <v>10100</v>
      </c>
      <c r="P54" s="26">
        <v>12300</v>
      </c>
      <c r="Q54" s="26">
        <v>12300</v>
      </c>
      <c r="R54" s="26">
        <v>12600</v>
      </c>
      <c r="S54" s="26">
        <v>12700</v>
      </c>
      <c r="T54" s="10"/>
      <c r="AK54" s="126">
        <f>AA20</f>
        <v>150</v>
      </c>
      <c r="AL54" s="48"/>
      <c r="AM54" s="48"/>
      <c r="AN54" s="50"/>
      <c r="AR54" s="2" t="s">
        <v>25</v>
      </c>
      <c r="AS54" s="114">
        <f>SUM(AS33:AS52)/比赛参数!$G$4</f>
        <v>0.0526315789473684</v>
      </c>
      <c r="AT54" s="114">
        <f>SUM(AT33:AT52)/比赛参数!$G$4</f>
        <v>0.052621052631579</v>
      </c>
      <c r="AU54" s="114">
        <f>SUM(AU33:AU52)/比赛参数!$G$4</f>
        <v>0.0526210526315789</v>
      </c>
      <c r="AV54" s="114">
        <f>SUM(AV33:AV52)/比赛参数!$G$4</f>
        <v>0.0526368421052631</v>
      </c>
      <c r="AW54" s="114">
        <f>SUM(AW33:AW52)/比赛参数!$G$4</f>
        <v>0.0526421052631579</v>
      </c>
      <c r="AX54" s="114">
        <f>SUM(AX33:AX52)/比赛参数!$G$4</f>
        <v>0.0526315789473684</v>
      </c>
      <c r="AY54" s="114">
        <f>SUM(AY33:AY52)/比赛参数!$G$4</f>
        <v>0.0526315789473684</v>
      </c>
      <c r="AZ54" s="114">
        <f>SUM(AZ33:AZ52)/比赛参数!$G$4</f>
        <v>0.0526421052631579</v>
      </c>
      <c r="BA54" s="114">
        <f>SUM(BA33:BA52)/比赛参数!$G$4</f>
        <v>0.0526368421052632</v>
      </c>
      <c r="BB54" s="114">
        <f>SUM(BB33:BB52)/比赛参数!$G$4</f>
        <v>0.0526315789473684</v>
      </c>
      <c r="BC54" s="114">
        <f>SUM(BC33:BC52)/比赛参数!$G$4</f>
        <v>0.0526315789473684</v>
      </c>
      <c r="BD54" s="114">
        <f>SUM(BD33:BD52)/比赛参数!$G$4</f>
        <v>0.0526315789473684</v>
      </c>
      <c r="BE54" s="114">
        <f>SUM(BE33:BE52)/比赛参数!$G$4</f>
        <v>0.0526263157894737</v>
      </c>
      <c r="BF54" s="114">
        <f>SUM(BF33:BF52)/比赛参数!$G$4</f>
        <v>0.0526263157894737</v>
      </c>
      <c r="BG54" s="114">
        <f>SUM(BG33:BG52)/比赛参数!$G$4</f>
        <v>0.0526263157894737</v>
      </c>
      <c r="BH54" s="114">
        <f>SUM(BH33:BH52)/比赛参数!$G$4</f>
        <v>0.0526315789473684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1213070</v>
      </c>
      <c r="CD54" s="219">
        <f>SUM(CD50:CD53)</f>
        <v>1701450</v>
      </c>
      <c r="CE54" s="219">
        <f>SUM(CE50:CE53)</f>
        <v>1392850</v>
      </c>
      <c r="CF54" s="219">
        <f>SUM(CF50:CF53)</f>
        <v>1622050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>
        <v>3700</v>
      </c>
      <c r="E55" s="26">
        <v>3700</v>
      </c>
      <c r="F55" s="26">
        <v>4000</v>
      </c>
      <c r="G55" s="26">
        <v>4000</v>
      </c>
      <c r="H55" s="26">
        <v>6521</v>
      </c>
      <c r="I55" s="26">
        <v>6999</v>
      </c>
      <c r="J55" s="26">
        <v>6999</v>
      </c>
      <c r="K55" s="26">
        <v>6521</v>
      </c>
      <c r="L55" s="26">
        <v>11000</v>
      </c>
      <c r="M55" s="26">
        <v>12000</v>
      </c>
      <c r="N55" s="26">
        <v>12000</v>
      </c>
      <c r="O55" s="26">
        <v>11000</v>
      </c>
      <c r="P55" s="26">
        <v>9999</v>
      </c>
      <c r="Q55" s="26">
        <v>9999</v>
      </c>
      <c r="R55" s="26">
        <v>11999</v>
      </c>
      <c r="S55" s="26">
        <v>11999</v>
      </c>
      <c r="T55" s="10"/>
      <c r="Y55" s="2">
        <f>SUM(Y57:Y60)</f>
        <v>86</v>
      </c>
      <c r="Z55" s="2">
        <f>SUM(Z57:Z60)</f>
        <v>19</v>
      </c>
      <c r="AA55" s="2">
        <f>SUM(AA57:AA60)</f>
        <v>30</v>
      </c>
      <c r="AB55" s="2">
        <f>SUM(AB57:AB60)</f>
        <v>0</v>
      </c>
      <c r="AF55" s="2">
        <f>SUM(AF57:AF60)</f>
        <v>1</v>
      </c>
      <c r="AG55" s="2">
        <f>SUM(AG57:AG60)</f>
        <v>0</v>
      </c>
      <c r="AH55" s="2">
        <f>SUM(AH57:AH60)</f>
        <v>0</v>
      </c>
      <c r="AI55" s="2">
        <f>SUM(AI57:AI60)</f>
        <v>8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第十期!K11</f>
        <v>2939309.3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>
        <v>3600</v>
      </c>
      <c r="E56" s="26">
        <v>3600</v>
      </c>
      <c r="F56" s="26">
        <v>3800</v>
      </c>
      <c r="G56" s="26">
        <v>3800</v>
      </c>
      <c r="H56" s="26">
        <v>6250</v>
      </c>
      <c r="I56" s="26">
        <v>5900</v>
      </c>
      <c r="J56" s="26">
        <v>6100</v>
      </c>
      <c r="K56" s="26">
        <v>6100</v>
      </c>
      <c r="L56" s="26">
        <v>8000</v>
      </c>
      <c r="M56" s="26">
        <v>8000</v>
      </c>
      <c r="N56" s="26">
        <v>8300</v>
      </c>
      <c r="O56" s="26">
        <v>8300</v>
      </c>
      <c r="P56" s="26">
        <v>10000</v>
      </c>
      <c r="Q56" s="26">
        <v>10100</v>
      </c>
      <c r="R56" s="26">
        <v>11100</v>
      </c>
      <c r="S56" s="26">
        <v>11400</v>
      </c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86</v>
      </c>
      <c r="AL56" s="48">
        <f>Z55</f>
        <v>19</v>
      </c>
      <c r="AM56" s="48">
        <f>AA55</f>
        <v>30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第十期!AH14</f>
        <v>0</v>
      </c>
      <c r="BT56" s="130"/>
      <c r="BU56" s="130"/>
      <c r="BV56" s="130">
        <f>BV55+BS56</f>
        <v>2939309.3</v>
      </c>
      <c r="BW56" s="126"/>
      <c r="CB56" s="196" t="s">
        <v>151</v>
      </c>
      <c r="CC56" s="108">
        <f>第十期!DU26</f>
        <v>0</v>
      </c>
      <c r="CD56" s="108">
        <f>第十期!DU27</f>
        <v>54</v>
      </c>
      <c r="CE56" s="108">
        <f>第十期!DU28</f>
        <v>49</v>
      </c>
      <c r="CF56" s="108">
        <f>第十期!DU29</f>
        <v>33</v>
      </c>
      <c r="CG56" s="219"/>
      <c r="CH56" s="219"/>
      <c r="CI56" s="197" t="s">
        <v>55</v>
      </c>
      <c r="CJ56" s="108">
        <f t="shared" ref="CJ56:CM59" si="39">Y108*(CJ19+CC27)</f>
        <v>4028.01402277624</v>
      </c>
      <c r="CK56" s="108">
        <f t="shared" si="39"/>
        <v>9425.51381151935</v>
      </c>
      <c r="CL56" s="108">
        <f t="shared" si="39"/>
        <v>7202.59064327485</v>
      </c>
      <c r="CM56" s="108">
        <f t="shared" si="39"/>
        <v>9782.12882285459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第十期!BS7-第十期!CX50</f>
        <v>1459.21298861188</v>
      </c>
      <c r="CY56" s="242">
        <f>第十期!BT7-第十期!CY50</f>
        <v>1500.21298861188</v>
      </c>
      <c r="CZ56" s="242">
        <f>第十期!BU7-第十期!CZ50</f>
        <v>1722.21298861188</v>
      </c>
      <c r="DA56" s="242">
        <f>第十期!BV7-第十期!DA50</f>
        <v>1742.21298861188</v>
      </c>
      <c r="DB56" s="242">
        <f>AVERAGE(CX56:DA56)</f>
        <v>1605.96298861188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10000</v>
      </c>
      <c r="DN56" s="245">
        <f>比赛参数!E44*DN50</f>
        <v>0</v>
      </c>
    </row>
    <row r="57" customHeight="1" spans="2:118">
      <c r="B57" s="7"/>
      <c r="C57" s="25">
        <v>8</v>
      </c>
      <c r="D57" s="26">
        <v>3200</v>
      </c>
      <c r="E57" s="26">
        <v>3200</v>
      </c>
      <c r="F57" s="26">
        <v>3700</v>
      </c>
      <c r="G57" s="26">
        <v>3700</v>
      </c>
      <c r="H57" s="26">
        <v>6600</v>
      </c>
      <c r="I57" s="26">
        <v>6600</v>
      </c>
      <c r="J57" s="26">
        <v>7000</v>
      </c>
      <c r="K57" s="26">
        <v>7000</v>
      </c>
      <c r="L57" s="26">
        <v>9200</v>
      </c>
      <c r="M57" s="26">
        <v>9200</v>
      </c>
      <c r="N57" s="26">
        <v>9500</v>
      </c>
      <c r="O57" s="26">
        <v>9500</v>
      </c>
      <c r="P57" s="26">
        <v>11400</v>
      </c>
      <c r="Q57" s="26">
        <v>11400</v>
      </c>
      <c r="R57" s="26">
        <v>11900</v>
      </c>
      <c r="S57" s="26">
        <v>11900</v>
      </c>
      <c r="T57" s="10"/>
      <c r="X57" s="64" t="s">
        <v>55</v>
      </c>
      <c r="Y57" s="127">
        <f>第十期!DX6</f>
        <v>32</v>
      </c>
      <c r="Z57" s="127">
        <f>第十期!DX10</f>
        <v>10</v>
      </c>
      <c r="AA57" s="127">
        <f>第十期!DX14</f>
        <v>6</v>
      </c>
      <c r="AB57" s="127">
        <f>第十期!DX18</f>
        <v>0</v>
      </c>
      <c r="AC57" s="128"/>
      <c r="AE57" s="64" t="s">
        <v>55</v>
      </c>
      <c r="AF57" s="127">
        <f>第十期!DW6</f>
        <v>0</v>
      </c>
      <c r="AG57" s="127">
        <f>第十期!DW10</f>
        <v>0</v>
      </c>
      <c r="AH57" s="127">
        <f>第十期!DW14</f>
        <v>0</v>
      </c>
      <c r="AI57" s="127">
        <f>第十期!DW18</f>
        <v>1</v>
      </c>
      <c r="AJ57" s="126"/>
      <c r="AK57" s="126">
        <f>D42</f>
        <v>0</v>
      </c>
      <c r="AL57" s="48">
        <f>D43</f>
        <v>54</v>
      </c>
      <c r="AM57" s="48">
        <f>D44</f>
        <v>49</v>
      </c>
      <c r="AN57" s="50">
        <f>D45</f>
        <v>33</v>
      </c>
      <c r="AO57" s="173"/>
      <c r="AR57" s="190">
        <v>1</v>
      </c>
      <c r="AS57" s="191">
        <f t="shared" ref="AS57:BH72" si="40">IF(AS33="","",(AS33-AS$54)^2)</f>
        <v>0.000938293628808864</v>
      </c>
      <c r="AT57" s="191">
        <f t="shared" si="40"/>
        <v>0.000999890969529086</v>
      </c>
      <c r="AU57" s="191">
        <f t="shared" si="40"/>
        <v>0.000968519916897507</v>
      </c>
      <c r="AV57" s="191">
        <f t="shared" si="40"/>
        <v>0.000808653988919667</v>
      </c>
      <c r="AW57" s="191">
        <f t="shared" si="40"/>
        <v>0.000208574404432133</v>
      </c>
      <c r="AX57" s="191">
        <f t="shared" si="40"/>
        <v>0.00015206783933518</v>
      </c>
      <c r="AY57" s="191">
        <f t="shared" si="40"/>
        <v>0.000104685207756233</v>
      </c>
      <c r="AZ57" s="191">
        <f t="shared" si="40"/>
        <v>5.74404432132971e-7</v>
      </c>
      <c r="BA57" s="191">
        <f t="shared" si="40"/>
        <v>0.000770792936288089</v>
      </c>
      <c r="BB57" s="191">
        <f t="shared" si="40"/>
        <v>0.00135928047091413</v>
      </c>
      <c r="BC57" s="191">
        <f t="shared" si="40"/>
        <v>0.000588956260387811</v>
      </c>
      <c r="BD57" s="191">
        <f t="shared" si="40"/>
        <v>0.0024669520498615</v>
      </c>
      <c r="BE57" s="191">
        <f t="shared" si="40"/>
        <v>0.00276952911357341</v>
      </c>
      <c r="BF57" s="191">
        <f t="shared" si="40"/>
        <v>0.00136355279778393</v>
      </c>
      <c r="BG57" s="191">
        <f t="shared" si="40"/>
        <v>0.000779879113573407</v>
      </c>
      <c r="BH57" s="191">
        <f t="shared" si="40"/>
        <v>0.000521280997229917</v>
      </c>
      <c r="BR57" s="209" t="s">
        <v>295</v>
      </c>
      <c r="BS57" s="130">
        <f>第十期!AH15</f>
        <v>3583785</v>
      </c>
      <c r="BT57" s="130"/>
      <c r="BU57" s="130"/>
      <c r="BV57" s="130">
        <f>BV56+BS57</f>
        <v>6523094.3</v>
      </c>
      <c r="BW57" s="126"/>
      <c r="CB57" s="196" t="s">
        <v>327</v>
      </c>
      <c r="CC57" s="108">
        <f>AC9</f>
        <v>355</v>
      </c>
      <c r="CD57" s="108">
        <f>AC10</f>
        <v>234</v>
      </c>
      <c r="CE57" s="108">
        <f>AC11</f>
        <v>85</v>
      </c>
      <c r="CF57" s="108">
        <f>AC12</f>
        <v>132</v>
      </c>
      <c r="CG57" s="219"/>
      <c r="CH57" s="219"/>
      <c r="CI57" s="196" t="s">
        <v>56</v>
      </c>
      <c r="CJ57" s="108">
        <f t="shared" si="39"/>
        <v>3836.1862676742</v>
      </c>
      <c r="CK57" s="108">
        <f t="shared" si="39"/>
        <v>8960.31034831589</v>
      </c>
      <c r="CL57" s="108">
        <f t="shared" si="39"/>
        <v>6847.50730994152</v>
      </c>
      <c r="CM57" s="108">
        <f t="shared" si="39"/>
        <v>9406.12882285459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第十期!BS8-第十期!CX51</f>
        <v>2931.48118947842</v>
      </c>
      <c r="CY57" s="242">
        <f>第十期!BT8-第十期!CY51</f>
        <v>3015.48118947842</v>
      </c>
      <c r="CZ57" s="242">
        <f>第十期!BU8-第十期!CZ51</f>
        <v>3148.48118947842</v>
      </c>
      <c r="DA57" s="242">
        <f>第十期!BV8-第十期!DA51</f>
        <v>3198.48118947842</v>
      </c>
      <c r="DB57" s="242">
        <f>AVERAGE(CX57:DA57)</f>
        <v>3073.48118947842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18000</v>
      </c>
    </row>
    <row r="58" customHeight="1" spans="2:118">
      <c r="B58" s="7"/>
      <c r="C58" s="25">
        <v>9</v>
      </c>
      <c r="D58" s="26">
        <v>3099</v>
      </c>
      <c r="E58" s="26">
        <v>3099</v>
      </c>
      <c r="F58" s="26">
        <v>3199</v>
      </c>
      <c r="G58" s="26">
        <v>3399</v>
      </c>
      <c r="H58" s="26">
        <v>6999</v>
      </c>
      <c r="I58" s="26">
        <v>6999</v>
      </c>
      <c r="J58" s="26">
        <v>7999</v>
      </c>
      <c r="K58" s="26">
        <v>7999</v>
      </c>
      <c r="L58" s="26">
        <v>8799</v>
      </c>
      <c r="M58" s="26">
        <v>8799</v>
      </c>
      <c r="N58" s="26">
        <v>9599</v>
      </c>
      <c r="O58" s="26">
        <v>9699</v>
      </c>
      <c r="P58" s="26">
        <v>10999</v>
      </c>
      <c r="Q58" s="26">
        <v>10999</v>
      </c>
      <c r="R58" s="26">
        <v>11999</v>
      </c>
      <c r="S58" s="26">
        <v>12199</v>
      </c>
      <c r="T58" s="10"/>
      <c r="X58" s="11" t="s">
        <v>56</v>
      </c>
      <c r="Y58" s="127">
        <f>第十期!DX7</f>
        <v>33</v>
      </c>
      <c r="Z58" s="127">
        <f>第十期!DX11</f>
        <v>9</v>
      </c>
      <c r="AA58" s="127">
        <f>第十期!DX15</f>
        <v>5</v>
      </c>
      <c r="AB58" s="127">
        <f>第十期!DX19</f>
        <v>0</v>
      </c>
      <c r="AC58" s="128"/>
      <c r="AE58" s="11" t="s">
        <v>56</v>
      </c>
      <c r="AF58" s="127">
        <f>第十期!DW7</f>
        <v>0</v>
      </c>
      <c r="AG58" s="127">
        <f>第十期!DW11</f>
        <v>0</v>
      </c>
      <c r="AH58" s="127">
        <f>第十期!DW15</f>
        <v>0</v>
      </c>
      <c r="AI58" s="127">
        <f>第十期!DW19</f>
        <v>1</v>
      </c>
      <c r="AK58" s="126">
        <f>AF55</f>
        <v>1</v>
      </c>
      <c r="AL58" s="48">
        <f>AG55</f>
        <v>0</v>
      </c>
      <c r="AM58" s="48">
        <f>AH55</f>
        <v>0</v>
      </c>
      <c r="AN58" s="50">
        <f>AI55</f>
        <v>8</v>
      </c>
      <c r="AR58" s="190">
        <v>2</v>
      </c>
      <c r="AS58" s="191">
        <f t="shared" si="40"/>
        <v>0.00197416520775623</v>
      </c>
      <c r="AT58" s="191">
        <f t="shared" si="40"/>
        <v>0.00200892675900277</v>
      </c>
      <c r="AU58" s="191">
        <f t="shared" si="40"/>
        <v>0.0020268951800554</v>
      </c>
      <c r="AV58" s="191">
        <f t="shared" si="40"/>
        <v>0.00211939083102493</v>
      </c>
      <c r="AW58" s="191">
        <f t="shared" si="40"/>
        <v>1.17036011080332e-7</v>
      </c>
      <c r="AX58" s="191">
        <f t="shared" si="40"/>
        <v>1.09944598337949e-7</v>
      </c>
      <c r="AY58" s="191">
        <f t="shared" si="40"/>
        <v>7.00304709141275e-5</v>
      </c>
      <c r="AZ58" s="191">
        <f t="shared" si="40"/>
        <v>7.32375623268698e-5</v>
      </c>
      <c r="BA58" s="191">
        <f t="shared" si="40"/>
        <v>0.0027706371468144</v>
      </c>
      <c r="BB58" s="191">
        <f t="shared" si="40"/>
        <v>0.00277008310249307</v>
      </c>
      <c r="BC58" s="191">
        <f t="shared" si="40"/>
        <v>0.00277008310249308</v>
      </c>
      <c r="BD58" s="191">
        <f t="shared" si="40"/>
        <v>0.00277008310249307</v>
      </c>
      <c r="BE58" s="191">
        <f t="shared" si="40"/>
        <v>0.00215051858725762</v>
      </c>
      <c r="BF58" s="191">
        <f t="shared" si="40"/>
        <v>0.00681841332409972</v>
      </c>
      <c r="BG58" s="191">
        <f t="shared" si="40"/>
        <v>0.011984487534626</v>
      </c>
      <c r="BH58" s="191">
        <f t="shared" si="40"/>
        <v>1.49646814404431e-5</v>
      </c>
      <c r="BR58" s="209" t="s">
        <v>328</v>
      </c>
      <c r="BS58" s="130">
        <f>第十期!H5+第十期!H4*比赛参数!F71</f>
        <v>120000</v>
      </c>
      <c r="BT58" s="130"/>
      <c r="BU58" s="130"/>
      <c r="BV58" s="130">
        <f t="shared" ref="BV58:BV64" si="41">BV57-BS58</f>
        <v>6403094.3</v>
      </c>
      <c r="BW58" s="126"/>
      <c r="CB58" s="196" t="s">
        <v>329</v>
      </c>
      <c r="CC58" s="108">
        <f>Y92</f>
        <v>266</v>
      </c>
      <c r="CD58" s="108">
        <f>Z92</f>
        <v>229</v>
      </c>
      <c r="CE58" s="108">
        <f>AA92</f>
        <v>112</v>
      </c>
      <c r="CF58" s="108">
        <f>AB92</f>
        <v>132</v>
      </c>
      <c r="CG58" s="219"/>
      <c r="CH58" s="219"/>
      <c r="CI58" s="196" t="s">
        <v>57</v>
      </c>
      <c r="CJ58" s="108">
        <f t="shared" si="39"/>
        <v>9044.13505853949</v>
      </c>
      <c r="CK58" s="108">
        <f t="shared" si="39"/>
        <v>19663.6094886617</v>
      </c>
      <c r="CL58" s="108">
        <f t="shared" si="39"/>
        <v>14811.4393510658</v>
      </c>
      <c r="CM58" s="108">
        <f t="shared" si="39"/>
        <v>20071.3345687861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第十期!BS9-第十期!CX52</f>
        <v>4204.40935672515</v>
      </c>
      <c r="CY58" s="242">
        <f>第十期!BT9-第十期!CY52</f>
        <v>4316.40935672515</v>
      </c>
      <c r="CZ58" s="242">
        <f>第十期!BU9-第十期!CZ52</f>
        <v>4110.40935672515</v>
      </c>
      <c r="DA58" s="242">
        <f>第十期!BV9-第十期!DA52</f>
        <v>4260.40935672515</v>
      </c>
      <c r="DB58" s="242">
        <f>AVERAGE(CX58:DA58)</f>
        <v>4222.90935672515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24000</v>
      </c>
    </row>
    <row r="59" customHeight="1" spans="2:118">
      <c r="B59" s="7"/>
      <c r="C59" s="25">
        <v>10</v>
      </c>
      <c r="D59" s="26">
        <v>3150</v>
      </c>
      <c r="E59" s="26">
        <v>3200</v>
      </c>
      <c r="F59" s="26">
        <v>3450</v>
      </c>
      <c r="G59" s="26">
        <v>3400</v>
      </c>
      <c r="H59" s="26">
        <v>6800</v>
      </c>
      <c r="I59" s="26">
        <v>6800</v>
      </c>
      <c r="J59" s="26">
        <v>7500</v>
      </c>
      <c r="K59" s="26">
        <v>7500</v>
      </c>
      <c r="L59" s="26">
        <v>9000</v>
      </c>
      <c r="M59" s="26">
        <v>9000</v>
      </c>
      <c r="N59" s="26">
        <v>9100</v>
      </c>
      <c r="O59" s="26">
        <v>9100</v>
      </c>
      <c r="P59" s="26">
        <v>11500</v>
      </c>
      <c r="Q59" s="26">
        <v>11500</v>
      </c>
      <c r="R59" s="26">
        <v>12000</v>
      </c>
      <c r="S59" s="26">
        <v>12000</v>
      </c>
      <c r="T59" s="10"/>
      <c r="X59" s="11" t="s">
        <v>57</v>
      </c>
      <c r="Y59" s="127">
        <f>第十期!DX8</f>
        <v>21</v>
      </c>
      <c r="Z59" s="127">
        <f>第十期!DX12</f>
        <v>0</v>
      </c>
      <c r="AA59" s="127">
        <f>第十期!DX16</f>
        <v>10</v>
      </c>
      <c r="AB59" s="127">
        <f>第十期!DX20</f>
        <v>0</v>
      </c>
      <c r="AC59" s="129"/>
      <c r="AE59" s="11" t="s">
        <v>57</v>
      </c>
      <c r="AF59" s="127">
        <f>第十期!DW8</f>
        <v>0</v>
      </c>
      <c r="AG59" s="127">
        <f>第十期!DW12</f>
        <v>0</v>
      </c>
      <c r="AH59" s="127">
        <f>第十期!DW16</f>
        <v>0</v>
      </c>
      <c r="AI59" s="127">
        <f>第十期!DW20</f>
        <v>3</v>
      </c>
      <c r="AK59" s="126"/>
      <c r="AL59" s="48"/>
      <c r="AM59" s="48"/>
      <c r="AN59" s="50"/>
      <c r="AR59" s="190">
        <v>3</v>
      </c>
      <c r="AS59" s="191">
        <f t="shared" si="40"/>
        <v>1.34573130193906e-5</v>
      </c>
      <c r="AT59" s="191">
        <f t="shared" si="40"/>
        <v>1.38991689750692e-6</v>
      </c>
      <c r="AU59" s="191">
        <f t="shared" si="40"/>
        <v>7.35983379501385e-5</v>
      </c>
      <c r="AV59" s="191">
        <f t="shared" si="40"/>
        <v>0.000311987146814405</v>
      </c>
      <c r="AW59" s="191">
        <f t="shared" si="40"/>
        <v>0.000223738614958449</v>
      </c>
      <c r="AX59" s="191">
        <f t="shared" si="40"/>
        <v>0.000189569418282549</v>
      </c>
      <c r="AY59" s="191">
        <f t="shared" si="40"/>
        <v>1.87625761772853e-5</v>
      </c>
      <c r="AZ59" s="191">
        <f t="shared" si="40"/>
        <v>1.25465096952909e-5</v>
      </c>
      <c r="BA59" s="191">
        <f t="shared" si="40"/>
        <v>9.72818836565097e-5</v>
      </c>
      <c r="BB59" s="191">
        <f t="shared" si="40"/>
        <v>0.000148070470914127</v>
      </c>
      <c r="BC59" s="191">
        <f t="shared" si="40"/>
        <v>0.000155461523545706</v>
      </c>
      <c r="BD59" s="191">
        <f t="shared" si="40"/>
        <v>1.34573130193906e-5</v>
      </c>
      <c r="BE59" s="191">
        <f t="shared" si="40"/>
        <v>0.000856948587257618</v>
      </c>
      <c r="BF59" s="191">
        <f t="shared" si="40"/>
        <v>0.00125129753462604</v>
      </c>
      <c r="BG59" s="191">
        <f t="shared" si="40"/>
        <v>0.000732984376731302</v>
      </c>
      <c r="BH59" s="191">
        <f t="shared" si="40"/>
        <v>0.00113356257617728</v>
      </c>
      <c r="BR59" s="209" t="s">
        <v>330</v>
      </c>
      <c r="BS59" s="130">
        <f>第十期!K14*比赛参数!D71/4</f>
        <v>63375</v>
      </c>
      <c r="BT59" s="130"/>
      <c r="BU59" s="130">
        <f>BS59</f>
        <v>63375</v>
      </c>
      <c r="BV59" s="130">
        <f t="shared" si="41"/>
        <v>6339719.3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9453.3702677747</v>
      </c>
      <c r="CK59" s="108">
        <f t="shared" si="39"/>
        <v>15111.6992887076</v>
      </c>
      <c r="CL59" s="108">
        <f t="shared" si="39"/>
        <v>14950.6098579783</v>
      </c>
      <c r="CM59" s="108">
        <f t="shared" si="39"/>
        <v>20255.2343898952</v>
      </c>
      <c r="CN59" s="108">
        <f>SUM(CJ56:CM59)</f>
        <v>182849.81232062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第十期!BS10-第十期!CX53</f>
        <v>4331.87117714541</v>
      </c>
      <c r="CY59" s="242">
        <f>第十期!BT10-第十期!CY53</f>
        <v>4469.87117714541</v>
      </c>
      <c r="CZ59" s="242">
        <f>第十期!BU10-第十期!CZ53</f>
        <v>4425.87117714541</v>
      </c>
      <c r="DA59" s="242">
        <f>第十期!BV10-第十期!DA53</f>
        <v>4525.87117714541</v>
      </c>
      <c r="DB59" s="242">
        <f>AVERAGE(CX59:DA59)</f>
        <v>4438.37117714541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3150</v>
      </c>
      <c r="E60" s="26">
        <v>3150</v>
      </c>
      <c r="F60" s="26">
        <v>3380</v>
      </c>
      <c r="G60" s="26">
        <v>3450</v>
      </c>
      <c r="H60" s="26">
        <v>7000</v>
      </c>
      <c r="I60" s="26">
        <v>7000</v>
      </c>
      <c r="J60" s="26">
        <v>7300</v>
      </c>
      <c r="K60" s="26">
        <v>7400</v>
      </c>
      <c r="L60" s="26">
        <v>9550</v>
      </c>
      <c r="M60" s="26">
        <v>9550</v>
      </c>
      <c r="N60" s="26">
        <v>9650</v>
      </c>
      <c r="O60" s="26">
        <v>9850</v>
      </c>
      <c r="P60" s="26">
        <v>11850</v>
      </c>
      <c r="Q60" s="26">
        <v>11850</v>
      </c>
      <c r="R60" s="26">
        <v>12000</v>
      </c>
      <c r="S60" s="26">
        <v>12150</v>
      </c>
      <c r="T60" s="10"/>
      <c r="X60" s="11" t="s">
        <v>58</v>
      </c>
      <c r="Y60" s="127">
        <f>第十期!DX9</f>
        <v>0</v>
      </c>
      <c r="Z60" s="127">
        <f>第十期!DX13</f>
        <v>0</v>
      </c>
      <c r="AA60" s="127">
        <f>第十期!DX17</f>
        <v>9</v>
      </c>
      <c r="AB60" s="127">
        <f>第十期!DX21</f>
        <v>0</v>
      </c>
      <c r="AC60" s="108" t="s">
        <v>308</v>
      </c>
      <c r="AE60" s="11" t="s">
        <v>58</v>
      </c>
      <c r="AF60" s="127">
        <f>第十期!DW9</f>
        <v>1</v>
      </c>
      <c r="AG60" s="127">
        <f>第十期!DW13</f>
        <v>0</v>
      </c>
      <c r="AH60" s="127">
        <f>第十期!DW17</f>
        <v>0</v>
      </c>
      <c r="AI60" s="127">
        <f>第十期!DW21</f>
        <v>3</v>
      </c>
      <c r="AK60" s="126">
        <f>AF74</f>
        <v>132.25</v>
      </c>
      <c r="AL60" s="48">
        <f>AG74</f>
        <v>41.75</v>
      </c>
      <c r="AM60" s="48">
        <f>AH74</f>
        <v>27</v>
      </c>
      <c r="AN60" s="50">
        <f>AI74</f>
        <v>31.25</v>
      </c>
      <c r="AR60" s="190">
        <v>4</v>
      </c>
      <c r="AS60" s="191">
        <f t="shared" si="40"/>
        <v>0.00235531415512465</v>
      </c>
      <c r="AT60" s="191">
        <f t="shared" si="40"/>
        <v>0.00237374096952909</v>
      </c>
      <c r="AU60" s="191">
        <f t="shared" si="40"/>
        <v>0.00259295360110803</v>
      </c>
      <c r="AV60" s="191">
        <f t="shared" si="40"/>
        <v>0.00260475925207756</v>
      </c>
      <c r="AW60" s="191">
        <f t="shared" si="40"/>
        <v>0.00015232756232687</v>
      </c>
      <c r="AX60" s="191">
        <f t="shared" si="40"/>
        <v>0.000126148365650969</v>
      </c>
      <c r="AY60" s="191">
        <f t="shared" si="40"/>
        <v>3.63799445983379e-5</v>
      </c>
      <c r="AZ60" s="191">
        <f t="shared" si="40"/>
        <v>2.74861495844876e-6</v>
      </c>
      <c r="BA60" s="191">
        <f t="shared" si="40"/>
        <v>4.14872576177285e-6</v>
      </c>
      <c r="BB60" s="191">
        <f t="shared" si="40"/>
        <v>8.81152354570637e-6</v>
      </c>
      <c r="BC60" s="191">
        <f t="shared" si="40"/>
        <v>0.00012614836565097</v>
      </c>
      <c r="BD60" s="191">
        <f t="shared" si="40"/>
        <v>2.34573407202215e-6</v>
      </c>
      <c r="BE60" s="191">
        <f t="shared" si="40"/>
        <v>0.000856948587257618</v>
      </c>
      <c r="BF60" s="191">
        <f t="shared" si="40"/>
        <v>0.000523205429362881</v>
      </c>
      <c r="BG60" s="191">
        <f t="shared" si="40"/>
        <v>0.00124423279778393</v>
      </c>
      <c r="BH60" s="191">
        <f t="shared" si="40"/>
        <v>0.000352253628808864</v>
      </c>
      <c r="BR60" s="209" t="s">
        <v>332</v>
      </c>
      <c r="BS60" s="130">
        <f>第十期!Y18*比赛参数!D58</f>
        <v>86000</v>
      </c>
      <c r="BT60" s="130"/>
      <c r="BU60" s="130">
        <f>BU59+BS60</f>
        <v>149375</v>
      </c>
      <c r="BV60" s="130">
        <f t="shared" si="41"/>
        <v>6253719.3</v>
      </c>
      <c r="BW60" s="126"/>
      <c r="CB60" s="196" t="s">
        <v>333</v>
      </c>
      <c r="CC60" s="108">
        <f>SUM(Y57:Y60)+CC56</f>
        <v>86</v>
      </c>
      <c r="CD60" s="108">
        <f>SUM(Z57:Z60)+CD56</f>
        <v>73</v>
      </c>
      <c r="CE60" s="108">
        <f>SUM(AA57:AA60)+CE56</f>
        <v>79</v>
      </c>
      <c r="CF60" s="108">
        <f>SUM(AB57:AB60)+CF56</f>
        <v>33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102000</v>
      </c>
      <c r="DN60" s="246"/>
    </row>
    <row r="61" customHeight="1" spans="2:118">
      <c r="B61" s="7"/>
      <c r="C61" s="25">
        <v>12</v>
      </c>
      <c r="D61" s="26">
        <v>3250</v>
      </c>
      <c r="E61" s="26">
        <v>3160</v>
      </c>
      <c r="F61" s="26">
        <v>3410</v>
      </c>
      <c r="G61" s="26">
        <v>3450</v>
      </c>
      <c r="H61" s="26">
        <v>6090</v>
      </c>
      <c r="I61" s="26">
        <v>6150</v>
      </c>
      <c r="J61" s="26">
        <v>6220</v>
      </c>
      <c r="K61" s="26">
        <v>6280</v>
      </c>
      <c r="L61" s="26">
        <v>7300</v>
      </c>
      <c r="M61" s="26">
        <v>7300</v>
      </c>
      <c r="N61" s="26">
        <v>7600</v>
      </c>
      <c r="O61" s="26">
        <v>7600</v>
      </c>
      <c r="P61" s="26">
        <v>9300</v>
      </c>
      <c r="Q61" s="26">
        <v>9300</v>
      </c>
      <c r="R61" s="26">
        <v>9600</v>
      </c>
      <c r="S61" s="26">
        <v>9600</v>
      </c>
      <c r="T61" s="10"/>
      <c r="X61" s="65" t="s">
        <v>334</v>
      </c>
      <c r="Y61" s="130">
        <f>Y57*AF86+Y58*AF87+Y59*AF88+Y60*AF89</f>
        <v>275730</v>
      </c>
      <c r="Z61" s="130">
        <f>Z57*AG86+Z58*AG87+Z59*AG88+Z60*AG89</f>
        <v>133000</v>
      </c>
      <c r="AA61" s="130">
        <f>AA57*AH86+AA58*AH87+AA59*AH88+AA60*AH89</f>
        <v>290200</v>
      </c>
      <c r="AB61" s="130">
        <f>AB57*AI86+AB58*AI87+AB59*AI88+AB60*AI89</f>
        <v>0</v>
      </c>
      <c r="AC61" s="130">
        <f>SUM(Y61:AB61)</f>
        <v>698930</v>
      </c>
      <c r="AE61" s="48"/>
      <c r="AF61" s="48"/>
      <c r="AG61" s="48"/>
      <c r="AH61" s="48"/>
      <c r="AI61" s="48"/>
      <c r="AK61" s="170">
        <f>AF82</f>
        <v>3303.19470699433</v>
      </c>
      <c r="AL61" s="171">
        <f>AG82</f>
        <v>7231.73652694611</v>
      </c>
      <c r="AM61" s="171">
        <f>AH82</f>
        <v>9669.44444444445</v>
      </c>
      <c r="AN61" s="172">
        <f>AI82</f>
        <v>11995.2</v>
      </c>
      <c r="AR61" s="190">
        <v>5</v>
      </c>
      <c r="AS61" s="191">
        <f t="shared" si="40"/>
        <v>0.00190693099722992</v>
      </c>
      <c r="AT61" s="191">
        <f t="shared" si="40"/>
        <v>0.00161434781163435</v>
      </c>
      <c r="AU61" s="191">
        <f t="shared" si="40"/>
        <v>0.000360200443213296</v>
      </c>
      <c r="AV61" s="191">
        <f t="shared" si="40"/>
        <v>0.000414658199445984</v>
      </c>
      <c r="AW61" s="191">
        <f t="shared" si="40"/>
        <v>0.000540195457063712</v>
      </c>
      <c r="AX61" s="191">
        <f t="shared" si="40"/>
        <v>0.00044232731301939</v>
      </c>
      <c r="AY61" s="191">
        <f t="shared" si="40"/>
        <v>4.66704709141274e-5</v>
      </c>
      <c r="AZ61" s="191">
        <f t="shared" si="40"/>
        <v>3.54965096952909e-5</v>
      </c>
      <c r="BA61" s="191">
        <f t="shared" si="40"/>
        <v>0.000352056094182826</v>
      </c>
      <c r="BB61" s="191">
        <f t="shared" si="40"/>
        <v>0.000603607313019391</v>
      </c>
      <c r="BC61" s="191">
        <f t="shared" si="40"/>
        <v>0.000236188365650969</v>
      </c>
      <c r="BD61" s="191">
        <f t="shared" si="40"/>
        <v>0.000271208891966759</v>
      </c>
      <c r="BE61" s="191">
        <f t="shared" si="40"/>
        <v>0.000669447534626039</v>
      </c>
      <c r="BF61" s="191">
        <f t="shared" si="40"/>
        <v>0.000387053850415512</v>
      </c>
      <c r="BG61" s="191">
        <f t="shared" si="40"/>
        <v>0.000732984376731302</v>
      </c>
      <c r="BH61" s="191">
        <f t="shared" si="40"/>
        <v>0.00134457310249307</v>
      </c>
      <c r="BR61" s="209" t="s">
        <v>335</v>
      </c>
      <c r="BS61" s="130">
        <f>第十期!AA18*比赛参数!D62</f>
        <v>12000</v>
      </c>
      <c r="BT61" s="130"/>
      <c r="BU61" s="130">
        <f>BU60+BS61</f>
        <v>161375</v>
      </c>
      <c r="BV61" s="130">
        <f t="shared" si="41"/>
        <v>6241719.3</v>
      </c>
      <c r="BW61" s="126"/>
      <c r="CB61" s="196" t="s">
        <v>35</v>
      </c>
      <c r="CC61" s="108">
        <f>CC56+CC57-CC58+CC59</f>
        <v>89</v>
      </c>
      <c r="CD61" s="108">
        <f>CD56+CD57-CD58+CD59</f>
        <v>59</v>
      </c>
      <c r="CE61" s="108">
        <f>CE56+CE57-CE58+CE59</f>
        <v>22</v>
      </c>
      <c r="CF61" s="108">
        <f>CF56+CF57-CF58+CF59</f>
        <v>33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>
        <v>3180</v>
      </c>
      <c r="E62" s="26">
        <v>3140</v>
      </c>
      <c r="F62" s="26">
        <v>3375</v>
      </c>
      <c r="G62" s="26">
        <v>3375</v>
      </c>
      <c r="H62" s="26">
        <v>7000</v>
      </c>
      <c r="I62" s="26">
        <v>7030</v>
      </c>
      <c r="J62" s="26">
        <v>7270</v>
      </c>
      <c r="K62" s="26">
        <v>7270</v>
      </c>
      <c r="L62" s="26">
        <v>8600</v>
      </c>
      <c r="M62" s="26">
        <v>8600</v>
      </c>
      <c r="N62" s="26">
        <v>8900</v>
      </c>
      <c r="O62" s="26">
        <v>8900</v>
      </c>
      <c r="P62" s="26">
        <v>11320</v>
      </c>
      <c r="Q62" s="26">
        <v>11320</v>
      </c>
      <c r="R62" s="26">
        <v>11640</v>
      </c>
      <c r="S62" s="26">
        <v>11880</v>
      </c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>
        <f t="shared" si="40"/>
        <v>0.00163471257617728</v>
      </c>
      <c r="AT62" s="191">
        <f t="shared" si="40"/>
        <v>0.0010446504432133</v>
      </c>
      <c r="AU62" s="191">
        <f t="shared" si="40"/>
        <v>0.00107722149584488</v>
      </c>
      <c r="AV62" s="191">
        <f t="shared" si="40"/>
        <v>0.00151607767313019</v>
      </c>
      <c r="AW62" s="191">
        <f t="shared" si="40"/>
        <v>7.15359833795014e-5</v>
      </c>
      <c r="AX62" s="191">
        <f t="shared" si="40"/>
        <v>3.49099722991691e-6</v>
      </c>
      <c r="AY62" s="191">
        <f t="shared" si="40"/>
        <v>0.00187762573407202</v>
      </c>
      <c r="AZ62" s="191">
        <f t="shared" si="40"/>
        <v>0.0027711912465374</v>
      </c>
      <c r="BA62" s="191">
        <f t="shared" si="40"/>
        <v>0.0027706371468144</v>
      </c>
      <c r="BB62" s="191">
        <f t="shared" si="40"/>
        <v>0.00215589152354571</v>
      </c>
      <c r="BC62" s="191">
        <f t="shared" si="40"/>
        <v>0.00218384047091413</v>
      </c>
      <c r="BD62" s="191">
        <f t="shared" si="40"/>
        <v>0.00277008310249307</v>
      </c>
      <c r="BE62" s="191">
        <f t="shared" si="40"/>
        <v>0.00103210016620499</v>
      </c>
      <c r="BF62" s="191">
        <f t="shared" si="40"/>
        <v>0.0011374643767313</v>
      </c>
      <c r="BG62" s="191">
        <f t="shared" si="40"/>
        <v>0.00111731858725762</v>
      </c>
      <c r="BH62" s="191">
        <f t="shared" si="40"/>
        <v>0.00120628257617729</v>
      </c>
      <c r="BR62" s="209" t="s">
        <v>336</v>
      </c>
      <c r="BS62" s="130">
        <f>((第十期!K8-第十期!AA18)*比赛参数!D65+第十期!Y18*比赛参数!D59*比赛参数!D65)*第十期!AH18*520</f>
        <v>1016600</v>
      </c>
      <c r="BT62" s="130"/>
      <c r="BU62" s="130">
        <f>BU61+BS62</f>
        <v>1177975</v>
      </c>
      <c r="BV62" s="130">
        <f t="shared" si="41"/>
        <v>5225119.3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CX56/第十期!CQ56</f>
        <v>14.5921298861188</v>
      </c>
      <c r="CY62" s="242">
        <f>CY56/第十期!CR56</f>
        <v>15.0021298861188</v>
      </c>
      <c r="CZ62" s="242">
        <f>CZ56/第十期!CS56</f>
        <v>17.2221298861188</v>
      </c>
      <c r="DA62" s="242">
        <f>DA56/第十期!CT56</f>
        <v>17.4221298861188</v>
      </c>
      <c r="DB62" s="242">
        <f>AVERAGE(CX62:DA62)</f>
        <v>16.0596298861188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>
        <v>3200</v>
      </c>
      <c r="E63" s="26">
        <v>3200</v>
      </c>
      <c r="F63" s="26">
        <v>3500</v>
      </c>
      <c r="G63" s="26">
        <v>3600</v>
      </c>
      <c r="H63" s="26">
        <v>6000</v>
      </c>
      <c r="I63" s="26">
        <v>6000</v>
      </c>
      <c r="J63" s="26">
        <v>6200</v>
      </c>
      <c r="K63" s="26">
        <v>6200</v>
      </c>
      <c r="L63" s="26">
        <v>7600</v>
      </c>
      <c r="M63" s="26">
        <v>7600</v>
      </c>
      <c r="N63" s="26">
        <v>8000</v>
      </c>
      <c r="O63" s="26">
        <v>8000</v>
      </c>
      <c r="P63" s="26">
        <v>9600</v>
      </c>
      <c r="Q63" s="26">
        <v>9600</v>
      </c>
      <c r="R63" s="26">
        <v>10000</v>
      </c>
      <c r="S63" s="26">
        <v>10000</v>
      </c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>
        <f t="shared" si="40"/>
        <v>0.00119934626038781</v>
      </c>
      <c r="AT63" s="191">
        <f t="shared" si="40"/>
        <v>0.0012617451800554</v>
      </c>
      <c r="AU63" s="191">
        <f t="shared" si="40"/>
        <v>0.000931534653739612</v>
      </c>
      <c r="AV63" s="191">
        <f t="shared" si="40"/>
        <v>0.000808653988919667</v>
      </c>
      <c r="AW63" s="191">
        <f t="shared" si="40"/>
        <v>1.80124653739612e-6</v>
      </c>
      <c r="AX63" s="191">
        <f t="shared" si="40"/>
        <v>0.00104771468144044</v>
      </c>
      <c r="AY63" s="191">
        <f t="shared" si="40"/>
        <v>0.000684786260387812</v>
      </c>
      <c r="AZ63" s="191">
        <f t="shared" si="40"/>
        <v>0.000753935983379502</v>
      </c>
      <c r="BA63" s="191">
        <f t="shared" si="40"/>
        <v>0.000119614515235457</v>
      </c>
      <c r="BB63" s="191">
        <f t="shared" si="40"/>
        <v>0.000460893102493075</v>
      </c>
      <c r="BC63" s="191">
        <f t="shared" si="40"/>
        <v>0.00110014415512465</v>
      </c>
      <c r="BD63" s="191">
        <f t="shared" si="40"/>
        <v>0.000579288891966759</v>
      </c>
      <c r="BE63" s="191">
        <f t="shared" si="40"/>
        <v>0.000228805429362881</v>
      </c>
      <c r="BF63" s="191">
        <f t="shared" si="40"/>
        <v>5.4117451523546e-6</v>
      </c>
      <c r="BG63" s="191">
        <f t="shared" si="40"/>
        <v>0.000111802797783934</v>
      </c>
      <c r="BH63" s="191">
        <f t="shared" si="40"/>
        <v>0.000251806786703601</v>
      </c>
      <c r="BR63" s="209" t="s">
        <v>80</v>
      </c>
      <c r="BS63" s="130">
        <f>第十期!K9*比赛参数!D49</f>
        <v>45000</v>
      </c>
      <c r="BT63" s="130"/>
      <c r="BU63" s="130">
        <f>BU62+BS63</f>
        <v>1222975</v>
      </c>
      <c r="BV63" s="130">
        <f t="shared" si="41"/>
        <v>5180119.3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CX57/第十期!CQ57</f>
        <v>11.7259247579137</v>
      </c>
      <c r="CY63" s="242">
        <f>CY57/第十期!CR57</f>
        <v>12.0619247579137</v>
      </c>
      <c r="CZ63" s="242">
        <f>CZ57/第十期!CS57</f>
        <v>12.5939247579137</v>
      </c>
      <c r="DA63" s="242">
        <f>DA57/第十期!CT57</f>
        <v>12.7939247579137</v>
      </c>
      <c r="DB63" s="242">
        <f>AVERAGE(CX63:DA63)</f>
        <v>12.2939247579137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>
        <v>5000</v>
      </c>
      <c r="E64" s="26">
        <v>3500</v>
      </c>
      <c r="F64" s="26">
        <v>3500</v>
      </c>
      <c r="G64" s="26">
        <v>3300</v>
      </c>
      <c r="H64" s="26">
        <v>4200</v>
      </c>
      <c r="I64" s="26">
        <v>5800</v>
      </c>
      <c r="J64" s="26">
        <v>6300</v>
      </c>
      <c r="K64" s="26">
        <v>6000</v>
      </c>
      <c r="L64" s="26">
        <v>6000</v>
      </c>
      <c r="M64" s="26">
        <v>6000</v>
      </c>
      <c r="N64" s="26">
        <v>6000</v>
      </c>
      <c r="O64" s="26">
        <v>7600</v>
      </c>
      <c r="P64" s="26">
        <v>8000</v>
      </c>
      <c r="Q64" s="26">
        <v>8000</v>
      </c>
      <c r="R64" s="26">
        <v>8000</v>
      </c>
      <c r="S64" s="26">
        <v>8000</v>
      </c>
      <c r="T64" s="10"/>
      <c r="X64" s="64" t="s">
        <v>55</v>
      </c>
      <c r="Y64" s="108">
        <f t="shared" ref="Y64:AB67" si="42">AF64-AF70</f>
        <v>-31</v>
      </c>
      <c r="Z64" s="108">
        <f t="shared" si="42"/>
        <v>22</v>
      </c>
      <c r="AA64" s="108">
        <f t="shared" si="42"/>
        <v>5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80</v>
      </c>
      <c r="AG64" s="131">
        <f t="shared" si="43"/>
        <v>50</v>
      </c>
      <c r="AH64" s="131">
        <f t="shared" si="43"/>
        <v>27</v>
      </c>
      <c r="AI64" s="131">
        <f t="shared" si="43"/>
        <v>23</v>
      </c>
      <c r="AJ64" s="126"/>
      <c r="AL64" s="48"/>
      <c r="AN64" s="173"/>
      <c r="AO64" s="173"/>
      <c r="AR64" s="190">
        <v>8</v>
      </c>
      <c r="AS64" s="191">
        <f t="shared" si="40"/>
        <v>0.000705880997229917</v>
      </c>
      <c r="AT64" s="191">
        <f t="shared" si="40"/>
        <v>0.000528032022160665</v>
      </c>
      <c r="AU64" s="191">
        <f t="shared" si="40"/>
        <v>0.000125912022160665</v>
      </c>
      <c r="AV64" s="191">
        <f t="shared" si="40"/>
        <v>6.62081994459833e-5</v>
      </c>
      <c r="AW64" s="191">
        <f t="shared" si="40"/>
        <v>1.25465096952909e-5</v>
      </c>
      <c r="AX64" s="191">
        <f t="shared" si="40"/>
        <v>1.31883656509695e-5</v>
      </c>
      <c r="AY64" s="191">
        <f t="shared" si="40"/>
        <v>0.000142362576177285</v>
      </c>
      <c r="AZ64" s="191">
        <f t="shared" si="40"/>
        <v>0.000128643351800554</v>
      </c>
      <c r="BA64" s="191">
        <f t="shared" si="40"/>
        <v>0.000770792936288089</v>
      </c>
      <c r="BB64" s="191">
        <f t="shared" si="40"/>
        <v>0.000940552049861496</v>
      </c>
      <c r="BC64" s="191">
        <f t="shared" si="40"/>
        <v>0.00202215889196676</v>
      </c>
      <c r="BD64" s="191">
        <f t="shared" si="40"/>
        <v>0.0024669520498615</v>
      </c>
      <c r="BE64" s="191">
        <f t="shared" si="40"/>
        <v>0.000148198587257618</v>
      </c>
      <c r="BF64" s="191">
        <f t="shared" si="40"/>
        <v>5.00370083102493e-5</v>
      </c>
      <c r="BG64" s="191">
        <f t="shared" si="40"/>
        <v>0.000589211745152355</v>
      </c>
      <c r="BH64" s="191">
        <f t="shared" si="40"/>
        <v>0.000940552049861495</v>
      </c>
      <c r="BR64" s="209" t="s">
        <v>301</v>
      </c>
      <c r="BS64" s="130">
        <f>第十期!AL37</f>
        <v>530000</v>
      </c>
      <c r="BT64" s="130"/>
      <c r="BU64" s="130"/>
      <c r="BV64" s="130">
        <f t="shared" si="41"/>
        <v>4650119.3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CX58/第十期!CQ58</f>
        <v>11.0642351492767</v>
      </c>
      <c r="CY64" s="242">
        <f>CY58/第十期!CR58</f>
        <v>11.358971991382</v>
      </c>
      <c r="CZ64" s="242">
        <f>CZ58/第十期!CS58</f>
        <v>10.8168667282241</v>
      </c>
      <c r="DA64" s="242">
        <f>DA58/第十期!CT58</f>
        <v>11.2116035703293</v>
      </c>
      <c r="DB64" s="242">
        <f>AVERAGE(CX64:DA64)</f>
        <v>11.112919359803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>
        <v>3200</v>
      </c>
      <c r="E65" s="26">
        <v>3200</v>
      </c>
      <c r="F65" s="26">
        <v>3500</v>
      </c>
      <c r="G65" s="26">
        <v>3400</v>
      </c>
      <c r="H65" s="26">
        <v>6500</v>
      </c>
      <c r="I65" s="26">
        <v>6500</v>
      </c>
      <c r="J65" s="26">
        <v>6700</v>
      </c>
      <c r="K65" s="26">
        <v>6800</v>
      </c>
      <c r="L65" s="26">
        <v>9000</v>
      </c>
      <c r="M65" s="26">
        <v>9000</v>
      </c>
      <c r="N65" s="26">
        <v>9300</v>
      </c>
      <c r="O65" s="26">
        <v>9200</v>
      </c>
      <c r="P65" s="26">
        <v>11000</v>
      </c>
      <c r="Q65" s="26">
        <v>11000</v>
      </c>
      <c r="R65" s="26">
        <v>13000</v>
      </c>
      <c r="S65" s="26">
        <v>12000</v>
      </c>
      <c r="T65" s="10"/>
      <c r="X65" s="11" t="s">
        <v>56</v>
      </c>
      <c r="Y65" s="108">
        <f t="shared" si="42"/>
        <v>-31</v>
      </c>
      <c r="Z65" s="108">
        <f t="shared" si="42"/>
        <v>23</v>
      </c>
      <c r="AA65" s="108">
        <f t="shared" si="42"/>
        <v>5</v>
      </c>
      <c r="AB65" s="108">
        <f t="shared" si="42"/>
        <v>0</v>
      </c>
      <c r="AC65" s="126"/>
      <c r="AE65" s="11" t="s">
        <v>56</v>
      </c>
      <c r="AF65" s="131">
        <f t="shared" si="43"/>
        <v>80</v>
      </c>
      <c r="AG65" s="131">
        <f t="shared" si="43"/>
        <v>51</v>
      </c>
      <c r="AH65" s="131">
        <f t="shared" si="43"/>
        <v>28</v>
      </c>
      <c r="AI65" s="131">
        <f t="shared" si="43"/>
        <v>23</v>
      </c>
      <c r="AJ65" s="126"/>
      <c r="AL65" s="48"/>
      <c r="AN65" s="173"/>
      <c r="AO65" s="173"/>
      <c r="AR65" s="190">
        <v>9</v>
      </c>
      <c r="AS65" s="191">
        <f t="shared" si="40"/>
        <v>0.00260798362880886</v>
      </c>
      <c r="AT65" s="191">
        <f t="shared" si="40"/>
        <v>0.0020774404432133</v>
      </c>
      <c r="AU65" s="191">
        <f t="shared" si="40"/>
        <v>0.00357352254847645</v>
      </c>
      <c r="AV65" s="191">
        <f t="shared" si="40"/>
        <v>0.00223380609418283</v>
      </c>
      <c r="AW65" s="191">
        <f t="shared" si="40"/>
        <v>0.000314782299168975</v>
      </c>
      <c r="AX65" s="191">
        <f t="shared" si="40"/>
        <v>0.000279945734072022</v>
      </c>
      <c r="AY65" s="191">
        <f t="shared" si="40"/>
        <v>0.000693352049861496</v>
      </c>
      <c r="AZ65" s="191">
        <f t="shared" si="40"/>
        <v>0.000362601772853186</v>
      </c>
      <c r="BA65" s="191">
        <f t="shared" si="40"/>
        <v>9.72818836565097e-5</v>
      </c>
      <c r="BB65" s="191">
        <f t="shared" si="40"/>
        <v>0.000148070470914127</v>
      </c>
      <c r="BC65" s="191">
        <f t="shared" si="40"/>
        <v>0.00130815468144044</v>
      </c>
      <c r="BD65" s="191">
        <f t="shared" si="40"/>
        <v>0.000711204681440443</v>
      </c>
      <c r="BE65" s="191">
        <f t="shared" si="40"/>
        <v>0.00130131069252078</v>
      </c>
      <c r="BF65" s="191">
        <f t="shared" si="40"/>
        <v>0.000851103850415512</v>
      </c>
      <c r="BG65" s="191">
        <f t="shared" si="40"/>
        <v>0.00296738227146815</v>
      </c>
      <c r="BH65" s="191">
        <f t="shared" si="40"/>
        <v>0.00402824047091413</v>
      </c>
      <c r="BR65" s="209" t="s">
        <v>340</v>
      </c>
      <c r="BS65" s="91">
        <f>0.5*第十期!AL37+0.5*第十期!DV23</f>
        <v>800000</v>
      </c>
      <c r="BT65" s="130"/>
      <c r="BU65" s="130">
        <f>BU63+BS65</f>
        <v>2022975</v>
      </c>
      <c r="BV65" s="130"/>
      <c r="BW65" s="126"/>
      <c r="CB65" s="196" t="s">
        <v>341</v>
      </c>
      <c r="CC65" s="108">
        <f>(CC60-CC61)*CC63</f>
        <v>-6807.69230769231</v>
      </c>
      <c r="CD65" s="108">
        <f>(CD60-CD61)*CD63</f>
        <v>64723.0769230769</v>
      </c>
      <c r="CE65" s="108">
        <f>(CE60-CE61)*CE63</f>
        <v>383215.384615385</v>
      </c>
      <c r="CF65" s="108">
        <f>(CF60-CF61)*CF63</f>
        <v>0</v>
      </c>
      <c r="CG65" s="108">
        <f>SUM(CC65:CF65)</f>
        <v>441130.769230769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CX59/第十期!CQ59</f>
        <v>8.33052149451041</v>
      </c>
      <c r="CY65" s="242">
        <f>CY59/第十期!CR59</f>
        <v>8.59590610989503</v>
      </c>
      <c r="CZ65" s="242">
        <f>CZ59/第十期!CS59</f>
        <v>8.51129072527964</v>
      </c>
      <c r="DA65" s="242">
        <f>DA59/第十期!CT59</f>
        <v>8.70359841758733</v>
      </c>
      <c r="DB65" s="242">
        <f>AVERAGE(CX65:DA65)</f>
        <v>8.5353291868181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>
        <v>3100</v>
      </c>
      <c r="E66" s="26">
        <v>3100</v>
      </c>
      <c r="F66" s="26">
        <v>3300</v>
      </c>
      <c r="G66" s="26">
        <v>3300</v>
      </c>
      <c r="H66" s="26">
        <v>5800</v>
      </c>
      <c r="I66" s="26">
        <v>5800</v>
      </c>
      <c r="J66" s="26">
        <v>6000</v>
      </c>
      <c r="K66" s="26">
        <v>6000</v>
      </c>
      <c r="L66" s="26">
        <v>7300</v>
      </c>
      <c r="M66" s="26">
        <v>7300</v>
      </c>
      <c r="N66" s="26">
        <v>7600</v>
      </c>
      <c r="O66" s="26">
        <v>7600</v>
      </c>
      <c r="P66" s="26">
        <v>9300</v>
      </c>
      <c r="Q66" s="26">
        <v>9300</v>
      </c>
      <c r="R66" s="26">
        <v>9600</v>
      </c>
      <c r="S66" s="26">
        <v>9600</v>
      </c>
      <c r="T66" s="10"/>
      <c r="V66" s="277"/>
      <c r="X66" s="11" t="s">
        <v>57</v>
      </c>
      <c r="Y66" s="108">
        <f t="shared" si="42"/>
        <v>-64</v>
      </c>
      <c r="Z66" s="108">
        <f t="shared" si="42"/>
        <v>12</v>
      </c>
      <c r="AA66" s="108">
        <f t="shared" si="42"/>
        <v>9</v>
      </c>
      <c r="AB66" s="108">
        <f t="shared" si="42"/>
        <v>-3</v>
      </c>
      <c r="AC66" s="126"/>
      <c r="AE66" s="11" t="s">
        <v>57</v>
      </c>
      <c r="AF66" s="131">
        <f t="shared" si="43"/>
        <v>94</v>
      </c>
      <c r="AG66" s="131">
        <f t="shared" si="43"/>
        <v>69</v>
      </c>
      <c r="AH66" s="131">
        <f t="shared" si="43"/>
        <v>39</v>
      </c>
      <c r="AI66" s="131">
        <f t="shared" si="43"/>
        <v>34</v>
      </c>
      <c r="AJ66" s="126"/>
      <c r="AL66" s="48"/>
      <c r="AR66" s="190">
        <v>10</v>
      </c>
      <c r="AS66" s="191">
        <f t="shared" si="40"/>
        <v>0.00163769310249308</v>
      </c>
      <c r="AT66" s="191">
        <f t="shared" si="40"/>
        <v>0.000639025180055401</v>
      </c>
      <c r="AU66" s="191">
        <f t="shared" si="40"/>
        <v>0.000644090969529086</v>
      </c>
      <c r="AV66" s="191">
        <f t="shared" si="40"/>
        <v>0.00179463714681441</v>
      </c>
      <c r="AW66" s="191">
        <f t="shared" si="40"/>
        <v>0.000126384930747922</v>
      </c>
      <c r="AX66" s="191">
        <f t="shared" si="40"/>
        <v>8.15694182825484e-5</v>
      </c>
      <c r="AY66" s="191">
        <f t="shared" si="40"/>
        <v>5.97773130193905e-5</v>
      </c>
      <c r="AZ66" s="191">
        <f t="shared" si="40"/>
        <v>3.54965096952909e-5</v>
      </c>
      <c r="BA66" s="191">
        <f t="shared" si="40"/>
        <v>0.0013441871468144</v>
      </c>
      <c r="BB66" s="191">
        <f t="shared" si="40"/>
        <v>0.00159747468144044</v>
      </c>
      <c r="BC66" s="191">
        <f t="shared" si="40"/>
        <v>0.00130815468144044</v>
      </c>
      <c r="BD66" s="191">
        <f t="shared" si="40"/>
        <v>0.00422089573407202</v>
      </c>
      <c r="BE66" s="191">
        <f t="shared" si="40"/>
        <v>0.00050506648199446</v>
      </c>
      <c r="BF66" s="191">
        <f t="shared" si="40"/>
        <v>0.000387053850415512</v>
      </c>
      <c r="BG66" s="191">
        <f t="shared" si="40"/>
        <v>0.000176190692520776</v>
      </c>
      <c r="BH66" s="191">
        <f t="shared" si="40"/>
        <v>0.00134457310249307</v>
      </c>
      <c r="BR66" s="209" t="s">
        <v>236</v>
      </c>
      <c r="BS66" s="130">
        <f>第十期!AC18</f>
        <v>1003688</v>
      </c>
      <c r="BT66" s="130"/>
      <c r="BU66" s="130"/>
      <c r="BV66" s="130">
        <f>BV64-BS66</f>
        <v>3646431.3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>
        <v>3600</v>
      </c>
      <c r="E67" s="26">
        <v>3600</v>
      </c>
      <c r="F67" s="26">
        <v>4000</v>
      </c>
      <c r="G67" s="26">
        <v>4000</v>
      </c>
      <c r="H67" s="26">
        <v>6800</v>
      </c>
      <c r="I67" s="26">
        <v>6800</v>
      </c>
      <c r="J67" s="26">
        <v>7200</v>
      </c>
      <c r="K67" s="26">
        <v>7200</v>
      </c>
      <c r="L67" s="26">
        <v>9300</v>
      </c>
      <c r="M67" s="26">
        <v>9300</v>
      </c>
      <c r="N67" s="26">
        <v>9800</v>
      </c>
      <c r="O67" s="26">
        <v>9800</v>
      </c>
      <c r="P67" s="26">
        <v>11300</v>
      </c>
      <c r="Q67" s="26">
        <v>11300</v>
      </c>
      <c r="R67" s="26">
        <v>12000</v>
      </c>
      <c r="S67" s="26">
        <v>12000</v>
      </c>
      <c r="T67" s="10"/>
      <c r="X67" s="11" t="s">
        <v>58</v>
      </c>
      <c r="Y67" s="108">
        <f t="shared" si="42"/>
        <v>-64</v>
      </c>
      <c r="Z67" s="108">
        <f t="shared" si="42"/>
        <v>13</v>
      </c>
      <c r="AA67" s="108">
        <f t="shared" si="42"/>
        <v>9</v>
      </c>
      <c r="AB67" s="108">
        <f t="shared" si="42"/>
        <v>-4</v>
      </c>
      <c r="AC67" s="126"/>
      <c r="AE67" s="11" t="s">
        <v>58</v>
      </c>
      <c r="AF67" s="131">
        <f t="shared" si="43"/>
        <v>85</v>
      </c>
      <c r="AG67" s="131">
        <f t="shared" si="43"/>
        <v>67</v>
      </c>
      <c r="AH67" s="131">
        <f t="shared" si="43"/>
        <v>42</v>
      </c>
      <c r="AI67" s="131">
        <f t="shared" si="43"/>
        <v>38</v>
      </c>
      <c r="AJ67" s="126"/>
      <c r="AL67" s="48"/>
      <c r="AR67" s="190">
        <v>11</v>
      </c>
      <c r="AS67" s="191">
        <f t="shared" si="40"/>
        <v>0.00144160099722992</v>
      </c>
      <c r="AT67" s="191">
        <f t="shared" si="40"/>
        <v>0.00114778307479224</v>
      </c>
      <c r="AU67" s="191">
        <f t="shared" si="40"/>
        <v>0.00155070149584488</v>
      </c>
      <c r="AV67" s="191">
        <f t="shared" si="40"/>
        <v>0.000613213988919668</v>
      </c>
      <c r="AW67" s="191">
        <f t="shared" si="40"/>
        <v>0.00024155703601108</v>
      </c>
      <c r="AX67" s="191">
        <f t="shared" si="40"/>
        <v>0.000211166786703601</v>
      </c>
      <c r="AY67" s="191">
        <f t="shared" si="40"/>
        <v>1.06825761772853e-5</v>
      </c>
      <c r="AZ67" s="191">
        <f t="shared" si="40"/>
        <v>2.55822991689751e-5</v>
      </c>
      <c r="BA67" s="191">
        <f t="shared" si="40"/>
        <v>0.000165460831024931</v>
      </c>
      <c r="BB67" s="191">
        <f t="shared" si="40"/>
        <v>0.000337398891966759</v>
      </c>
      <c r="BC67" s="191">
        <f t="shared" si="40"/>
        <v>0.00130815468144044</v>
      </c>
      <c r="BD67" s="191">
        <f t="shared" si="40"/>
        <v>0.00100923257617729</v>
      </c>
      <c r="BE67" s="191">
        <f t="shared" si="40"/>
        <v>0.000148198587257618</v>
      </c>
      <c r="BF67" s="191">
        <f t="shared" si="40"/>
        <v>5.00370083102493e-5</v>
      </c>
      <c r="BG67" s="191">
        <f t="shared" si="40"/>
        <v>0.000352451218836566</v>
      </c>
      <c r="BH67" s="191">
        <f t="shared" si="40"/>
        <v>0.00113356257617728</v>
      </c>
      <c r="BR67" s="209" t="s">
        <v>342</v>
      </c>
      <c r="BS67" s="130">
        <f>IF(第十期!AC18&gt;=比赛参数!D33,(1-比赛参数!E33)*第十期!AC18,0)+IF(AND(第十期!AC18&gt;=比赛参数!D34,第十期!AC18&lt;比赛参数!D33),(1-比赛参数!E34)*第十期!AC18,0)+IF(AND(第十期!AC18&gt;=比赛参数!D35,第十期!AC18&lt;比赛参数!D34),(1-比赛参数!E35)*第十期!AC18,0)+IF(AND(第十期!AC18&gt;=比赛参数!D36,第十期!AC18&lt;比赛参数!D35),(1-比赛参数!E36)*第十期!AC18,0)</f>
        <v>30110.64</v>
      </c>
      <c r="BT67" s="130">
        <f>BS67</f>
        <v>30110.64</v>
      </c>
      <c r="BU67" s="130"/>
      <c r="BV67" s="130">
        <f>BV66+BS67</f>
        <v>3676541.94</v>
      </c>
      <c r="BW67" s="126"/>
      <c r="CB67" s="196" t="s">
        <v>343</v>
      </c>
      <c r="CC67" s="108">
        <f>(CC60+CC61)/2*CC62</f>
        <v>3500</v>
      </c>
      <c r="CD67" s="108">
        <f>(CD60+CD61)/2*CD62</f>
        <v>3960</v>
      </c>
      <c r="CE67" s="108">
        <f>(CE60+CE61)/2*CE62</f>
        <v>6060</v>
      </c>
      <c r="CF67" s="108">
        <f>(CF60+CF61)/2*CF62</f>
        <v>4620</v>
      </c>
      <c r="CG67" s="108">
        <f>SUM(CC67:CF67)</f>
        <v>18140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>
        <v>3150</v>
      </c>
      <c r="E68" s="26">
        <v>3150</v>
      </c>
      <c r="F68" s="26">
        <v>3350</v>
      </c>
      <c r="G68" s="26">
        <v>3350</v>
      </c>
      <c r="H68" s="26">
        <v>5850</v>
      </c>
      <c r="I68" s="26">
        <v>5850</v>
      </c>
      <c r="J68" s="26">
        <v>6050</v>
      </c>
      <c r="K68" s="26">
        <v>6050</v>
      </c>
      <c r="L68" s="26">
        <v>7350</v>
      </c>
      <c r="M68" s="26">
        <v>7350</v>
      </c>
      <c r="N68" s="26">
        <v>7650</v>
      </c>
      <c r="O68" s="26">
        <v>7650</v>
      </c>
      <c r="P68" s="26">
        <v>9350</v>
      </c>
      <c r="Q68" s="26">
        <v>9350</v>
      </c>
      <c r="R68" s="26">
        <v>9650</v>
      </c>
      <c r="S68" s="26">
        <v>9650</v>
      </c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339</v>
      </c>
      <c r="AG68" s="48">
        <f>SUM(AG64:AG67)</f>
        <v>237</v>
      </c>
      <c r="AH68" s="48">
        <f>SUM(AH64:AH67)</f>
        <v>136</v>
      </c>
      <c r="AI68" s="48">
        <f>SUM(AI64:AI67)</f>
        <v>118</v>
      </c>
      <c r="AJ68" s="48">
        <f>AF68/4</f>
        <v>84.75</v>
      </c>
      <c r="AK68" s="48">
        <f>AG68/4</f>
        <v>59.25</v>
      </c>
      <c r="AL68" s="48">
        <f>AH68/4</f>
        <v>34</v>
      </c>
      <c r="AM68" s="48">
        <f>AI68/4</f>
        <v>29.5</v>
      </c>
      <c r="AR68" s="190">
        <v>12</v>
      </c>
      <c r="AS68" s="191">
        <f t="shared" si="40"/>
        <v>8.01783933518006e-6</v>
      </c>
      <c r="AT68" s="191">
        <f t="shared" si="40"/>
        <v>6.68951800554016e-5</v>
      </c>
      <c r="AU68" s="191">
        <f t="shared" si="40"/>
        <v>3.81793905817175e-5</v>
      </c>
      <c r="AV68" s="191">
        <f t="shared" si="40"/>
        <v>2.56355678670361e-5</v>
      </c>
      <c r="AW68" s="191">
        <f t="shared" si="40"/>
        <v>7.15359833795014e-5</v>
      </c>
      <c r="AX68" s="191">
        <f t="shared" si="40"/>
        <v>7.00304709141275e-5</v>
      </c>
      <c r="AY68" s="191">
        <f t="shared" si="40"/>
        <v>0.000254990470914127</v>
      </c>
      <c r="AZ68" s="191">
        <f t="shared" si="40"/>
        <v>0.000294393351800554</v>
      </c>
      <c r="BA68" s="191">
        <f t="shared" si="40"/>
        <v>0.0027706371468144</v>
      </c>
      <c r="BB68" s="191">
        <f t="shared" si="40"/>
        <v>0.00277008310249307</v>
      </c>
      <c r="BC68" s="191">
        <f t="shared" si="40"/>
        <v>0.00277008310249308</v>
      </c>
      <c r="BD68" s="191">
        <f t="shared" si="40"/>
        <v>0.00277008310249307</v>
      </c>
      <c r="BE68" s="191">
        <f t="shared" si="40"/>
        <v>0.00276952911357341</v>
      </c>
      <c r="BF68" s="191">
        <f t="shared" si="40"/>
        <v>0.00276952911357341</v>
      </c>
      <c r="BG68" s="191">
        <f t="shared" si="40"/>
        <v>0.00276952911357341</v>
      </c>
      <c r="BH68" s="191">
        <f t="shared" si="40"/>
        <v>0.00277008310249308</v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0.771749001777096</v>
      </c>
      <c r="CY68" s="242">
        <f t="shared" si="44"/>
        <v>0.811019311615822</v>
      </c>
      <c r="CZ68" s="242">
        <f t="shared" si="44"/>
        <v>0.857766774485306</v>
      </c>
      <c r="DA68" s="242">
        <f t="shared" si="44"/>
        <v>0.846643981602662</v>
      </c>
      <c r="DB68" s="242">
        <f t="shared" si="44"/>
        <v>0.822922127144064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>
        <f t="shared" si="40"/>
        <v>0.00104125099722992</v>
      </c>
      <c r="AT69" s="191">
        <f t="shared" si="40"/>
        <v>0.00136744254847645</v>
      </c>
      <c r="AU69" s="191">
        <f t="shared" si="40"/>
        <v>0.00155070149584488</v>
      </c>
      <c r="AV69" s="191">
        <f t="shared" si="40"/>
        <v>0.000394545041551247</v>
      </c>
      <c r="AW69" s="191">
        <f t="shared" si="40"/>
        <v>0.000208574404432133</v>
      </c>
      <c r="AX69" s="191">
        <f t="shared" si="40"/>
        <v>0.000211166786703601</v>
      </c>
      <c r="AY69" s="191">
        <f t="shared" si="40"/>
        <v>4.44678393351801e-5</v>
      </c>
      <c r="AZ69" s="191">
        <f t="shared" si="40"/>
        <v>0.000165325457063712</v>
      </c>
      <c r="BA69" s="191">
        <f t="shared" si="40"/>
        <v>0.00365579346260388</v>
      </c>
      <c r="BB69" s="191">
        <f t="shared" si="40"/>
        <v>0.00418200468144044</v>
      </c>
      <c r="BC69" s="191">
        <f t="shared" si="40"/>
        <v>0.0029018067867036</v>
      </c>
      <c r="BD69" s="191">
        <f t="shared" si="40"/>
        <v>0.00329113573407202</v>
      </c>
      <c r="BE69" s="191">
        <f t="shared" si="40"/>
        <v>2.3293324099723e-5</v>
      </c>
      <c r="BF69" s="191">
        <f t="shared" si="40"/>
        <v>7.44133240997231e-5</v>
      </c>
      <c r="BG69" s="191">
        <f t="shared" si="40"/>
        <v>0.000199552797783933</v>
      </c>
      <c r="BH69" s="191">
        <f t="shared" si="40"/>
        <v>4.71752077562325e-5</v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0.729492961885111</v>
      </c>
      <c r="CY69" s="242">
        <f t="shared" si="44"/>
        <v>0.766416767767002</v>
      </c>
      <c r="CZ69" s="242">
        <f t="shared" si="44"/>
        <v>0.758392610795579</v>
      </c>
      <c r="DA69" s="242">
        <f t="shared" si="44"/>
        <v>0.761267849490208</v>
      </c>
      <c r="DB69" s="242">
        <f t="shared" si="44"/>
        <v>0.753947505785009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0.0906</v>
      </c>
      <c r="Z70" s="283">
        <f>DW37</f>
        <v>0.0371</v>
      </c>
      <c r="AA70" s="283">
        <f>EA37</f>
        <v>0.0655</v>
      </c>
      <c r="AB70" s="283">
        <f>EE37</f>
        <v>0.0648</v>
      </c>
      <c r="AE70" s="64" t="s">
        <v>55</v>
      </c>
      <c r="AF70" s="131">
        <f>第十期!DV6</f>
        <v>111</v>
      </c>
      <c r="AG70" s="131">
        <f>第十期!DV10</f>
        <v>28</v>
      </c>
      <c r="AH70" s="131">
        <f>第十期!DV14</f>
        <v>22</v>
      </c>
      <c r="AI70" s="131">
        <f>第十期!DV18</f>
        <v>23</v>
      </c>
      <c r="AJ70" s="126">
        <f>AF70-Y57+AF57</f>
        <v>79</v>
      </c>
      <c r="AK70" s="126">
        <f t="shared" ref="AK70:AM73" si="45">AG70-Z57+AG57</f>
        <v>18</v>
      </c>
      <c r="AL70" s="126">
        <f t="shared" si="45"/>
        <v>16</v>
      </c>
      <c r="AM70" s="126">
        <f t="shared" si="45"/>
        <v>24</v>
      </c>
      <c r="AR70" s="190">
        <v>14</v>
      </c>
      <c r="AS70" s="191">
        <f t="shared" si="40"/>
        <v>4.12731301939057e-6</v>
      </c>
      <c r="AT70" s="191">
        <f t="shared" si="40"/>
        <v>2.62251800554017e-5</v>
      </c>
      <c r="AU70" s="191">
        <f t="shared" si="40"/>
        <v>0.000114940969529086</v>
      </c>
      <c r="AV70" s="191">
        <f t="shared" si="40"/>
        <v>0.000325327673130194</v>
      </c>
      <c r="AW70" s="191">
        <f t="shared" si="40"/>
        <v>0.000418525457063712</v>
      </c>
      <c r="AX70" s="191">
        <f t="shared" si="40"/>
        <v>0.000414872576177285</v>
      </c>
      <c r="AY70" s="191">
        <f t="shared" si="40"/>
        <v>0.000560194155124654</v>
      </c>
      <c r="AZ70" s="191">
        <f t="shared" si="40"/>
        <v>0.000578782299168975</v>
      </c>
      <c r="BA70" s="191">
        <f t="shared" si="40"/>
        <v>1.49239889196676e-5</v>
      </c>
      <c r="BB70" s="191">
        <f t="shared" si="40"/>
        <v>3.56220498614959e-5</v>
      </c>
      <c r="BC70" s="191">
        <f t="shared" si="40"/>
        <v>0.00218384047091413</v>
      </c>
      <c r="BD70" s="191">
        <f t="shared" si="40"/>
        <v>0.00225925099722992</v>
      </c>
      <c r="BE70" s="191">
        <f t="shared" si="40"/>
        <v>0.00359684279778393</v>
      </c>
      <c r="BF70" s="191">
        <f t="shared" si="40"/>
        <v>0.00261874595567867</v>
      </c>
      <c r="BG70" s="191">
        <f t="shared" si="40"/>
        <v>0.00173275016620499</v>
      </c>
      <c r="BH70" s="191">
        <f t="shared" si="40"/>
        <v>0.00165906152354571</v>
      </c>
      <c r="BR70" s="209" t="s">
        <v>344</v>
      </c>
      <c r="BS70" s="130">
        <f>IF(第十期!AC18&gt;0,第十期!AC18*比赛参数!E40+比赛参数!E39,0)</f>
        <v>20036.88</v>
      </c>
      <c r="BT70" s="130"/>
      <c r="BU70" s="130">
        <f>BU65+BS70</f>
        <v>2043011.88</v>
      </c>
      <c r="BV70" s="130">
        <f>BV67-BS70</f>
        <v>3656505.06</v>
      </c>
      <c r="BW70" s="126"/>
      <c r="CB70" s="196" t="s">
        <v>304</v>
      </c>
      <c r="CC70" s="108">
        <f>CC79-CC86</f>
        <v>1612.77346058828</v>
      </c>
      <c r="CD70" s="108">
        <f>CD79-CD86</f>
        <v>3088.21536669361</v>
      </c>
      <c r="CE70" s="108">
        <f>CE79-CE86</f>
        <v>4217.80641554868</v>
      </c>
      <c r="CF70" s="108">
        <f>CF79-CF86</f>
        <v>4448.32880426406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0.70714746590918</v>
      </c>
      <c r="CY70" s="242">
        <f t="shared" si="44"/>
        <v>0.739923251505698</v>
      </c>
      <c r="CZ70" s="242">
        <f t="shared" si="44"/>
        <v>0.674989436484462</v>
      </c>
      <c r="DA70" s="242">
        <f t="shared" si="44"/>
        <v>0.693924009639289</v>
      </c>
      <c r="DB70" s="242">
        <f t="shared" si="44"/>
        <v>0.703573072735377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0.0865</v>
      </c>
      <c r="Z71" s="283">
        <f>DX37</f>
        <v>0.0381</v>
      </c>
      <c r="AA71" s="283">
        <f>EB37</f>
        <v>0.071</v>
      </c>
      <c r="AB71" s="283">
        <f>EF37</f>
        <v>0.0597</v>
      </c>
      <c r="AE71" s="11" t="s">
        <v>56</v>
      </c>
      <c r="AF71" s="131">
        <f>第十期!DV7</f>
        <v>111</v>
      </c>
      <c r="AG71" s="131">
        <f>第十期!DV11</f>
        <v>28</v>
      </c>
      <c r="AH71" s="131">
        <f>第十期!DV15</f>
        <v>23</v>
      </c>
      <c r="AI71" s="131">
        <f>第十期!DV19</f>
        <v>23</v>
      </c>
      <c r="AJ71" s="126">
        <f>AF71-Y58+AF58</f>
        <v>78</v>
      </c>
      <c r="AK71" s="126">
        <f t="shared" si="45"/>
        <v>19</v>
      </c>
      <c r="AL71" s="126">
        <f t="shared" si="45"/>
        <v>18</v>
      </c>
      <c r="AM71" s="126">
        <f t="shared" si="45"/>
        <v>24</v>
      </c>
      <c r="AR71" s="190">
        <v>15</v>
      </c>
      <c r="AS71" s="191">
        <f t="shared" si="40"/>
        <v>0.00277008310249307</v>
      </c>
      <c r="AT71" s="191">
        <f t="shared" si="40"/>
        <v>0.000724743074792244</v>
      </c>
      <c r="AU71" s="191">
        <f t="shared" si="40"/>
        <v>6.7412742382271e-7</v>
      </c>
      <c r="AV71" s="191">
        <f t="shared" si="40"/>
        <v>0.000700298725761774</v>
      </c>
      <c r="AW71" s="191">
        <f t="shared" si="40"/>
        <v>0.00098331756232687</v>
      </c>
      <c r="AX71" s="191">
        <f t="shared" si="40"/>
        <v>0.000111691523545707</v>
      </c>
      <c r="AY71" s="191">
        <f t="shared" si="40"/>
        <v>0.000185819944598338</v>
      </c>
      <c r="AZ71" s="191">
        <f t="shared" si="40"/>
        <v>0.0027711912465374</v>
      </c>
      <c r="BA71" s="191">
        <f t="shared" si="40"/>
        <v>0.0027706371468144</v>
      </c>
      <c r="BB71" s="191">
        <f t="shared" si="40"/>
        <v>0.00277008310249307</v>
      </c>
      <c r="BC71" s="191">
        <f t="shared" si="40"/>
        <v>0.00277008310249308</v>
      </c>
      <c r="BD71" s="191">
        <f t="shared" si="40"/>
        <v>0.00277008310249307</v>
      </c>
      <c r="BE71" s="191">
        <f t="shared" si="40"/>
        <v>0.00276952911357341</v>
      </c>
      <c r="BF71" s="191">
        <f t="shared" si="40"/>
        <v>0.00276952911357341</v>
      </c>
      <c r="BG71" s="191">
        <f t="shared" si="40"/>
        <v>0.00276952911357341</v>
      </c>
      <c r="BH71" s="191">
        <f t="shared" si="40"/>
        <v>0.00277008310249308</v>
      </c>
      <c r="BR71" s="209" t="s">
        <v>345</v>
      </c>
      <c r="BS71" s="130">
        <f>(第十期!Z13*比赛参数!E65*260+第十期!AA13*(比赛参数!F65-比赛参数!D65)*520+第十期!AB13*比赛参数!G65*260)*第十期!AH18</f>
        <v>309920</v>
      </c>
      <c r="BT71" s="130"/>
      <c r="BU71" s="130">
        <f t="shared" ref="BU71:BU76" si="46">BU70+BS71</f>
        <v>2352931.88</v>
      </c>
      <c r="BV71" s="130">
        <f>BV70-BS71</f>
        <v>3346585.06</v>
      </c>
      <c r="BW71" s="126"/>
      <c r="CB71" s="196" t="s">
        <v>305</v>
      </c>
      <c r="CC71" s="108">
        <f>CC70/比赛参数!D26</f>
        <v>16.1277346058828</v>
      </c>
      <c r="CD71" s="108">
        <f>CD70/比赛参数!E26</f>
        <v>12.3528614667744</v>
      </c>
      <c r="CE71" s="108">
        <f>CE70/比赛参数!F26</f>
        <v>11.0994905672334</v>
      </c>
      <c r="CF71" s="108">
        <f>CF70/比赛参数!G26</f>
        <v>8.55447846973858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0.517663060505766</v>
      </c>
      <c r="CY71" s="242">
        <f t="shared" si="44"/>
        <v>0.543110718356296</v>
      </c>
      <c r="CZ71" s="242">
        <f t="shared" si="44"/>
        <v>0.516189022650106</v>
      </c>
      <c r="DA71" s="242">
        <f t="shared" si="44"/>
        <v>0.524791694339203</v>
      </c>
      <c r="DB71" s="242">
        <f t="shared" si="44"/>
        <v>0.525305184735707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0.092</v>
      </c>
      <c r="Z72" s="283">
        <f>DY37</f>
        <v>0.0559</v>
      </c>
      <c r="AA72" s="283">
        <f>EC37</f>
        <v>0.0888</v>
      </c>
      <c r="AB72" s="283">
        <f>EG37</f>
        <v>0.0714</v>
      </c>
      <c r="AE72" s="11" t="s">
        <v>57</v>
      </c>
      <c r="AF72" s="131">
        <f>第十期!DV8</f>
        <v>158</v>
      </c>
      <c r="AG72" s="131">
        <f>第十期!DV12</f>
        <v>57</v>
      </c>
      <c r="AH72" s="131">
        <f>第十期!DV16</f>
        <v>30</v>
      </c>
      <c r="AI72" s="131">
        <f>第十期!DV20</f>
        <v>37</v>
      </c>
      <c r="AJ72" s="126">
        <f>AF72-Y59+AF59</f>
        <v>137</v>
      </c>
      <c r="AK72" s="126">
        <f t="shared" si="45"/>
        <v>57</v>
      </c>
      <c r="AL72" s="126">
        <f t="shared" si="45"/>
        <v>20</v>
      </c>
      <c r="AM72" s="126">
        <f t="shared" si="45"/>
        <v>40</v>
      </c>
      <c r="AR72" s="190">
        <v>16</v>
      </c>
      <c r="AS72" s="191">
        <f t="shared" si="40"/>
        <v>0.000435490997229917</v>
      </c>
      <c r="AT72" s="191">
        <f t="shared" si="40"/>
        <v>0.000305513601108033</v>
      </c>
      <c r="AU72" s="191">
        <f t="shared" si="40"/>
        <v>0.000298562022160665</v>
      </c>
      <c r="AV72" s="191">
        <f t="shared" si="40"/>
        <v>0.000206300304709142</v>
      </c>
      <c r="AW72" s="191">
        <f t="shared" si="40"/>
        <v>9.1353351800554e-5</v>
      </c>
      <c r="AX72" s="191">
        <f t="shared" si="40"/>
        <v>3.40073130193905e-5</v>
      </c>
      <c r="AY72" s="191">
        <f t="shared" si="40"/>
        <v>0.000776648891966759</v>
      </c>
      <c r="AZ72" s="191">
        <f t="shared" si="40"/>
        <v>0.00100856387811634</v>
      </c>
      <c r="BA72" s="191">
        <f t="shared" si="40"/>
        <v>0.00113320819944598</v>
      </c>
      <c r="BB72" s="191">
        <f t="shared" si="40"/>
        <v>3.56220498614959e-5</v>
      </c>
      <c r="BC72" s="191">
        <f t="shared" si="40"/>
        <v>0.0007435667867036</v>
      </c>
      <c r="BD72" s="191">
        <f t="shared" si="40"/>
        <v>0.00020253783933518</v>
      </c>
      <c r="BE72" s="191">
        <f t="shared" si="40"/>
        <v>0.00215051858725762</v>
      </c>
      <c r="BF72" s="191">
        <f t="shared" si="40"/>
        <v>0.000523205429362881</v>
      </c>
      <c r="BG72" s="191">
        <f t="shared" si="40"/>
        <v>3.5121218836565e-5</v>
      </c>
      <c r="BH72" s="191">
        <f>IF(BH48="","",(BH48-BH$54)^2)</f>
        <v>0.000831259944598338</v>
      </c>
      <c r="BR72" s="209" t="s">
        <v>77</v>
      </c>
      <c r="BS72" s="130">
        <f>第十期!DM60</f>
        <v>102000</v>
      </c>
      <c r="BT72" s="130"/>
      <c r="BU72" s="130">
        <f t="shared" si="46"/>
        <v>2454931.88</v>
      </c>
      <c r="BV72" s="130">
        <f>BV71-BS72</f>
        <v>3244585.06</v>
      </c>
      <c r="BW72" s="126"/>
      <c r="CB72" s="196" t="s">
        <v>307</v>
      </c>
      <c r="CC72" s="108">
        <f>IF(CC79&gt;0,CC70/CC79,0)</f>
        <v>0.451985088820809</v>
      </c>
      <c r="CD72" s="108">
        <f>IF(CD79&gt;0,CD70/CD79,0)</f>
        <v>0.430166647216424</v>
      </c>
      <c r="CE72" s="108">
        <f>IF(CE79&gt;0,CE70/CE79,0)</f>
        <v>0.411833056333862</v>
      </c>
      <c r="CF72" s="108">
        <f>IF(CF79&gt;0,CF70/CF79,0)</f>
        <v>0.343995542894789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>
        <v>0.022</v>
      </c>
      <c r="E73" s="19">
        <v>0.021</v>
      </c>
      <c r="F73" s="19">
        <v>0.0215</v>
      </c>
      <c r="G73" s="19">
        <v>0.0242</v>
      </c>
      <c r="H73" s="19">
        <v>0.0382</v>
      </c>
      <c r="I73" s="19">
        <v>0.0403</v>
      </c>
      <c r="J73" s="19">
        <v>0.0424</v>
      </c>
      <c r="K73" s="19">
        <v>0.0534</v>
      </c>
      <c r="L73" s="19">
        <v>0.0804</v>
      </c>
      <c r="M73" s="19">
        <v>0.0895</v>
      </c>
      <c r="N73" s="19">
        <v>0.0769</v>
      </c>
      <c r="O73" s="19">
        <v>0.1023</v>
      </c>
      <c r="P73" s="19">
        <v>0</v>
      </c>
      <c r="Q73" s="19">
        <v>0.0157</v>
      </c>
      <c r="R73" s="19">
        <v>0.0247</v>
      </c>
      <c r="S73" s="19">
        <v>0.0298</v>
      </c>
      <c r="T73" s="10"/>
      <c r="X73" s="11" t="s">
        <v>58</v>
      </c>
      <c r="Y73" s="283">
        <f>DV37</f>
        <v>0.0774</v>
      </c>
      <c r="Z73" s="283">
        <f>DZ37</f>
        <v>0.0577</v>
      </c>
      <c r="AA73" s="283">
        <f>ED37</f>
        <v>0.0844</v>
      </c>
      <c r="AB73" s="283">
        <f>EH37</f>
        <v>0.0863</v>
      </c>
      <c r="AE73" s="11" t="s">
        <v>58</v>
      </c>
      <c r="AF73" s="131">
        <f>第十期!DV9</f>
        <v>149</v>
      </c>
      <c r="AG73" s="131">
        <f>第十期!DV13</f>
        <v>54</v>
      </c>
      <c r="AH73" s="131">
        <f>第十期!DV17</f>
        <v>33</v>
      </c>
      <c r="AI73" s="131">
        <f>第十期!DV21</f>
        <v>42</v>
      </c>
      <c r="AJ73" s="126">
        <f>AF73-Y60+AF60</f>
        <v>150</v>
      </c>
      <c r="AK73" s="126">
        <f t="shared" si="45"/>
        <v>54</v>
      </c>
      <c r="AL73" s="126">
        <f t="shared" si="45"/>
        <v>24</v>
      </c>
      <c r="AM73" s="126">
        <f t="shared" si="45"/>
        <v>45</v>
      </c>
      <c r="AR73" s="190">
        <v>17</v>
      </c>
      <c r="AS73" s="191">
        <f t="shared" ref="AS73:BH76" si="47">IF(AS49="","",(AS49-AS$54)^2)</f>
        <v>0.00036742836565097</v>
      </c>
      <c r="AT73" s="191">
        <f t="shared" si="47"/>
        <v>0.00025532675900277</v>
      </c>
      <c r="AU73" s="191">
        <f t="shared" si="47"/>
        <v>0.000431764653739613</v>
      </c>
      <c r="AV73" s="191">
        <f t="shared" si="47"/>
        <v>0.000700298725761774</v>
      </c>
      <c r="AW73" s="191">
        <f t="shared" si="47"/>
        <v>9.1353351800554e-5</v>
      </c>
      <c r="AX73" s="191">
        <f t="shared" si="47"/>
        <v>8.9650997229917e-5</v>
      </c>
      <c r="AY73" s="191">
        <f t="shared" si="47"/>
        <v>0.000101373102493075</v>
      </c>
      <c r="AZ73" s="191">
        <f t="shared" si="47"/>
        <v>8.75701939058172e-5</v>
      </c>
      <c r="BA73" s="191">
        <f t="shared" si="47"/>
        <v>0.0027706371468144</v>
      </c>
      <c r="BB73" s="191">
        <f t="shared" si="47"/>
        <v>0.00277008310249307</v>
      </c>
      <c r="BC73" s="191">
        <f t="shared" si="47"/>
        <v>0.00277008310249308</v>
      </c>
      <c r="BD73" s="191">
        <f t="shared" si="47"/>
        <v>0.00277008310249307</v>
      </c>
      <c r="BE73" s="191">
        <f t="shared" si="47"/>
        <v>0.00276952911357341</v>
      </c>
      <c r="BF73" s="191">
        <f t="shared" si="47"/>
        <v>0.00276952911357341</v>
      </c>
      <c r="BG73" s="191">
        <f t="shared" si="47"/>
        <v>0.00276952911357341</v>
      </c>
      <c r="BH73" s="191">
        <f t="shared" si="47"/>
        <v>0.00277008310249308</v>
      </c>
      <c r="BR73" s="209" t="s">
        <v>346</v>
      </c>
      <c r="BS73" s="130">
        <f>第十期!AC21</f>
        <v>996700</v>
      </c>
      <c r="BT73" s="130"/>
      <c r="BU73" s="130">
        <f t="shared" si="46"/>
        <v>3451631.88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>
        <v>0.0082</v>
      </c>
      <c r="E74" s="19">
        <v>0.0078</v>
      </c>
      <c r="F74" s="19">
        <v>0.0076</v>
      </c>
      <c r="G74" s="19">
        <v>0.0066</v>
      </c>
      <c r="H74" s="19">
        <v>0.0523</v>
      </c>
      <c r="I74" s="19">
        <v>0.0523</v>
      </c>
      <c r="J74" s="19">
        <v>0.061</v>
      </c>
      <c r="K74" s="19">
        <v>0.0612</v>
      </c>
      <c r="L74" s="19">
        <v>0</v>
      </c>
      <c r="M74" s="19">
        <v>0</v>
      </c>
      <c r="N74" s="19">
        <v>0</v>
      </c>
      <c r="O74" s="19">
        <v>0</v>
      </c>
      <c r="P74" s="19">
        <v>0.099</v>
      </c>
      <c r="Q74" s="19">
        <v>0.1352</v>
      </c>
      <c r="R74" s="19">
        <v>0.1621</v>
      </c>
      <c r="S74" s="19">
        <v>0.0565</v>
      </c>
      <c r="T74" s="10"/>
      <c r="AE74" s="48"/>
      <c r="AF74" s="2">
        <f>AVERAGE(AF70:AF73)</f>
        <v>132.25</v>
      </c>
      <c r="AG74" s="2">
        <f>AVERAGE(AG70:AG73)</f>
        <v>41.75</v>
      </c>
      <c r="AH74" s="2">
        <f>AVERAGE(AH70:AH73)</f>
        <v>27</v>
      </c>
      <c r="AI74" s="2">
        <f>AVERAGE(AI70:AI73)</f>
        <v>31.25</v>
      </c>
      <c r="AJ74" s="48"/>
      <c r="AL74" s="48"/>
      <c r="AR74" s="190">
        <v>18</v>
      </c>
      <c r="AS74" s="191">
        <f t="shared" si="47"/>
        <v>0.000938293628808864</v>
      </c>
      <c r="AT74" s="191">
        <f t="shared" si="47"/>
        <v>0.00094993728531856</v>
      </c>
      <c r="AU74" s="191">
        <f t="shared" si="47"/>
        <v>0.00131921886426593</v>
      </c>
      <c r="AV74" s="191">
        <f t="shared" si="47"/>
        <v>0.00122758030470914</v>
      </c>
      <c r="AW74" s="191">
        <f t="shared" si="47"/>
        <v>8.17596675900277e-5</v>
      </c>
      <c r="AX74" s="191">
        <f t="shared" si="47"/>
        <v>6.2909944598338e-5</v>
      </c>
      <c r="AY74" s="191">
        <f t="shared" si="47"/>
        <v>1.73757340720222e-5</v>
      </c>
      <c r="AZ74" s="191">
        <f t="shared" si="47"/>
        <v>0.000264319141274238</v>
      </c>
      <c r="BA74" s="191">
        <f t="shared" si="47"/>
        <v>0.000119614515235457</v>
      </c>
      <c r="BB74" s="191">
        <f t="shared" si="47"/>
        <v>8.89546814404431e-5</v>
      </c>
      <c r="BC74" s="191">
        <f t="shared" si="47"/>
        <v>4.31441551246536e-5</v>
      </c>
      <c r="BD74" s="191">
        <f t="shared" si="47"/>
        <v>0.000850796786703601</v>
      </c>
      <c r="BE74" s="191">
        <f t="shared" si="47"/>
        <v>2.3293324099723e-5</v>
      </c>
      <c r="BF74" s="191">
        <f t="shared" si="47"/>
        <v>2.94449030470915e-5</v>
      </c>
      <c r="BG74" s="191">
        <f t="shared" si="47"/>
        <v>0.000176190692520776</v>
      </c>
      <c r="BH74" s="191">
        <f t="shared" si="47"/>
        <v>0.00330261941828255</v>
      </c>
      <c r="BR74" s="209" t="s">
        <v>347</v>
      </c>
      <c r="BS74" s="130">
        <f>第十期!CG42</f>
        <v>549912</v>
      </c>
      <c r="BT74" s="130"/>
      <c r="BU74" s="130">
        <f t="shared" si="46"/>
        <v>4001543.88</v>
      </c>
      <c r="BV74" s="130">
        <f>BV72-BS74</f>
        <v>2694673.06</v>
      </c>
      <c r="BW74" s="126"/>
      <c r="CB74" s="219"/>
      <c r="CC74" s="219">
        <f t="shared" ref="CC74:CF77" si="48">AF64*AF76</f>
        <v>268000</v>
      </c>
      <c r="CD74" s="219">
        <f t="shared" si="48"/>
        <v>347500</v>
      </c>
      <c r="CE74" s="219">
        <f t="shared" si="48"/>
        <v>274050</v>
      </c>
      <c r="CF74" s="219">
        <f t="shared" si="48"/>
        <v>292100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>
        <v>0.0563</v>
      </c>
      <c r="E75" s="19">
        <v>0.0538</v>
      </c>
      <c r="F75" s="19">
        <v>0.0612</v>
      </c>
      <c r="G75" s="19">
        <v>0.0703</v>
      </c>
      <c r="H75" s="19">
        <v>0.0676</v>
      </c>
      <c r="I75" s="19">
        <v>0.0664</v>
      </c>
      <c r="J75" s="19">
        <v>0.0483</v>
      </c>
      <c r="K75" s="19">
        <v>0.0491</v>
      </c>
      <c r="L75" s="19">
        <v>0.0625</v>
      </c>
      <c r="M75" s="19">
        <v>0.0648</v>
      </c>
      <c r="N75" s="19">
        <v>0.0651</v>
      </c>
      <c r="O75" s="19">
        <v>0.0563</v>
      </c>
      <c r="P75" s="19">
        <v>0.0819</v>
      </c>
      <c r="Q75" s="19">
        <v>0.088</v>
      </c>
      <c r="R75" s="19">
        <v>0.0797</v>
      </c>
      <c r="S75" s="19">
        <v>0.0863</v>
      </c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>
        <f t="shared" si="47"/>
        <v>0.000122509944598338</v>
      </c>
      <c r="AT75" s="191">
        <f t="shared" si="47"/>
        <v>6.68951800554016e-5</v>
      </c>
      <c r="AU75" s="191">
        <f t="shared" si="47"/>
        <v>0.000189859390581718</v>
      </c>
      <c r="AV75" s="191">
        <f t="shared" si="47"/>
        <v>8.95513573407204e-5</v>
      </c>
      <c r="AW75" s="191">
        <f t="shared" si="47"/>
        <v>0.000418525457063712</v>
      </c>
      <c r="AX75" s="191">
        <f t="shared" si="47"/>
        <v>0.000414872576177285</v>
      </c>
      <c r="AY75" s="191">
        <f t="shared" si="47"/>
        <v>1.73757340720222e-5</v>
      </c>
      <c r="AZ75" s="191">
        <f t="shared" si="47"/>
        <v>0.000764085983379501</v>
      </c>
      <c r="BA75" s="191">
        <f t="shared" si="47"/>
        <v>0.00207600135734072</v>
      </c>
      <c r="BB75" s="191">
        <f t="shared" si="47"/>
        <v>8.89546814404431e-5</v>
      </c>
      <c r="BC75" s="191">
        <f t="shared" si="47"/>
        <v>0.00012614836565097</v>
      </c>
      <c r="BD75" s="191">
        <f t="shared" si="47"/>
        <v>0.000730706260387811</v>
      </c>
      <c r="BE75" s="191">
        <f t="shared" si="47"/>
        <v>0.00276952911357341</v>
      </c>
      <c r="BF75" s="191">
        <f t="shared" si="47"/>
        <v>0.00276952911357341</v>
      </c>
      <c r="BG75" s="191">
        <f t="shared" si="47"/>
        <v>0.00276952911357341</v>
      </c>
      <c r="BH75" s="191">
        <f t="shared" si="47"/>
        <v>0.00277008310249308</v>
      </c>
      <c r="BR75" s="209" t="s">
        <v>351</v>
      </c>
      <c r="BS75" s="130">
        <f>SUM(第十期!AF80:AI80)</f>
        <v>195100</v>
      </c>
      <c r="BT75" s="130"/>
      <c r="BU75" s="130">
        <f t="shared" si="46"/>
        <v>4196643.88</v>
      </c>
      <c r="BV75" s="130">
        <f>BV74-BS75</f>
        <v>2499573.06</v>
      </c>
      <c r="BW75" s="126"/>
      <c r="CB75" s="219"/>
      <c r="CC75" s="219">
        <f t="shared" si="48"/>
        <v>268000</v>
      </c>
      <c r="CD75" s="219">
        <f t="shared" si="48"/>
        <v>354450</v>
      </c>
      <c r="CE75" s="219">
        <f t="shared" si="48"/>
        <v>284200</v>
      </c>
      <c r="CF75" s="219">
        <f t="shared" si="48"/>
        <v>292100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>
        <v>0.0041</v>
      </c>
      <c r="E76" s="19">
        <v>0.0039</v>
      </c>
      <c r="F76" s="19">
        <v>0.0017</v>
      </c>
      <c r="G76" s="19">
        <v>0.0016</v>
      </c>
      <c r="H76" s="19">
        <v>0.0403</v>
      </c>
      <c r="I76" s="19">
        <v>0.0414</v>
      </c>
      <c r="J76" s="19">
        <v>0.0466</v>
      </c>
      <c r="K76" s="19">
        <v>0.0543</v>
      </c>
      <c r="L76" s="19">
        <v>0.0506</v>
      </c>
      <c r="M76" s="19">
        <v>0.0556</v>
      </c>
      <c r="N76" s="19">
        <v>0.0414</v>
      </c>
      <c r="O76" s="19">
        <v>0.0511</v>
      </c>
      <c r="P76" s="19">
        <v>0.0819</v>
      </c>
      <c r="Q76" s="19">
        <v>0.0755</v>
      </c>
      <c r="R76" s="19">
        <v>0.0879</v>
      </c>
      <c r="S76" s="19">
        <v>0.0714</v>
      </c>
      <c r="T76" s="10"/>
      <c r="X76" s="64" t="s">
        <v>55</v>
      </c>
      <c r="Y76" s="283">
        <f>AB130/Y232</f>
        <v>0.0653061224489796</v>
      </c>
      <c r="Z76" s="283">
        <f>AL130/AC232</f>
        <v>0.0545851528384279</v>
      </c>
      <c r="AA76" s="283">
        <f>AB153/AG232</f>
        <v>0.0803571428571429</v>
      </c>
      <c r="AB76" s="283">
        <f>AL153/AK232</f>
        <v>0.0784982935153584</v>
      </c>
      <c r="AC76" s="126"/>
      <c r="AE76" s="47" t="s">
        <v>55</v>
      </c>
      <c r="AF76" s="101">
        <v>3350</v>
      </c>
      <c r="AG76" s="101">
        <v>6950</v>
      </c>
      <c r="AH76" s="101">
        <v>10150</v>
      </c>
      <c r="AI76" s="101">
        <v>12700</v>
      </c>
      <c r="AJ76" s="300">
        <v>38880</v>
      </c>
      <c r="AK76" s="301">
        <f>AJ76/SUM(AF64:AI64)</f>
        <v>216</v>
      </c>
      <c r="AL76" s="114">
        <f>AJ76/SUMPRODUCT(AF76:AI76,AF64:AI64)</f>
        <v>0.0329031439089409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SUM(第十期!AJ76:AJ79)</f>
        <v>191940</v>
      </c>
      <c r="BT76" s="327"/>
      <c r="BU76" s="327">
        <f t="shared" si="46"/>
        <v>4388583.88</v>
      </c>
      <c r="BV76" s="327">
        <f>BV75-BS76</f>
        <v>2307633.06</v>
      </c>
      <c r="BW76" s="331" t="str">
        <f>IF(BV76&gt;=0,"YES","NO")</f>
        <v>YES</v>
      </c>
      <c r="CB76" s="219"/>
      <c r="CC76" s="219">
        <f t="shared" si="48"/>
        <v>350620</v>
      </c>
      <c r="CD76" s="219">
        <f t="shared" si="48"/>
        <v>503700</v>
      </c>
      <c r="CE76" s="219">
        <f t="shared" si="48"/>
        <v>397800</v>
      </c>
      <c r="CF76" s="219">
        <f t="shared" si="48"/>
        <v>442000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>
        <v>0.0963</v>
      </c>
      <c r="E77" s="19">
        <v>0.0928</v>
      </c>
      <c r="F77" s="19">
        <v>0.0716</v>
      </c>
      <c r="G77" s="19">
        <v>0.073</v>
      </c>
      <c r="H77" s="19">
        <v>0.0294</v>
      </c>
      <c r="I77" s="19">
        <v>0.0316</v>
      </c>
      <c r="J77" s="19">
        <v>0.0458</v>
      </c>
      <c r="K77" s="19">
        <v>0.0586</v>
      </c>
      <c r="L77" s="19">
        <v>0.0714</v>
      </c>
      <c r="M77" s="19">
        <v>0.0772</v>
      </c>
      <c r="N77" s="19">
        <v>0.068</v>
      </c>
      <c r="O77" s="19">
        <v>0.0691</v>
      </c>
      <c r="P77" s="19">
        <v>0.0785</v>
      </c>
      <c r="Q77" s="19">
        <v>0.0723</v>
      </c>
      <c r="R77" s="19">
        <v>0.0797</v>
      </c>
      <c r="S77" s="19">
        <v>0.0893</v>
      </c>
      <c r="T77" s="10"/>
      <c r="X77" s="11" t="s">
        <v>56</v>
      </c>
      <c r="Y77" s="283">
        <f>AC130/Z232</f>
        <v>0.0623538581449727</v>
      </c>
      <c r="Z77" s="283">
        <f>AM130/AD232</f>
        <v>0.0554951033732318</v>
      </c>
      <c r="AA77" s="283">
        <f>AC153/AH232</f>
        <v>0.0864197530864197</v>
      </c>
      <c r="AB77" s="283">
        <f>AM153/AL232</f>
        <v>0.0723270440251572</v>
      </c>
      <c r="AC77" s="126"/>
      <c r="AE77" s="11" t="s">
        <v>56</v>
      </c>
      <c r="AF77" s="101">
        <v>3350</v>
      </c>
      <c r="AG77" s="101">
        <v>6950</v>
      </c>
      <c r="AH77" s="101">
        <v>10150</v>
      </c>
      <c r="AI77" s="101">
        <v>12700</v>
      </c>
      <c r="AJ77" s="300">
        <v>39420</v>
      </c>
      <c r="AK77" s="301">
        <f>AJ77/SUM(AF65:AI65)</f>
        <v>216.593406593407</v>
      </c>
      <c r="AL77" s="114">
        <f>AJ77/SUMPRODUCT(AF77:AI77,AF65:AI65)</f>
        <v>0.0328842544316997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第十期!CG53</f>
        <v>5929420</v>
      </c>
      <c r="BT77" s="328">
        <f>BT67+BS77</f>
        <v>5959530.64</v>
      </c>
      <c r="BU77" s="328"/>
      <c r="BV77" s="328">
        <f>BV76+BS77</f>
        <v>8237053.06</v>
      </c>
      <c r="BW77" s="126"/>
      <c r="CB77" s="219"/>
      <c r="CC77" s="219">
        <f t="shared" si="48"/>
        <v>323000</v>
      </c>
      <c r="CD77" s="219">
        <f t="shared" si="48"/>
        <v>495800</v>
      </c>
      <c r="CE77" s="219">
        <f t="shared" si="48"/>
        <v>436800</v>
      </c>
      <c r="CF77" s="219">
        <f t="shared" si="48"/>
        <v>499700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>
        <v>0.0122</v>
      </c>
      <c r="E78" s="19">
        <v>0.0203</v>
      </c>
      <c r="F78" s="19">
        <v>0.0198</v>
      </c>
      <c r="G78" s="19">
        <v>0.0137</v>
      </c>
      <c r="H78" s="19">
        <v>0.0611</v>
      </c>
      <c r="I78" s="19">
        <v>0.0545</v>
      </c>
      <c r="J78" s="19">
        <v>0.0093</v>
      </c>
      <c r="K78" s="19">
        <v>0</v>
      </c>
      <c r="L78" s="19">
        <v>0</v>
      </c>
      <c r="M78" s="19">
        <v>0.0062</v>
      </c>
      <c r="N78" s="19">
        <v>0.0059</v>
      </c>
      <c r="O78" s="19">
        <v>0</v>
      </c>
      <c r="P78" s="19">
        <v>0.0205</v>
      </c>
      <c r="Q78" s="19">
        <v>0.0189</v>
      </c>
      <c r="R78" s="19">
        <v>0.0192</v>
      </c>
      <c r="S78" s="19">
        <v>0.0179</v>
      </c>
      <c r="T78" s="10"/>
      <c r="X78" s="11" t="s">
        <v>57</v>
      </c>
      <c r="Y78" s="283">
        <f>AD130/AA232</f>
        <v>0.0547466511357018</v>
      </c>
      <c r="Z78" s="283">
        <f>AN130/AE232</f>
        <v>0.0584250635055038</v>
      </c>
      <c r="AA78" s="283">
        <f>AD153/AI232</f>
        <v>0.115384615384615</v>
      </c>
      <c r="AB78" s="283">
        <f>AN153/AM232</f>
        <v>0.0934065934065934</v>
      </c>
      <c r="AC78" s="126"/>
      <c r="AE78" s="11" t="s">
        <v>57</v>
      </c>
      <c r="AF78" s="101">
        <v>3730</v>
      </c>
      <c r="AG78" s="101">
        <v>7300</v>
      </c>
      <c r="AH78" s="101">
        <v>10200</v>
      </c>
      <c r="AI78" s="101">
        <v>13000</v>
      </c>
      <c r="AJ78" s="300">
        <v>55770</v>
      </c>
      <c r="AK78" s="301">
        <f>AJ78/SUM(AF66:AI66)</f>
        <v>236.313559322034</v>
      </c>
      <c r="AL78" s="114">
        <f>AJ78/SUMPRODUCT(AF78:AI78,AF66:AI66)</f>
        <v>0.0329197459447973</v>
      </c>
      <c r="AM78" s="2">
        <v>8500</v>
      </c>
      <c r="AN78" s="2">
        <v>12300</v>
      </c>
      <c r="AO78" s="2">
        <v>14000</v>
      </c>
      <c r="AR78" s="65" t="s">
        <v>353</v>
      </c>
      <c r="AS78" s="307">
        <f>AVERAGE(AS57:AS76)^0.5</f>
        <v>0.0341070922186602</v>
      </c>
      <c r="AT78" s="307">
        <f t="shared" ref="AT78:BH78" si="49">AVERAGE(AT57:AT76)^0.5</f>
        <v>0.0303141026577499</v>
      </c>
      <c r="AU78" s="307">
        <f t="shared" si="49"/>
        <v>0.0306671876586681</v>
      </c>
      <c r="AV78" s="307">
        <f t="shared" si="49"/>
        <v>0.0298783359384145</v>
      </c>
      <c r="AW78" s="307">
        <f t="shared" si="49"/>
        <v>0.0149710357476475</v>
      </c>
      <c r="AX78" s="307">
        <f t="shared" si="49"/>
        <v>0.0144304157080427</v>
      </c>
      <c r="AY78" s="307">
        <f t="shared" si="49"/>
        <v>0.0173256139142867</v>
      </c>
      <c r="AZ78" s="307">
        <f t="shared" si="49"/>
        <v>0.023097375466979</v>
      </c>
      <c r="BA78" s="307">
        <f t="shared" si="49"/>
        <v>0.0359636835904795</v>
      </c>
      <c r="BB78" s="307">
        <f t="shared" si="49"/>
        <v>0.0349973991910614</v>
      </c>
      <c r="BC78" s="307">
        <f t="shared" si="49"/>
        <v>0.0379862863430805</v>
      </c>
      <c r="BD78" s="307">
        <f t="shared" si="49"/>
        <v>0.0416289253263006</v>
      </c>
      <c r="BE78" s="307">
        <f t="shared" si="49"/>
        <v>0.0380713574074743</v>
      </c>
      <c r="BF78" s="307">
        <f t="shared" si="49"/>
        <v>0.0378004155101817</v>
      </c>
      <c r="BG78" s="307">
        <f t="shared" si="49"/>
        <v>0.0423088001559619</v>
      </c>
      <c r="BH78" s="307">
        <f t="shared" si="49"/>
        <v>0.0391972750480328</v>
      </c>
      <c r="BR78" s="209" t="s">
        <v>259</v>
      </c>
      <c r="BS78" s="130">
        <f>第十期!CN53</f>
        <v>104768</v>
      </c>
      <c r="BT78" s="130"/>
      <c r="BU78" s="130">
        <f>BU76+BS78</f>
        <v>4493351.88</v>
      </c>
      <c r="BV78" s="130">
        <f>BV77-BS78</f>
        <v>8132285.06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>
        <v>0.018</v>
      </c>
      <c r="E79" s="19">
        <v>0.0171</v>
      </c>
      <c r="F79" s="19">
        <v>0.0221</v>
      </c>
      <c r="G79" s="19">
        <v>0.0242</v>
      </c>
      <c r="H79" s="19">
        <v>0.0513</v>
      </c>
      <c r="I79" s="19">
        <v>0.085</v>
      </c>
      <c r="J79" s="19">
        <v>0.0788</v>
      </c>
      <c r="K79" s="19">
        <v>0.0801</v>
      </c>
      <c r="L79" s="19">
        <v>0.0417</v>
      </c>
      <c r="M79" s="19">
        <v>0.0741</v>
      </c>
      <c r="N79" s="19">
        <v>0.0858</v>
      </c>
      <c r="O79" s="19">
        <v>0.0767</v>
      </c>
      <c r="P79" s="19">
        <v>0.0375</v>
      </c>
      <c r="Q79" s="19">
        <v>0.0503</v>
      </c>
      <c r="R79" s="19">
        <v>0.0632</v>
      </c>
      <c r="S79" s="19">
        <v>0.0685</v>
      </c>
      <c r="T79" s="10"/>
      <c r="X79" s="11" t="s">
        <v>58</v>
      </c>
      <c r="Y79" s="283">
        <f>AE130/AB232</f>
        <v>0.0466520307354555</v>
      </c>
      <c r="Z79" s="283">
        <f>AO130/AF232</f>
        <v>0.05770887166236</v>
      </c>
      <c r="AA79" s="283">
        <f>AE153/AJ232</f>
        <v>0.107416879795396</v>
      </c>
      <c r="AB79" s="283">
        <f>AO153/AN232</f>
        <v>0.113095238095238</v>
      </c>
      <c r="AC79" s="126"/>
      <c r="AE79" s="11" t="s">
        <v>58</v>
      </c>
      <c r="AF79" s="101">
        <v>3800</v>
      </c>
      <c r="AG79" s="101">
        <v>7400</v>
      </c>
      <c r="AH79" s="101">
        <v>10400</v>
      </c>
      <c r="AI79" s="101">
        <v>13150</v>
      </c>
      <c r="AJ79" s="300">
        <v>57870</v>
      </c>
      <c r="AK79" s="301">
        <f>AJ79/SUM(AF67:AI67)</f>
        <v>249.439655172414</v>
      </c>
      <c r="AL79" s="114">
        <f>AJ79/SUMPRODUCT(AF79:AI79,AF67:AI67)</f>
        <v>0.0329687232951632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第十期!K9*比赛参数!D30*比赛参数!F30</f>
        <v>600000</v>
      </c>
      <c r="BT79" s="130"/>
      <c r="BU79" s="130">
        <f>BU78+BS79</f>
        <v>5093351.88</v>
      </c>
      <c r="BV79" s="130"/>
      <c r="BW79" s="126"/>
      <c r="CB79" s="196" t="s">
        <v>355</v>
      </c>
      <c r="CC79" s="108">
        <f>IF(SUM(AF64:AF67)&gt;0,SUM(CC74:CC77)/SUM(AF64:AF67),0)</f>
        <v>3568.2005899705</v>
      </c>
      <c r="CD79" s="108">
        <f>IF(SUM(AG64:AG67)&gt;0,SUM(CD74:CD77)/SUM(AG64:AG67),0)</f>
        <v>7179.11392405063</v>
      </c>
      <c r="CE79" s="108">
        <f>IF(SUM(AH64:AH67)&gt;0,SUM(CE74:CE77)/SUM(AH64:AH67),0)</f>
        <v>10241.5441176471</v>
      </c>
      <c r="CF79" s="108">
        <f>IF(SUM(AI64:AI67)&gt;0,SUM(CF74:CF77)/SUM(AI64:AI67),0)</f>
        <v>12931.3559322034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>
        <v>0.0792</v>
      </c>
      <c r="E80" s="19">
        <v>0.0756</v>
      </c>
      <c r="F80" s="19">
        <v>0.0414</v>
      </c>
      <c r="G80" s="19">
        <v>0.0445</v>
      </c>
      <c r="H80" s="19">
        <v>0.0491</v>
      </c>
      <c r="I80" s="19">
        <v>0.049</v>
      </c>
      <c r="J80" s="19">
        <v>0.0407</v>
      </c>
      <c r="K80" s="19">
        <v>0.0413</v>
      </c>
      <c r="L80" s="19">
        <v>0.0804</v>
      </c>
      <c r="M80" s="19">
        <v>0.0833</v>
      </c>
      <c r="N80" s="19">
        <v>0.0976</v>
      </c>
      <c r="O80" s="19">
        <v>0.1023</v>
      </c>
      <c r="P80" s="19">
        <v>0.0648</v>
      </c>
      <c r="Q80" s="19">
        <v>0.0597</v>
      </c>
      <c r="R80" s="19">
        <v>0.0769</v>
      </c>
      <c r="S80" s="19">
        <v>0.0833</v>
      </c>
      <c r="T80" s="10"/>
      <c r="AC80" s="48"/>
      <c r="AE80" s="42" t="s">
        <v>165</v>
      </c>
      <c r="AF80" s="284">
        <v>39860</v>
      </c>
      <c r="AG80" s="284">
        <v>56070</v>
      </c>
      <c r="AH80" s="284">
        <v>47330</v>
      </c>
      <c r="AI80" s="284">
        <v>51840</v>
      </c>
      <c r="AJ80" s="42" t="s">
        <v>357</v>
      </c>
      <c r="AK80" s="302">
        <f>BS75/BS77</f>
        <v>0.032903724141653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第十期!CG65</f>
        <v>441130.769230769</v>
      </c>
      <c r="BT80" s="130"/>
      <c r="BU80" s="130">
        <f>BU79+BS80</f>
        <v>5534482.64923077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第十期!Y9*第十期!CQ56</f>
        <v>35500</v>
      </c>
      <c r="CR80" s="65">
        <f>第十期!Z9*第十期!CR56</f>
        <v>0</v>
      </c>
      <c r="CS80" s="65">
        <f>第十期!AA9*第十期!CS56</f>
        <v>0</v>
      </c>
      <c r="CT80" s="65">
        <f>第十期!AB9*第十期!CT56</f>
        <v>0</v>
      </c>
      <c r="CU80" s="65">
        <f>SUM(CQ80:CT80)</f>
        <v>35500</v>
      </c>
    </row>
    <row r="81" customHeight="1" spans="2:99">
      <c r="B81" s="7"/>
      <c r="C81" s="25">
        <v>9</v>
      </c>
      <c r="D81" s="19">
        <v>0.1037</v>
      </c>
      <c r="E81" s="19">
        <v>0.0982</v>
      </c>
      <c r="F81" s="19">
        <v>0.1124</v>
      </c>
      <c r="G81" s="19">
        <v>0.0999</v>
      </c>
      <c r="H81" s="19">
        <v>0.0349</v>
      </c>
      <c r="I81" s="19">
        <v>0.0359</v>
      </c>
      <c r="J81" s="19">
        <v>0.0263</v>
      </c>
      <c r="K81" s="19">
        <v>0.0336</v>
      </c>
      <c r="L81" s="19">
        <v>0.0625</v>
      </c>
      <c r="M81" s="19">
        <v>0.0648</v>
      </c>
      <c r="N81" s="19">
        <v>0.0888</v>
      </c>
      <c r="O81" s="19">
        <v>0.0793</v>
      </c>
      <c r="P81" s="19">
        <v>0.0887</v>
      </c>
      <c r="Q81" s="19">
        <v>0.0818</v>
      </c>
      <c r="R81" s="19">
        <v>0.1071</v>
      </c>
      <c r="S81" s="19">
        <v>0.1161</v>
      </c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117.581120943953</v>
      </c>
      <c r="AG81" s="285">
        <f>IF(SUM(AG64:AG67)&gt;0,AG80/SUM(AG64:AG67),0)</f>
        <v>236.582278481013</v>
      </c>
      <c r="AH81" s="285">
        <f>IF(SUM(AH64:AH67)&gt;0,AH80/SUM(AH64:AH67),0)</f>
        <v>348.014705882353</v>
      </c>
      <c r="AI81" s="303">
        <f>IF(SUM(AI64:AI67)&gt;0,AI80/SUM(AI64:AI67),0)</f>
        <v>439.322033898305</v>
      </c>
      <c r="AJ81" s="42" t="s">
        <v>361</v>
      </c>
      <c r="AK81" s="302">
        <f>BS76/BS77</f>
        <v>0.032370788373905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(第十期!K10+(第十期!AC18+第十期!K10-第十期!AC21))/2*比赛参数!D16</f>
        <v>5917.32</v>
      </c>
      <c r="BT81" s="130"/>
      <c r="BU81" s="130">
        <f>BU80+BS81</f>
        <v>5540399.96923077</v>
      </c>
      <c r="BV81" s="130">
        <f>BV78-BS81</f>
        <v>8126367.74</v>
      </c>
      <c r="BW81" s="126"/>
      <c r="CB81" s="219"/>
      <c r="CC81" s="219">
        <f t="shared" ref="CC81:CF84" si="50">CJ19*AF64</f>
        <v>151262.96091105</v>
      </c>
      <c r="CD81" s="219">
        <f t="shared" si="50"/>
        <v>200925.940526079</v>
      </c>
      <c r="CE81" s="219">
        <f t="shared" si="50"/>
        <v>160530.947368421</v>
      </c>
      <c r="CF81" s="219">
        <f t="shared" si="50"/>
        <v>192466.962925655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第十期!Y10*第十期!CQ57</f>
        <v>42500</v>
      </c>
      <c r="CR81" s="65">
        <f>第十期!Z10*第十期!CR57</f>
        <v>0</v>
      </c>
      <c r="CS81" s="65">
        <f>第十期!AA10*第十期!CS57</f>
        <v>16000</v>
      </c>
      <c r="CT81" s="65">
        <f>第十期!AB10*第十期!CT57</f>
        <v>0</v>
      </c>
      <c r="CU81" s="65">
        <f>SUM(CQ81:CT81)</f>
        <v>58500</v>
      </c>
    </row>
    <row r="82" ht="18.75" customHeight="1" spans="2:99">
      <c r="B82" s="7"/>
      <c r="C82" s="25">
        <v>10</v>
      </c>
      <c r="D82" s="19">
        <v>0.0931</v>
      </c>
      <c r="E82" s="19">
        <v>0.0779</v>
      </c>
      <c r="F82" s="19">
        <v>0.078</v>
      </c>
      <c r="G82" s="19">
        <v>0.095</v>
      </c>
      <c r="H82" s="19">
        <v>0.0414</v>
      </c>
      <c r="I82" s="19">
        <v>0.0436</v>
      </c>
      <c r="J82" s="19">
        <v>0.0449</v>
      </c>
      <c r="K82" s="19">
        <v>0.0586</v>
      </c>
      <c r="L82" s="19">
        <v>0.0893</v>
      </c>
      <c r="M82" s="19">
        <v>0.0926</v>
      </c>
      <c r="N82" s="19">
        <v>0.0888</v>
      </c>
      <c r="O82" s="19">
        <v>0.1176</v>
      </c>
      <c r="P82" s="19">
        <v>0.0751</v>
      </c>
      <c r="Q82" s="19">
        <v>0.0723</v>
      </c>
      <c r="R82" s="19">
        <v>0.0659</v>
      </c>
      <c r="S82" s="19">
        <v>0.0893</v>
      </c>
      <c r="T82" s="10"/>
      <c r="X82" s="64" t="s">
        <v>55</v>
      </c>
      <c r="Y82" s="286">
        <f>(Y76-AS54)/AS78</f>
        <v>0.371610204128656</v>
      </c>
      <c r="Z82" s="286">
        <f>(Z76-AW54)/AW78</f>
        <v>0.129787117472843</v>
      </c>
      <c r="AA82" s="286">
        <f>(AA76-BA54)/BA78</f>
        <v>0.770785914689173</v>
      </c>
      <c r="AB82" s="286">
        <f>(AB76-BE54)/BE78</f>
        <v>0.679565413152446</v>
      </c>
      <c r="AF82" s="48">
        <f>SUMPRODUCT(AF70:AF73,AF86:AF89)/SUM(AF70:AF73)</f>
        <v>3303.19470699433</v>
      </c>
      <c r="AG82" s="48">
        <f>SUMPRODUCT(AG70:AG73,AG86:AG89)/SUM(AG70:AG73)</f>
        <v>7231.73652694611</v>
      </c>
      <c r="AH82" s="48">
        <f>SUMPRODUCT(AH70:AH73,AH86:AH89)/SUM(AH70:AH73)</f>
        <v>9669.44444444445</v>
      </c>
      <c r="AI82" s="48">
        <f>SUMPRODUCT(AI70:AI73,AI86:AI89)/SUM(AI70:AI73)</f>
        <v>11995.2</v>
      </c>
      <c r="AJ82" s="42" t="s">
        <v>100</v>
      </c>
      <c r="AK82" s="84">
        <f>AF14</f>
        <v>400990.67076923</v>
      </c>
      <c r="AR82" s="185">
        <v>1</v>
      </c>
      <c r="AS82" s="308">
        <f t="shared" ref="AS82:BH97" si="51">IF(AS33="","",(AS33-AS$54)/AS$78)</f>
        <v>-0.898099983164491</v>
      </c>
      <c r="AT82" s="309">
        <f t="shared" si="51"/>
        <v>-1.04311359595845</v>
      </c>
      <c r="AU82" s="309">
        <f t="shared" si="51"/>
        <v>-1.01479969333877</v>
      </c>
      <c r="AV82" s="310">
        <f t="shared" si="51"/>
        <v>-0.95175454763871</v>
      </c>
      <c r="AW82" s="308">
        <f t="shared" si="51"/>
        <v>-0.964669746742622</v>
      </c>
      <c r="AX82" s="309">
        <f t="shared" si="51"/>
        <v>-0.854554657111887</v>
      </c>
      <c r="AY82" s="309">
        <f t="shared" si="51"/>
        <v>-0.590546401298453</v>
      </c>
      <c r="AZ82" s="310">
        <f t="shared" si="51"/>
        <v>0.0328130240565916</v>
      </c>
      <c r="BA82" s="308">
        <f t="shared" si="51"/>
        <v>0.771977593031835</v>
      </c>
      <c r="BB82" s="309">
        <f t="shared" si="51"/>
        <v>1.05346174015262</v>
      </c>
      <c r="BC82" s="309">
        <f t="shared" si="51"/>
        <v>0.638873219494178</v>
      </c>
      <c r="BD82" s="310">
        <f t="shared" si="51"/>
        <v>1.19312282657587</v>
      </c>
      <c r="BE82" s="308">
        <f t="shared" si="51"/>
        <v>-1.38230731376922</v>
      </c>
      <c r="BF82" s="309">
        <f t="shared" si="51"/>
        <v>-0.976875922951891</v>
      </c>
      <c r="BG82" s="309">
        <f t="shared" si="51"/>
        <v>-0.660059271038876</v>
      </c>
      <c r="BH82" s="310">
        <f t="shared" si="51"/>
        <v>-0.582478728926701</v>
      </c>
      <c r="BI82" s="319">
        <f>IF(AS82="","",AVERAGE(AS82:BH82))</f>
        <v>-0.389313216164311</v>
      </c>
      <c r="BR82" s="209" t="s">
        <v>364</v>
      </c>
      <c r="BS82" s="130">
        <f>第十期!CG67</f>
        <v>18140</v>
      </c>
      <c r="BT82" s="130"/>
      <c r="BU82" s="91">
        <f>BU81+BS82</f>
        <v>5558539.96923077</v>
      </c>
      <c r="BV82" s="130">
        <f>BV81-BS82</f>
        <v>8108227.74</v>
      </c>
      <c r="BW82" s="126"/>
      <c r="CB82" s="219"/>
      <c r="CC82" s="219">
        <f t="shared" si="50"/>
        <v>147982.96091105</v>
      </c>
      <c r="CD82" s="219">
        <f t="shared" si="50"/>
        <v>200660.459336601</v>
      </c>
      <c r="CE82" s="219">
        <f t="shared" si="50"/>
        <v>163340.538011696</v>
      </c>
      <c r="CF82" s="219">
        <f t="shared" si="50"/>
        <v>189292.962925655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第十期!Y11*第十期!CQ58</f>
        <v>0</v>
      </c>
      <c r="CR82" s="65">
        <f>第十期!Z11*第十期!CR58</f>
        <v>0</v>
      </c>
      <c r="CS82" s="65">
        <f>第十期!AA11*第十期!CS58</f>
        <v>32300</v>
      </c>
      <c r="CT82" s="65">
        <f>第十期!AB11*第十期!CT58</f>
        <v>0</v>
      </c>
      <c r="CU82" s="65">
        <f>SUM(CQ82:CT82)</f>
        <v>32300</v>
      </c>
    </row>
    <row r="83" ht="18.75" customHeight="1" spans="2:99">
      <c r="B83" s="7"/>
      <c r="C83" s="25">
        <v>11</v>
      </c>
      <c r="D83" s="19">
        <v>0.0906</v>
      </c>
      <c r="E83" s="19">
        <v>0.0865</v>
      </c>
      <c r="F83" s="19">
        <v>0.092</v>
      </c>
      <c r="G83" s="19">
        <v>0.0774</v>
      </c>
      <c r="H83" s="19">
        <v>0.0371</v>
      </c>
      <c r="I83" s="19">
        <v>0.0381</v>
      </c>
      <c r="J83" s="19">
        <v>0.0559</v>
      </c>
      <c r="K83" s="19">
        <v>0.0577</v>
      </c>
      <c r="L83" s="19">
        <v>0.0655</v>
      </c>
      <c r="M83" s="19">
        <v>0.071</v>
      </c>
      <c r="N83" s="19">
        <v>0.0888</v>
      </c>
      <c r="O83" s="19">
        <v>0.0844</v>
      </c>
      <c r="P83" s="19">
        <v>0.0648</v>
      </c>
      <c r="Q83" s="19">
        <v>0.0597</v>
      </c>
      <c r="R83" s="19">
        <v>0.0714</v>
      </c>
      <c r="S83" s="19">
        <v>0.0863</v>
      </c>
      <c r="T83" s="10"/>
      <c r="X83" s="11" t="s">
        <v>56</v>
      </c>
      <c r="Y83" s="286">
        <f>(Y77-AT54)/AT78</f>
        <v>0.321065268640091</v>
      </c>
      <c r="Z83" s="286">
        <f>(Z77-AX54)/AX78</f>
        <v>0.198436724471312</v>
      </c>
      <c r="AA83" s="286">
        <f>(AA77-BB54)/BB78</f>
        <v>0.965448145291925</v>
      </c>
      <c r="AB83" s="286">
        <f>(AB77-BF54)/BF78</f>
        <v>0.521177557701108</v>
      </c>
      <c r="AE83" s="42" t="s">
        <v>365</v>
      </c>
      <c r="AF83" s="285">
        <f>SUMPRODUCT(Y96:Y99,AF64:AF67)/SUM(AF64:AF67)</f>
        <v>16.1277346058828</v>
      </c>
      <c r="AG83" s="285">
        <f>SUMPRODUCT(Z96:Z99,AG64:AG67)/SUM(AG64:AG67)</f>
        <v>12.3528614667744</v>
      </c>
      <c r="AH83" s="285">
        <f>SUMPRODUCT(AA96:AA99,AH64:AH67)/SUM(AH64:AH67)</f>
        <v>11.0994905672334</v>
      </c>
      <c r="AI83" s="285">
        <f>SUMPRODUCT(AB96:AB99,AI64:AI67)/SUM(AI64:AI67)</f>
        <v>8.55447846973857</v>
      </c>
      <c r="AR83" s="185">
        <v>2</v>
      </c>
      <c r="AS83" s="308">
        <f t="shared" si="51"/>
        <v>-1.30270791372416</v>
      </c>
      <c r="AT83" s="309">
        <f t="shared" si="51"/>
        <v>-1.47855449120874</v>
      </c>
      <c r="AU83" s="309">
        <f t="shared" si="51"/>
        <v>-1.46805286264499</v>
      </c>
      <c r="AV83" s="310">
        <f t="shared" si="51"/>
        <v>-1.54081011071549</v>
      </c>
      <c r="AW83" s="308">
        <f t="shared" si="51"/>
        <v>-0.022851141960011</v>
      </c>
      <c r="AX83" s="309">
        <f t="shared" si="51"/>
        <v>-0.0229777820734309</v>
      </c>
      <c r="AY83" s="309">
        <f t="shared" si="51"/>
        <v>0.483008630691636</v>
      </c>
      <c r="AZ83" s="310">
        <f t="shared" si="51"/>
        <v>0.370513729972344</v>
      </c>
      <c r="BA83" s="308">
        <f t="shared" si="51"/>
        <v>-1.46361097780311</v>
      </c>
      <c r="BB83" s="309">
        <f t="shared" si="51"/>
        <v>-1.50387114939704</v>
      </c>
      <c r="BC83" s="309">
        <f t="shared" si="51"/>
        <v>-1.38554157339878</v>
      </c>
      <c r="BD83" s="310">
        <f t="shared" si="51"/>
        <v>-1.26430309057526</v>
      </c>
      <c r="BE83" s="308">
        <f t="shared" si="51"/>
        <v>1.2180727814402</v>
      </c>
      <c r="BF83" s="309">
        <f t="shared" si="51"/>
        <v>2.18446498791223</v>
      </c>
      <c r="BG83" s="309">
        <f t="shared" si="51"/>
        <v>2.58749205382748</v>
      </c>
      <c r="BH83" s="310">
        <f t="shared" si="51"/>
        <v>0.0986910709453951</v>
      </c>
      <c r="BI83" s="319">
        <f t="shared" ref="BI83:BI101" si="52">IF(AS83="","",AVERAGE(AS83:BH83))</f>
        <v>-0.281939864919482</v>
      </c>
      <c r="BR83" s="209" t="s">
        <v>366</v>
      </c>
      <c r="BS83" s="130">
        <f>第十期!K13</f>
        <v>0</v>
      </c>
      <c r="BT83" s="130"/>
      <c r="BU83" s="130"/>
      <c r="BV83" s="130">
        <f>BV82+BS83</f>
        <v>8108227.74</v>
      </c>
      <c r="BW83" s="126"/>
      <c r="CB83" s="219"/>
      <c r="CC83" s="219">
        <f t="shared" si="50"/>
        <v>188731.979070483</v>
      </c>
      <c r="CD83" s="219">
        <f t="shared" si="50"/>
        <v>286454.797925989</v>
      </c>
      <c r="CE83" s="219">
        <f t="shared" si="50"/>
        <v>237494.035087719</v>
      </c>
      <c r="CF83" s="219">
        <f t="shared" si="50"/>
        <v>291520.379977056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第十期!Y12*第十期!CQ59</f>
        <v>0</v>
      </c>
      <c r="CR83" s="65">
        <f>第十期!Z12*第十期!CR59</f>
        <v>0</v>
      </c>
      <c r="CS83" s="65">
        <f>第十期!AA12*第十期!CS59</f>
        <v>29640</v>
      </c>
      <c r="CT83" s="65">
        <f>第十期!AB12*第十期!CT59</f>
        <v>39000</v>
      </c>
      <c r="CU83" s="65">
        <f>SUM(CQ83:CT83)</f>
        <v>68640</v>
      </c>
    </row>
    <row r="84" ht="18.75" customHeight="1" spans="2:99">
      <c r="B84" s="7"/>
      <c r="C84" s="25">
        <v>12</v>
      </c>
      <c r="D84" s="19">
        <v>0.0498</v>
      </c>
      <c r="E84" s="19">
        <v>0.0608</v>
      </c>
      <c r="F84" s="19">
        <v>0.0588</v>
      </c>
      <c r="G84" s="19">
        <v>0.0577</v>
      </c>
      <c r="H84" s="19">
        <v>0.0611</v>
      </c>
      <c r="I84" s="19">
        <v>0.061</v>
      </c>
      <c r="J84" s="19">
        <v>0.0686</v>
      </c>
      <c r="K84" s="19">
        <v>0.0698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0"/>
      <c r="X84" s="11" t="s">
        <v>57</v>
      </c>
      <c r="Y84" s="286">
        <f>(Y78-AU54)/AU78</f>
        <v>0.069311817170234</v>
      </c>
      <c r="Z84" s="286">
        <f>(Z78-AY54)/AY78</f>
        <v>0.33438841398619</v>
      </c>
      <c r="AA84" s="286">
        <f>(AA78-BC54)/BC78</f>
        <v>1.65199187597547</v>
      </c>
      <c r="AB84" s="286">
        <f>(AB78-BG54)/BG78</f>
        <v>0.963872231469397</v>
      </c>
      <c r="AF84" s="114">
        <f>AF80/SUMPRODUCT(AF76:AF79,AF64:AF67)</f>
        <v>0.032952497478547</v>
      </c>
      <c r="AG84" s="114">
        <f>AG80/SUMPRODUCT(AG76:AG79,AG64:AG67)</f>
        <v>0.0329542449087543</v>
      </c>
      <c r="AH84" s="114">
        <f>AH80/SUMPRODUCT(AH76:AH79,AH64:AH67)</f>
        <v>0.0339806870804466</v>
      </c>
      <c r="AI84" s="114">
        <f>AI80/SUMPRODUCT(AI76:AI79,AI64:AI67)</f>
        <v>0.0339733927518186</v>
      </c>
      <c r="AJ84" s="48"/>
      <c r="AK84" s="2" t="s">
        <v>367</v>
      </c>
      <c r="AL84" s="48"/>
      <c r="AR84" s="185">
        <v>3</v>
      </c>
      <c r="AS84" s="308">
        <f t="shared" si="51"/>
        <v>0.107555960183102</v>
      </c>
      <c r="AT84" s="309">
        <f t="shared" si="51"/>
        <v>0.0388910528453215</v>
      </c>
      <c r="AU84" s="309">
        <f t="shared" si="51"/>
        <v>0.279743531226483</v>
      </c>
      <c r="AV84" s="310">
        <f t="shared" si="51"/>
        <v>0.591169398829449</v>
      </c>
      <c r="AW84" s="308">
        <f t="shared" si="51"/>
        <v>0.999122237697715</v>
      </c>
      <c r="AX84" s="309">
        <f t="shared" si="51"/>
        <v>0.954125046096756</v>
      </c>
      <c r="AY84" s="309">
        <f t="shared" si="51"/>
        <v>-0.250010127710199</v>
      </c>
      <c r="AZ84" s="310">
        <f t="shared" si="51"/>
        <v>-0.153355313820042</v>
      </c>
      <c r="BA84" s="308">
        <f t="shared" si="51"/>
        <v>0.274253271913111</v>
      </c>
      <c r="BB84" s="309">
        <f t="shared" si="51"/>
        <v>0.347695009740595</v>
      </c>
      <c r="BC84" s="309">
        <f t="shared" si="51"/>
        <v>0.328234798738171</v>
      </c>
      <c r="BD84" s="310">
        <f t="shared" si="51"/>
        <v>0.0881219254130954</v>
      </c>
      <c r="BE84" s="308">
        <f t="shared" si="51"/>
        <v>0.768916219540395</v>
      </c>
      <c r="BF84" s="309">
        <f t="shared" si="51"/>
        <v>0.935801464960042</v>
      </c>
      <c r="BG84" s="309">
        <f t="shared" si="51"/>
        <v>0.639906688696566</v>
      </c>
      <c r="BH84" s="310">
        <f t="shared" si="51"/>
        <v>0.858948001139719</v>
      </c>
      <c r="BI84" s="319">
        <f t="shared" si="52"/>
        <v>0.425569947843143</v>
      </c>
      <c r="BR84" s="209" t="s">
        <v>258</v>
      </c>
      <c r="BS84" s="130">
        <f>第十期!K13*比赛参数!D70/4</f>
        <v>0</v>
      </c>
      <c r="BT84" s="329">
        <f>BT77+BS84</f>
        <v>5959530.64</v>
      </c>
      <c r="BU84" s="130"/>
      <c r="BV84" s="130">
        <f>BV83+BS84</f>
        <v>8108227.74</v>
      </c>
      <c r="BW84" s="126"/>
      <c r="CB84" s="219"/>
      <c r="CC84" s="219">
        <f t="shared" si="50"/>
        <v>174911.89596799</v>
      </c>
      <c r="CD84" s="219">
        <f t="shared" si="50"/>
        <v>281501.760304946</v>
      </c>
      <c r="CE84" s="219">
        <f t="shared" si="50"/>
        <v>257862.807017544</v>
      </c>
      <c r="CF84" s="219">
        <f t="shared" si="50"/>
        <v>327716.895268474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78000</v>
      </c>
      <c r="CR84" s="65">
        <f>SUM(CR80:CR83)</f>
        <v>0</v>
      </c>
      <c r="CS84" s="65">
        <f>SUM(CS80:CS83)</f>
        <v>77940</v>
      </c>
      <c r="CT84" s="65">
        <f>SUM(CT80:CT83)</f>
        <v>39000</v>
      </c>
      <c r="CU84" s="65">
        <f>SUM(CU80:CU83)</f>
        <v>194940</v>
      </c>
    </row>
    <row r="85" ht="18.75" customHeight="1" spans="2:99">
      <c r="B85" s="7"/>
      <c r="C85" s="25">
        <v>13</v>
      </c>
      <c r="D85" s="19">
        <v>0.0849</v>
      </c>
      <c r="E85" s="19">
        <v>0.0896</v>
      </c>
      <c r="F85" s="19">
        <v>0.092</v>
      </c>
      <c r="G85" s="19">
        <v>0.0725</v>
      </c>
      <c r="H85" s="19">
        <v>0.0382</v>
      </c>
      <c r="I85" s="19">
        <v>0.0381</v>
      </c>
      <c r="J85" s="19">
        <v>0.0593</v>
      </c>
      <c r="K85" s="19">
        <v>0.0655</v>
      </c>
      <c r="L85" s="19">
        <v>0.1131</v>
      </c>
      <c r="M85" s="19">
        <v>0.1173</v>
      </c>
      <c r="N85" s="19">
        <v>0.1065</v>
      </c>
      <c r="O85" s="19">
        <v>0.11</v>
      </c>
      <c r="P85" s="19">
        <v>0.0478</v>
      </c>
      <c r="Q85" s="19">
        <v>0.044</v>
      </c>
      <c r="R85" s="19">
        <v>0.0385</v>
      </c>
      <c r="S85" s="19">
        <v>0.0595</v>
      </c>
      <c r="T85" s="10"/>
      <c r="X85" s="11" t="s">
        <v>58</v>
      </c>
      <c r="Y85" s="286">
        <f>(Y79-AV54)/AV78</f>
        <v>-0.200306047235815</v>
      </c>
      <c r="Z85" s="286">
        <f>(Z79-AZ54)/AZ78</f>
        <v>0.219365460220613</v>
      </c>
      <c r="AA85" s="286">
        <f>(AA79-BD54)/BD78</f>
        <v>1.31603927842488</v>
      </c>
      <c r="AB85" s="286">
        <f>(AB79-BH54)/BH78</f>
        <v>1.54254751315689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>
        <f t="shared" si="51"/>
        <v>-1.42291751628175</v>
      </c>
      <c r="AT85" s="309">
        <f t="shared" si="51"/>
        <v>-1.60720748298724</v>
      </c>
      <c r="AU85" s="309">
        <f t="shared" si="51"/>
        <v>-1.66044089853756</v>
      </c>
      <c r="AV85" s="310">
        <f t="shared" si="51"/>
        <v>-1.70815544113503</v>
      </c>
      <c r="AW85" s="308">
        <f t="shared" si="51"/>
        <v>-0.824398890711169</v>
      </c>
      <c r="AX85" s="309">
        <f t="shared" si="51"/>
        <v>-0.778326776900029</v>
      </c>
      <c r="AY85" s="309">
        <f t="shared" si="51"/>
        <v>-0.348130748913594</v>
      </c>
      <c r="AZ85" s="310">
        <f t="shared" si="51"/>
        <v>0.0717784901237937</v>
      </c>
      <c r="BA85" s="308">
        <f t="shared" si="51"/>
        <v>-0.0566360812328569</v>
      </c>
      <c r="BB85" s="309">
        <f t="shared" si="51"/>
        <v>0.0848183328259929</v>
      </c>
      <c r="BC85" s="309">
        <f t="shared" si="51"/>
        <v>-0.2956745717633</v>
      </c>
      <c r="BD85" s="310">
        <f t="shared" si="51"/>
        <v>-0.0367912199357399</v>
      </c>
      <c r="BE85" s="308">
        <f t="shared" si="51"/>
        <v>0.768916219540395</v>
      </c>
      <c r="BF85" s="309">
        <f t="shared" si="51"/>
        <v>0.605117269262959</v>
      </c>
      <c r="BG85" s="309">
        <f t="shared" si="51"/>
        <v>0.833719795420759</v>
      </c>
      <c r="BH85" s="310">
        <f t="shared" si="51"/>
        <v>0.478819536042557</v>
      </c>
      <c r="BI85" s="319">
        <f t="shared" si="52"/>
        <v>-0.368469374073863</v>
      </c>
      <c r="BR85" s="209" t="s">
        <v>370</v>
      </c>
      <c r="BS85" s="130">
        <f>第十期!AH14</f>
        <v>0</v>
      </c>
      <c r="BT85" s="130"/>
      <c r="BU85" s="130"/>
      <c r="BV85" s="130">
        <f t="shared" ref="BV85:BV90" si="53">BV84-BS85</f>
        <v>8108227.74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>
        <v>0.0506</v>
      </c>
      <c r="E86" s="19">
        <v>0.0475</v>
      </c>
      <c r="F86" s="19">
        <v>0.0419</v>
      </c>
      <c r="G86" s="19">
        <v>0.0346</v>
      </c>
      <c r="H86" s="19">
        <v>0.0731</v>
      </c>
      <c r="I86" s="19">
        <v>0.073</v>
      </c>
      <c r="J86" s="19">
        <v>0.0763</v>
      </c>
      <c r="K86" s="19">
        <v>0.0767</v>
      </c>
      <c r="L86" s="19">
        <v>0.0565</v>
      </c>
      <c r="M86" s="19">
        <v>0.0586</v>
      </c>
      <c r="N86" s="19">
        <v>0.0059</v>
      </c>
      <c r="O86" s="19">
        <v>0.0051</v>
      </c>
      <c r="P86" s="19">
        <v>0.1126</v>
      </c>
      <c r="Q86" s="19">
        <v>0.1038</v>
      </c>
      <c r="R86" s="19">
        <v>0.011</v>
      </c>
      <c r="S86" s="19">
        <v>0.0119</v>
      </c>
      <c r="T86" s="10"/>
      <c r="Y86" s="2">
        <f>AVERAGE(Y82:Y85)</f>
        <v>0.140420310675791</v>
      </c>
      <c r="Z86" s="2">
        <f>AVERAGE(Z82:Z85)</f>
        <v>0.220494429037739</v>
      </c>
      <c r="AA86" s="2">
        <f>AVERAGE(AA82:AA85)</f>
        <v>1.17606630359536</v>
      </c>
      <c r="AB86" s="2">
        <f>AVERAGE(AB82:AB85)</f>
        <v>0.92679067886996</v>
      </c>
      <c r="AE86" s="47" t="s">
        <v>55</v>
      </c>
      <c r="AF86" s="131">
        <f>第十期!DS33</f>
        <v>3150</v>
      </c>
      <c r="AG86" s="131">
        <f>第十期!DW33</f>
        <v>7000</v>
      </c>
      <c r="AH86" s="131">
        <f>第十期!EA33</f>
        <v>9550</v>
      </c>
      <c r="AI86" s="131">
        <f>第十期!EE33</f>
        <v>11850</v>
      </c>
      <c r="AJ86" s="64" t="s">
        <v>55</v>
      </c>
      <c r="AK86" s="108">
        <f t="shared" ref="AK86:AN89" si="54">AF76-AF86</f>
        <v>200</v>
      </c>
      <c r="AL86" s="108">
        <f t="shared" si="54"/>
        <v>-50</v>
      </c>
      <c r="AM86" s="108">
        <f t="shared" si="54"/>
        <v>600</v>
      </c>
      <c r="AN86" s="108">
        <f t="shared" si="54"/>
        <v>850</v>
      </c>
      <c r="AR86" s="185">
        <v>5</v>
      </c>
      <c r="AS86" s="308">
        <f t="shared" si="51"/>
        <v>1.28033257050099</v>
      </c>
      <c r="AT86" s="309">
        <f t="shared" si="51"/>
        <v>1.32542097063029</v>
      </c>
      <c r="AU86" s="309">
        <f t="shared" si="51"/>
        <v>0.618868204664233</v>
      </c>
      <c r="AV86" s="310">
        <f t="shared" si="51"/>
        <v>0.681535877256001</v>
      </c>
      <c r="AW86" s="308">
        <f t="shared" si="51"/>
        <v>-1.55247142916014</v>
      </c>
      <c r="AX86" s="309">
        <f t="shared" si="51"/>
        <v>-1.45744789151477</v>
      </c>
      <c r="AY86" s="309">
        <f t="shared" si="51"/>
        <v>-0.394305158891662</v>
      </c>
      <c r="AZ86" s="310">
        <f t="shared" si="51"/>
        <v>0.257946828000427</v>
      </c>
      <c r="BA86" s="308">
        <f t="shared" si="51"/>
        <v>0.5217251410727</v>
      </c>
      <c r="BB86" s="309">
        <f t="shared" si="51"/>
        <v>0.702007052538537</v>
      </c>
      <c r="BC86" s="309">
        <f t="shared" si="51"/>
        <v>0.404578139432444</v>
      </c>
      <c r="BD86" s="310">
        <f t="shared" si="51"/>
        <v>0.395600437040997</v>
      </c>
      <c r="BE86" s="308">
        <f t="shared" si="51"/>
        <v>0.679610236472596</v>
      </c>
      <c r="BF86" s="309">
        <f t="shared" si="51"/>
        <v>0.520462115164505</v>
      </c>
      <c r="BG86" s="309">
        <f t="shared" si="51"/>
        <v>0.639906688696566</v>
      </c>
      <c r="BH86" s="310">
        <f t="shared" si="51"/>
        <v>0.935483933709618</v>
      </c>
      <c r="BI86" s="319">
        <f t="shared" si="52"/>
        <v>0.347453357225834</v>
      </c>
      <c r="BR86" s="209" t="s">
        <v>371</v>
      </c>
      <c r="BS86" s="130">
        <f>第十期!AH14*比赛参数!D69/4</f>
        <v>0</v>
      </c>
      <c r="BT86" s="130"/>
      <c r="BU86" s="329">
        <f>BU82+BS86</f>
        <v>5558539.96923077</v>
      </c>
      <c r="BV86" s="130">
        <f t="shared" si="53"/>
        <v>8108227.74</v>
      </c>
      <c r="BW86" s="126"/>
      <c r="CB86" s="196" t="s">
        <v>372</v>
      </c>
      <c r="CC86" s="108">
        <f>IF(SUM(AF64:AF67)&gt;0,SUM(CC81:CC84)/SUM(AF64:AF67),0)</f>
        <v>1955.42712938222</v>
      </c>
      <c r="CD86" s="108">
        <f>IF(SUM(AG64:AG67)&gt;0,SUM(CD81:CD84)/SUM(AG64:AG67),0)</f>
        <v>4090.89855735702</v>
      </c>
      <c r="CE86" s="108">
        <f>IF(SUM(AH64:AH67)&gt;0,SUM(CE81:CE84)/SUM(AH64:AH67),0)</f>
        <v>6023.73770209838</v>
      </c>
      <c r="CF86" s="108">
        <f>IF(SUM(AI64:AI67)&gt;0,SUM(CF81:CF84)/SUM(AI64:AI67),0)</f>
        <v>8483.02712793933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>
        <v>0</v>
      </c>
      <c r="E87" s="19">
        <v>0.0257</v>
      </c>
      <c r="F87" s="19">
        <v>0.0518</v>
      </c>
      <c r="G87" s="19">
        <v>0.0791</v>
      </c>
      <c r="H87" s="19">
        <v>0.084</v>
      </c>
      <c r="I87" s="19">
        <v>0.0632</v>
      </c>
      <c r="J87" s="19">
        <v>0.039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第十期!DT33</f>
        <v>3150</v>
      </c>
      <c r="AG87" s="131">
        <f>第十期!DX33</f>
        <v>7000</v>
      </c>
      <c r="AH87" s="131">
        <f>第十期!EB33</f>
        <v>9550</v>
      </c>
      <c r="AI87" s="131">
        <f>第十期!EF33</f>
        <v>11850</v>
      </c>
      <c r="AJ87" s="11" t="s">
        <v>56</v>
      </c>
      <c r="AK87" s="108">
        <f t="shared" si="54"/>
        <v>200</v>
      </c>
      <c r="AL87" s="108">
        <f t="shared" si="54"/>
        <v>-50</v>
      </c>
      <c r="AM87" s="108">
        <f t="shared" si="54"/>
        <v>600</v>
      </c>
      <c r="AN87" s="108">
        <f t="shared" si="54"/>
        <v>850</v>
      </c>
      <c r="AR87" s="185">
        <v>6</v>
      </c>
      <c r="AS87" s="308">
        <f t="shared" si="51"/>
        <v>-1.18543025269237</v>
      </c>
      <c r="AT87" s="309">
        <f t="shared" si="51"/>
        <v>-1.06620515858536</v>
      </c>
      <c r="AU87" s="309">
        <f t="shared" si="51"/>
        <v>-1.07023353418917</v>
      </c>
      <c r="AV87" s="310">
        <f t="shared" si="51"/>
        <v>-1.30317974151974</v>
      </c>
      <c r="AW87" s="308">
        <f t="shared" si="51"/>
        <v>0.564950540457505</v>
      </c>
      <c r="AX87" s="309">
        <f t="shared" si="51"/>
        <v>0.129477978350286</v>
      </c>
      <c r="AY87" s="309">
        <f t="shared" si="51"/>
        <v>-2.50101261414103</v>
      </c>
      <c r="AZ87" s="310">
        <f t="shared" si="51"/>
        <v>-2.27913796259741</v>
      </c>
      <c r="BA87" s="308">
        <f t="shared" si="51"/>
        <v>-1.46361097780311</v>
      </c>
      <c r="BB87" s="309">
        <f t="shared" si="51"/>
        <v>-1.32671512799807</v>
      </c>
      <c r="BC87" s="309">
        <f t="shared" si="51"/>
        <v>-1.23022236302078</v>
      </c>
      <c r="BD87" s="310">
        <f t="shared" si="51"/>
        <v>-1.26430309057526</v>
      </c>
      <c r="BE87" s="308">
        <f t="shared" si="51"/>
        <v>-0.843844768801613</v>
      </c>
      <c r="BF87" s="309">
        <f t="shared" si="51"/>
        <v>-0.892220768853438</v>
      </c>
      <c r="BG87" s="309">
        <f t="shared" si="51"/>
        <v>-0.79005586701242</v>
      </c>
      <c r="BH87" s="310">
        <f t="shared" si="51"/>
        <v>-0.886071261453964</v>
      </c>
      <c r="BI87" s="319">
        <f t="shared" si="52"/>
        <v>-1.08798843565225</v>
      </c>
      <c r="BR87" s="209" t="s">
        <v>376</v>
      </c>
      <c r="BS87" s="130">
        <f>IF(第十期!BW92&gt;0,IF((第十期!K15+第十期!BW92*比赛参数!D72)&gt;0,第十期!K15+第十期!BW92*比赛参数!D72,0))</f>
        <v>120297.201230769</v>
      </c>
      <c r="BT87" s="130"/>
      <c r="BU87" s="130"/>
      <c r="BV87" s="130">
        <f t="shared" si="53"/>
        <v>7987930.53876923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0.455128205128205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0.182107315071304</v>
      </c>
    </row>
    <row r="88" ht="18.75" customHeight="1" spans="2:99">
      <c r="B88" s="7"/>
      <c r="C88" s="25">
        <v>16</v>
      </c>
      <c r="D88" s="19">
        <v>0.0735</v>
      </c>
      <c r="E88" s="19">
        <v>0.0701</v>
      </c>
      <c r="F88" s="19">
        <v>0.0699</v>
      </c>
      <c r="G88" s="19">
        <v>0.067</v>
      </c>
      <c r="H88" s="19">
        <v>0.0622</v>
      </c>
      <c r="I88" s="19">
        <v>0.0468</v>
      </c>
      <c r="J88" s="19">
        <v>0.0805</v>
      </c>
      <c r="K88" s="19">
        <v>0.0844</v>
      </c>
      <c r="L88" s="19">
        <v>0.0863</v>
      </c>
      <c r="M88" s="19">
        <v>0.0586</v>
      </c>
      <c r="N88" s="19">
        <v>0.0799</v>
      </c>
      <c r="O88" s="19">
        <v>0.0384</v>
      </c>
      <c r="P88" s="19">
        <v>0.099</v>
      </c>
      <c r="Q88" s="19">
        <v>0.0755</v>
      </c>
      <c r="R88" s="19">
        <v>0.0467</v>
      </c>
      <c r="S88" s="19">
        <v>0.0238</v>
      </c>
      <c r="T88" s="10"/>
      <c r="X88" s="64" t="s">
        <v>55</v>
      </c>
      <c r="Y88" s="101">
        <v>50</v>
      </c>
      <c r="Z88" s="101">
        <v>42</v>
      </c>
      <c r="AA88" s="101">
        <v>22</v>
      </c>
      <c r="AB88" s="101">
        <v>25</v>
      </c>
      <c r="AC88" s="288" t="s">
        <v>377</v>
      </c>
      <c r="AE88" s="11" t="s">
        <v>57</v>
      </c>
      <c r="AF88" s="131">
        <f>第十期!DU33</f>
        <v>3380</v>
      </c>
      <c r="AG88" s="131">
        <f>第十期!DY33</f>
        <v>7300</v>
      </c>
      <c r="AH88" s="131">
        <f>第十期!EC33</f>
        <v>9650</v>
      </c>
      <c r="AI88" s="131">
        <f>第十期!EG33</f>
        <v>12000</v>
      </c>
      <c r="AJ88" s="11" t="s">
        <v>57</v>
      </c>
      <c r="AK88" s="108">
        <f t="shared" si="54"/>
        <v>350</v>
      </c>
      <c r="AL88" s="108">
        <f t="shared" si="54"/>
        <v>0</v>
      </c>
      <c r="AM88" s="108">
        <f t="shared" si="54"/>
        <v>550</v>
      </c>
      <c r="AN88" s="108">
        <f t="shared" si="54"/>
        <v>1000</v>
      </c>
      <c r="AR88" s="185">
        <v>7</v>
      </c>
      <c r="AS88" s="308">
        <f t="shared" si="51"/>
        <v>-1.01537764419628</v>
      </c>
      <c r="AT88" s="309">
        <f t="shared" si="51"/>
        <v>-1.17176658773694</v>
      </c>
      <c r="AU88" s="309">
        <f t="shared" si="51"/>
        <v>-0.995234808332747</v>
      </c>
      <c r="AV88" s="310">
        <f t="shared" si="51"/>
        <v>-0.95175454763871</v>
      </c>
      <c r="AW88" s="308">
        <f t="shared" si="51"/>
        <v>-0.0896467876892742</v>
      </c>
      <c r="AX88" s="309">
        <f t="shared" si="51"/>
        <v>2.24306920240636</v>
      </c>
      <c r="AY88" s="309">
        <f t="shared" si="51"/>
        <v>1.51038925270366</v>
      </c>
      <c r="AZ88" s="310">
        <f t="shared" si="51"/>
        <v>1.18878851738359</v>
      </c>
      <c r="BA88" s="308">
        <f t="shared" si="51"/>
        <v>-0.304107950392446</v>
      </c>
      <c r="BB88" s="309">
        <f t="shared" si="51"/>
        <v>0.613429041839051</v>
      </c>
      <c r="BC88" s="309">
        <f t="shared" si="51"/>
        <v>0.873168299555912</v>
      </c>
      <c r="BD88" s="310">
        <f t="shared" si="51"/>
        <v>0.578165803320064</v>
      </c>
      <c r="BE88" s="308">
        <f t="shared" si="51"/>
        <v>-0.397314853462621</v>
      </c>
      <c r="BF88" s="309">
        <f t="shared" si="51"/>
        <v>-0.0615420692623627</v>
      </c>
      <c r="BG88" s="309">
        <f t="shared" si="51"/>
        <v>0.249916900775934</v>
      </c>
      <c r="BH88" s="310">
        <f t="shared" si="51"/>
        <v>0.404834801224989</v>
      </c>
      <c r="BI88" s="319">
        <f t="shared" si="52"/>
        <v>0.167188535656136</v>
      </c>
      <c r="BR88" s="209" t="s">
        <v>282</v>
      </c>
      <c r="BS88" s="130">
        <f>第十期!AF18*比赛参数!D30</f>
        <v>4480000</v>
      </c>
      <c r="BT88" s="130"/>
      <c r="BU88" s="130"/>
      <c r="BV88" s="130">
        <f t="shared" si="53"/>
        <v>3507930.53876923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0.544871794871795</v>
      </c>
      <c r="CR88" s="65" t="e">
        <f>CR81/$CR$84</f>
        <v>#DIV/0!</v>
      </c>
      <c r="CS88" s="65">
        <f>CS81/$CS$84</f>
        <v>0.205286117526302</v>
      </c>
      <c r="CT88" s="65">
        <f>CT81/$CT$84</f>
        <v>0</v>
      </c>
      <c r="CU88" s="65">
        <f>CU81/$CU$84</f>
        <v>0.300092336103416</v>
      </c>
    </row>
    <row r="89" ht="18.75" customHeight="1" spans="2:99">
      <c r="B89" s="7"/>
      <c r="C89" s="25">
        <v>17</v>
      </c>
      <c r="D89" s="19">
        <v>0.0718</v>
      </c>
      <c r="E89" s="19">
        <v>0.0686</v>
      </c>
      <c r="F89" s="19">
        <v>0.0734</v>
      </c>
      <c r="G89" s="19">
        <v>0.0791</v>
      </c>
      <c r="H89" s="19">
        <v>0.0622</v>
      </c>
      <c r="I89" s="19">
        <v>0.0621</v>
      </c>
      <c r="J89" s="19">
        <v>0.0627</v>
      </c>
      <c r="K89" s="19">
        <v>0.062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0"/>
      <c r="X89" s="11" t="s">
        <v>56</v>
      </c>
      <c r="Y89" s="101">
        <v>49</v>
      </c>
      <c r="Z89" s="101">
        <v>44</v>
      </c>
      <c r="AA89" s="101">
        <v>24</v>
      </c>
      <c r="AB89" s="101">
        <v>25</v>
      </c>
      <c r="AC89" s="288" t="s">
        <v>378</v>
      </c>
      <c r="AE89" s="11" t="s">
        <v>58</v>
      </c>
      <c r="AF89" s="131">
        <f>第十期!DV33</f>
        <v>3450</v>
      </c>
      <c r="AG89" s="131">
        <f>第十期!DZ33</f>
        <v>7400</v>
      </c>
      <c r="AH89" s="131">
        <f>第十期!ED33</f>
        <v>9850</v>
      </c>
      <c r="AI89" s="131">
        <f>第十期!EH33</f>
        <v>12150</v>
      </c>
      <c r="AJ89" s="11" t="s">
        <v>58</v>
      </c>
      <c r="AK89" s="108">
        <f t="shared" si="54"/>
        <v>350</v>
      </c>
      <c r="AL89" s="108">
        <f t="shared" si="54"/>
        <v>0</v>
      </c>
      <c r="AM89" s="108">
        <f t="shared" si="54"/>
        <v>550</v>
      </c>
      <c r="AN89" s="108">
        <f t="shared" si="54"/>
        <v>1000</v>
      </c>
      <c r="AR89" s="185">
        <v>8</v>
      </c>
      <c r="AS89" s="308">
        <f t="shared" si="51"/>
        <v>0.778970569590095</v>
      </c>
      <c r="AT89" s="309">
        <f t="shared" si="51"/>
        <v>0.758028288940508</v>
      </c>
      <c r="AU89" s="309">
        <f t="shared" si="51"/>
        <v>-0.365897673972308</v>
      </c>
      <c r="AV89" s="310">
        <f t="shared" si="51"/>
        <v>-0.272332506135378</v>
      </c>
      <c r="AW89" s="308">
        <f t="shared" si="51"/>
        <v>-0.236597208293653</v>
      </c>
      <c r="AX89" s="309">
        <f t="shared" si="51"/>
        <v>-0.251661422709006</v>
      </c>
      <c r="AY89" s="309">
        <f t="shared" si="51"/>
        <v>-0.688667022501848</v>
      </c>
      <c r="AZ89" s="310">
        <f t="shared" si="51"/>
        <v>-0.491056019735794</v>
      </c>
      <c r="BA89" s="308">
        <f t="shared" si="51"/>
        <v>0.771977593031835</v>
      </c>
      <c r="BB89" s="309">
        <f t="shared" si="51"/>
        <v>0.876305718753653</v>
      </c>
      <c r="BC89" s="309">
        <f t="shared" si="51"/>
        <v>1.18380672031192</v>
      </c>
      <c r="BD89" s="310">
        <f t="shared" si="51"/>
        <v>1.19312282657587</v>
      </c>
      <c r="BE89" s="308">
        <f t="shared" si="51"/>
        <v>0.319759657640585</v>
      </c>
      <c r="BF89" s="309">
        <f t="shared" si="51"/>
        <v>0.187132445901845</v>
      </c>
      <c r="BG89" s="309">
        <f t="shared" si="51"/>
        <v>0.573726603473671</v>
      </c>
      <c r="BH89" s="310">
        <f t="shared" si="51"/>
        <v>0.782412068569821</v>
      </c>
      <c r="BI89" s="319">
        <f t="shared" si="52"/>
        <v>0.319939414965113</v>
      </c>
      <c r="BR89" s="209" t="s">
        <v>238</v>
      </c>
      <c r="BS89" s="130">
        <f>第十期!AJ18</f>
        <v>100000</v>
      </c>
      <c r="BT89" s="130"/>
      <c r="BU89" s="130"/>
      <c r="BV89" s="130">
        <f t="shared" si="53"/>
        <v>3407930.53876923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</v>
      </c>
      <c r="CR89" s="65" t="e">
        <f>CR82/$CR$84</f>
        <v>#DIV/0!</v>
      </c>
      <c r="CS89" s="65">
        <f>CS82/$CS$84</f>
        <v>0.414421349756223</v>
      </c>
      <c r="CT89" s="65">
        <f>CT82/$CT$84</f>
        <v>0</v>
      </c>
      <c r="CU89" s="65">
        <f>CU82/$CU$84</f>
        <v>0.165692007797271</v>
      </c>
    </row>
    <row r="90" ht="18.75" customHeight="1" spans="2:99">
      <c r="B90" s="7"/>
      <c r="C90" s="25">
        <v>18</v>
      </c>
      <c r="D90" s="19">
        <v>0.022</v>
      </c>
      <c r="E90" s="19">
        <v>0.0218</v>
      </c>
      <c r="F90" s="19">
        <v>0.0163</v>
      </c>
      <c r="G90" s="19">
        <v>0.0176</v>
      </c>
      <c r="H90" s="19">
        <v>0.0436</v>
      </c>
      <c r="I90" s="19">
        <v>0.0447</v>
      </c>
      <c r="J90" s="19">
        <v>0.0568</v>
      </c>
      <c r="K90" s="19">
        <v>0.0689</v>
      </c>
      <c r="L90" s="19">
        <v>0.0417</v>
      </c>
      <c r="M90" s="19">
        <v>0.0432</v>
      </c>
      <c r="N90" s="19">
        <v>0.0592</v>
      </c>
      <c r="O90" s="19">
        <v>0.0818</v>
      </c>
      <c r="P90" s="19">
        <v>0.0478</v>
      </c>
      <c r="Q90" s="19">
        <v>0.0472</v>
      </c>
      <c r="R90" s="19">
        <v>0.0659</v>
      </c>
      <c r="S90" s="19">
        <v>0.1101</v>
      </c>
      <c r="T90" s="10"/>
      <c r="X90" s="11" t="s">
        <v>57</v>
      </c>
      <c r="Y90" s="101">
        <v>77</v>
      </c>
      <c r="Z90" s="101">
        <v>73</v>
      </c>
      <c r="AA90" s="101">
        <v>31</v>
      </c>
      <c r="AB90" s="101">
        <v>39</v>
      </c>
      <c r="AC90" s="288" t="s">
        <v>379</v>
      </c>
      <c r="AF90" s="48">
        <f>SUMPRODUCT(AF64:AF67,AF76:AF79)/SUM(AF64:AF67)</f>
        <v>3568.2005899705</v>
      </c>
      <c r="AG90" s="48">
        <f>SUMPRODUCT(AG64:AG67,AG76:AG79)/SUM(AG64:AG67)</f>
        <v>7179.11392405063</v>
      </c>
      <c r="AH90" s="48">
        <f>SUMPRODUCT(AH64:AH67,AH76:AH79)/SUM(AH64:AH67)</f>
        <v>10241.5441176471</v>
      </c>
      <c r="AI90" s="48">
        <f>SUMPRODUCT(AI64:AI67,AI76:AI79)/SUM(AI64:AI67)</f>
        <v>12931.3559322034</v>
      </c>
      <c r="AR90" s="185">
        <v>9</v>
      </c>
      <c r="AS90" s="308">
        <f t="shared" si="51"/>
        <v>1.4972962434098</v>
      </c>
      <c r="AT90" s="309">
        <f t="shared" si="51"/>
        <v>1.50355588232359</v>
      </c>
      <c r="AU90" s="309">
        <f t="shared" si="51"/>
        <v>1.94928038507386</v>
      </c>
      <c r="AV90" s="310">
        <f t="shared" si="51"/>
        <v>1.58185375491313</v>
      </c>
      <c r="AW90" s="308">
        <f t="shared" si="51"/>
        <v>-1.18509537764919</v>
      </c>
      <c r="AX90" s="309">
        <f t="shared" si="51"/>
        <v>-1.15946617795932</v>
      </c>
      <c r="AY90" s="309">
        <f t="shared" si="51"/>
        <v>-1.51980640210708</v>
      </c>
      <c r="AZ90" s="310">
        <f t="shared" si="51"/>
        <v>-0.824427229421858</v>
      </c>
      <c r="BA90" s="308">
        <f t="shared" si="51"/>
        <v>0.274253271913111</v>
      </c>
      <c r="BB90" s="309">
        <f t="shared" si="51"/>
        <v>0.347695009740595</v>
      </c>
      <c r="BC90" s="309">
        <f t="shared" si="51"/>
        <v>0.952144169239643</v>
      </c>
      <c r="BD90" s="310">
        <f t="shared" si="51"/>
        <v>0.640622375994482</v>
      </c>
      <c r="BE90" s="308">
        <f t="shared" si="51"/>
        <v>0.947528185675992</v>
      </c>
      <c r="BF90" s="309">
        <f t="shared" si="51"/>
        <v>0.771782103894289</v>
      </c>
      <c r="BG90" s="309">
        <f t="shared" si="51"/>
        <v>1.28752609409204</v>
      </c>
      <c r="BH90" s="310">
        <f t="shared" si="51"/>
        <v>1.61920493133404</v>
      </c>
      <c r="BI90" s="319">
        <f t="shared" si="52"/>
        <v>0.542746701279196</v>
      </c>
      <c r="BR90" s="209" t="s">
        <v>251</v>
      </c>
      <c r="BS90" s="130">
        <f>第十期!AF20</f>
        <v>0</v>
      </c>
      <c r="BT90" s="130"/>
      <c r="BU90" s="130"/>
      <c r="BV90" s="329">
        <f t="shared" si="53"/>
        <v>3407930.53876923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0.380292532717475</v>
      </c>
      <c r="CT90" s="65">
        <f>CT83/$CT$84</f>
        <v>1</v>
      </c>
      <c r="CU90" s="65">
        <f>CU83/$CU$84</f>
        <v>0.352108341028009</v>
      </c>
    </row>
    <row r="91" ht="18.75" customHeight="1" spans="2:99">
      <c r="B91" s="7"/>
      <c r="C91" s="25">
        <v>19</v>
      </c>
      <c r="D91" s="19">
        <v>0.0637</v>
      </c>
      <c r="E91" s="19">
        <v>0.0608</v>
      </c>
      <c r="F91" s="19">
        <v>0.0664</v>
      </c>
      <c r="G91" s="19">
        <v>0.0621</v>
      </c>
      <c r="H91" s="19">
        <v>0.0731</v>
      </c>
      <c r="I91" s="19">
        <v>0.073</v>
      </c>
      <c r="J91" s="19">
        <v>0.0568</v>
      </c>
      <c r="K91" s="19">
        <v>0.025</v>
      </c>
      <c r="L91" s="19">
        <v>0.0982</v>
      </c>
      <c r="M91" s="19">
        <v>0.0432</v>
      </c>
      <c r="N91" s="19">
        <v>0.0414</v>
      </c>
      <c r="O91" s="19">
        <v>0.0256</v>
      </c>
      <c r="P91" s="19">
        <v>0</v>
      </c>
      <c r="Q91" s="19">
        <v>0</v>
      </c>
      <c r="R91" s="19">
        <v>0</v>
      </c>
      <c r="S91" s="19">
        <v>0</v>
      </c>
      <c r="T91" s="10"/>
      <c r="X91" s="11" t="s">
        <v>58</v>
      </c>
      <c r="Y91" s="101">
        <v>90</v>
      </c>
      <c r="Z91" s="101">
        <v>70</v>
      </c>
      <c r="AA91" s="101">
        <v>35</v>
      </c>
      <c r="AB91" s="101">
        <v>43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>
        <f t="shared" si="51"/>
        <v>1.18651044167556</v>
      </c>
      <c r="AT91" s="309">
        <f t="shared" si="51"/>
        <v>0.833900566143211</v>
      </c>
      <c r="AU91" s="309">
        <f t="shared" si="51"/>
        <v>0.827560311395155</v>
      </c>
      <c r="AV91" s="310">
        <f t="shared" si="51"/>
        <v>1.41785533110198</v>
      </c>
      <c r="AW91" s="308">
        <f t="shared" si="51"/>
        <v>-0.750923680408979</v>
      </c>
      <c r="AX91" s="309">
        <f t="shared" si="51"/>
        <v>-0.625871016476312</v>
      </c>
      <c r="AY91" s="309">
        <f t="shared" si="51"/>
        <v>-0.446251370116989</v>
      </c>
      <c r="AZ91" s="310">
        <f t="shared" si="51"/>
        <v>0.257946828000427</v>
      </c>
      <c r="BA91" s="308">
        <f t="shared" si="51"/>
        <v>1.01944946219142</v>
      </c>
      <c r="BB91" s="309">
        <f t="shared" si="51"/>
        <v>1.14203975085211</v>
      </c>
      <c r="BC91" s="309">
        <f t="shared" si="51"/>
        <v>0.952144169239643</v>
      </c>
      <c r="BD91" s="310">
        <f t="shared" si="51"/>
        <v>1.5606557350061</v>
      </c>
      <c r="BE91" s="308">
        <f t="shared" si="51"/>
        <v>0.590304253404798</v>
      </c>
      <c r="BF91" s="309">
        <f t="shared" si="51"/>
        <v>0.520462115164505</v>
      </c>
      <c r="BG91" s="309">
        <f t="shared" si="51"/>
        <v>0.313733411526583</v>
      </c>
      <c r="BH91" s="310">
        <f t="shared" si="51"/>
        <v>0.935483933709618</v>
      </c>
      <c r="BI91" s="319">
        <f t="shared" si="52"/>
        <v>0.608437515150552</v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266</v>
      </c>
      <c r="Z92" s="76">
        <f>SUM(Z88:Z91)</f>
        <v>229</v>
      </c>
      <c r="AA92" s="76">
        <f>SUM(AA88:AA91)</f>
        <v>112</v>
      </c>
      <c r="AB92" s="289">
        <f>SUM(AB88:AB91)</f>
        <v>132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-58.7563999999993</v>
      </c>
      <c r="AL92" s="304">
        <f t="shared" si="55"/>
        <v>745.103499999999</v>
      </c>
      <c r="AM92" s="304">
        <f t="shared" si="55"/>
        <v>767.142300000001</v>
      </c>
      <c r="AN92" s="304">
        <f t="shared" si="55"/>
        <v>904.102200000001</v>
      </c>
      <c r="AR92" s="185">
        <v>11</v>
      </c>
      <c r="AS92" s="308">
        <f t="shared" si="51"/>
        <v>1.11321190353069</v>
      </c>
      <c r="AT92" s="309">
        <f t="shared" si="51"/>
        <v>1.1175969069881</v>
      </c>
      <c r="AU92" s="309">
        <f t="shared" si="51"/>
        <v>1.28407429486905</v>
      </c>
      <c r="AV92" s="310">
        <f t="shared" si="51"/>
        <v>0.828799768025196</v>
      </c>
      <c r="AW92" s="308">
        <f t="shared" si="51"/>
        <v>-1.03814495704481</v>
      </c>
      <c r="AX92" s="309">
        <f t="shared" si="51"/>
        <v>-1.0070104175356</v>
      </c>
      <c r="AY92" s="309">
        <f t="shared" si="51"/>
        <v>0.18864676708145</v>
      </c>
      <c r="AZ92" s="310">
        <f t="shared" si="51"/>
        <v>0.218981361933224</v>
      </c>
      <c r="BA92" s="308">
        <f t="shared" si="51"/>
        <v>0.357670755899489</v>
      </c>
      <c r="BB92" s="309">
        <f t="shared" si="51"/>
        <v>0.524851031139566</v>
      </c>
      <c r="BC92" s="309">
        <f t="shared" si="51"/>
        <v>0.952144169239643</v>
      </c>
      <c r="BD92" s="310">
        <f t="shared" si="51"/>
        <v>0.763133345471224</v>
      </c>
      <c r="BE92" s="308">
        <f t="shared" si="51"/>
        <v>0.319759657640585</v>
      </c>
      <c r="BF92" s="309">
        <f t="shared" si="51"/>
        <v>0.187132445901845</v>
      </c>
      <c r="BG92" s="309">
        <f t="shared" si="51"/>
        <v>0.443730007500127</v>
      </c>
      <c r="BH92" s="310">
        <f t="shared" si="51"/>
        <v>0.858948001139719</v>
      </c>
      <c r="BI92" s="319">
        <f t="shared" si="52"/>
        <v>0.444595315111219</v>
      </c>
      <c r="BR92" s="330" t="s">
        <v>322</v>
      </c>
      <c r="BS92" s="130">
        <f>第十期!BT84</f>
        <v>5959530.64</v>
      </c>
      <c r="BT92" s="330" t="s">
        <v>178</v>
      </c>
      <c r="BU92" s="130">
        <f>第十期!BU86</f>
        <v>5558539.96923077</v>
      </c>
      <c r="BV92" s="332" t="s">
        <v>100</v>
      </c>
      <c r="BW92" s="333">
        <f>第十期!BT84-第十期!BU86</f>
        <v>400990.67076923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AC9*比赛参数!D6+第十期!DU26</f>
        <v>266.25</v>
      </c>
      <c r="Z93" s="37">
        <f>AC10*比赛参数!D6+第十期!DU27</f>
        <v>229.5</v>
      </c>
      <c r="AA93" s="37">
        <f>AC11*比赛参数!D6+第十期!DU28</f>
        <v>112.75</v>
      </c>
      <c r="AB93" s="37">
        <f>AC12*比赛参数!D6+第十期!DU29</f>
        <v>132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-65.9176999999995</v>
      </c>
      <c r="AL93" s="304">
        <f t="shared" si="55"/>
        <v>599.033299999999</v>
      </c>
      <c r="AM93" s="304">
        <f t="shared" si="55"/>
        <v>682.578800000001</v>
      </c>
      <c r="AN93" s="304">
        <f t="shared" si="55"/>
        <v>913.1893</v>
      </c>
      <c r="AR93" s="185">
        <v>12</v>
      </c>
      <c r="AS93" s="308">
        <f t="shared" si="51"/>
        <v>-0.083020238993556</v>
      </c>
      <c r="AT93" s="309">
        <f t="shared" si="51"/>
        <v>0.269806679114418</v>
      </c>
      <c r="AU93" s="309">
        <f t="shared" si="51"/>
        <v>0.201483991202387</v>
      </c>
      <c r="AV93" s="310">
        <f t="shared" si="51"/>
        <v>0.169459166172208</v>
      </c>
      <c r="AW93" s="308">
        <f t="shared" si="51"/>
        <v>0.564950540457505</v>
      </c>
      <c r="AX93" s="309">
        <f t="shared" si="51"/>
        <v>0.57991545232945</v>
      </c>
      <c r="AY93" s="309">
        <f t="shared" si="51"/>
        <v>0.921665525483285</v>
      </c>
      <c r="AZ93" s="310">
        <f t="shared" si="51"/>
        <v>0.74285040572561</v>
      </c>
      <c r="BA93" s="308">
        <f t="shared" si="51"/>
        <v>-1.46361097780311</v>
      </c>
      <c r="BB93" s="309">
        <f t="shared" si="51"/>
        <v>-1.50387114939704</v>
      </c>
      <c r="BC93" s="309">
        <f t="shared" si="51"/>
        <v>-1.38554157339878</v>
      </c>
      <c r="BD93" s="310">
        <f t="shared" si="51"/>
        <v>-1.26430309057526</v>
      </c>
      <c r="BE93" s="308">
        <f t="shared" si="51"/>
        <v>-1.38230731376922</v>
      </c>
      <c r="BF93" s="309">
        <f t="shared" si="51"/>
        <v>-1.39221527274743</v>
      </c>
      <c r="BG93" s="309">
        <f t="shared" si="51"/>
        <v>-1.2438621656837</v>
      </c>
      <c r="BH93" s="310">
        <f t="shared" si="51"/>
        <v>-1.34273565912102</v>
      </c>
      <c r="BI93" s="319">
        <f t="shared" si="52"/>
        <v>-0.475708480062766</v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IF(第十期!$AC$9&gt;0,第十期!$K$9*比赛参数!$D$30*比赛参数!$F$30*$CU$87/第十期!$AC$9,0)</f>
        <v>307.787011388119</v>
      </c>
      <c r="CR93" s="65">
        <f>IF(第十期!$AC$9&gt;0,第十期!$K$9*比赛参数!$D$30*比赛参数!$F$30*$CU$87/第十期!$AC$9,0)</f>
        <v>307.787011388119</v>
      </c>
      <c r="CS93" s="65">
        <f>IF(第十期!$AC$9&gt;0,第十期!$K$9*比赛参数!$D$30*比赛参数!$F$30*$CU$87/第十期!$AC$9,0)</f>
        <v>307.787011388119</v>
      </c>
      <c r="CT93" s="65">
        <f>IF(第十期!$AC$9&gt;0,第十期!$K$9*比赛参数!$D$30*比赛参数!$F$30*$CU$87/第十期!$AC$9,0)</f>
        <v>307.787011388119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-74.8596000000011</v>
      </c>
      <c r="AL94" s="304">
        <f t="shared" si="55"/>
        <v>523.462399999999</v>
      </c>
      <c r="AM94" s="304">
        <f t="shared" si="55"/>
        <v>383.0016</v>
      </c>
      <c r="AN94" s="304">
        <f t="shared" si="55"/>
        <v>77.5648000000019</v>
      </c>
      <c r="AR94" s="185">
        <v>13</v>
      </c>
      <c r="AS94" s="308">
        <f t="shared" si="51"/>
        <v>0.946091236560394</v>
      </c>
      <c r="AT94" s="309">
        <f t="shared" si="51"/>
        <v>1.2198595414787</v>
      </c>
      <c r="AU94" s="309">
        <f t="shared" si="51"/>
        <v>1.28407429486905</v>
      </c>
      <c r="AV94" s="310">
        <f t="shared" si="51"/>
        <v>0.664801344214047</v>
      </c>
      <c r="AW94" s="308">
        <f t="shared" si="51"/>
        <v>-0.964669746742622</v>
      </c>
      <c r="AX94" s="309">
        <f t="shared" si="51"/>
        <v>-1.0070104175356</v>
      </c>
      <c r="AY94" s="309">
        <f t="shared" si="51"/>
        <v>0.384888009488241</v>
      </c>
      <c r="AZ94" s="310">
        <f t="shared" si="51"/>
        <v>0.556682067848977</v>
      </c>
      <c r="BA94" s="308">
        <f t="shared" si="51"/>
        <v>1.68122816848336</v>
      </c>
      <c r="BB94" s="309">
        <f t="shared" si="51"/>
        <v>1.84780648126414</v>
      </c>
      <c r="BC94" s="309">
        <f t="shared" si="51"/>
        <v>1.41810180037365</v>
      </c>
      <c r="BD94" s="310">
        <f t="shared" si="51"/>
        <v>1.37809036872703</v>
      </c>
      <c r="BE94" s="308">
        <f t="shared" si="51"/>
        <v>-0.126770257698407</v>
      </c>
      <c r="BF94" s="309">
        <f t="shared" si="51"/>
        <v>-0.228206903893693</v>
      </c>
      <c r="BG94" s="309">
        <f t="shared" si="51"/>
        <v>-0.333885993868892</v>
      </c>
      <c r="BH94" s="310">
        <f t="shared" si="51"/>
        <v>0.175227003515293</v>
      </c>
      <c r="BI94" s="319">
        <f t="shared" si="52"/>
        <v>0.556019187317729</v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IF(第十期!$AC$10&gt;0,第十期!$K$9*比赛参数!$D$30*比赛参数!$F$30*$CU$88/第十期!$AC$10,0)</f>
        <v>769.467528470299</v>
      </c>
      <c r="CR94" s="65">
        <f>IF(第十期!$AC$10&gt;0,第十期!$K$9*比赛参数!$D$30*比赛参数!$F$30*$CU$88/第十期!$AC$10,0)</f>
        <v>769.467528470299</v>
      </c>
      <c r="CS94" s="65">
        <f>IF(第十期!$AC$10&gt;0,第十期!$K$9*比赛参数!$D$30*比赛参数!$F$30*$CU$88/第十期!$AC$10,0)</f>
        <v>769.467528470299</v>
      </c>
      <c r="CT94" s="65">
        <f>IF(第十期!$AC$10&gt;0,第十期!$K$9*比赛参数!$D$30*比赛参数!$F$30*$CU$88/第十期!$AC$10,0)</f>
        <v>769.467528470299</v>
      </c>
      <c r="CU94" s="48"/>
    </row>
    <row r="95" ht="18.75" customHeight="1" spans="2:99">
      <c r="B95" s="7"/>
      <c r="C95" s="25">
        <v>1</v>
      </c>
      <c r="D95" s="14">
        <v>3368040</v>
      </c>
      <c r="E95" s="14">
        <v>3469984.87</v>
      </c>
      <c r="F95" s="14">
        <v>-101944.87</v>
      </c>
      <c r="G95" s="14">
        <v>4254.81</v>
      </c>
      <c r="H95" s="9">
        <v>0</v>
      </c>
      <c r="I95" s="14">
        <v>1503369.28</v>
      </c>
      <c r="J95" s="14">
        <v>14601869.28</v>
      </c>
      <c r="K95" s="9">
        <v>-0.263</v>
      </c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-18.4814000000006</v>
      </c>
      <c r="AL95" s="304">
        <f t="shared" si="55"/>
        <v>514.1066</v>
      </c>
      <c r="AM95" s="304">
        <f t="shared" si="55"/>
        <v>502.3969</v>
      </c>
      <c r="AN95" s="304">
        <f t="shared" si="55"/>
        <v>147.333099999998</v>
      </c>
      <c r="AR95" s="185">
        <v>14</v>
      </c>
      <c r="AS95" s="308">
        <f t="shared" si="51"/>
        <v>-0.0595647067871981</v>
      </c>
      <c r="AT95" s="309">
        <f t="shared" si="51"/>
        <v>-0.168933010796865</v>
      </c>
      <c r="AU95" s="309">
        <f t="shared" si="51"/>
        <v>-0.349593603133955</v>
      </c>
      <c r="AV95" s="310">
        <f t="shared" si="51"/>
        <v>-0.603676260366067</v>
      </c>
      <c r="AW95" s="308">
        <f t="shared" si="51"/>
        <v>1.36649828920866</v>
      </c>
      <c r="AX95" s="309">
        <f t="shared" si="51"/>
        <v>1.41149232736791</v>
      </c>
      <c r="AY95" s="309">
        <f t="shared" si="51"/>
        <v>1.36609422152219</v>
      </c>
      <c r="AZ95" s="310">
        <f t="shared" si="51"/>
        <v>1.04158564557416</v>
      </c>
      <c r="BA95" s="308">
        <f t="shared" si="51"/>
        <v>0.107418303940354</v>
      </c>
      <c r="BB95" s="309">
        <f t="shared" si="51"/>
        <v>0.170538988341624</v>
      </c>
      <c r="BC95" s="309">
        <f t="shared" si="51"/>
        <v>-1.23022236302078</v>
      </c>
      <c r="BD95" s="310">
        <f t="shared" si="51"/>
        <v>-1.14179212109851</v>
      </c>
      <c r="BE95" s="308">
        <f t="shared" si="51"/>
        <v>1.5752967137114</v>
      </c>
      <c r="BF95" s="309">
        <f t="shared" si="51"/>
        <v>1.35378628832116</v>
      </c>
      <c r="BG95" s="309">
        <f t="shared" si="51"/>
        <v>-0.983868973736613</v>
      </c>
      <c r="BH95" s="310">
        <f t="shared" si="51"/>
        <v>-1.03914312659376</v>
      </c>
      <c r="BI95" s="319">
        <f t="shared" si="52"/>
        <v>0.175994788278357</v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IF(第十期!$AC$11&gt;0,第十期!$K$9*比赛参数!$D$30*比赛参数!$F$30*$CU$89/第十期!$AC$11,0)</f>
        <v>1169.59064327485</v>
      </c>
      <c r="CR95" s="65">
        <f>IF(第十期!$AC$11&gt;0,第十期!$K$9*比赛参数!$D$30*比赛参数!$F$30*$CU$89/第十期!$AC$11,0)</f>
        <v>1169.59064327485</v>
      </c>
      <c r="CS95" s="65">
        <f>IF(第十期!$AC$11&gt;0,第十期!$K$9*比赛参数!$D$30*比赛参数!$F$30*$CU$89/第十期!$AC$11,0)</f>
        <v>1169.59064327485</v>
      </c>
      <c r="CT95" s="65">
        <f>IF(第十期!$AC$11&gt;0,第十期!$K$9*比赛参数!$D$30*比赛参数!$F$30*$CU$89/第十期!$AC$11,0)</f>
        <v>1169.59064327485</v>
      </c>
      <c r="CU95" s="48"/>
    </row>
    <row r="96" ht="18.75" customHeight="1" spans="2:99">
      <c r="B96" s="7"/>
      <c r="C96" s="25">
        <v>2</v>
      </c>
      <c r="D96" s="14">
        <v>3570401</v>
      </c>
      <c r="E96" s="14">
        <v>3505543.65</v>
      </c>
      <c r="F96" s="14">
        <v>64857.35</v>
      </c>
      <c r="G96" s="14">
        <v>20469.15</v>
      </c>
      <c r="H96" s="9">
        <v>0</v>
      </c>
      <c r="I96" s="14">
        <v>3455118.01</v>
      </c>
      <c r="J96" s="14">
        <v>14752457.17</v>
      </c>
      <c r="K96" s="9">
        <v>-0.126</v>
      </c>
      <c r="L96" s="10"/>
      <c r="X96" s="64" t="s">
        <v>55</v>
      </c>
      <c r="Y96" s="94">
        <f>第十期!CX62</f>
        <v>14.5921298861188</v>
      </c>
      <c r="Z96" s="94">
        <f>第十期!CX63</f>
        <v>11.7259247579137</v>
      </c>
      <c r="AA96" s="94">
        <f>第十期!CX64</f>
        <v>11.0642351492767</v>
      </c>
      <c r="AB96" s="94">
        <f>第十期!CX65</f>
        <v>8.33052149451041</v>
      </c>
      <c r="AC96" s="48"/>
      <c r="AR96" s="185">
        <v>15</v>
      </c>
      <c r="AS96" s="308">
        <f t="shared" si="51"/>
        <v>-1.54312711883933</v>
      </c>
      <c r="AT96" s="309">
        <f t="shared" si="51"/>
        <v>-0.888070246892052</v>
      </c>
      <c r="AU96" s="309">
        <f t="shared" si="51"/>
        <v>-0.0267730005345591</v>
      </c>
      <c r="AV96" s="310">
        <f t="shared" si="51"/>
        <v>0.88569718036784</v>
      </c>
      <c r="AW96" s="308">
        <f t="shared" si="51"/>
        <v>2.09457082765763</v>
      </c>
      <c r="AX96" s="309">
        <f t="shared" si="51"/>
        <v>0.732371212753168</v>
      </c>
      <c r="AY96" s="309">
        <f t="shared" si="51"/>
        <v>-0.786787643705243</v>
      </c>
      <c r="AZ96" s="310">
        <f t="shared" si="51"/>
        <v>-2.27913796259741</v>
      </c>
      <c r="BA96" s="308">
        <f t="shared" si="51"/>
        <v>-1.46361097780311</v>
      </c>
      <c r="BB96" s="309">
        <f t="shared" si="51"/>
        <v>-1.50387114939704</v>
      </c>
      <c r="BC96" s="309">
        <f t="shared" si="51"/>
        <v>-1.38554157339878</v>
      </c>
      <c r="BD96" s="310">
        <f t="shared" si="51"/>
        <v>-1.26430309057526</v>
      </c>
      <c r="BE96" s="308">
        <f t="shared" si="51"/>
        <v>-1.38230731376922</v>
      </c>
      <c r="BF96" s="309">
        <f t="shared" si="51"/>
        <v>-1.39221527274743</v>
      </c>
      <c r="BG96" s="309">
        <f t="shared" si="51"/>
        <v>-1.2438621656837</v>
      </c>
      <c r="BH96" s="310">
        <f t="shared" si="51"/>
        <v>-1.34273565912102</v>
      </c>
      <c r="BI96" s="319">
        <f t="shared" si="52"/>
        <v>-0.799356497142844</v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IF(第十期!$AC$12&gt;0,第十期!$K$9*比赛参数!$D$30*比赛参数!$F$30*$CU$90/第十期!$AC$12,0)</f>
        <v>1600.49245921822</v>
      </c>
      <c r="CR96" s="65">
        <f>IF(第十期!$AC$12&gt;0,第十期!$K$9*比赛参数!$D$30*比赛参数!$F$30*$CU$90/第十期!$AC$12,0)</f>
        <v>1600.49245921822</v>
      </c>
      <c r="CS96" s="65">
        <f>IF(第十期!$AC$12&gt;0,第十期!$K$9*比赛参数!$D$30*比赛参数!$F$30*$CU$90/第十期!$AC$12,0)</f>
        <v>1600.49245921822</v>
      </c>
      <c r="CT96" s="65">
        <f>IF(第十期!$AC$12&gt;0,第十期!$K$9*比赛参数!$D$30*比赛参数!$F$30*$CU$90/第十期!$AC$12,0)</f>
        <v>1600.49245921822</v>
      </c>
      <c r="CU96" s="48"/>
    </row>
    <row r="97" ht="18.75" customHeight="1" spans="2:93">
      <c r="B97" s="7"/>
      <c r="C97" s="25">
        <v>3</v>
      </c>
      <c r="D97" s="14">
        <v>4559600</v>
      </c>
      <c r="E97" s="14">
        <v>4551744.56</v>
      </c>
      <c r="F97" s="14">
        <v>7855.44</v>
      </c>
      <c r="G97" s="14">
        <v>6218.67</v>
      </c>
      <c r="H97" s="14">
        <v>5891</v>
      </c>
      <c r="I97" s="14">
        <v>5301637.81</v>
      </c>
      <c r="J97" s="14">
        <v>14703814.73</v>
      </c>
      <c r="K97" s="9">
        <v>-0.1</v>
      </c>
      <c r="L97" s="10"/>
      <c r="X97" s="11" t="s">
        <v>56</v>
      </c>
      <c r="Y97" s="94">
        <f>第十期!CY62</f>
        <v>15.0021298861188</v>
      </c>
      <c r="Z97" s="94">
        <f>第十期!CY63</f>
        <v>12.0619247579137</v>
      </c>
      <c r="AA97" s="94">
        <f>第十期!CY64</f>
        <v>11.358971991382</v>
      </c>
      <c r="AB97" s="94">
        <f>第十期!CY65</f>
        <v>8.59590610989503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>
        <f t="shared" si="51"/>
        <v>0.611849902619795</v>
      </c>
      <c r="AT97" s="309">
        <f t="shared" si="51"/>
        <v>0.576594582586218</v>
      </c>
      <c r="AU97" s="309">
        <f t="shared" si="51"/>
        <v>0.563434363813831</v>
      </c>
      <c r="AV97" s="310">
        <f t="shared" si="51"/>
        <v>0.480721480752553</v>
      </c>
      <c r="AW97" s="308">
        <f t="shared" si="51"/>
        <v>0.638425750759694</v>
      </c>
      <c r="AX97" s="309">
        <f t="shared" si="51"/>
        <v>-0.404117183132723</v>
      </c>
      <c r="AY97" s="309">
        <f t="shared" si="51"/>
        <v>1.60850987390705</v>
      </c>
      <c r="AZ97" s="310">
        <f t="shared" si="51"/>
        <v>1.37495685526022</v>
      </c>
      <c r="BA97" s="308">
        <f t="shared" si="51"/>
        <v>0.936031978205046</v>
      </c>
      <c r="BB97" s="309">
        <f t="shared" si="51"/>
        <v>0.170538988341624</v>
      </c>
      <c r="BC97" s="309">
        <f t="shared" si="51"/>
        <v>0.717849089177909</v>
      </c>
      <c r="BD97" s="310">
        <f t="shared" si="51"/>
        <v>-0.341867555691549</v>
      </c>
      <c r="BE97" s="308">
        <f t="shared" si="51"/>
        <v>1.2180727814402</v>
      </c>
      <c r="BF97" s="309">
        <f t="shared" si="51"/>
        <v>0.605117269262959</v>
      </c>
      <c r="BG97" s="309">
        <f t="shared" si="51"/>
        <v>-0.140072887144699</v>
      </c>
      <c r="BH97" s="310">
        <f>IF(BH48="","",(BH48-BH$54)/BH$78)</f>
        <v>-0.735550594066497</v>
      </c>
      <c r="BI97" s="319">
        <f t="shared" si="52"/>
        <v>0.492530918505727</v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>
        <v>3446358</v>
      </c>
      <c r="E98" s="14">
        <v>3611675.96</v>
      </c>
      <c r="F98" s="14">
        <v>-165317.96</v>
      </c>
      <c r="G98" s="14">
        <v>4254.81</v>
      </c>
      <c r="H98" s="9">
        <v>0</v>
      </c>
      <c r="I98" s="14">
        <v>17711.58</v>
      </c>
      <c r="J98" s="14">
        <v>14538496.2</v>
      </c>
      <c r="K98" s="9">
        <v>-0.305</v>
      </c>
      <c r="L98" s="10"/>
      <c r="X98" s="11" t="s">
        <v>57</v>
      </c>
      <c r="Y98" s="94">
        <f>第十期!CZ62</f>
        <v>17.2221298861188</v>
      </c>
      <c r="Z98" s="94">
        <f>第十期!CZ63</f>
        <v>12.5939247579137</v>
      </c>
      <c r="AA98" s="94">
        <f>第十期!CZ64</f>
        <v>10.8168667282241</v>
      </c>
      <c r="AB98" s="94">
        <f>第十期!CZ65</f>
        <v>8.51129072527964</v>
      </c>
      <c r="AC98" s="126" t="s">
        <v>367</v>
      </c>
      <c r="AE98" s="47" t="s">
        <v>55</v>
      </c>
      <c r="AF98" s="292">
        <f>Y234</f>
        <v>3208.7564</v>
      </c>
      <c r="AG98" s="292">
        <f>AC234</f>
        <v>6254.8965</v>
      </c>
      <c r="AH98" s="292">
        <f>AG234</f>
        <v>8782.8577</v>
      </c>
      <c r="AI98" s="292">
        <f>AK234</f>
        <v>10945.8978</v>
      </c>
      <c r="AJ98" s="47" t="s">
        <v>55</v>
      </c>
      <c r="AK98" s="304">
        <f t="shared" ref="AK98:AN101" si="56">AF76-AF98</f>
        <v>141.243600000001</v>
      </c>
      <c r="AL98" s="304">
        <f t="shared" si="56"/>
        <v>695.103499999999</v>
      </c>
      <c r="AM98" s="304">
        <f t="shared" si="56"/>
        <v>1367.1423</v>
      </c>
      <c r="AN98" s="304">
        <f t="shared" si="56"/>
        <v>1754.1022</v>
      </c>
      <c r="AR98" s="185">
        <v>17</v>
      </c>
      <c r="AS98" s="308">
        <f t="shared" ref="AS98:BH101" si="57">IF(AS49="","",(AS49-AS$54)/AS$78)</f>
        <v>0.562006896681285</v>
      </c>
      <c r="AT98" s="309">
        <f t="shared" si="57"/>
        <v>0.527112662671411</v>
      </c>
      <c r="AU98" s="309">
        <f t="shared" si="57"/>
        <v>0.677562859682305</v>
      </c>
      <c r="AV98" s="310">
        <f t="shared" si="57"/>
        <v>0.88569718036784</v>
      </c>
      <c r="AW98" s="308">
        <f t="shared" si="57"/>
        <v>0.638425750759694</v>
      </c>
      <c r="AX98" s="309">
        <f t="shared" si="57"/>
        <v>0.656143332541309</v>
      </c>
      <c r="AY98" s="309">
        <f t="shared" si="57"/>
        <v>0.581129251895032</v>
      </c>
      <c r="AZ98" s="310">
        <f t="shared" si="57"/>
        <v>0.405149699809857</v>
      </c>
      <c r="BA98" s="308">
        <f t="shared" si="57"/>
        <v>-1.46361097780311</v>
      </c>
      <c r="BB98" s="309">
        <f t="shared" si="57"/>
        <v>-1.50387114939704</v>
      </c>
      <c r="BC98" s="309">
        <f t="shared" si="57"/>
        <v>-1.38554157339878</v>
      </c>
      <c r="BD98" s="310">
        <f t="shared" si="57"/>
        <v>-1.26430309057526</v>
      </c>
      <c r="BE98" s="308">
        <f t="shared" si="57"/>
        <v>-1.38230731376922</v>
      </c>
      <c r="BF98" s="309">
        <f t="shared" si="57"/>
        <v>-1.39221527274743</v>
      </c>
      <c r="BG98" s="309">
        <f t="shared" si="57"/>
        <v>-1.2438621656837</v>
      </c>
      <c r="BH98" s="310">
        <f t="shared" si="57"/>
        <v>-1.34273565912102</v>
      </c>
      <c r="BI98" s="319">
        <f t="shared" si="52"/>
        <v>-0.377826223005426</v>
      </c>
    </row>
    <row r="99" ht="18.75" customHeight="1" spans="2:61">
      <c r="B99" s="7"/>
      <c r="C99" s="25">
        <v>5</v>
      </c>
      <c r="D99" s="14">
        <v>5224300</v>
      </c>
      <c r="E99" s="14">
        <v>4820549.42</v>
      </c>
      <c r="F99" s="14">
        <v>403750.58</v>
      </c>
      <c r="G99" s="14">
        <v>105192.46</v>
      </c>
      <c r="H99" s="9">
        <v>0</v>
      </c>
      <c r="I99" s="14">
        <v>2146842.47</v>
      </c>
      <c r="J99" s="14">
        <v>15006627.09</v>
      </c>
      <c r="K99" s="9">
        <v>0.255</v>
      </c>
      <c r="L99" s="10"/>
      <c r="X99" s="11" t="s">
        <v>58</v>
      </c>
      <c r="Y99" s="94">
        <f>第十期!DA62</f>
        <v>17.4221298861188</v>
      </c>
      <c r="Z99" s="94">
        <f>第十期!DA63</f>
        <v>12.7939247579137</v>
      </c>
      <c r="AA99" s="94">
        <f>第十期!DA64</f>
        <v>11.2116035703293</v>
      </c>
      <c r="AB99" s="94">
        <f>第十期!DA65</f>
        <v>8.70359841758733</v>
      </c>
      <c r="AC99" s="126"/>
      <c r="AE99" s="11" t="s">
        <v>56</v>
      </c>
      <c r="AF99" s="292">
        <f>Z234</f>
        <v>3215.9177</v>
      </c>
      <c r="AG99" s="292">
        <f>AD234</f>
        <v>6400.9667</v>
      </c>
      <c r="AH99" s="292">
        <f>AH234</f>
        <v>8867.4212</v>
      </c>
      <c r="AI99" s="292">
        <f>AL234</f>
        <v>10936.8107</v>
      </c>
      <c r="AJ99" s="11" t="s">
        <v>56</v>
      </c>
      <c r="AK99" s="304">
        <f t="shared" si="56"/>
        <v>134.0823</v>
      </c>
      <c r="AL99" s="304">
        <f t="shared" si="56"/>
        <v>549.033299999999</v>
      </c>
      <c r="AM99" s="304">
        <f t="shared" si="56"/>
        <v>1282.5788</v>
      </c>
      <c r="AN99" s="304">
        <f t="shared" si="56"/>
        <v>1763.1893</v>
      </c>
      <c r="AR99" s="185">
        <v>18</v>
      </c>
      <c r="AS99" s="308">
        <f t="shared" si="57"/>
        <v>-0.898099983164491</v>
      </c>
      <c r="AT99" s="309">
        <f t="shared" si="57"/>
        <v>-1.01672323867055</v>
      </c>
      <c r="AU99" s="309">
        <f t="shared" si="57"/>
        <v>-1.18436203005765</v>
      </c>
      <c r="AV99" s="310">
        <f t="shared" si="57"/>
        <v>-1.1726503837925</v>
      </c>
      <c r="AW99" s="308">
        <f t="shared" si="57"/>
        <v>-0.6039732598046</v>
      </c>
      <c r="AX99" s="309">
        <f t="shared" si="57"/>
        <v>-0.549643136264454</v>
      </c>
      <c r="AY99" s="309">
        <f t="shared" si="57"/>
        <v>0.240592978306778</v>
      </c>
      <c r="AZ99" s="310">
        <f t="shared" si="57"/>
        <v>0.703884939658408</v>
      </c>
      <c r="BA99" s="308">
        <f t="shared" si="57"/>
        <v>-0.304107950392446</v>
      </c>
      <c r="BB99" s="309">
        <f t="shared" si="57"/>
        <v>-0.269493709971949</v>
      </c>
      <c r="BC99" s="309">
        <f t="shared" si="57"/>
        <v>0.172915588360168</v>
      </c>
      <c r="BD99" s="310">
        <f t="shared" si="57"/>
        <v>0.700676772796807</v>
      </c>
      <c r="BE99" s="308">
        <f t="shared" si="57"/>
        <v>-0.126770257698407</v>
      </c>
      <c r="BF99" s="309">
        <f t="shared" si="57"/>
        <v>-0.14355174979524</v>
      </c>
      <c r="BG99" s="309">
        <f t="shared" si="57"/>
        <v>0.313733411526583</v>
      </c>
      <c r="BH99" s="310">
        <f t="shared" si="57"/>
        <v>1.46613306619425</v>
      </c>
      <c r="BI99" s="319">
        <f t="shared" si="52"/>
        <v>-0.166964933923081</v>
      </c>
    </row>
    <row r="100" ht="18.75" customHeight="1" spans="2:61">
      <c r="B100" s="7"/>
      <c r="C100" s="25">
        <v>6</v>
      </c>
      <c r="D100" s="14">
        <v>1642080</v>
      </c>
      <c r="E100" s="14">
        <v>2928633.33</v>
      </c>
      <c r="F100" s="14">
        <v>-1286553.33</v>
      </c>
      <c r="G100" s="14">
        <v>4254.81</v>
      </c>
      <c r="H100" s="9">
        <v>0</v>
      </c>
      <c r="I100" s="14">
        <v>2191301.36</v>
      </c>
      <c r="J100" s="14">
        <v>13417260.82</v>
      </c>
      <c r="K100" s="9">
        <v>-1.128</v>
      </c>
      <c r="L100" s="10"/>
      <c r="AE100" s="11" t="s">
        <v>57</v>
      </c>
      <c r="AF100" s="292">
        <f>AA234</f>
        <v>3454.8596</v>
      </c>
      <c r="AG100" s="292">
        <f>AE234</f>
        <v>6776.5376</v>
      </c>
      <c r="AH100" s="292">
        <f>AI234</f>
        <v>9266.9984</v>
      </c>
      <c r="AI100" s="292">
        <f>AM234</f>
        <v>11922.4352</v>
      </c>
      <c r="AJ100" s="11" t="s">
        <v>57</v>
      </c>
      <c r="AK100" s="304">
        <f t="shared" si="56"/>
        <v>275.140399999999</v>
      </c>
      <c r="AL100" s="304">
        <f t="shared" si="56"/>
        <v>523.462399999999</v>
      </c>
      <c r="AM100" s="304">
        <f t="shared" si="56"/>
        <v>933.0016</v>
      </c>
      <c r="AN100" s="304">
        <f t="shared" si="56"/>
        <v>1077.5648</v>
      </c>
      <c r="AR100" s="185">
        <v>19</v>
      </c>
      <c r="AS100" s="308">
        <f t="shared" si="57"/>
        <v>0.324519633091912</v>
      </c>
      <c r="AT100" s="309">
        <f t="shared" si="57"/>
        <v>0.269806679114418</v>
      </c>
      <c r="AU100" s="309">
        <f t="shared" si="57"/>
        <v>0.449305867945358</v>
      </c>
      <c r="AV100" s="310">
        <f t="shared" si="57"/>
        <v>0.316723056941404</v>
      </c>
      <c r="AW100" s="308">
        <f t="shared" si="57"/>
        <v>1.36649828920866</v>
      </c>
      <c r="AX100" s="309">
        <f t="shared" si="57"/>
        <v>1.41149232736791</v>
      </c>
      <c r="AY100" s="309">
        <f t="shared" si="57"/>
        <v>0.240592978306778</v>
      </c>
      <c r="AZ100" s="310">
        <f t="shared" si="57"/>
        <v>-1.19676390517512</v>
      </c>
      <c r="BA100" s="308">
        <f t="shared" si="57"/>
        <v>1.26692133135101</v>
      </c>
      <c r="BB100" s="309">
        <f t="shared" si="57"/>
        <v>-0.269493709971949</v>
      </c>
      <c r="BC100" s="309">
        <f t="shared" si="57"/>
        <v>-0.2956745717633</v>
      </c>
      <c r="BD100" s="310">
        <f t="shared" si="57"/>
        <v>-0.649346067319451</v>
      </c>
      <c r="BE100" s="308">
        <f t="shared" si="57"/>
        <v>-1.38230731376922</v>
      </c>
      <c r="BF100" s="309">
        <f t="shared" si="57"/>
        <v>-1.39221527274743</v>
      </c>
      <c r="BG100" s="309">
        <f t="shared" si="57"/>
        <v>-1.2438621656837</v>
      </c>
      <c r="BH100" s="310">
        <f t="shared" si="57"/>
        <v>-1.34273565912102</v>
      </c>
      <c r="BI100" s="319">
        <f t="shared" si="52"/>
        <v>-0.132908656388984</v>
      </c>
    </row>
    <row r="101" ht="18.75" customHeight="1" spans="2:61">
      <c r="B101" s="7"/>
      <c r="C101" s="25">
        <v>7</v>
      </c>
      <c r="D101" s="14">
        <v>3965750</v>
      </c>
      <c r="E101" s="14">
        <v>4036712.65</v>
      </c>
      <c r="F101" s="14">
        <v>-70962.65</v>
      </c>
      <c r="G101" s="14">
        <v>4254.81</v>
      </c>
      <c r="H101" s="9">
        <v>0</v>
      </c>
      <c r="I101" s="14">
        <v>5150251.5</v>
      </c>
      <c r="J101" s="14">
        <v>14632851.5</v>
      </c>
      <c r="K101" s="9">
        <v>-0.184</v>
      </c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3468.4814</v>
      </c>
      <c r="AG101" s="292">
        <f>AF234</f>
        <v>6885.8934</v>
      </c>
      <c r="AH101" s="292">
        <f>AJ234</f>
        <v>9347.6031</v>
      </c>
      <c r="AI101" s="292">
        <f>AN234</f>
        <v>12002.6669</v>
      </c>
      <c r="AJ101" s="11" t="s">
        <v>58</v>
      </c>
      <c r="AK101" s="304">
        <f t="shared" si="56"/>
        <v>331.518599999999</v>
      </c>
      <c r="AL101" s="304">
        <f t="shared" si="56"/>
        <v>514.1066</v>
      </c>
      <c r="AM101" s="304">
        <f t="shared" si="56"/>
        <v>1052.3969</v>
      </c>
      <c r="AN101" s="304">
        <f t="shared" si="56"/>
        <v>1147.3331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>
        <v>4866700</v>
      </c>
      <c r="E102" s="14">
        <v>4660941.46</v>
      </c>
      <c r="F102" s="14">
        <v>205758.54</v>
      </c>
      <c r="G102" s="14">
        <v>55694.45</v>
      </c>
      <c r="H102" s="9">
        <v>0</v>
      </c>
      <c r="I102" s="14">
        <v>2336609.98</v>
      </c>
      <c r="J102" s="14">
        <v>14858133.06</v>
      </c>
      <c r="K102" s="9">
        <v>0.057</v>
      </c>
      <c r="L102" s="10"/>
      <c r="X102" s="280" t="s">
        <v>55</v>
      </c>
      <c r="Y102" s="94">
        <f t="shared" ref="Y102:AB105" si="58">(AF76-CJ19)/AF76</f>
        <v>0.435585966749815</v>
      </c>
      <c r="Z102" s="94">
        <f t="shared" si="58"/>
        <v>0.421795854601211</v>
      </c>
      <c r="AA102" s="94">
        <f t="shared" si="58"/>
        <v>0.414227522830064</v>
      </c>
      <c r="AB102" s="94">
        <f t="shared" si="58"/>
        <v>0.341092218672867</v>
      </c>
    </row>
    <row r="103" ht="18.75" customHeight="1" spans="2:36">
      <c r="B103" s="7"/>
      <c r="C103" s="25">
        <v>9</v>
      </c>
      <c r="D103" s="14">
        <v>5449239</v>
      </c>
      <c r="E103" s="14">
        <v>5155091.82</v>
      </c>
      <c r="F103" s="14">
        <v>294147.18</v>
      </c>
      <c r="G103" s="14">
        <v>77791.61</v>
      </c>
      <c r="H103" s="9">
        <v>0</v>
      </c>
      <c r="I103" s="14">
        <v>2625743.77</v>
      </c>
      <c r="J103" s="14">
        <v>14924424.54</v>
      </c>
      <c r="K103" s="9">
        <v>0.163</v>
      </c>
      <c r="L103" s="10"/>
      <c r="X103" s="281" t="s">
        <v>56</v>
      </c>
      <c r="Y103" s="94">
        <f t="shared" si="58"/>
        <v>0.447824772719964</v>
      </c>
      <c r="Z103" s="94">
        <f t="shared" si="58"/>
        <v>0.433882185536463</v>
      </c>
      <c r="AA103" s="94">
        <f t="shared" si="58"/>
        <v>0.425262005588684</v>
      </c>
      <c r="AB103" s="94">
        <f t="shared" si="58"/>
        <v>0.351958360405151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>
        <v>5548600</v>
      </c>
      <c r="E104" s="14">
        <v>5114491.27</v>
      </c>
      <c r="F104" s="14">
        <v>434108.73</v>
      </c>
      <c r="G104" s="14">
        <v>112781.99</v>
      </c>
      <c r="H104" s="9">
        <v>0</v>
      </c>
      <c r="I104" s="14">
        <v>2187364.93</v>
      </c>
      <c r="J104" s="14">
        <v>15029395.7</v>
      </c>
      <c r="K104" s="9">
        <v>0.313</v>
      </c>
      <c r="L104" s="10"/>
      <c r="X104" s="281" t="s">
        <v>57</v>
      </c>
      <c r="Y104" s="94">
        <f t="shared" si="58"/>
        <v>0.461719299895947</v>
      </c>
      <c r="Z104" s="94">
        <f t="shared" si="58"/>
        <v>0.431298793079236</v>
      </c>
      <c r="AA104" s="94">
        <f t="shared" si="58"/>
        <v>0.402981309482857</v>
      </c>
      <c r="AB104" s="94">
        <f t="shared" si="58"/>
        <v>0.340451629011186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400990.67076923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>
        <v>5293840</v>
      </c>
      <c r="E105" s="14">
        <v>4887164.42</v>
      </c>
      <c r="F105" s="14">
        <v>406675.58</v>
      </c>
      <c r="G105" s="14">
        <v>105923.71</v>
      </c>
      <c r="H105" s="14">
        <v>210000</v>
      </c>
      <c r="I105" s="14">
        <v>2939309.3</v>
      </c>
      <c r="J105" s="14">
        <v>14798820.84</v>
      </c>
      <c r="K105" s="9">
        <v>0.428</v>
      </c>
      <c r="L105" s="10"/>
      <c r="X105" s="281" t="s">
        <v>58</v>
      </c>
      <c r="Y105" s="94">
        <f t="shared" si="58"/>
        <v>0.458477102266284</v>
      </c>
      <c r="Z105" s="94">
        <f t="shared" si="58"/>
        <v>0.432227187767354</v>
      </c>
      <c r="AA105" s="94">
        <f t="shared" si="58"/>
        <v>0.409654745838956</v>
      </c>
      <c r="AB105" s="94">
        <f t="shared" si="58"/>
        <v>0.344172713090906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>
        <v>2999520</v>
      </c>
      <c r="E106" s="14">
        <v>2856480.15</v>
      </c>
      <c r="F106" s="14">
        <v>143039.85</v>
      </c>
      <c r="G106" s="14">
        <v>40014.77</v>
      </c>
      <c r="H106" s="9">
        <v>0</v>
      </c>
      <c r="I106" s="14">
        <v>51778.65</v>
      </c>
      <c r="J106" s="14">
        <v>14811094.04</v>
      </c>
      <c r="K106" s="9">
        <v>-0.06</v>
      </c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3407930.53876923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>
        <v>5413510</v>
      </c>
      <c r="E107" s="14">
        <v>5069219.69</v>
      </c>
      <c r="F107" s="14">
        <v>344290.31</v>
      </c>
      <c r="G107" s="14">
        <v>90327.39</v>
      </c>
      <c r="H107" s="14">
        <v>1000</v>
      </c>
      <c r="I107" s="14">
        <v>5795778.04</v>
      </c>
      <c r="J107" s="14">
        <v>14961031.88</v>
      </c>
      <c r="K107" s="9">
        <v>0.265</v>
      </c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>
        <f>IF(AS82="","",AVERAGE(AS82:AV82)*$AR$130)</f>
        <v>-0.146541293253766</v>
      </c>
      <c r="AU107" s="314">
        <f>IF(AW82="","",AVERAGE(AW82:AZ82)*$AR$130)</f>
        <v>-0.0891359167911139</v>
      </c>
      <c r="AV107" s="314">
        <f>IF(BA82="","",AVERAGE(BA82:BD82)*$AR$130)</f>
        <v>0.137153826722044</v>
      </c>
      <c r="AW107" s="314">
        <f>IF(BE82="","",AVERAGE(BE82:BH82)*$AR$130)</f>
        <v>-0.135064546375751</v>
      </c>
      <c r="AX107" s="190">
        <v>1</v>
      </c>
      <c r="AY107" s="314">
        <f>IF(BI82="","",BI82*$AR$130)</f>
        <v>-0.0583969824246466</v>
      </c>
      <c r="AZ107" s="314">
        <f t="shared" ref="AZ107:BC126" si="59">AS183</f>
        <v>-0.0466650641484469</v>
      </c>
      <c r="BA107" s="314">
        <f t="shared" si="59"/>
        <v>-0.119317157399901</v>
      </c>
      <c r="BB107" s="314">
        <f t="shared" si="59"/>
        <v>-0.0341928143196084</v>
      </c>
      <c r="BC107" s="314">
        <f t="shared" si="59"/>
        <v>-0.0205384126544696</v>
      </c>
      <c r="BD107" s="318"/>
      <c r="BE107" s="318"/>
      <c r="BF107" s="314">
        <f t="shared" ref="BF107:BF126" si="60">(BJ107-BL107-BI107)/0.607</f>
        <v>0.0105766582946833</v>
      </c>
      <c r="BG107" s="314">
        <f t="shared" ref="BG107:BG126" si="61">SUM(AY107:BC107)</f>
        <v>-0.279110430947072</v>
      </c>
      <c r="BH107" s="101"/>
      <c r="BI107" s="314">
        <f t="shared" ref="BI107:BI126" si="62">(BG107+0.5*BH107)*0.607</f>
        <v>-0.169420031584873</v>
      </c>
      <c r="BJ107" s="323">
        <f t="shared" ref="BJ107:BJ126" si="63">K95</f>
        <v>-0.263</v>
      </c>
      <c r="BK107" s="324"/>
      <c r="BL107" s="2">
        <f t="shared" ref="BL107:BL126" si="64">IF(I95&lt;E95,-0.1,0)</f>
        <v>-0.1</v>
      </c>
    </row>
    <row r="108" ht="18.75" customHeight="1" spans="2:64">
      <c r="B108" s="7"/>
      <c r="C108" s="25">
        <v>14</v>
      </c>
      <c r="D108" s="14">
        <v>4589600</v>
      </c>
      <c r="E108" s="14">
        <v>4412557.12</v>
      </c>
      <c r="F108" s="14">
        <v>177042.88</v>
      </c>
      <c r="G108" s="14">
        <v>48515.53</v>
      </c>
      <c r="H108" s="9">
        <v>0</v>
      </c>
      <c r="I108" s="14">
        <v>-2597580.61</v>
      </c>
      <c r="J108" s="14">
        <v>14836596.32</v>
      </c>
      <c r="K108" s="9">
        <v>0.022</v>
      </c>
      <c r="L108" s="10"/>
      <c r="X108" s="47" t="s">
        <v>55</v>
      </c>
      <c r="Y108" s="65">
        <f>IF(Y88*$Y$113-INT(Y88*$Y$113)&lt;0.5,INT(Y88*$Y$113),INT(Y88*$Y$113)+1)</f>
        <v>2</v>
      </c>
      <c r="Z108" s="65">
        <f>IF(Z88*$Z$113-INT(Z88*$Z$113)&lt;0.5,INT(Z88*$Z$113),INT(Z88*$Z$113)+1)</f>
        <v>2</v>
      </c>
      <c r="AA108" s="65">
        <f>IF(AA88*$AA$113-INT(AA88*$AA$113)&lt;0.5,INT(AA88*$AA$113),INT(AA88*$AA$113)+1)</f>
        <v>1</v>
      </c>
      <c r="AB108" s="65">
        <f>IF(AB88*$AB$113-INT(AB88*$AB$113)&lt;0.5,INT(AB88*$AB$113),INT(AB88*$AB$113)+1)</f>
        <v>1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>
        <f t="shared" ref="AT108:AT126" si="65">IF(AS83="","",AVERAGE(AS83:AV83)*$AR$130)</f>
        <v>-0.217129701686002</v>
      </c>
      <c r="AU108" s="314">
        <f t="shared" ref="AU108:AU126" si="66">IF(AW83="","",AVERAGE(AW83:AZ83)*$AR$130)</f>
        <v>0.0302885038736452</v>
      </c>
      <c r="AV108" s="314">
        <f t="shared" ref="AV108:AV126" si="67">IF(BA83="","",AVERAGE(BA83:BD83)*$AR$130)</f>
        <v>-0.210649754669032</v>
      </c>
      <c r="AW108" s="314">
        <f t="shared" ref="AW108:AW126" si="68">IF(BE83="","",AVERAGE(BE83:BH83)*$AR$130)</f>
        <v>0.228327033529699</v>
      </c>
      <c r="AX108" s="190">
        <v>2</v>
      </c>
      <c r="AY108" s="314">
        <f t="shared" ref="AY108:AY126" si="69">IF(BI83="","",BI83*$AR$130)</f>
        <v>-0.0422909797379224</v>
      </c>
      <c r="AZ108" s="314">
        <f t="shared" si="59"/>
        <v>0.0256817994709158</v>
      </c>
      <c r="BA108" s="314">
        <f t="shared" si="59"/>
        <v>-0.0697496345339616</v>
      </c>
      <c r="BB108" s="314">
        <f t="shared" si="59"/>
        <v>-0.0341928143196084</v>
      </c>
      <c r="BC108" s="314">
        <f t="shared" si="59"/>
        <v>0.0355558953462039</v>
      </c>
      <c r="BD108" s="318"/>
      <c r="BE108" s="318"/>
      <c r="BF108" s="314">
        <f t="shared" si="60"/>
        <v>0.0421621258666296</v>
      </c>
      <c r="BG108" s="314">
        <f t="shared" si="61"/>
        <v>-0.0849957337743726</v>
      </c>
      <c r="BH108" s="101"/>
      <c r="BI108" s="314">
        <f t="shared" si="62"/>
        <v>-0.0515924104010442</v>
      </c>
      <c r="BJ108" s="323">
        <f t="shared" si="63"/>
        <v>-0.126</v>
      </c>
      <c r="BK108" s="324"/>
      <c r="BL108" s="2">
        <f t="shared" si="64"/>
        <v>-0.1</v>
      </c>
    </row>
    <row r="109" ht="18.75" customHeight="1" spans="2:64">
      <c r="B109" s="7"/>
      <c r="C109" s="25">
        <v>15</v>
      </c>
      <c r="D109" s="14">
        <v>1849100</v>
      </c>
      <c r="E109" s="14">
        <v>3036036.91</v>
      </c>
      <c r="F109" s="14">
        <v>-1186936.91</v>
      </c>
      <c r="G109" s="14">
        <v>4254.81</v>
      </c>
      <c r="H109" s="9">
        <v>0</v>
      </c>
      <c r="I109" s="14">
        <v>7938.78</v>
      </c>
      <c r="J109" s="14">
        <v>13516877.24</v>
      </c>
      <c r="K109" s="9">
        <v>-1.029</v>
      </c>
      <c r="L109" s="10"/>
      <c r="X109" s="11" t="s">
        <v>56</v>
      </c>
      <c r="Y109" s="65">
        <f>IF(Y89*$Y$113-INT(Y89*$Y$113)&lt;0.5,INT(Y89*$Y$113),INT(Y89*$Y$113)+1)</f>
        <v>2</v>
      </c>
      <c r="Z109" s="65">
        <f>IF(Z89*$Z$113-INT(Z89*$Z$113)&lt;0.5,INT(Z89*$Z$113),INT(Z89*$Z$113)+1)</f>
        <v>2</v>
      </c>
      <c r="AA109" s="65">
        <f>IF(AA89*$AA$113-INT(AA89*$AA$113)&lt;0.5,INT(AA89*$AA$113),INT(AA89*$AA$113)+1)</f>
        <v>1</v>
      </c>
      <c r="AB109" s="65">
        <f>IF(AB89*$AB$113-INT(AB89*$AB$113)&lt;0.5,INT(AB89*$AB$113),INT(AB89*$AB$113)+1)</f>
        <v>1</v>
      </c>
      <c r="AC109" s="48"/>
      <c r="AK109" s="42" t="s">
        <v>239</v>
      </c>
      <c r="AL109" s="145">
        <f>AA20</f>
        <v>150</v>
      </c>
      <c r="AR109" s="313"/>
      <c r="AS109" s="190">
        <v>3</v>
      </c>
      <c r="AT109" s="314">
        <f t="shared" si="65"/>
        <v>0.0381509978656633</v>
      </c>
      <c r="AU109" s="314">
        <f t="shared" si="66"/>
        <v>0.0581205690849086</v>
      </c>
      <c r="AV109" s="314">
        <f t="shared" si="67"/>
        <v>0.0389364377176865</v>
      </c>
      <c r="AW109" s="314">
        <f t="shared" si="68"/>
        <v>0.120133964037627</v>
      </c>
      <c r="AX109" s="190">
        <v>3</v>
      </c>
      <c r="AY109" s="314">
        <f t="shared" si="69"/>
        <v>0.0638354921764714</v>
      </c>
      <c r="AZ109" s="314">
        <f t="shared" si="59"/>
        <v>0.000958451011805464</v>
      </c>
      <c r="BA109" s="314">
        <f t="shared" si="59"/>
        <v>-0.113313602802211</v>
      </c>
      <c r="BB109" s="314">
        <f t="shared" si="59"/>
        <v>-0.0191871388625201</v>
      </c>
      <c r="BC109" s="314">
        <f t="shared" si="59"/>
        <v>0.017436483411657</v>
      </c>
      <c r="BD109" s="318"/>
      <c r="BE109" s="318"/>
      <c r="BF109" s="314">
        <f t="shared" si="60"/>
        <v>-0.114474330734214</v>
      </c>
      <c r="BG109" s="314">
        <f t="shared" si="61"/>
        <v>-0.0502703150647973</v>
      </c>
      <c r="BH109" s="101"/>
      <c r="BI109" s="314">
        <f t="shared" si="62"/>
        <v>-0.030514081244332</v>
      </c>
      <c r="BJ109" s="323">
        <f t="shared" si="63"/>
        <v>-0.1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>
        <v>5059000</v>
      </c>
      <c r="E110" s="14">
        <v>4756937.91</v>
      </c>
      <c r="F110" s="14">
        <v>302062.09</v>
      </c>
      <c r="G110" s="14">
        <v>79770.34</v>
      </c>
      <c r="H110" s="9">
        <v>0</v>
      </c>
      <c r="I110" s="14">
        <v>5055637.65</v>
      </c>
      <c r="J110" s="14">
        <v>14930360.72</v>
      </c>
      <c r="K110" s="9">
        <v>0.188</v>
      </c>
      <c r="L110" s="10"/>
      <c r="X110" s="11" t="s">
        <v>57</v>
      </c>
      <c r="Y110" s="65">
        <f>IF(Y90*$Y$113-INT(Y90*$Y$113)&lt;0.5,INT(Y90*$Y$113),INT(Y90*$Y$113)+1)</f>
        <v>4</v>
      </c>
      <c r="Z110" s="65">
        <f>IF(Z90*$Z$113-INT(Z90*$Z$113)&lt;0.5,INT(Z90*$Z$113),INT(Z90*$Z$113)+1)</f>
        <v>4</v>
      </c>
      <c r="AA110" s="65">
        <f>IF(AA90*$AA$113-INT(AA90*$AA$113)&lt;0.5,INT(AA90*$AA$113),INT(AA90*$AA$113)+1)</f>
        <v>2</v>
      </c>
      <c r="AB110" s="65">
        <f>IF(AB90*$AB$113-INT(AB90*$AB$113)&lt;0.5,INT(AB90*$AB$113),INT(AB90*$AB$113)+1)</f>
        <v>2</v>
      </c>
      <c r="AC110" s="48"/>
      <c r="AE110" s="42" t="s">
        <v>246</v>
      </c>
      <c r="AF110" s="65">
        <f>SUM(AF64:AF67)*比赛参数!D26/1300</f>
        <v>26.0769230769231</v>
      </c>
      <c r="AG110" s="65">
        <f>SUM(AG64:AG67)*比赛参数!E26/1300</f>
        <v>45.5769230769231</v>
      </c>
      <c r="AH110" s="65">
        <f>SUM(AH64:AH67)*比赛参数!F26/1300</f>
        <v>39.7538461538462</v>
      </c>
      <c r="AI110" s="65">
        <f>SUM(AI64:AI67)*比赛参数!G26/1300</f>
        <v>47.2</v>
      </c>
      <c r="AJ110" s="65">
        <f>SUM(AF110:AI110)</f>
        <v>158.607692307692</v>
      </c>
      <c r="AK110" s="42" t="s">
        <v>246</v>
      </c>
      <c r="AL110" s="145">
        <f>SUM(AF110:AI110)</f>
        <v>158.607692307692</v>
      </c>
      <c r="AR110" s="313"/>
      <c r="AS110" s="190">
        <v>4</v>
      </c>
      <c r="AT110" s="314">
        <f t="shared" si="65"/>
        <v>-0.239952050210309</v>
      </c>
      <c r="AU110" s="314">
        <f t="shared" si="66"/>
        <v>-0.0704654222400374</v>
      </c>
      <c r="AV110" s="314">
        <f t="shared" si="67"/>
        <v>-0.0114106327539714</v>
      </c>
      <c r="AW110" s="314">
        <f t="shared" si="68"/>
        <v>0.10074648076</v>
      </c>
      <c r="AX110" s="190">
        <v>4</v>
      </c>
      <c r="AY110" s="314">
        <f t="shared" si="69"/>
        <v>-0.0552704061110795</v>
      </c>
      <c r="AZ110" s="314">
        <f t="shared" si="59"/>
        <v>-0.0741517744534273</v>
      </c>
      <c r="BA110" s="314">
        <f t="shared" si="59"/>
        <v>-0.119317157399901</v>
      </c>
      <c r="BB110" s="314">
        <f t="shared" si="59"/>
        <v>-0.0341928143196084</v>
      </c>
      <c r="BC110" s="314">
        <f t="shared" si="59"/>
        <v>-0.044145019191498</v>
      </c>
      <c r="BD110" s="318"/>
      <c r="BE110" s="318"/>
      <c r="BF110" s="314">
        <f t="shared" si="60"/>
        <v>-0.01064935241246</v>
      </c>
      <c r="BG110" s="314">
        <f t="shared" si="61"/>
        <v>-0.327077171475514</v>
      </c>
      <c r="BH110" s="101"/>
      <c r="BI110" s="314">
        <f t="shared" si="62"/>
        <v>-0.198535843085637</v>
      </c>
      <c r="BJ110" s="323">
        <f t="shared" si="63"/>
        <v>-0.305</v>
      </c>
      <c r="BK110" s="324"/>
      <c r="BL110" s="2">
        <f t="shared" si="64"/>
        <v>-0.1</v>
      </c>
    </row>
    <row r="111" ht="18.75" customHeight="1" spans="2:64">
      <c r="B111" s="7"/>
      <c r="C111" s="25">
        <v>17</v>
      </c>
      <c r="D111" s="14">
        <v>2973800</v>
      </c>
      <c r="E111" s="14">
        <v>2841940.88</v>
      </c>
      <c r="F111" s="14">
        <v>131859.12</v>
      </c>
      <c r="G111" s="14">
        <v>37219.59</v>
      </c>
      <c r="H111" s="9">
        <v>0</v>
      </c>
      <c r="I111" s="14">
        <v>6676162.34</v>
      </c>
      <c r="J111" s="14">
        <v>14802708.49</v>
      </c>
      <c r="K111" s="9">
        <v>0.043</v>
      </c>
      <c r="L111" s="10"/>
      <c r="X111" s="11" t="s">
        <v>58</v>
      </c>
      <c r="Y111" s="65">
        <f>IF(Y91*$Y$113-INT(Y91*$Y$113)&lt;0.5,INT(Y91*$Y$113),INT(Y91*$Y$113)+1)</f>
        <v>4</v>
      </c>
      <c r="Z111" s="65">
        <f>IF(Z91*$Z$113-INT(Z91*$Z$113)&lt;0.5,INT(Z91*$Z$113),INT(Z91*$Z$113)+1)</f>
        <v>3</v>
      </c>
      <c r="AA111" s="65">
        <f>IF(AA91*$AA$113-INT(AA91*$AA$113)&lt;0.5,INT(AA91*$AA$113),INT(AA91*$AA$113)+1)</f>
        <v>2</v>
      </c>
      <c r="AB111" s="65">
        <f>IF(AB91*$AB$113-INT(AB91*$AB$113)&lt;0.5,INT(AB91*$AB$113),INT(AB91*$AB$113)+1)</f>
        <v>2</v>
      </c>
      <c r="AC111" s="48"/>
      <c r="AE111" s="148" t="s">
        <v>253</v>
      </c>
      <c r="AF111" s="65">
        <f>(SUM(AF64:AF67)-SUM(AF104:AF107))*比赛参数!D26/1300</f>
        <v>26.0769230769231</v>
      </c>
      <c r="AG111" s="65">
        <f>(SUM(AG64:AG67)-SUM(AG104:AG107))*比赛参数!E26/1300</f>
        <v>45.5769230769231</v>
      </c>
      <c r="AH111" s="65">
        <f>(SUM(AH64:AH67)-SUM(AH104:AH107))*比赛参数!F26/1300</f>
        <v>39.7538461538462</v>
      </c>
      <c r="AI111" s="65">
        <f>(SUM(AI64:AI67)-SUM(AI104:AI107))*比赛参数!G26/1300</f>
        <v>47.2</v>
      </c>
      <c r="AJ111" s="65">
        <f>SUM(AF111:AI111)</f>
        <v>158.607692307692</v>
      </c>
      <c r="AK111" s="148" t="s">
        <v>253</v>
      </c>
      <c r="AL111" s="145">
        <f>AJ111</f>
        <v>158.607692307692</v>
      </c>
      <c r="AR111" s="313"/>
      <c r="AS111" s="190">
        <v>5</v>
      </c>
      <c r="AT111" s="314">
        <f t="shared" si="65"/>
        <v>0.146480910864432</v>
      </c>
      <c r="AU111" s="314">
        <f t="shared" si="66"/>
        <v>-0.11798541193373</v>
      </c>
      <c r="AV111" s="314">
        <f t="shared" si="67"/>
        <v>0.0758966538781754</v>
      </c>
      <c r="AW111" s="314">
        <f t="shared" si="68"/>
        <v>0.104079861526623</v>
      </c>
      <c r="AX111" s="190">
        <v>5</v>
      </c>
      <c r="AY111" s="314">
        <f t="shared" si="69"/>
        <v>0.052118003583875</v>
      </c>
      <c r="AZ111" s="314">
        <f t="shared" si="59"/>
        <v>0.17266942524913</v>
      </c>
      <c r="BA111" s="314">
        <f t="shared" si="59"/>
        <v>0.189251015859643</v>
      </c>
      <c r="BB111" s="314">
        <f t="shared" si="59"/>
        <v>-0.0341928143196084</v>
      </c>
      <c r="BC111" s="314">
        <f t="shared" si="59"/>
        <v>0.130234728929611</v>
      </c>
      <c r="BD111" s="318"/>
      <c r="BE111" s="318"/>
      <c r="BF111" s="314">
        <f t="shared" si="60"/>
        <v>0.0747631332838397</v>
      </c>
      <c r="BG111" s="314">
        <f t="shared" si="61"/>
        <v>0.510080359302651</v>
      </c>
      <c r="BH111" s="101"/>
      <c r="BI111" s="314">
        <f t="shared" si="62"/>
        <v>0.309618778096709</v>
      </c>
      <c r="BJ111" s="323">
        <f t="shared" si="63"/>
        <v>0.255</v>
      </c>
      <c r="BK111" s="324"/>
      <c r="BL111" s="2">
        <f t="shared" si="64"/>
        <v>-0.1</v>
      </c>
    </row>
    <row r="112" ht="18.75" customHeight="1" spans="2:64">
      <c r="B112" s="7"/>
      <c r="C112" s="25">
        <v>18</v>
      </c>
      <c r="D112" s="14">
        <v>3867500</v>
      </c>
      <c r="E112" s="14">
        <v>3816623.99</v>
      </c>
      <c r="F112" s="14">
        <v>50876.01</v>
      </c>
      <c r="G112" s="14">
        <v>16973.81</v>
      </c>
      <c r="H112" s="14">
        <v>38157</v>
      </c>
      <c r="I112" s="14">
        <v>4458083.39</v>
      </c>
      <c r="J112" s="14">
        <v>14703814.16</v>
      </c>
      <c r="K112" s="9">
        <v>-0.085</v>
      </c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>
        <f t="shared" si="65"/>
        <v>-0.173439325761999</v>
      </c>
      <c r="AU112" s="314">
        <f t="shared" si="66"/>
        <v>-0.153214577172399</v>
      </c>
      <c r="AV112" s="314">
        <f t="shared" si="67"/>
        <v>-0.198181933477395</v>
      </c>
      <c r="AW112" s="314">
        <f t="shared" si="68"/>
        <v>-0.127957224979554</v>
      </c>
      <c r="AX112" s="190">
        <v>6</v>
      </c>
      <c r="AY112" s="314">
        <f t="shared" si="69"/>
        <v>-0.163198265347837</v>
      </c>
      <c r="AZ112" s="314">
        <f t="shared" si="59"/>
        <v>-0.560463421855936</v>
      </c>
      <c r="BA112" s="314">
        <f t="shared" si="59"/>
        <v>-0.119317157399901</v>
      </c>
      <c r="BB112" s="314">
        <f t="shared" si="59"/>
        <v>-0.0341928143196084</v>
      </c>
      <c r="BC112" s="314">
        <f t="shared" si="59"/>
        <v>-0.461807573245292</v>
      </c>
      <c r="BD112" s="318"/>
      <c r="BE112" s="318"/>
      <c r="BF112" s="314">
        <f t="shared" si="60"/>
        <v>-0.354595726645264</v>
      </c>
      <c r="BG112" s="314">
        <f t="shared" si="61"/>
        <v>-1.33897923216857</v>
      </c>
      <c r="BH112" s="101"/>
      <c r="BI112" s="314">
        <f t="shared" si="62"/>
        <v>-0.812760393926325</v>
      </c>
      <c r="BJ112" s="323">
        <f t="shared" si="63"/>
        <v>-1.128</v>
      </c>
      <c r="BK112" s="324"/>
      <c r="BL112" s="2">
        <f t="shared" si="64"/>
        <v>-0.1</v>
      </c>
    </row>
    <row r="113" ht="18.75" customHeight="1" spans="2:64">
      <c r="B113" s="7"/>
      <c r="C113" s="25">
        <v>19</v>
      </c>
      <c r="D113" s="14">
        <v>3143850</v>
      </c>
      <c r="E113" s="14">
        <v>3191190.69</v>
      </c>
      <c r="F113" s="14">
        <v>-47340.69</v>
      </c>
      <c r="G113" s="14">
        <v>4254.81</v>
      </c>
      <c r="H113" s="9">
        <v>0</v>
      </c>
      <c r="I113" s="14">
        <v>6504335</v>
      </c>
      <c r="J113" s="14">
        <v>14656473.47</v>
      </c>
      <c r="K113" s="9">
        <v>-0.111</v>
      </c>
      <c r="L113" s="10"/>
      <c r="X113" s="63" t="s">
        <v>110</v>
      </c>
      <c r="Y113" s="295">
        <f>Y122</f>
        <v>0.0494</v>
      </c>
      <c r="Z113" s="295">
        <f>Z122</f>
        <v>0.0494</v>
      </c>
      <c r="AA113" s="295">
        <f>AA122</f>
        <v>0.0494</v>
      </c>
      <c r="AB113" s="295">
        <f>AB122</f>
        <v>0.0494</v>
      </c>
      <c r="AC113" s="48"/>
      <c r="AR113" s="313"/>
      <c r="AS113" s="190">
        <v>7</v>
      </c>
      <c r="AT113" s="314">
        <f t="shared" si="65"/>
        <v>-0.155030009546425</v>
      </c>
      <c r="AU113" s="314">
        <f t="shared" si="66"/>
        <v>0.181972506930163</v>
      </c>
      <c r="AV113" s="314">
        <f t="shared" si="67"/>
        <v>0.0660245697870968</v>
      </c>
      <c r="AW113" s="314">
        <f t="shared" si="68"/>
        <v>0.00734605422284772</v>
      </c>
      <c r="AX113" s="190">
        <v>7</v>
      </c>
      <c r="AY113" s="314">
        <f t="shared" si="69"/>
        <v>0.0250782803484204</v>
      </c>
      <c r="AZ113" s="314">
        <f t="shared" si="59"/>
        <v>-0.033227194766582</v>
      </c>
      <c r="BA113" s="314">
        <f t="shared" si="59"/>
        <v>-0.119317157399901</v>
      </c>
      <c r="BB113" s="314">
        <f t="shared" si="59"/>
        <v>-0.0341928143196084</v>
      </c>
      <c r="BC113" s="314">
        <f t="shared" si="59"/>
        <v>-0.00899747007784768</v>
      </c>
      <c r="BD113" s="318"/>
      <c r="BE113" s="318"/>
      <c r="BF113" s="314">
        <f t="shared" si="60"/>
        <v>-0.132473792054663</v>
      </c>
      <c r="BG113" s="314">
        <f t="shared" si="61"/>
        <v>-0.170656356215518</v>
      </c>
      <c r="BH113" s="101"/>
      <c r="BI113" s="314">
        <f t="shared" si="62"/>
        <v>-0.10358840822282</v>
      </c>
      <c r="BJ113" s="323">
        <f t="shared" si="63"/>
        <v>-0.184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>
        <f t="shared" si="65"/>
        <v>0.0337038254408594</v>
      </c>
      <c r="AU114" s="314">
        <f t="shared" si="66"/>
        <v>-0.0625493127465113</v>
      </c>
      <c r="AV114" s="314">
        <f t="shared" si="67"/>
        <v>0.150945482200248</v>
      </c>
      <c r="AW114" s="314">
        <f t="shared" si="68"/>
        <v>0.069863654084472</v>
      </c>
      <c r="AX114" s="190">
        <v>8</v>
      </c>
      <c r="AY114" s="314">
        <f t="shared" si="69"/>
        <v>0.047990912244767</v>
      </c>
      <c r="AZ114" s="314">
        <f t="shared" si="59"/>
        <v>0.086794650227554</v>
      </c>
      <c r="BA114" s="314">
        <f t="shared" si="59"/>
        <v>0.0379347277780143</v>
      </c>
      <c r="BB114" s="314">
        <f t="shared" si="59"/>
        <v>-0.0341928143196084</v>
      </c>
      <c r="BC114" s="314">
        <f t="shared" si="59"/>
        <v>0.0749203882141583</v>
      </c>
      <c r="BD114" s="318"/>
      <c r="BE114" s="318"/>
      <c r="BF114" s="314">
        <f t="shared" si="60"/>
        <v>0.0452012297595629</v>
      </c>
      <c r="BG114" s="314">
        <f t="shared" si="61"/>
        <v>0.213447864144885</v>
      </c>
      <c r="BH114" s="101"/>
      <c r="BI114" s="314">
        <f t="shared" si="62"/>
        <v>0.129562853535945</v>
      </c>
      <c r="BJ114" s="323">
        <f t="shared" si="63"/>
        <v>0.057</v>
      </c>
      <c r="BK114" s="324"/>
      <c r="BL114" s="2">
        <f t="shared" si="64"/>
        <v>-0.1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>
        <f t="shared" si="65"/>
        <v>0.244949484964514</v>
      </c>
      <c r="AU115" s="314">
        <f t="shared" si="66"/>
        <v>-0.175829819517654</v>
      </c>
      <c r="AV115" s="314">
        <f t="shared" si="67"/>
        <v>0.0830518060082936</v>
      </c>
      <c r="AW115" s="314">
        <f t="shared" si="68"/>
        <v>0.173476549312364</v>
      </c>
      <c r="AX115" s="190">
        <v>9</v>
      </c>
      <c r="AY115" s="314">
        <f t="shared" si="69"/>
        <v>0.0814120051918794</v>
      </c>
      <c r="AZ115" s="314">
        <f t="shared" si="59"/>
        <v>0.125131315552398</v>
      </c>
      <c r="BA115" s="314">
        <f t="shared" si="59"/>
        <v>0.105486134962785</v>
      </c>
      <c r="BB115" s="314">
        <f t="shared" si="59"/>
        <v>-0.0341928143196084</v>
      </c>
      <c r="BC115" s="314">
        <f t="shared" si="59"/>
        <v>0.0996141049329488</v>
      </c>
      <c r="BD115" s="318"/>
      <c r="BE115" s="318"/>
      <c r="BF115" s="314">
        <f t="shared" si="60"/>
        <v>0.055827672130998</v>
      </c>
      <c r="BG115" s="314">
        <f t="shared" si="61"/>
        <v>0.377450746320402</v>
      </c>
      <c r="BH115" s="101"/>
      <c r="BI115" s="314">
        <f t="shared" si="62"/>
        <v>0.229112603016484</v>
      </c>
      <c r="BJ115" s="323">
        <f t="shared" si="63"/>
        <v>0.163</v>
      </c>
      <c r="BK115" s="324"/>
      <c r="BL115" s="2">
        <f t="shared" si="64"/>
        <v>-0.1</v>
      </c>
    </row>
    <row r="116" ht="20.1" customHeight="1" spans="24:64">
      <c r="X116" s="47" t="s">
        <v>55</v>
      </c>
      <c r="Y116" s="296">
        <f>(AF76-CJ27-$AF$81-AK76)/(CJ27+$AF$81+AK76)</f>
        <v>0.426996479434466</v>
      </c>
      <c r="Z116" s="296">
        <f>(AG76-CK27-$AG$81-AK76)/(CK27+$AG$81+AK76)</f>
        <v>0.345506994236557</v>
      </c>
      <c r="AA116" s="296">
        <f>(AH76-CL27-$AH$81-AK76)/(CL27+$AH$81+AK76)</f>
        <v>0.306877270531253</v>
      </c>
      <c r="AB116" s="296">
        <f>(AI76-CM27-$AI$81-AK76)/(CM27+$AI$81+AK76)</f>
        <v>0.21677219603705</v>
      </c>
      <c r="AC116" s="48"/>
      <c r="AR116" s="313"/>
      <c r="AS116" s="190">
        <v>10</v>
      </c>
      <c r="AT116" s="314">
        <f t="shared" si="65"/>
        <v>0.159968499386846</v>
      </c>
      <c r="AU116" s="314">
        <f t="shared" si="66"/>
        <v>-0.0586912214625695</v>
      </c>
      <c r="AV116" s="314">
        <f t="shared" si="67"/>
        <v>0.175285841898348</v>
      </c>
      <c r="AW116" s="314">
        <f t="shared" si="68"/>
        <v>0.0884993892677064</v>
      </c>
      <c r="AX116" s="190">
        <v>10</v>
      </c>
      <c r="AY116" s="314">
        <f t="shared" si="69"/>
        <v>0.0912656272725827</v>
      </c>
      <c r="AZ116" s="314">
        <f t="shared" si="59"/>
        <v>0.185836617734854</v>
      </c>
      <c r="BA116" s="314">
        <f t="shared" si="59"/>
        <v>0.212452342698524</v>
      </c>
      <c r="BB116" s="314">
        <f t="shared" si="59"/>
        <v>-0.0341928143196084</v>
      </c>
      <c r="BC116" s="314">
        <f t="shared" si="59"/>
        <v>0.138716084383142</v>
      </c>
      <c r="BD116" s="318"/>
      <c r="BE116" s="318"/>
      <c r="BF116" s="314">
        <f t="shared" si="60"/>
        <v>0.0863175293804234</v>
      </c>
      <c r="BG116" s="314">
        <f t="shared" si="61"/>
        <v>0.594077857769494</v>
      </c>
      <c r="BH116" s="101"/>
      <c r="BI116" s="314">
        <f t="shared" si="62"/>
        <v>0.360605259666083</v>
      </c>
      <c r="BJ116" s="323">
        <f t="shared" si="63"/>
        <v>0.313</v>
      </c>
      <c r="BK116" s="324"/>
      <c r="BL116" s="2">
        <f t="shared" si="64"/>
        <v>-0.1</v>
      </c>
    </row>
    <row r="117" ht="20.1" customHeight="1" spans="24:64">
      <c r="X117" s="11" t="s">
        <v>56</v>
      </c>
      <c r="Y117" s="296">
        <f>(AF77-CJ28-$AF$81-AK77)/(CJ28+$AF$81+AK77)</f>
        <v>0.487389823799026</v>
      </c>
      <c r="Z117" s="296">
        <f>(AG77-CK28-$AG$81-AK77)/(CK28+$AG$81+AK77)</f>
        <v>0.408784490299002</v>
      </c>
      <c r="AA117" s="296">
        <f>(AH77-CL28-$AH$81-AK77)/(CL28+$AH$81+AK77)</f>
        <v>0.369379646909198</v>
      </c>
      <c r="AB117" s="296">
        <f>(AI77-CM28-$AI$81-AK77)/(CM28+$AI$81+AK77)</f>
        <v>0.262168965630887</v>
      </c>
      <c r="AC117" s="48"/>
      <c r="AR117" s="313"/>
      <c r="AS117" s="190">
        <v>11</v>
      </c>
      <c r="AT117" s="314">
        <f t="shared" si="65"/>
        <v>0.162888107752989</v>
      </c>
      <c r="AU117" s="314">
        <f t="shared" si="66"/>
        <v>-0.0614072717087153</v>
      </c>
      <c r="AV117" s="314">
        <f t="shared" si="67"/>
        <v>0.0974174738156221</v>
      </c>
      <c r="AW117" s="314">
        <f t="shared" si="68"/>
        <v>0.0678588792068353</v>
      </c>
      <c r="AX117" s="190">
        <v>11</v>
      </c>
      <c r="AY117" s="314">
        <f t="shared" si="69"/>
        <v>0.0666892972666828</v>
      </c>
      <c r="AZ117" s="314">
        <f t="shared" si="59"/>
        <v>0.17393808088265</v>
      </c>
      <c r="BA117" s="314">
        <f t="shared" si="59"/>
        <v>0.191486459984765</v>
      </c>
      <c r="BB117" s="314">
        <f t="shared" si="59"/>
        <v>0.500723472556734</v>
      </c>
      <c r="BC117" s="314">
        <f t="shared" si="59"/>
        <v>0.0528264606288542</v>
      </c>
      <c r="BD117" s="318"/>
      <c r="BE117" s="318"/>
      <c r="BF117" s="314">
        <f t="shared" si="60"/>
        <v>-0.115812041500905</v>
      </c>
      <c r="BG117" s="314">
        <f t="shared" si="61"/>
        <v>0.985663771319686</v>
      </c>
      <c r="BH117" s="101"/>
      <c r="BI117" s="314">
        <f t="shared" si="62"/>
        <v>0.598297909191049</v>
      </c>
      <c r="BJ117" s="323">
        <f t="shared" si="63"/>
        <v>0.428</v>
      </c>
      <c r="BK117" s="324"/>
      <c r="BL117" s="2">
        <f t="shared" si="64"/>
        <v>-0.1</v>
      </c>
    </row>
    <row r="118" ht="20.1" customHeight="1" spans="24:64">
      <c r="X118" s="11" t="s">
        <v>57</v>
      </c>
      <c r="Y118" s="296">
        <f>(AF78-CJ29-$AF$81-AK78)/(CJ29+$AF$81+AK78)</f>
        <v>0.42642526501004</v>
      </c>
      <c r="Z118" s="296">
        <f>(AG78-CK29-$AG$81-AK78)/(CK29+$AG$81+AK78)</f>
        <v>0.354661970176598</v>
      </c>
      <c r="AA118" s="296">
        <f>(AH78-CL29-$AH$81-AK78)/(CL29+$AH$81+AK78)</f>
        <v>0.276588085034539</v>
      </c>
      <c r="AB118" s="296">
        <f>(AI78-CM29-$AI$81-AK78)/(CM29+$AI$81+AK78)</f>
        <v>0.21367121708135</v>
      </c>
      <c r="AC118" s="48"/>
      <c r="AR118" s="313"/>
      <c r="AS118" s="190">
        <v>12</v>
      </c>
      <c r="AT118" s="314">
        <f t="shared" si="65"/>
        <v>0.0209148599060797</v>
      </c>
      <c r="AU118" s="314">
        <f t="shared" si="66"/>
        <v>0.105351822149844</v>
      </c>
      <c r="AV118" s="314">
        <f t="shared" si="67"/>
        <v>-0.210649754669032</v>
      </c>
      <c r="AW118" s="314">
        <f t="shared" si="68"/>
        <v>-0.201042015424552</v>
      </c>
      <c r="AX118" s="190">
        <v>12</v>
      </c>
      <c r="AY118" s="314">
        <f t="shared" si="69"/>
        <v>-0.0713562720094148</v>
      </c>
      <c r="AZ118" s="314">
        <f t="shared" si="59"/>
        <v>0.0595917718017447</v>
      </c>
      <c r="BA118" s="314">
        <f t="shared" si="59"/>
        <v>-0.00999833005416433</v>
      </c>
      <c r="BB118" s="314">
        <f t="shared" si="59"/>
        <v>-0.0341928143196084</v>
      </c>
      <c r="BC118" s="314">
        <f t="shared" si="59"/>
        <v>0.0573982536259792</v>
      </c>
      <c r="BD118" s="318"/>
      <c r="BE118" s="318"/>
      <c r="BF118" s="314">
        <f t="shared" si="60"/>
        <v>0.0644552492750683</v>
      </c>
      <c r="BG118" s="314">
        <f t="shared" si="61"/>
        <v>0.00144260904453631</v>
      </c>
      <c r="BH118" s="101"/>
      <c r="BI118" s="314">
        <f t="shared" si="62"/>
        <v>0.00087566369003354</v>
      </c>
      <c r="BJ118" s="323">
        <f t="shared" si="63"/>
        <v>-0.06</v>
      </c>
      <c r="BK118" s="324"/>
      <c r="BL118" s="2">
        <f t="shared" si="64"/>
        <v>-0.1</v>
      </c>
    </row>
    <row r="119" ht="20.1" customHeight="1" spans="24:64">
      <c r="X119" s="11" t="s">
        <v>58</v>
      </c>
      <c r="Y119" s="296">
        <f>(AF79-CJ30-$AF$81-AK79)/(CJ30+$AF$81+AK79)</f>
        <v>0.391756159361987</v>
      </c>
      <c r="Z119" s="296">
        <f>(AG79-CK30-$AG$81-AK79)/(CK30+$AG$81+AK79)</f>
        <v>0.339789663876579</v>
      </c>
      <c r="AA119" s="296">
        <f>(AH79-CL30-$AH$81-AK79)/(CL30+$AH$81+AK79)</f>
        <v>0.288283178816723</v>
      </c>
      <c r="AB119" s="296">
        <f>(AI79-CM30-$AI$81-AK79)/(CM30+$AI$81+AK79)</f>
        <v>0.215748832488634</v>
      </c>
      <c r="AC119" s="297"/>
      <c r="AR119" s="313"/>
      <c r="AS119" s="190">
        <v>13</v>
      </c>
      <c r="AT119" s="314">
        <f t="shared" si="65"/>
        <v>0.154305990642082</v>
      </c>
      <c r="AU119" s="314">
        <f t="shared" si="66"/>
        <v>-0.0386291282602878</v>
      </c>
      <c r="AV119" s="314">
        <f t="shared" si="67"/>
        <v>0.237196005706807</v>
      </c>
      <c r="AW119" s="314">
        <f t="shared" si="68"/>
        <v>-0.0192613556979637</v>
      </c>
      <c r="AX119" s="190">
        <v>13</v>
      </c>
      <c r="AY119" s="314">
        <f t="shared" si="69"/>
        <v>0.0834028780976594</v>
      </c>
      <c r="AZ119" s="314">
        <f t="shared" si="59"/>
        <v>0.146879816187209</v>
      </c>
      <c r="BA119" s="314">
        <f t="shared" si="59"/>
        <v>0.143808235140306</v>
      </c>
      <c r="BB119" s="314">
        <f t="shared" si="59"/>
        <v>-0.0316455939059115</v>
      </c>
      <c r="BC119" s="314">
        <f t="shared" si="59"/>
        <v>0.113250416624715</v>
      </c>
      <c r="BD119" s="318"/>
      <c r="BE119" s="318"/>
      <c r="BF119" s="314">
        <f t="shared" si="60"/>
        <v>-0.0191224407765975</v>
      </c>
      <c r="BG119" s="314">
        <f t="shared" si="61"/>
        <v>0.455695752143978</v>
      </c>
      <c r="BH119" s="101"/>
      <c r="BI119" s="314">
        <f t="shared" si="62"/>
        <v>0.276607321551395</v>
      </c>
      <c r="BJ119" s="323">
        <f t="shared" si="63"/>
        <v>0.265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>
        <f t="shared" si="65"/>
        <v>-0.0443162842906532</v>
      </c>
      <c r="AU120" s="314">
        <f t="shared" si="66"/>
        <v>0.194462643137735</v>
      </c>
      <c r="AV120" s="314">
        <f t="shared" si="67"/>
        <v>-0.0785271446938993</v>
      </c>
      <c r="AW120" s="314">
        <f t="shared" si="68"/>
        <v>0.0339776588138318</v>
      </c>
      <c r="AX120" s="190">
        <v>14</v>
      </c>
      <c r="AY120" s="314">
        <f t="shared" si="69"/>
        <v>0.0263992182417535</v>
      </c>
      <c r="AZ120" s="314">
        <f t="shared" si="59"/>
        <v>0.0743398523372142</v>
      </c>
      <c r="BA120" s="314">
        <f t="shared" si="59"/>
        <v>0.0159886429387457</v>
      </c>
      <c r="BB120" s="314">
        <f t="shared" si="59"/>
        <v>-0.0341928143196084</v>
      </c>
      <c r="BC120" s="314">
        <f t="shared" si="59"/>
        <v>0.0668979069449776</v>
      </c>
      <c r="BD120" s="318"/>
      <c r="BE120" s="318"/>
      <c r="BF120" s="314">
        <f t="shared" si="60"/>
        <v>0.0515556617317115</v>
      </c>
      <c r="BG120" s="314">
        <f t="shared" si="61"/>
        <v>0.149432806143083</v>
      </c>
      <c r="BH120" s="101"/>
      <c r="BI120" s="314">
        <f t="shared" si="62"/>
        <v>0.0907057133288511</v>
      </c>
      <c r="BJ120" s="323">
        <f t="shared" si="63"/>
        <v>0.022</v>
      </c>
      <c r="BK120" s="324"/>
      <c r="BL120" s="2">
        <f t="shared" si="64"/>
        <v>-0.1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>
        <f t="shared" si="65"/>
        <v>-0.0589602444711788</v>
      </c>
      <c r="AU121" s="314">
        <f t="shared" si="66"/>
        <v>-0.00896188372094442</v>
      </c>
      <c r="AV121" s="314">
        <f t="shared" si="67"/>
        <v>-0.210649754669032</v>
      </c>
      <c r="AW121" s="314">
        <f t="shared" si="68"/>
        <v>-0.201042015424552</v>
      </c>
      <c r="AX121" s="190">
        <v>15</v>
      </c>
      <c r="AY121" s="314">
        <f t="shared" si="69"/>
        <v>-0.119903474571427</v>
      </c>
      <c r="AZ121" s="314">
        <f t="shared" si="59"/>
        <v>-0.517256949232315</v>
      </c>
      <c r="BA121" s="314">
        <f t="shared" si="59"/>
        <v>-0.119317157399901</v>
      </c>
      <c r="BB121" s="314">
        <f t="shared" si="59"/>
        <v>-0.0341928143196084</v>
      </c>
      <c r="BC121" s="314">
        <f t="shared" si="59"/>
        <v>-0.424700245787524</v>
      </c>
      <c r="BD121" s="318"/>
      <c r="BE121" s="318"/>
      <c r="BF121" s="314">
        <f t="shared" si="60"/>
        <v>-0.315107118162042</v>
      </c>
      <c r="BG121" s="314">
        <f t="shared" si="61"/>
        <v>-1.21537064131077</v>
      </c>
      <c r="BH121" s="101"/>
      <c r="BI121" s="314">
        <f t="shared" si="62"/>
        <v>-0.73772997927564</v>
      </c>
      <c r="BJ121" s="323">
        <f t="shared" si="63"/>
        <v>-1.029</v>
      </c>
      <c r="BK121" s="324"/>
      <c r="BL121" s="2">
        <f t="shared" si="64"/>
        <v>-0.1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0.0494</v>
      </c>
      <c r="Z122" s="299">
        <f>IF(1-(($AH$18-1)*Z125/10+0.95+(H43-0.95)*Z124)&gt;0,1-(($AH$18-1)*Z125/10+0.95+(H43-0.95)*Z124),0)</f>
        <v>0.0494</v>
      </c>
      <c r="AA122" s="299">
        <f>1-(($AH$18-1)*AA125/10+0.95+(H44-0.95)*AA124)</f>
        <v>0.0494</v>
      </c>
      <c r="AB122" s="299">
        <f>1-(($AH$18-1)*AB125/10+0.95+(H45-0.95)*AB124)</f>
        <v>0.0494</v>
      </c>
      <c r="AR122" s="313"/>
      <c r="AS122" s="190">
        <v>16</v>
      </c>
      <c r="AT122" s="314">
        <f t="shared" si="65"/>
        <v>0.0837225123664649</v>
      </c>
      <c r="AU122" s="314">
        <f t="shared" si="66"/>
        <v>0.120666573629784</v>
      </c>
      <c r="AV122" s="314">
        <f t="shared" si="67"/>
        <v>0.0555957187512386</v>
      </c>
      <c r="AW122" s="314">
        <f t="shared" si="68"/>
        <v>0.0355337463559488</v>
      </c>
      <c r="AX122" s="190">
        <v>16</v>
      </c>
      <c r="AY122" s="314">
        <f t="shared" si="69"/>
        <v>0.0738796377758591</v>
      </c>
      <c r="AZ122" s="314">
        <f t="shared" si="59"/>
        <v>0.128564236974724</v>
      </c>
      <c r="BA122" s="314">
        <f t="shared" si="59"/>
        <v>0.111535147412291</v>
      </c>
      <c r="BB122" s="314">
        <f t="shared" si="59"/>
        <v>-0.0341928143196084</v>
      </c>
      <c r="BC122" s="314">
        <f t="shared" si="59"/>
        <v>0.101825344556982</v>
      </c>
      <c r="BD122" s="318"/>
      <c r="BE122" s="318"/>
      <c r="BF122" s="314">
        <f t="shared" si="60"/>
        <v>-0.0718916182981052</v>
      </c>
      <c r="BG122" s="314">
        <f t="shared" si="61"/>
        <v>0.381611552400247</v>
      </c>
      <c r="BH122" s="101"/>
      <c r="BI122" s="314">
        <f t="shared" si="62"/>
        <v>0.23163821230695</v>
      </c>
      <c r="BJ122" s="323">
        <f t="shared" si="63"/>
        <v>0.188</v>
      </c>
      <c r="BK122" s="324"/>
      <c r="BL122" s="2">
        <f t="shared" si="64"/>
        <v>0</v>
      </c>
    </row>
    <row r="123" ht="20.1" customHeight="1" spans="24:64">
      <c r="X123" s="282" t="s">
        <v>113</v>
      </c>
      <c r="Y123" s="299">
        <f>1-Y122</f>
        <v>0.9506</v>
      </c>
      <c r="Z123" s="299">
        <f>1-Z122</f>
        <v>0.9506</v>
      </c>
      <c r="AA123" s="299">
        <f>1-AA122</f>
        <v>0.9506</v>
      </c>
      <c r="AB123" s="299">
        <f>1-AB122</f>
        <v>0.9506</v>
      </c>
      <c r="AR123" s="313"/>
      <c r="AS123" s="190">
        <v>17</v>
      </c>
      <c r="AT123" s="314">
        <f t="shared" si="65"/>
        <v>0.0994642349776065</v>
      </c>
      <c r="AU123" s="314">
        <f t="shared" si="66"/>
        <v>0.085531801312721</v>
      </c>
      <c r="AV123" s="314">
        <f t="shared" si="67"/>
        <v>-0.210649754669032</v>
      </c>
      <c r="AW123" s="314">
        <f t="shared" si="68"/>
        <v>-0.201042015424552</v>
      </c>
      <c r="AX123" s="190">
        <v>17</v>
      </c>
      <c r="AY123" s="314">
        <f t="shared" si="69"/>
        <v>-0.056673933450814</v>
      </c>
      <c r="AZ123" s="314">
        <f t="shared" si="59"/>
        <v>0.0547423714252094</v>
      </c>
      <c r="BA123" s="314">
        <f t="shared" si="59"/>
        <v>-0.018543244528908</v>
      </c>
      <c r="BB123" s="314">
        <f t="shared" si="59"/>
        <v>-0.0341928143196084</v>
      </c>
      <c r="BC123" s="314">
        <f t="shared" si="59"/>
        <v>0.054274618488685</v>
      </c>
      <c r="BD123" s="318"/>
      <c r="BE123" s="318"/>
      <c r="BF123" s="314">
        <f t="shared" si="60"/>
        <v>0.0712332000790109</v>
      </c>
      <c r="BG123" s="314">
        <f t="shared" si="61"/>
        <v>-0.000393002385435916</v>
      </c>
      <c r="BH123" s="101"/>
      <c r="BI123" s="314">
        <f t="shared" si="62"/>
        <v>-0.000238552447959601</v>
      </c>
      <c r="BJ123" s="323">
        <f t="shared" si="63"/>
        <v>0.043</v>
      </c>
      <c r="BK123" s="324"/>
      <c r="BL123" s="2">
        <f t="shared" si="64"/>
        <v>0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>
        <f t="shared" si="65"/>
        <v>-0.160193836338195</v>
      </c>
      <c r="AU124" s="314">
        <f t="shared" si="66"/>
        <v>-0.00784269292889508</v>
      </c>
      <c r="AV124" s="314">
        <f t="shared" si="67"/>
        <v>0.0112496512797217</v>
      </c>
      <c r="AW124" s="314">
        <f t="shared" si="68"/>
        <v>0.0566079176335193</v>
      </c>
      <c r="AX124" s="190">
        <v>18</v>
      </c>
      <c r="AY124" s="314">
        <f t="shared" si="69"/>
        <v>-0.0250447400884621</v>
      </c>
      <c r="AZ124" s="314">
        <f t="shared" si="59"/>
        <v>0.0196176949392379</v>
      </c>
      <c r="BA124" s="314">
        <f t="shared" si="59"/>
        <v>-0.0804349504564247</v>
      </c>
      <c r="BB124" s="314">
        <f t="shared" si="59"/>
        <v>0.0630014750058231</v>
      </c>
      <c r="BC124" s="314">
        <f t="shared" si="59"/>
        <v>0.0174362710854495</v>
      </c>
      <c r="BD124" s="318"/>
      <c r="BE124" s="318"/>
      <c r="BF124" s="314">
        <f t="shared" si="60"/>
        <v>-0.134608699414783</v>
      </c>
      <c r="BG124" s="314">
        <f t="shared" si="61"/>
        <v>-0.00542424951437641</v>
      </c>
      <c r="BH124" s="101"/>
      <c r="BI124" s="314">
        <f t="shared" si="62"/>
        <v>-0.00329251945522648</v>
      </c>
      <c r="BJ124" s="323">
        <f t="shared" si="63"/>
        <v>-0.085</v>
      </c>
      <c r="BK124" s="324"/>
      <c r="BL124" s="2">
        <f t="shared" si="64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>
        <f t="shared" si="65"/>
        <v>0.0510133213909909</v>
      </c>
      <c r="AU125" s="314">
        <f t="shared" si="66"/>
        <v>0.0683182383640584</v>
      </c>
      <c r="AV125" s="314">
        <f t="shared" si="67"/>
        <v>0.00196526183611175</v>
      </c>
      <c r="AW125" s="314">
        <f t="shared" si="68"/>
        <v>-0.201042015424552</v>
      </c>
      <c r="AX125" s="190">
        <v>19</v>
      </c>
      <c r="AY125" s="314">
        <f t="shared" si="69"/>
        <v>-0.0199362984583476</v>
      </c>
      <c r="AZ125" s="314">
        <f t="shared" si="59"/>
        <v>-0.0229816793379382</v>
      </c>
      <c r="BA125" s="314">
        <f t="shared" si="59"/>
        <v>-0.119317157399901</v>
      </c>
      <c r="BB125" s="314">
        <f t="shared" si="59"/>
        <v>-0.0341928143196084</v>
      </c>
      <c r="BC125" s="314">
        <f t="shared" si="59"/>
        <v>-0.0001982362167271</v>
      </c>
      <c r="BD125" s="318"/>
      <c r="BE125" s="318"/>
      <c r="BF125" s="314">
        <f t="shared" si="60"/>
        <v>0.0137596288956191</v>
      </c>
      <c r="BG125" s="314">
        <f t="shared" si="61"/>
        <v>-0.196626185732522</v>
      </c>
      <c r="BH125" s="101"/>
      <c r="BI125" s="314">
        <f t="shared" si="62"/>
        <v>-0.119352094739641</v>
      </c>
      <c r="BJ125" s="323">
        <f t="shared" si="63"/>
        <v>-0.111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-0.1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80</v>
      </c>
      <c r="AC130" s="338">
        <f>AF65</f>
        <v>80</v>
      </c>
      <c r="AD130" s="338">
        <f>AF66</f>
        <v>94</v>
      </c>
      <c r="AE130" s="338">
        <f>AF67</f>
        <v>85</v>
      </c>
      <c r="AH130" s="101"/>
      <c r="AI130" s="101"/>
      <c r="AJ130" s="101"/>
      <c r="AK130" s="101"/>
      <c r="AL130" s="338">
        <f>AG64</f>
        <v>50</v>
      </c>
      <c r="AM130" s="338">
        <f>AG65</f>
        <v>51</v>
      </c>
      <c r="AN130" s="338">
        <f>AG66</f>
        <v>69</v>
      </c>
      <c r="AO130" s="338">
        <f>AG67</f>
        <v>67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3688</v>
      </c>
      <c r="Y131" s="335">
        <f t="shared" si="70"/>
        <v>3688</v>
      </c>
      <c r="Z131" s="335">
        <f t="shared" si="70"/>
        <v>3988</v>
      </c>
      <c r="AA131" s="335">
        <f t="shared" si="70"/>
        <v>3988</v>
      </c>
      <c r="AB131" s="339">
        <f t="shared" ref="AB131:AE150" si="71">INT(Y$232*D73+0.5)</f>
        <v>27</v>
      </c>
      <c r="AC131" s="339">
        <f t="shared" si="71"/>
        <v>27</v>
      </c>
      <c r="AD131" s="339">
        <f t="shared" si="71"/>
        <v>37</v>
      </c>
      <c r="AE131" s="339">
        <f t="shared" si="71"/>
        <v>44</v>
      </c>
      <c r="AF131" s="334" t="s">
        <v>403</v>
      </c>
      <c r="AG131" s="11">
        <v>1</v>
      </c>
      <c r="AH131" s="340">
        <f t="shared" ref="AH131:AK150" si="72">H50</f>
        <v>6988</v>
      </c>
      <c r="AI131" s="340">
        <f t="shared" si="72"/>
        <v>6988</v>
      </c>
      <c r="AJ131" s="340">
        <f t="shared" si="72"/>
        <v>7588</v>
      </c>
      <c r="AK131" s="340">
        <f t="shared" si="72"/>
        <v>7588</v>
      </c>
      <c r="AL131" s="341">
        <f t="shared" ref="AL131:AO150" si="73">INT(AC$232*H73+0.5)</f>
        <v>35</v>
      </c>
      <c r="AM131" s="341">
        <f t="shared" si="73"/>
        <v>37</v>
      </c>
      <c r="AN131" s="341">
        <f t="shared" si="73"/>
        <v>50</v>
      </c>
      <c r="AO131" s="341">
        <f t="shared" si="73"/>
        <v>62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3899</v>
      </c>
      <c r="Y132" s="335">
        <f t="shared" si="70"/>
        <v>3899</v>
      </c>
      <c r="Z132" s="335">
        <f t="shared" si="70"/>
        <v>4299</v>
      </c>
      <c r="AA132" s="335">
        <f t="shared" si="70"/>
        <v>4299</v>
      </c>
      <c r="AB132" s="339">
        <f t="shared" si="71"/>
        <v>10</v>
      </c>
      <c r="AC132" s="339">
        <f t="shared" si="71"/>
        <v>10</v>
      </c>
      <c r="AD132" s="339">
        <f t="shared" si="71"/>
        <v>13</v>
      </c>
      <c r="AE132" s="339">
        <f t="shared" si="71"/>
        <v>12</v>
      </c>
      <c r="AF132" s="336"/>
      <c r="AG132" s="11">
        <v>2</v>
      </c>
      <c r="AH132" s="340">
        <f t="shared" si="72"/>
        <v>6499</v>
      </c>
      <c r="AI132" s="340">
        <f t="shared" si="72"/>
        <v>6499</v>
      </c>
      <c r="AJ132" s="340">
        <f t="shared" si="72"/>
        <v>6999</v>
      </c>
      <c r="AK132" s="340">
        <f t="shared" si="72"/>
        <v>6999</v>
      </c>
      <c r="AL132" s="341">
        <f t="shared" si="73"/>
        <v>48</v>
      </c>
      <c r="AM132" s="341">
        <f t="shared" si="73"/>
        <v>48</v>
      </c>
      <c r="AN132" s="341">
        <f t="shared" si="73"/>
        <v>72</v>
      </c>
      <c r="AO132" s="341">
        <f t="shared" si="73"/>
        <v>71</v>
      </c>
      <c r="AR132" s="190">
        <v>1</v>
      </c>
      <c r="AS132" s="345">
        <f>IF(F95="","",F95)</f>
        <v>-101944.87</v>
      </c>
      <c r="AT132" s="346">
        <f>IF(G95="","",G95)</f>
        <v>4254.81</v>
      </c>
      <c r="AU132" s="346">
        <f>IF(H95="","",H95)</f>
        <v>0</v>
      </c>
      <c r="AV132" s="346">
        <f>IF(J95="","",J95)</f>
        <v>14601869.28</v>
      </c>
      <c r="AW132" s="350"/>
      <c r="AX132" s="155"/>
      <c r="AY132" s="346">
        <f>IF(AU132="","",AU132+AX132)</f>
        <v>0</v>
      </c>
      <c r="AZ132" s="346">
        <f>IF(AV132="","",AV132-AX132)</f>
        <v>14601869.28</v>
      </c>
      <c r="BA132" s="190">
        <v>1</v>
      </c>
      <c r="BB132" s="351">
        <f t="shared" ref="BB132:BC151" si="74">(AY132-AY$153)/AY$178*BB$130</f>
        <v>-0.0341928143196084</v>
      </c>
      <c r="BC132" s="318">
        <f t="shared" si="74"/>
        <v>-0.0205384126544696</v>
      </c>
      <c r="BD132" s="352">
        <f t="shared" ref="BD132:BD151" si="75">BB132+BC132</f>
        <v>-0.054731226974078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3200</v>
      </c>
      <c r="Y133" s="335">
        <f t="shared" si="70"/>
        <v>3200</v>
      </c>
      <c r="Z133" s="335">
        <f t="shared" si="70"/>
        <v>3400</v>
      </c>
      <c r="AA133" s="335">
        <f t="shared" si="70"/>
        <v>3400</v>
      </c>
      <c r="AB133" s="339">
        <f t="shared" si="71"/>
        <v>69</v>
      </c>
      <c r="AC133" s="339">
        <f t="shared" si="71"/>
        <v>69</v>
      </c>
      <c r="AD133" s="339">
        <f t="shared" si="71"/>
        <v>105</v>
      </c>
      <c r="AE133" s="339">
        <f t="shared" si="71"/>
        <v>128</v>
      </c>
      <c r="AF133" s="336"/>
      <c r="AG133" s="11">
        <v>3</v>
      </c>
      <c r="AH133" s="340">
        <f t="shared" si="72"/>
        <v>6000</v>
      </c>
      <c r="AI133" s="340">
        <f t="shared" si="72"/>
        <v>6000</v>
      </c>
      <c r="AJ133" s="340">
        <f t="shared" si="72"/>
        <v>6300</v>
      </c>
      <c r="AK133" s="340">
        <f t="shared" si="72"/>
        <v>6300</v>
      </c>
      <c r="AL133" s="341">
        <f t="shared" si="73"/>
        <v>62</v>
      </c>
      <c r="AM133" s="341">
        <f t="shared" si="73"/>
        <v>61</v>
      </c>
      <c r="AN133" s="341">
        <f t="shared" si="73"/>
        <v>57</v>
      </c>
      <c r="AO133" s="341">
        <f t="shared" si="73"/>
        <v>57</v>
      </c>
      <c r="AR133" s="190">
        <v>2</v>
      </c>
      <c r="AS133" s="346">
        <f t="shared" ref="AS133:AU148" si="76">IF(F96="","",F96)</f>
        <v>64857.35</v>
      </c>
      <c r="AT133" s="346">
        <f t="shared" si="76"/>
        <v>20469.15</v>
      </c>
      <c r="AU133" s="346">
        <f t="shared" si="76"/>
        <v>0</v>
      </c>
      <c r="AV133" s="346">
        <f t="shared" ref="AV133:AV151" si="77">IF(J96="","",J96)</f>
        <v>14752457.17</v>
      </c>
      <c r="AX133" s="155"/>
      <c r="AY133" s="346">
        <f t="shared" ref="AY133:AY151" si="78">IF(AU133="","",AU133+AX133)</f>
        <v>0</v>
      </c>
      <c r="AZ133" s="346">
        <f t="shared" ref="AZ133:AZ151" si="79">IF(AV133="","",AV133-AX133)</f>
        <v>14752457.17</v>
      </c>
      <c r="BA133" s="190">
        <v>2</v>
      </c>
      <c r="BB133" s="351">
        <f t="shared" si="74"/>
        <v>-0.0341928143196084</v>
      </c>
      <c r="BC133" s="318">
        <f t="shared" si="74"/>
        <v>0.0355558953462039</v>
      </c>
      <c r="BD133" s="352">
        <f t="shared" si="75"/>
        <v>0.00136308102659547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4233</v>
      </c>
      <c r="Y134" s="335">
        <f t="shared" si="70"/>
        <v>4233</v>
      </c>
      <c r="Z134" s="335">
        <f t="shared" si="70"/>
        <v>4888</v>
      </c>
      <c r="AA134" s="335">
        <f t="shared" si="70"/>
        <v>4888</v>
      </c>
      <c r="AB134" s="339">
        <f t="shared" si="71"/>
        <v>5</v>
      </c>
      <c r="AC134" s="339">
        <f t="shared" si="71"/>
        <v>5</v>
      </c>
      <c r="AD134" s="339">
        <f t="shared" si="71"/>
        <v>3</v>
      </c>
      <c r="AE134" s="339">
        <f t="shared" si="71"/>
        <v>3</v>
      </c>
      <c r="AF134" s="336"/>
      <c r="AG134" s="11">
        <v>4</v>
      </c>
      <c r="AH134" s="340">
        <f t="shared" si="72"/>
        <v>7000</v>
      </c>
      <c r="AI134" s="340">
        <f t="shared" si="72"/>
        <v>7000</v>
      </c>
      <c r="AJ134" s="340">
        <f t="shared" si="72"/>
        <v>7500</v>
      </c>
      <c r="AK134" s="340">
        <f t="shared" si="72"/>
        <v>7500</v>
      </c>
      <c r="AL134" s="341">
        <f t="shared" si="73"/>
        <v>37</v>
      </c>
      <c r="AM134" s="341">
        <f t="shared" si="73"/>
        <v>38</v>
      </c>
      <c r="AN134" s="341">
        <f t="shared" si="73"/>
        <v>55</v>
      </c>
      <c r="AO134" s="341">
        <f t="shared" si="73"/>
        <v>63</v>
      </c>
      <c r="AR134" s="190">
        <v>3</v>
      </c>
      <c r="AS134" s="346">
        <f t="shared" si="76"/>
        <v>7855.44</v>
      </c>
      <c r="AT134" s="346">
        <f t="shared" si="76"/>
        <v>6218.67</v>
      </c>
      <c r="AU134" s="346">
        <f t="shared" si="76"/>
        <v>5891</v>
      </c>
      <c r="AV134" s="346">
        <f t="shared" si="77"/>
        <v>14703814.73</v>
      </c>
      <c r="AX134" s="155"/>
      <c r="AY134" s="346">
        <f t="shared" si="78"/>
        <v>5891</v>
      </c>
      <c r="AZ134" s="346">
        <f t="shared" si="79"/>
        <v>14703814.73</v>
      </c>
      <c r="BA134" s="190">
        <v>3</v>
      </c>
      <c r="BB134" s="351">
        <f t="shared" si="74"/>
        <v>-0.0191871388625201</v>
      </c>
      <c r="BC134" s="318">
        <f t="shared" si="74"/>
        <v>0.017436483411657</v>
      </c>
      <c r="BD134" s="352">
        <f t="shared" si="75"/>
        <v>-0.00175065545086318</v>
      </c>
    </row>
    <row r="135" ht="20.1" customHeight="1" spans="22:56">
      <c r="V135" s="336"/>
      <c r="W135" s="11">
        <v>5</v>
      </c>
      <c r="X135" s="335">
        <f t="shared" si="70"/>
        <v>3150</v>
      </c>
      <c r="Y135" s="335">
        <f t="shared" si="70"/>
        <v>3150</v>
      </c>
      <c r="Z135" s="335">
        <f t="shared" si="70"/>
        <v>3500</v>
      </c>
      <c r="AA135" s="335">
        <f t="shared" si="70"/>
        <v>3550</v>
      </c>
      <c r="AB135" s="339">
        <f t="shared" si="71"/>
        <v>118</v>
      </c>
      <c r="AC135" s="339">
        <f t="shared" si="71"/>
        <v>119</v>
      </c>
      <c r="AD135" s="339">
        <f t="shared" si="71"/>
        <v>123</v>
      </c>
      <c r="AE135" s="339">
        <f t="shared" si="71"/>
        <v>133</v>
      </c>
      <c r="AF135" s="336"/>
      <c r="AG135" s="11">
        <v>5</v>
      </c>
      <c r="AH135" s="340">
        <f t="shared" si="72"/>
        <v>7200</v>
      </c>
      <c r="AI135" s="340">
        <f t="shared" si="72"/>
        <v>7200</v>
      </c>
      <c r="AJ135" s="340">
        <f t="shared" si="72"/>
        <v>7500</v>
      </c>
      <c r="AK135" s="340">
        <f t="shared" si="72"/>
        <v>7500</v>
      </c>
      <c r="AL135" s="341">
        <f t="shared" si="73"/>
        <v>27</v>
      </c>
      <c r="AM135" s="341">
        <f t="shared" si="73"/>
        <v>29</v>
      </c>
      <c r="AN135" s="341">
        <f t="shared" si="73"/>
        <v>54</v>
      </c>
      <c r="AO135" s="341">
        <f t="shared" si="73"/>
        <v>68</v>
      </c>
      <c r="AR135" s="190">
        <v>4</v>
      </c>
      <c r="AS135" s="346">
        <f t="shared" si="76"/>
        <v>-165317.96</v>
      </c>
      <c r="AT135" s="346">
        <f t="shared" si="76"/>
        <v>4254.81</v>
      </c>
      <c r="AU135" s="346">
        <f t="shared" si="76"/>
        <v>0</v>
      </c>
      <c r="AV135" s="346">
        <f t="shared" si="77"/>
        <v>14538496.2</v>
      </c>
      <c r="AX135" s="155"/>
      <c r="AY135" s="346">
        <f t="shared" si="78"/>
        <v>0</v>
      </c>
      <c r="AZ135" s="346">
        <f t="shared" si="79"/>
        <v>14538496.2</v>
      </c>
      <c r="BA135" s="190">
        <v>4</v>
      </c>
      <c r="BB135" s="351">
        <f t="shared" si="74"/>
        <v>-0.0341928143196084</v>
      </c>
      <c r="BC135" s="318">
        <f t="shared" si="74"/>
        <v>-0.044145019191498</v>
      </c>
      <c r="BD135" s="352">
        <f t="shared" si="75"/>
        <v>-0.0783378335111063</v>
      </c>
    </row>
    <row r="136" ht="20.1" customHeight="1" spans="22:56">
      <c r="V136" s="336"/>
      <c r="W136" s="11">
        <v>6</v>
      </c>
      <c r="X136" s="335">
        <f t="shared" si="70"/>
        <v>3700</v>
      </c>
      <c r="Y136" s="335">
        <f t="shared" si="70"/>
        <v>3700</v>
      </c>
      <c r="Z136" s="335">
        <f t="shared" si="70"/>
        <v>4000</v>
      </c>
      <c r="AA136" s="335">
        <f t="shared" si="70"/>
        <v>4000</v>
      </c>
      <c r="AB136" s="339">
        <f t="shared" si="71"/>
        <v>15</v>
      </c>
      <c r="AC136" s="339">
        <f t="shared" si="71"/>
        <v>26</v>
      </c>
      <c r="AD136" s="339">
        <f t="shared" si="71"/>
        <v>34</v>
      </c>
      <c r="AE136" s="339">
        <f t="shared" si="71"/>
        <v>25</v>
      </c>
      <c r="AF136" s="336"/>
      <c r="AG136" s="11">
        <v>6</v>
      </c>
      <c r="AH136" s="340">
        <f t="shared" si="72"/>
        <v>6521</v>
      </c>
      <c r="AI136" s="340">
        <f t="shared" si="72"/>
        <v>6999</v>
      </c>
      <c r="AJ136" s="340">
        <f t="shared" si="72"/>
        <v>6999</v>
      </c>
      <c r="AK136" s="340">
        <f t="shared" si="72"/>
        <v>6521</v>
      </c>
      <c r="AL136" s="341">
        <f t="shared" si="73"/>
        <v>56</v>
      </c>
      <c r="AM136" s="341">
        <f t="shared" si="73"/>
        <v>50</v>
      </c>
      <c r="AN136" s="341">
        <f t="shared" si="73"/>
        <v>11</v>
      </c>
      <c r="AO136" s="341">
        <f t="shared" si="73"/>
        <v>0</v>
      </c>
      <c r="AR136" s="190">
        <v>5</v>
      </c>
      <c r="AS136" s="346">
        <f t="shared" si="76"/>
        <v>403750.58</v>
      </c>
      <c r="AT136" s="346">
        <f t="shared" si="76"/>
        <v>105192.46</v>
      </c>
      <c r="AU136" s="346">
        <f t="shared" si="76"/>
        <v>0</v>
      </c>
      <c r="AV136" s="346">
        <f t="shared" si="77"/>
        <v>15006627.09</v>
      </c>
      <c r="AX136" s="155"/>
      <c r="AY136" s="346">
        <f t="shared" si="78"/>
        <v>0</v>
      </c>
      <c r="AZ136" s="346">
        <f t="shared" si="79"/>
        <v>15006627.09</v>
      </c>
      <c r="BA136" s="190">
        <v>5</v>
      </c>
      <c r="BB136" s="351">
        <f t="shared" si="74"/>
        <v>-0.0341928143196084</v>
      </c>
      <c r="BC136" s="318">
        <f t="shared" si="74"/>
        <v>0.130234728929611</v>
      </c>
      <c r="BD136" s="352">
        <f t="shared" si="75"/>
        <v>0.0960419146100029</v>
      </c>
    </row>
    <row r="137" ht="20.1" customHeight="1" spans="22:56">
      <c r="V137" s="336"/>
      <c r="W137" s="11">
        <v>7</v>
      </c>
      <c r="X137" s="335">
        <f t="shared" si="70"/>
        <v>3600</v>
      </c>
      <c r="Y137" s="335">
        <f t="shared" si="70"/>
        <v>3600</v>
      </c>
      <c r="Z137" s="335">
        <f t="shared" si="70"/>
        <v>3800</v>
      </c>
      <c r="AA137" s="335">
        <f t="shared" si="70"/>
        <v>3800</v>
      </c>
      <c r="AB137" s="339">
        <f t="shared" si="71"/>
        <v>22</v>
      </c>
      <c r="AC137" s="339">
        <f t="shared" si="71"/>
        <v>22</v>
      </c>
      <c r="AD137" s="339">
        <f t="shared" si="71"/>
        <v>38</v>
      </c>
      <c r="AE137" s="339">
        <f t="shared" si="71"/>
        <v>44</v>
      </c>
      <c r="AF137" s="336"/>
      <c r="AG137" s="11">
        <v>7</v>
      </c>
      <c r="AH137" s="340">
        <f t="shared" si="72"/>
        <v>6250</v>
      </c>
      <c r="AI137" s="340">
        <f t="shared" si="72"/>
        <v>5900</v>
      </c>
      <c r="AJ137" s="340">
        <f t="shared" si="72"/>
        <v>6100</v>
      </c>
      <c r="AK137" s="340">
        <f t="shared" si="72"/>
        <v>6100</v>
      </c>
      <c r="AL137" s="341">
        <f t="shared" si="73"/>
        <v>47</v>
      </c>
      <c r="AM137" s="341">
        <f t="shared" si="73"/>
        <v>78</v>
      </c>
      <c r="AN137" s="341">
        <f t="shared" si="73"/>
        <v>93</v>
      </c>
      <c r="AO137" s="341">
        <f t="shared" si="73"/>
        <v>93</v>
      </c>
      <c r="AR137" s="190">
        <v>6</v>
      </c>
      <c r="AS137" s="346">
        <f t="shared" si="76"/>
        <v>-1286553.33</v>
      </c>
      <c r="AT137" s="346">
        <f t="shared" si="76"/>
        <v>4254.81</v>
      </c>
      <c r="AU137" s="346">
        <f t="shared" si="76"/>
        <v>0</v>
      </c>
      <c r="AV137" s="346">
        <f t="shared" si="77"/>
        <v>13417260.82</v>
      </c>
      <c r="AX137" s="155"/>
      <c r="AY137" s="346">
        <f t="shared" si="78"/>
        <v>0</v>
      </c>
      <c r="AZ137" s="346">
        <f t="shared" si="79"/>
        <v>13417260.82</v>
      </c>
      <c r="BA137" s="190">
        <v>6</v>
      </c>
      <c r="BB137" s="351">
        <f t="shared" si="74"/>
        <v>-0.0341928143196084</v>
      </c>
      <c r="BC137" s="318">
        <f t="shared" si="74"/>
        <v>-0.461807573245292</v>
      </c>
      <c r="BD137" s="352">
        <f t="shared" si="75"/>
        <v>-0.496000387564901</v>
      </c>
    </row>
    <row r="138" ht="20.1" customHeight="1" spans="22:56">
      <c r="V138" s="336"/>
      <c r="W138" s="11">
        <v>8</v>
      </c>
      <c r="X138" s="335">
        <f t="shared" si="70"/>
        <v>3200</v>
      </c>
      <c r="Y138" s="335">
        <f t="shared" si="70"/>
        <v>3200</v>
      </c>
      <c r="Z138" s="335">
        <f t="shared" si="70"/>
        <v>3700</v>
      </c>
      <c r="AA138" s="335">
        <f t="shared" si="70"/>
        <v>3700</v>
      </c>
      <c r="AB138" s="339">
        <f t="shared" si="71"/>
        <v>97</v>
      </c>
      <c r="AC138" s="339">
        <f t="shared" si="71"/>
        <v>97</v>
      </c>
      <c r="AD138" s="339">
        <f t="shared" si="71"/>
        <v>71</v>
      </c>
      <c r="AE138" s="339">
        <f t="shared" si="71"/>
        <v>81</v>
      </c>
      <c r="AF138" s="336"/>
      <c r="AG138" s="11">
        <v>8</v>
      </c>
      <c r="AH138" s="340">
        <f t="shared" si="72"/>
        <v>6600</v>
      </c>
      <c r="AI138" s="340">
        <f t="shared" si="72"/>
        <v>6600</v>
      </c>
      <c r="AJ138" s="340">
        <f t="shared" si="72"/>
        <v>7000</v>
      </c>
      <c r="AK138" s="340">
        <f t="shared" si="72"/>
        <v>7000</v>
      </c>
      <c r="AL138" s="341">
        <f t="shared" si="73"/>
        <v>45</v>
      </c>
      <c r="AM138" s="341">
        <f t="shared" si="73"/>
        <v>45</v>
      </c>
      <c r="AN138" s="341">
        <f t="shared" si="73"/>
        <v>48</v>
      </c>
      <c r="AO138" s="341">
        <f t="shared" si="73"/>
        <v>48</v>
      </c>
      <c r="AR138" s="190">
        <v>7</v>
      </c>
      <c r="AS138" s="346">
        <f t="shared" si="76"/>
        <v>-70962.65</v>
      </c>
      <c r="AT138" s="346">
        <f t="shared" si="76"/>
        <v>4254.81</v>
      </c>
      <c r="AU138" s="346">
        <f t="shared" si="76"/>
        <v>0</v>
      </c>
      <c r="AV138" s="346">
        <f t="shared" si="77"/>
        <v>14632851.5</v>
      </c>
      <c r="AX138" s="155"/>
      <c r="AY138" s="346">
        <f t="shared" si="78"/>
        <v>0</v>
      </c>
      <c r="AZ138" s="346">
        <f t="shared" si="79"/>
        <v>14632851.5</v>
      </c>
      <c r="BA138" s="190">
        <v>7</v>
      </c>
      <c r="BB138" s="351">
        <f t="shared" si="74"/>
        <v>-0.0341928143196084</v>
      </c>
      <c r="BC138" s="318">
        <f t="shared" si="74"/>
        <v>-0.00899747007784768</v>
      </c>
      <c r="BD138" s="352">
        <f t="shared" si="75"/>
        <v>-0.0431902843974561</v>
      </c>
    </row>
    <row r="139" ht="20.1" customHeight="1" spans="22:56">
      <c r="V139" s="336"/>
      <c r="W139" s="11">
        <v>9</v>
      </c>
      <c r="X139" s="335">
        <f t="shared" si="70"/>
        <v>3099</v>
      </c>
      <c r="Y139" s="335">
        <f t="shared" si="70"/>
        <v>3099</v>
      </c>
      <c r="Z139" s="335">
        <f t="shared" si="70"/>
        <v>3199</v>
      </c>
      <c r="AA139" s="335">
        <f t="shared" si="70"/>
        <v>3399</v>
      </c>
      <c r="AB139" s="339">
        <f t="shared" si="71"/>
        <v>127</v>
      </c>
      <c r="AC139" s="339">
        <f t="shared" si="71"/>
        <v>126</v>
      </c>
      <c r="AD139" s="339">
        <f t="shared" si="71"/>
        <v>193</v>
      </c>
      <c r="AE139" s="339">
        <f t="shared" si="71"/>
        <v>182</v>
      </c>
      <c r="AF139" s="336"/>
      <c r="AG139" s="11">
        <v>9</v>
      </c>
      <c r="AH139" s="340">
        <f t="shared" si="72"/>
        <v>6999</v>
      </c>
      <c r="AI139" s="340">
        <f t="shared" si="72"/>
        <v>6999</v>
      </c>
      <c r="AJ139" s="340">
        <f t="shared" si="72"/>
        <v>7999</v>
      </c>
      <c r="AK139" s="340">
        <f t="shared" si="72"/>
        <v>7999</v>
      </c>
      <c r="AL139" s="341">
        <f t="shared" si="73"/>
        <v>32</v>
      </c>
      <c r="AM139" s="341">
        <f t="shared" si="73"/>
        <v>33</v>
      </c>
      <c r="AN139" s="341">
        <f t="shared" si="73"/>
        <v>31</v>
      </c>
      <c r="AO139" s="341">
        <f t="shared" si="73"/>
        <v>39</v>
      </c>
      <c r="AR139" s="190">
        <v>8</v>
      </c>
      <c r="AS139" s="346">
        <f t="shared" si="76"/>
        <v>205758.54</v>
      </c>
      <c r="AT139" s="346">
        <f t="shared" si="76"/>
        <v>55694.45</v>
      </c>
      <c r="AU139" s="346">
        <f t="shared" si="76"/>
        <v>0</v>
      </c>
      <c r="AV139" s="346">
        <f t="shared" si="77"/>
        <v>14858133.06</v>
      </c>
      <c r="AX139" s="155"/>
      <c r="AY139" s="346">
        <f t="shared" si="78"/>
        <v>0</v>
      </c>
      <c r="AZ139" s="346">
        <f t="shared" si="79"/>
        <v>14858133.06</v>
      </c>
      <c r="BA139" s="190">
        <v>8</v>
      </c>
      <c r="BB139" s="351">
        <f t="shared" si="74"/>
        <v>-0.0341928143196084</v>
      </c>
      <c r="BC139" s="318">
        <f t="shared" si="74"/>
        <v>0.0749203882141583</v>
      </c>
      <c r="BD139" s="352">
        <f t="shared" si="75"/>
        <v>0.0407275738945498</v>
      </c>
    </row>
    <row r="140" ht="20.1" customHeight="1" spans="22:56">
      <c r="V140" s="336"/>
      <c r="W140" s="11">
        <v>10</v>
      </c>
      <c r="X140" s="335">
        <f t="shared" si="70"/>
        <v>3150</v>
      </c>
      <c r="Y140" s="335">
        <f t="shared" si="70"/>
        <v>3200</v>
      </c>
      <c r="Z140" s="335">
        <f t="shared" si="70"/>
        <v>3450</v>
      </c>
      <c r="AA140" s="335">
        <f t="shared" si="70"/>
        <v>3400</v>
      </c>
      <c r="AB140" s="339">
        <f t="shared" si="71"/>
        <v>114</v>
      </c>
      <c r="AC140" s="339">
        <f t="shared" si="71"/>
        <v>100</v>
      </c>
      <c r="AD140" s="339">
        <f t="shared" si="71"/>
        <v>134</v>
      </c>
      <c r="AE140" s="339">
        <f t="shared" si="71"/>
        <v>173</v>
      </c>
      <c r="AF140" s="336"/>
      <c r="AG140" s="11">
        <v>10</v>
      </c>
      <c r="AH140" s="340">
        <f t="shared" si="72"/>
        <v>6800</v>
      </c>
      <c r="AI140" s="340">
        <f t="shared" si="72"/>
        <v>6800</v>
      </c>
      <c r="AJ140" s="340">
        <f t="shared" si="72"/>
        <v>7500</v>
      </c>
      <c r="AK140" s="340">
        <f t="shared" si="72"/>
        <v>7500</v>
      </c>
      <c r="AL140" s="341">
        <f t="shared" si="73"/>
        <v>38</v>
      </c>
      <c r="AM140" s="341">
        <f t="shared" si="73"/>
        <v>40</v>
      </c>
      <c r="AN140" s="341">
        <f t="shared" si="73"/>
        <v>53</v>
      </c>
      <c r="AO140" s="341">
        <f t="shared" si="73"/>
        <v>68</v>
      </c>
      <c r="AR140" s="190">
        <v>9</v>
      </c>
      <c r="AS140" s="346">
        <f t="shared" si="76"/>
        <v>294147.18</v>
      </c>
      <c r="AT140" s="346">
        <f t="shared" si="76"/>
        <v>77791.61</v>
      </c>
      <c r="AU140" s="346">
        <f t="shared" si="76"/>
        <v>0</v>
      </c>
      <c r="AV140" s="346">
        <f t="shared" si="77"/>
        <v>14924424.54</v>
      </c>
      <c r="AX140" s="155"/>
      <c r="AY140" s="346">
        <f t="shared" si="78"/>
        <v>0</v>
      </c>
      <c r="AZ140" s="346">
        <f t="shared" si="79"/>
        <v>14924424.54</v>
      </c>
      <c r="BA140" s="190">
        <v>9</v>
      </c>
      <c r="BB140" s="351">
        <f t="shared" si="74"/>
        <v>-0.0341928143196084</v>
      </c>
      <c r="BC140" s="318">
        <f t="shared" si="74"/>
        <v>0.0996141049329488</v>
      </c>
      <c r="BD140" s="352">
        <f t="shared" si="75"/>
        <v>0.0654212906133404</v>
      </c>
    </row>
    <row r="141" ht="20.1" customHeight="1" spans="22:56">
      <c r="V141" s="336"/>
      <c r="W141" s="11">
        <v>11</v>
      </c>
      <c r="X141" s="335">
        <f t="shared" si="70"/>
        <v>3150</v>
      </c>
      <c r="Y141" s="335">
        <f t="shared" si="70"/>
        <v>3150</v>
      </c>
      <c r="Z141" s="335">
        <f t="shared" si="70"/>
        <v>3380</v>
      </c>
      <c r="AA141" s="335">
        <f t="shared" si="70"/>
        <v>3450</v>
      </c>
      <c r="AB141" s="339">
        <f t="shared" si="71"/>
        <v>111</v>
      </c>
      <c r="AC141" s="339">
        <f t="shared" si="71"/>
        <v>111</v>
      </c>
      <c r="AD141" s="339">
        <f t="shared" si="71"/>
        <v>158</v>
      </c>
      <c r="AE141" s="339">
        <f t="shared" si="71"/>
        <v>141</v>
      </c>
      <c r="AF141" s="336"/>
      <c r="AG141" s="11">
        <v>11</v>
      </c>
      <c r="AH141" s="340">
        <f t="shared" si="72"/>
        <v>7000</v>
      </c>
      <c r="AI141" s="340">
        <f t="shared" si="72"/>
        <v>7000</v>
      </c>
      <c r="AJ141" s="340">
        <f t="shared" si="72"/>
        <v>7300</v>
      </c>
      <c r="AK141" s="340">
        <f t="shared" si="72"/>
        <v>7400</v>
      </c>
      <c r="AL141" s="341">
        <f t="shared" si="73"/>
        <v>34</v>
      </c>
      <c r="AM141" s="341">
        <f t="shared" si="73"/>
        <v>35</v>
      </c>
      <c r="AN141" s="341">
        <f t="shared" si="73"/>
        <v>66</v>
      </c>
      <c r="AO141" s="341">
        <f t="shared" si="73"/>
        <v>67</v>
      </c>
      <c r="AR141" s="190">
        <v>10</v>
      </c>
      <c r="AS141" s="346">
        <f t="shared" si="76"/>
        <v>434108.73</v>
      </c>
      <c r="AT141" s="346">
        <f t="shared" si="76"/>
        <v>112781.99</v>
      </c>
      <c r="AU141" s="346">
        <f t="shared" si="76"/>
        <v>0</v>
      </c>
      <c r="AV141" s="346">
        <f t="shared" si="77"/>
        <v>15029395.7</v>
      </c>
      <c r="AX141" s="155"/>
      <c r="AY141" s="346">
        <f t="shared" si="78"/>
        <v>0</v>
      </c>
      <c r="AZ141" s="346">
        <f t="shared" si="79"/>
        <v>15029395.7</v>
      </c>
      <c r="BA141" s="190">
        <v>10</v>
      </c>
      <c r="BB141" s="351">
        <f t="shared" si="74"/>
        <v>-0.0341928143196084</v>
      </c>
      <c r="BC141" s="318">
        <f t="shared" si="74"/>
        <v>0.138716084383142</v>
      </c>
      <c r="BD141" s="352">
        <f t="shared" si="75"/>
        <v>0.104523270063534</v>
      </c>
    </row>
    <row r="142" ht="20.1" customHeight="1" spans="22:56">
      <c r="V142" s="336"/>
      <c r="W142" s="11">
        <v>12</v>
      </c>
      <c r="X142" s="335">
        <f t="shared" si="70"/>
        <v>3250</v>
      </c>
      <c r="Y142" s="335">
        <f t="shared" si="70"/>
        <v>3160</v>
      </c>
      <c r="Z142" s="335">
        <f t="shared" si="70"/>
        <v>3410</v>
      </c>
      <c r="AA142" s="335">
        <f t="shared" si="70"/>
        <v>3450</v>
      </c>
      <c r="AB142" s="339">
        <f t="shared" si="71"/>
        <v>61</v>
      </c>
      <c r="AC142" s="339">
        <f t="shared" si="71"/>
        <v>78</v>
      </c>
      <c r="AD142" s="339">
        <f t="shared" si="71"/>
        <v>101</v>
      </c>
      <c r="AE142" s="339">
        <f t="shared" si="71"/>
        <v>105</v>
      </c>
      <c r="AF142" s="336"/>
      <c r="AG142" s="11">
        <v>12</v>
      </c>
      <c r="AH142" s="340">
        <f t="shared" si="72"/>
        <v>6090</v>
      </c>
      <c r="AI142" s="340">
        <f t="shared" si="72"/>
        <v>6150</v>
      </c>
      <c r="AJ142" s="340">
        <f t="shared" si="72"/>
        <v>6220</v>
      </c>
      <c r="AK142" s="340">
        <f t="shared" si="72"/>
        <v>6280</v>
      </c>
      <c r="AL142" s="341">
        <f t="shared" si="73"/>
        <v>56</v>
      </c>
      <c r="AM142" s="341">
        <f t="shared" si="73"/>
        <v>56</v>
      </c>
      <c r="AN142" s="341">
        <f t="shared" si="73"/>
        <v>81</v>
      </c>
      <c r="AO142" s="341">
        <f t="shared" si="73"/>
        <v>81</v>
      </c>
      <c r="AR142" s="190">
        <v>11</v>
      </c>
      <c r="AS142" s="346">
        <f t="shared" si="76"/>
        <v>406675.58</v>
      </c>
      <c r="AT142" s="346">
        <f t="shared" si="76"/>
        <v>105923.71</v>
      </c>
      <c r="AU142" s="346">
        <f t="shared" si="76"/>
        <v>210000</v>
      </c>
      <c r="AV142" s="346">
        <f t="shared" si="77"/>
        <v>14798820.84</v>
      </c>
      <c r="AX142" s="155"/>
      <c r="AY142" s="346">
        <f t="shared" si="78"/>
        <v>210000</v>
      </c>
      <c r="AZ142" s="346">
        <f t="shared" si="79"/>
        <v>14798820.84</v>
      </c>
      <c r="BA142" s="190">
        <v>11</v>
      </c>
      <c r="BB142" s="351">
        <f t="shared" si="74"/>
        <v>0.500723472556734</v>
      </c>
      <c r="BC142" s="318">
        <f t="shared" si="74"/>
        <v>0.0528264606288542</v>
      </c>
      <c r="BD142" s="352">
        <f t="shared" si="75"/>
        <v>0.553549933185589</v>
      </c>
    </row>
    <row r="143" ht="20.1" customHeight="1" spans="22:56">
      <c r="V143" s="336"/>
      <c r="W143" s="11">
        <v>13</v>
      </c>
      <c r="X143" s="335">
        <f t="shared" si="70"/>
        <v>3180</v>
      </c>
      <c r="Y143" s="335">
        <f t="shared" si="70"/>
        <v>3140</v>
      </c>
      <c r="Z143" s="335">
        <f t="shared" si="70"/>
        <v>3375</v>
      </c>
      <c r="AA143" s="335">
        <f t="shared" si="70"/>
        <v>3375</v>
      </c>
      <c r="AB143" s="339">
        <f t="shared" si="71"/>
        <v>104</v>
      </c>
      <c r="AC143" s="339">
        <f t="shared" si="71"/>
        <v>115</v>
      </c>
      <c r="AD143" s="339">
        <f t="shared" si="71"/>
        <v>158</v>
      </c>
      <c r="AE143" s="339">
        <f t="shared" si="71"/>
        <v>132</v>
      </c>
      <c r="AF143" s="336"/>
      <c r="AG143" s="11">
        <v>13</v>
      </c>
      <c r="AH143" s="340">
        <f t="shared" si="72"/>
        <v>7000</v>
      </c>
      <c r="AI143" s="340">
        <f t="shared" si="72"/>
        <v>7030</v>
      </c>
      <c r="AJ143" s="340">
        <f t="shared" si="72"/>
        <v>7270</v>
      </c>
      <c r="AK143" s="340">
        <f t="shared" si="72"/>
        <v>7270</v>
      </c>
      <c r="AL143" s="341">
        <f t="shared" si="73"/>
        <v>35</v>
      </c>
      <c r="AM143" s="341">
        <f t="shared" si="73"/>
        <v>35</v>
      </c>
      <c r="AN143" s="341">
        <f t="shared" si="73"/>
        <v>70</v>
      </c>
      <c r="AO143" s="341">
        <f t="shared" si="73"/>
        <v>76</v>
      </c>
      <c r="AR143" s="190">
        <v>12</v>
      </c>
      <c r="AS143" s="346">
        <f t="shared" si="76"/>
        <v>143039.85</v>
      </c>
      <c r="AT143" s="346">
        <f t="shared" si="76"/>
        <v>40014.77</v>
      </c>
      <c r="AU143" s="346">
        <f t="shared" si="76"/>
        <v>0</v>
      </c>
      <c r="AV143" s="346">
        <f t="shared" si="77"/>
        <v>14811094.04</v>
      </c>
      <c r="AX143" s="155"/>
      <c r="AY143" s="346">
        <f t="shared" si="78"/>
        <v>0</v>
      </c>
      <c r="AZ143" s="346">
        <f t="shared" si="79"/>
        <v>14811094.04</v>
      </c>
      <c r="BA143" s="190">
        <v>12</v>
      </c>
      <c r="BB143" s="351">
        <f t="shared" si="74"/>
        <v>-0.0341928143196084</v>
      </c>
      <c r="BC143" s="318">
        <f t="shared" si="74"/>
        <v>0.0573982536259792</v>
      </c>
      <c r="BD143" s="352">
        <f t="shared" si="75"/>
        <v>0.0232054393063708</v>
      </c>
    </row>
    <row r="144" ht="20.1" customHeight="1" spans="22:56">
      <c r="V144" s="336"/>
      <c r="W144" s="11">
        <v>14</v>
      </c>
      <c r="X144" s="335">
        <f t="shared" si="70"/>
        <v>3200</v>
      </c>
      <c r="Y144" s="335">
        <f t="shared" si="70"/>
        <v>3200</v>
      </c>
      <c r="Z144" s="335">
        <f t="shared" si="70"/>
        <v>3500</v>
      </c>
      <c r="AA144" s="335">
        <f t="shared" si="70"/>
        <v>3600</v>
      </c>
      <c r="AB144" s="339">
        <f t="shared" si="71"/>
        <v>62</v>
      </c>
      <c r="AC144" s="339">
        <f t="shared" si="71"/>
        <v>61</v>
      </c>
      <c r="AD144" s="339">
        <f t="shared" si="71"/>
        <v>72</v>
      </c>
      <c r="AE144" s="339">
        <f t="shared" si="71"/>
        <v>63</v>
      </c>
      <c r="AF144" s="336"/>
      <c r="AG144" s="11">
        <v>14</v>
      </c>
      <c r="AH144" s="340">
        <f t="shared" si="72"/>
        <v>6000</v>
      </c>
      <c r="AI144" s="340">
        <f t="shared" si="72"/>
        <v>6000</v>
      </c>
      <c r="AJ144" s="340">
        <f t="shared" si="72"/>
        <v>6200</v>
      </c>
      <c r="AK144" s="340">
        <f t="shared" si="72"/>
        <v>6200</v>
      </c>
      <c r="AL144" s="341">
        <f t="shared" si="73"/>
        <v>67</v>
      </c>
      <c r="AM144" s="341">
        <f t="shared" si="73"/>
        <v>67</v>
      </c>
      <c r="AN144" s="341">
        <f t="shared" si="73"/>
        <v>90</v>
      </c>
      <c r="AO144" s="341">
        <f t="shared" si="73"/>
        <v>89</v>
      </c>
      <c r="AR144" s="190">
        <v>13</v>
      </c>
      <c r="AS144" s="346">
        <f t="shared" si="76"/>
        <v>344290.31</v>
      </c>
      <c r="AT144" s="346">
        <f t="shared" si="76"/>
        <v>90327.39</v>
      </c>
      <c r="AU144" s="346">
        <f t="shared" si="76"/>
        <v>1000</v>
      </c>
      <c r="AV144" s="346">
        <f t="shared" si="77"/>
        <v>14961031.88</v>
      </c>
      <c r="AX144" s="155"/>
      <c r="AY144" s="346">
        <f t="shared" si="78"/>
        <v>1000</v>
      </c>
      <c r="AZ144" s="346">
        <f t="shared" si="79"/>
        <v>14961031.88</v>
      </c>
      <c r="BA144" s="190">
        <v>13</v>
      </c>
      <c r="BB144" s="351">
        <f t="shared" si="74"/>
        <v>-0.0316455939059115</v>
      </c>
      <c r="BC144" s="318">
        <f t="shared" si="74"/>
        <v>0.113250416624715</v>
      </c>
      <c r="BD144" s="352">
        <f t="shared" si="75"/>
        <v>0.0816048227188039</v>
      </c>
    </row>
    <row r="145" ht="20.1" customHeight="1" spans="22:56">
      <c r="V145" s="336"/>
      <c r="W145" s="11">
        <v>15</v>
      </c>
      <c r="X145" s="335">
        <f t="shared" si="70"/>
        <v>5000</v>
      </c>
      <c r="Y145" s="335">
        <f t="shared" si="70"/>
        <v>3500</v>
      </c>
      <c r="Z145" s="335">
        <f t="shared" si="70"/>
        <v>3500</v>
      </c>
      <c r="AA145" s="335">
        <f t="shared" si="70"/>
        <v>3300</v>
      </c>
      <c r="AB145" s="339">
        <f t="shared" si="71"/>
        <v>0</v>
      </c>
      <c r="AC145" s="339">
        <f t="shared" si="71"/>
        <v>33</v>
      </c>
      <c r="AD145" s="339">
        <f t="shared" si="71"/>
        <v>89</v>
      </c>
      <c r="AE145" s="339">
        <f t="shared" si="71"/>
        <v>144</v>
      </c>
      <c r="AF145" s="336"/>
      <c r="AG145" s="11">
        <v>15</v>
      </c>
      <c r="AH145" s="340">
        <f t="shared" si="72"/>
        <v>4200</v>
      </c>
      <c r="AI145" s="340">
        <f t="shared" si="72"/>
        <v>5800</v>
      </c>
      <c r="AJ145" s="340">
        <f t="shared" si="72"/>
        <v>6300</v>
      </c>
      <c r="AK145" s="340">
        <f t="shared" si="72"/>
        <v>6000</v>
      </c>
      <c r="AL145" s="341">
        <f t="shared" si="73"/>
        <v>77</v>
      </c>
      <c r="AM145" s="341">
        <f t="shared" si="73"/>
        <v>58</v>
      </c>
      <c r="AN145" s="341">
        <f t="shared" si="73"/>
        <v>46</v>
      </c>
      <c r="AO145" s="341">
        <f t="shared" si="73"/>
        <v>0</v>
      </c>
      <c r="AR145" s="190">
        <v>14</v>
      </c>
      <c r="AS145" s="346">
        <f t="shared" si="76"/>
        <v>177042.88</v>
      </c>
      <c r="AT145" s="346">
        <f t="shared" si="76"/>
        <v>48515.53</v>
      </c>
      <c r="AU145" s="346">
        <f t="shared" si="76"/>
        <v>0</v>
      </c>
      <c r="AV145" s="346">
        <f t="shared" si="77"/>
        <v>14836596.32</v>
      </c>
      <c r="AX145" s="155"/>
      <c r="AY145" s="346">
        <f t="shared" si="78"/>
        <v>0</v>
      </c>
      <c r="AZ145" s="346">
        <f t="shared" si="79"/>
        <v>14836596.32</v>
      </c>
      <c r="BA145" s="190">
        <v>14</v>
      </c>
      <c r="BB145" s="351">
        <f t="shared" si="74"/>
        <v>-0.0341928143196084</v>
      </c>
      <c r="BC145" s="318">
        <f t="shared" si="74"/>
        <v>0.0668979069449776</v>
      </c>
      <c r="BD145" s="352">
        <f t="shared" si="75"/>
        <v>0.0327050926253692</v>
      </c>
    </row>
    <row r="146" ht="20.1" customHeight="1" spans="22:56">
      <c r="V146" s="336"/>
      <c r="W146" s="11">
        <v>16</v>
      </c>
      <c r="X146" s="335">
        <f t="shared" si="70"/>
        <v>3200</v>
      </c>
      <c r="Y146" s="335">
        <f t="shared" si="70"/>
        <v>3200</v>
      </c>
      <c r="Z146" s="335">
        <f t="shared" si="70"/>
        <v>3500</v>
      </c>
      <c r="AA146" s="335">
        <f t="shared" si="70"/>
        <v>3400</v>
      </c>
      <c r="AB146" s="339">
        <f t="shared" si="71"/>
        <v>90</v>
      </c>
      <c r="AC146" s="339">
        <f t="shared" si="71"/>
        <v>90</v>
      </c>
      <c r="AD146" s="339">
        <f t="shared" si="71"/>
        <v>120</v>
      </c>
      <c r="AE146" s="339">
        <f t="shared" si="71"/>
        <v>122</v>
      </c>
      <c r="AF146" s="336"/>
      <c r="AG146" s="11">
        <v>16</v>
      </c>
      <c r="AH146" s="340">
        <f t="shared" si="72"/>
        <v>6500</v>
      </c>
      <c r="AI146" s="340">
        <f t="shared" si="72"/>
        <v>6500</v>
      </c>
      <c r="AJ146" s="340">
        <f t="shared" si="72"/>
        <v>6700</v>
      </c>
      <c r="AK146" s="340">
        <f t="shared" si="72"/>
        <v>6800</v>
      </c>
      <c r="AL146" s="341">
        <f t="shared" si="73"/>
        <v>57</v>
      </c>
      <c r="AM146" s="341">
        <f t="shared" si="73"/>
        <v>43</v>
      </c>
      <c r="AN146" s="341">
        <f t="shared" si="73"/>
        <v>95</v>
      </c>
      <c r="AO146" s="341">
        <f t="shared" si="73"/>
        <v>98</v>
      </c>
      <c r="AR146" s="190">
        <v>15</v>
      </c>
      <c r="AS146" s="346">
        <f t="shared" si="76"/>
        <v>-1186936.91</v>
      </c>
      <c r="AT146" s="346">
        <f t="shared" si="76"/>
        <v>4254.81</v>
      </c>
      <c r="AU146" s="346">
        <f t="shared" si="76"/>
        <v>0</v>
      </c>
      <c r="AV146" s="346">
        <f t="shared" si="77"/>
        <v>13516877.24</v>
      </c>
      <c r="AX146" s="155"/>
      <c r="AY146" s="346">
        <f t="shared" si="78"/>
        <v>0</v>
      </c>
      <c r="AZ146" s="346">
        <f t="shared" si="79"/>
        <v>13516877.24</v>
      </c>
      <c r="BA146" s="190">
        <v>15</v>
      </c>
      <c r="BB146" s="351">
        <f t="shared" si="74"/>
        <v>-0.0341928143196084</v>
      </c>
      <c r="BC146" s="318">
        <f t="shared" si="74"/>
        <v>-0.424700245787524</v>
      </c>
      <c r="BD146" s="352">
        <f t="shared" si="75"/>
        <v>-0.458893060107132</v>
      </c>
    </row>
    <row r="147" ht="20.1" customHeight="1" spans="22:56">
      <c r="V147" s="336"/>
      <c r="W147" s="11">
        <v>17</v>
      </c>
      <c r="X147" s="335">
        <f t="shared" si="70"/>
        <v>3100</v>
      </c>
      <c r="Y147" s="335">
        <f t="shared" si="70"/>
        <v>3100</v>
      </c>
      <c r="Z147" s="335">
        <f t="shared" si="70"/>
        <v>3300</v>
      </c>
      <c r="AA147" s="335">
        <f t="shared" si="70"/>
        <v>3300</v>
      </c>
      <c r="AB147" s="339">
        <f t="shared" si="71"/>
        <v>88</v>
      </c>
      <c r="AC147" s="339">
        <f t="shared" si="71"/>
        <v>88</v>
      </c>
      <c r="AD147" s="339">
        <f t="shared" si="71"/>
        <v>126</v>
      </c>
      <c r="AE147" s="339">
        <f t="shared" si="71"/>
        <v>144</v>
      </c>
      <c r="AF147" s="336"/>
      <c r="AG147" s="11">
        <v>17</v>
      </c>
      <c r="AH147" s="340">
        <f t="shared" si="72"/>
        <v>5800</v>
      </c>
      <c r="AI147" s="340">
        <f t="shared" si="72"/>
        <v>5800</v>
      </c>
      <c r="AJ147" s="340">
        <f t="shared" si="72"/>
        <v>6000</v>
      </c>
      <c r="AK147" s="340">
        <f t="shared" si="72"/>
        <v>6000</v>
      </c>
      <c r="AL147" s="341">
        <f t="shared" si="73"/>
        <v>57</v>
      </c>
      <c r="AM147" s="341">
        <f t="shared" si="73"/>
        <v>57</v>
      </c>
      <c r="AN147" s="341">
        <f t="shared" si="73"/>
        <v>74</v>
      </c>
      <c r="AO147" s="341">
        <f t="shared" si="73"/>
        <v>72</v>
      </c>
      <c r="AR147" s="190">
        <v>16</v>
      </c>
      <c r="AS147" s="346">
        <f t="shared" si="76"/>
        <v>302062.09</v>
      </c>
      <c r="AT147" s="346">
        <f t="shared" si="76"/>
        <v>79770.34</v>
      </c>
      <c r="AU147" s="346">
        <f t="shared" si="76"/>
        <v>0</v>
      </c>
      <c r="AV147" s="346">
        <f t="shared" si="77"/>
        <v>14930360.72</v>
      </c>
      <c r="AX147" s="155"/>
      <c r="AY147" s="346">
        <f t="shared" si="78"/>
        <v>0</v>
      </c>
      <c r="AZ147" s="346">
        <f t="shared" si="79"/>
        <v>14930360.72</v>
      </c>
      <c r="BA147" s="190">
        <v>16</v>
      </c>
      <c r="BB147" s="351">
        <f t="shared" si="74"/>
        <v>-0.0341928143196084</v>
      </c>
      <c r="BC147" s="318">
        <f t="shared" si="74"/>
        <v>0.101825344556982</v>
      </c>
      <c r="BD147" s="352">
        <f t="shared" si="75"/>
        <v>0.0676325302373734</v>
      </c>
    </row>
    <row r="148" ht="20.1" customHeight="1" spans="22:56">
      <c r="V148" s="336"/>
      <c r="W148" s="11">
        <v>18</v>
      </c>
      <c r="X148" s="335">
        <f t="shared" si="70"/>
        <v>3600</v>
      </c>
      <c r="Y148" s="335">
        <f t="shared" si="70"/>
        <v>3600</v>
      </c>
      <c r="Z148" s="335">
        <f t="shared" si="70"/>
        <v>4000</v>
      </c>
      <c r="AA148" s="335">
        <f t="shared" si="70"/>
        <v>4000</v>
      </c>
      <c r="AB148" s="339">
        <f t="shared" si="71"/>
        <v>27</v>
      </c>
      <c r="AC148" s="339">
        <f t="shared" si="71"/>
        <v>28</v>
      </c>
      <c r="AD148" s="339">
        <f t="shared" si="71"/>
        <v>28</v>
      </c>
      <c r="AE148" s="339">
        <f t="shared" si="71"/>
        <v>32</v>
      </c>
      <c r="AF148" s="336"/>
      <c r="AG148" s="11">
        <v>18</v>
      </c>
      <c r="AH148" s="340">
        <f t="shared" si="72"/>
        <v>6800</v>
      </c>
      <c r="AI148" s="340">
        <f t="shared" si="72"/>
        <v>6800</v>
      </c>
      <c r="AJ148" s="340">
        <f t="shared" si="72"/>
        <v>7200</v>
      </c>
      <c r="AK148" s="340">
        <f t="shared" si="72"/>
        <v>7200</v>
      </c>
      <c r="AL148" s="341">
        <f t="shared" si="73"/>
        <v>40</v>
      </c>
      <c r="AM148" s="341">
        <f t="shared" si="73"/>
        <v>41</v>
      </c>
      <c r="AN148" s="341">
        <f t="shared" si="73"/>
        <v>67</v>
      </c>
      <c r="AO148" s="341">
        <f t="shared" si="73"/>
        <v>80</v>
      </c>
      <c r="AR148" s="190">
        <v>17</v>
      </c>
      <c r="AS148" s="346">
        <f t="shared" si="76"/>
        <v>131859.12</v>
      </c>
      <c r="AT148" s="346">
        <f t="shared" si="76"/>
        <v>37219.59</v>
      </c>
      <c r="AU148" s="346">
        <f t="shared" si="76"/>
        <v>0</v>
      </c>
      <c r="AV148" s="346">
        <f t="shared" si="77"/>
        <v>14802708.49</v>
      </c>
      <c r="AX148" s="155"/>
      <c r="AY148" s="346">
        <f t="shared" si="78"/>
        <v>0</v>
      </c>
      <c r="AZ148" s="346">
        <f t="shared" si="79"/>
        <v>14802708.49</v>
      </c>
      <c r="BA148" s="190">
        <v>17</v>
      </c>
      <c r="BB148" s="351">
        <f t="shared" si="74"/>
        <v>-0.0341928143196084</v>
      </c>
      <c r="BC148" s="318">
        <f t="shared" si="74"/>
        <v>0.054274618488685</v>
      </c>
      <c r="BD148" s="352">
        <f t="shared" si="75"/>
        <v>0.0200818041690766</v>
      </c>
    </row>
    <row r="149" ht="20.1" customHeight="1" spans="22:56">
      <c r="V149" s="336"/>
      <c r="W149" s="11">
        <v>19</v>
      </c>
      <c r="X149" s="335">
        <f t="shared" si="70"/>
        <v>3150</v>
      </c>
      <c r="Y149" s="335">
        <f t="shared" si="70"/>
        <v>3150</v>
      </c>
      <c r="Z149" s="335">
        <f t="shared" si="70"/>
        <v>3350</v>
      </c>
      <c r="AA149" s="335">
        <f t="shared" si="70"/>
        <v>3350</v>
      </c>
      <c r="AB149" s="339">
        <f t="shared" si="71"/>
        <v>78</v>
      </c>
      <c r="AC149" s="339">
        <f t="shared" si="71"/>
        <v>78</v>
      </c>
      <c r="AD149" s="339">
        <f t="shared" si="71"/>
        <v>114</v>
      </c>
      <c r="AE149" s="339">
        <f t="shared" si="71"/>
        <v>113</v>
      </c>
      <c r="AF149" s="336"/>
      <c r="AG149" s="11">
        <v>19</v>
      </c>
      <c r="AH149" s="340">
        <f t="shared" si="72"/>
        <v>5850</v>
      </c>
      <c r="AI149" s="340">
        <f t="shared" si="72"/>
        <v>5850</v>
      </c>
      <c r="AJ149" s="340">
        <f t="shared" si="72"/>
        <v>6050</v>
      </c>
      <c r="AK149" s="340">
        <f t="shared" si="72"/>
        <v>6050</v>
      </c>
      <c r="AL149" s="341">
        <f t="shared" si="73"/>
        <v>67</v>
      </c>
      <c r="AM149" s="341">
        <f t="shared" si="73"/>
        <v>67</v>
      </c>
      <c r="AN149" s="341">
        <f t="shared" si="73"/>
        <v>67</v>
      </c>
      <c r="AO149" s="341">
        <f t="shared" si="73"/>
        <v>29</v>
      </c>
      <c r="AR149" s="190">
        <v>18</v>
      </c>
      <c r="AS149" s="346">
        <f t="shared" ref="AS149:AU151" si="80">IF(F112="","",F112)</f>
        <v>50876.01</v>
      </c>
      <c r="AT149" s="346">
        <f t="shared" si="80"/>
        <v>16973.81</v>
      </c>
      <c r="AU149" s="346">
        <f t="shared" si="80"/>
        <v>38157</v>
      </c>
      <c r="AV149" s="346">
        <f t="shared" si="77"/>
        <v>14703814.16</v>
      </c>
      <c r="AX149" s="155"/>
      <c r="AY149" s="346">
        <f t="shared" si="78"/>
        <v>38157</v>
      </c>
      <c r="AZ149" s="346">
        <f t="shared" si="79"/>
        <v>14703814.16</v>
      </c>
      <c r="BA149" s="190">
        <v>18</v>
      </c>
      <c r="BB149" s="351">
        <f t="shared" si="74"/>
        <v>0.0630014750058231</v>
      </c>
      <c r="BC149" s="318">
        <f t="shared" si="74"/>
        <v>0.0174362710854495</v>
      </c>
      <c r="BD149" s="352">
        <f t="shared" si="75"/>
        <v>0.0804377460912726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>
        <f t="shared" si="71"/>
        <v>0</v>
      </c>
      <c r="AC150" s="339">
        <f t="shared" si="71"/>
        <v>0</v>
      </c>
      <c r="AD150" s="339">
        <f t="shared" si="71"/>
        <v>0</v>
      </c>
      <c r="AE150" s="339">
        <f t="shared" si="71"/>
        <v>0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>
        <f t="shared" si="73"/>
        <v>0</v>
      </c>
      <c r="AM150" s="341">
        <f t="shared" si="73"/>
        <v>0</v>
      </c>
      <c r="AN150" s="341">
        <f t="shared" si="73"/>
        <v>0</v>
      </c>
      <c r="AO150" s="341">
        <f t="shared" si="73"/>
        <v>0</v>
      </c>
      <c r="AR150" s="190">
        <v>19</v>
      </c>
      <c r="AS150" s="346">
        <f t="shared" si="80"/>
        <v>-47340.69</v>
      </c>
      <c r="AT150" s="346">
        <f t="shared" si="80"/>
        <v>4254.81</v>
      </c>
      <c r="AU150" s="346">
        <f t="shared" si="80"/>
        <v>0</v>
      </c>
      <c r="AV150" s="346">
        <f t="shared" si="77"/>
        <v>14656473.47</v>
      </c>
      <c r="AX150" s="155"/>
      <c r="AY150" s="346">
        <f t="shared" si="78"/>
        <v>0</v>
      </c>
      <c r="AZ150" s="346">
        <f t="shared" si="79"/>
        <v>14656473.47</v>
      </c>
      <c r="BA150" s="190">
        <v>19</v>
      </c>
      <c r="BB150" s="351">
        <f t="shared" si="74"/>
        <v>-0.0341928143196084</v>
      </c>
      <c r="BC150" s="318">
        <f t="shared" si="74"/>
        <v>-0.0001982362167271</v>
      </c>
      <c r="BD150" s="352">
        <f t="shared" si="75"/>
        <v>-0.0343910505363355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27</v>
      </c>
      <c r="AC153" s="338">
        <f>AH65</f>
        <v>28</v>
      </c>
      <c r="AD153" s="338">
        <f>AH66</f>
        <v>39</v>
      </c>
      <c r="AE153" s="338">
        <f>AH67</f>
        <v>42</v>
      </c>
      <c r="AH153" s="101"/>
      <c r="AI153" s="101"/>
      <c r="AJ153" s="101"/>
      <c r="AK153" s="101"/>
      <c r="AL153" s="338">
        <f>AI64</f>
        <v>23</v>
      </c>
      <c r="AM153" s="338">
        <f>AI65</f>
        <v>23</v>
      </c>
      <c r="AN153" s="338">
        <f>AI66</f>
        <v>34</v>
      </c>
      <c r="AO153" s="338">
        <f>AI67</f>
        <v>38</v>
      </c>
      <c r="AR153" s="2" t="s">
        <v>25</v>
      </c>
      <c r="AS153" s="2">
        <f>SUM(AS132:AS151)/比赛参数!$G$4</f>
        <v>5645.64473684211</v>
      </c>
      <c r="AT153" s="2">
        <f>SUM(AT132:AT151)/比赛参数!$G$4</f>
        <v>43285.3857894737</v>
      </c>
      <c r="AU153" s="2">
        <f>SUM(AU132:AU151)/比赛参数!$G$4</f>
        <v>13423.5789473684</v>
      </c>
      <c r="AV153" s="2">
        <f>SUM(AV132:AV151)/比赛参数!$G$4</f>
        <v>14657005.6447368</v>
      </c>
      <c r="AY153" s="2">
        <f>SUM(AY132:AY151)/比赛参数!$G$4</f>
        <v>13423.5789473684</v>
      </c>
      <c r="AZ153" s="2">
        <f>SUM(AZ132:AZ151)/比赛参数!$G$4</f>
        <v>14657005.6447368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9488</v>
      </c>
      <c r="Y154" s="335">
        <f t="shared" si="81"/>
        <v>9488</v>
      </c>
      <c r="Z154" s="335">
        <f t="shared" si="81"/>
        <v>9888</v>
      </c>
      <c r="AA154" s="335">
        <f t="shared" si="81"/>
        <v>9788</v>
      </c>
      <c r="AB154" s="339">
        <f t="shared" ref="AB154:AE173" si="82">INT(AG$232*L73+0.5)</f>
        <v>27</v>
      </c>
      <c r="AC154" s="339">
        <f t="shared" si="82"/>
        <v>29</v>
      </c>
      <c r="AD154" s="339">
        <f t="shared" si="82"/>
        <v>26</v>
      </c>
      <c r="AE154" s="339">
        <f t="shared" si="82"/>
        <v>40</v>
      </c>
      <c r="AF154" s="334" t="s">
        <v>24</v>
      </c>
      <c r="AG154" s="11">
        <v>1</v>
      </c>
      <c r="AH154" s="340">
        <f t="shared" ref="AH154:AK173" si="83">P50</f>
        <v>15888</v>
      </c>
      <c r="AI154" s="340">
        <f t="shared" si="83"/>
        <v>13888</v>
      </c>
      <c r="AJ154" s="340">
        <f t="shared" si="83"/>
        <v>13888</v>
      </c>
      <c r="AK154" s="340">
        <f t="shared" si="83"/>
        <v>13888</v>
      </c>
      <c r="AL154" s="341">
        <f t="shared" ref="AL154:AO173" si="84">INT(AK$232*P73+0.5)</f>
        <v>0</v>
      </c>
      <c r="AM154" s="341">
        <f t="shared" si="84"/>
        <v>5</v>
      </c>
      <c r="AN154" s="341">
        <f t="shared" si="84"/>
        <v>9</v>
      </c>
      <c r="AO154" s="341">
        <f t="shared" si="84"/>
        <v>10</v>
      </c>
    </row>
    <row r="155" ht="20.1" customHeight="1" spans="22:41">
      <c r="V155" s="336"/>
      <c r="W155" s="11">
        <v>2</v>
      </c>
      <c r="X155" s="335">
        <f t="shared" si="81"/>
        <v>7399</v>
      </c>
      <c r="Y155" s="335">
        <f t="shared" si="81"/>
        <v>7399</v>
      </c>
      <c r="Z155" s="335">
        <f t="shared" si="81"/>
        <v>7799</v>
      </c>
      <c r="AA155" s="335">
        <f t="shared" si="81"/>
        <v>7999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10199</v>
      </c>
      <c r="AI155" s="340">
        <f t="shared" si="83"/>
        <v>10199</v>
      </c>
      <c r="AJ155" s="340">
        <f t="shared" si="83"/>
        <v>11499</v>
      </c>
      <c r="AK155" s="340">
        <f t="shared" si="83"/>
        <v>11499</v>
      </c>
      <c r="AL155" s="341">
        <f t="shared" si="84"/>
        <v>29</v>
      </c>
      <c r="AM155" s="341">
        <f t="shared" si="84"/>
        <v>43</v>
      </c>
      <c r="AN155" s="341">
        <f t="shared" si="84"/>
        <v>59</v>
      </c>
      <c r="AO155" s="341">
        <f t="shared" si="84"/>
        <v>19</v>
      </c>
    </row>
    <row r="156" ht="20.1" customHeight="1" spans="22:44">
      <c r="V156" s="336"/>
      <c r="W156" s="11">
        <v>3</v>
      </c>
      <c r="X156" s="335">
        <f t="shared" si="81"/>
        <v>8000</v>
      </c>
      <c r="Y156" s="335">
        <f t="shared" si="81"/>
        <v>8000</v>
      </c>
      <c r="Z156" s="335">
        <f t="shared" si="81"/>
        <v>8300</v>
      </c>
      <c r="AA156" s="335">
        <f t="shared" si="81"/>
        <v>8300</v>
      </c>
      <c r="AB156" s="339">
        <f t="shared" si="82"/>
        <v>21</v>
      </c>
      <c r="AC156" s="339">
        <f t="shared" si="82"/>
        <v>21</v>
      </c>
      <c r="AD156" s="339">
        <f t="shared" si="82"/>
        <v>22</v>
      </c>
      <c r="AE156" s="339">
        <f t="shared" si="82"/>
        <v>22</v>
      </c>
      <c r="AF156" s="336"/>
      <c r="AG156" s="11">
        <v>3</v>
      </c>
      <c r="AH156" s="340">
        <f t="shared" si="83"/>
        <v>9800</v>
      </c>
      <c r="AI156" s="340">
        <f t="shared" si="83"/>
        <v>9800</v>
      </c>
      <c r="AJ156" s="340">
        <f t="shared" si="83"/>
        <v>11000</v>
      </c>
      <c r="AK156" s="340">
        <f t="shared" si="83"/>
        <v>11000</v>
      </c>
      <c r="AL156" s="341">
        <f t="shared" si="84"/>
        <v>24</v>
      </c>
      <c r="AM156" s="341">
        <f t="shared" si="84"/>
        <v>28</v>
      </c>
      <c r="AN156" s="341">
        <f t="shared" si="84"/>
        <v>29</v>
      </c>
      <c r="AO156" s="341">
        <f t="shared" si="84"/>
        <v>29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9900</v>
      </c>
      <c r="Y157" s="335">
        <f t="shared" si="81"/>
        <v>9900</v>
      </c>
      <c r="Z157" s="335">
        <f t="shared" si="81"/>
        <v>10400</v>
      </c>
      <c r="AA157" s="335">
        <f t="shared" si="81"/>
        <v>10400</v>
      </c>
      <c r="AB157" s="339">
        <f t="shared" si="82"/>
        <v>17</v>
      </c>
      <c r="AC157" s="339">
        <f t="shared" si="82"/>
        <v>18</v>
      </c>
      <c r="AD157" s="339">
        <f t="shared" si="82"/>
        <v>14</v>
      </c>
      <c r="AE157" s="339">
        <f t="shared" si="82"/>
        <v>20</v>
      </c>
      <c r="AF157" s="336"/>
      <c r="AG157" s="11">
        <v>4</v>
      </c>
      <c r="AH157" s="340">
        <f t="shared" si="83"/>
        <v>12100</v>
      </c>
      <c r="AI157" s="340">
        <f t="shared" si="83"/>
        <v>12100</v>
      </c>
      <c r="AJ157" s="340">
        <f t="shared" si="83"/>
        <v>12500</v>
      </c>
      <c r="AK157" s="340">
        <f t="shared" si="83"/>
        <v>12600</v>
      </c>
      <c r="AL157" s="341">
        <f t="shared" si="84"/>
        <v>24</v>
      </c>
      <c r="AM157" s="341">
        <f t="shared" si="84"/>
        <v>24</v>
      </c>
      <c r="AN157" s="341">
        <f t="shared" si="84"/>
        <v>32</v>
      </c>
      <c r="AO157" s="341">
        <f t="shared" si="84"/>
        <v>24</v>
      </c>
      <c r="AR157" s="2">
        <v>1</v>
      </c>
      <c r="AS157" s="2">
        <f>IF(AS132="","",(AS132-AS$153)^2)</f>
        <v>11575718861.3386</v>
      </c>
      <c r="AT157" s="2">
        <f>IF(AT132="","",(AT132-AT$153)^2)</f>
        <v>1523385846.45785</v>
      </c>
      <c r="AU157" s="2">
        <f>IF(AU132="","",(AU132-AU$153)^2)</f>
        <v>180192471.756233</v>
      </c>
      <c r="AV157" s="2">
        <f>IF(AV132="","",(AV132-AV$153)^2)</f>
        <v>3040018716.39407</v>
      </c>
      <c r="AY157" s="2">
        <f>IF(AY132="","",(AY132-AY$153)^2)</f>
        <v>180192471.756233</v>
      </c>
      <c r="AZ157" s="2">
        <f>IF(AZ132="","",(AZ132-AZ$153)^2)</f>
        <v>3040018716.39407</v>
      </c>
    </row>
    <row r="158" ht="20.1" customHeight="1" spans="22:52">
      <c r="V158" s="336"/>
      <c r="W158" s="11">
        <v>5</v>
      </c>
      <c r="X158" s="335">
        <f t="shared" si="81"/>
        <v>9500</v>
      </c>
      <c r="Y158" s="335">
        <f t="shared" si="81"/>
        <v>9500</v>
      </c>
      <c r="Z158" s="335">
        <f t="shared" si="81"/>
        <v>9900</v>
      </c>
      <c r="AA158" s="335">
        <f t="shared" si="81"/>
        <v>10100</v>
      </c>
      <c r="AB158" s="339">
        <f t="shared" si="82"/>
        <v>24</v>
      </c>
      <c r="AC158" s="339">
        <f t="shared" si="82"/>
        <v>25</v>
      </c>
      <c r="AD158" s="339">
        <f t="shared" si="82"/>
        <v>23</v>
      </c>
      <c r="AE158" s="339">
        <f t="shared" si="82"/>
        <v>27</v>
      </c>
      <c r="AF158" s="336"/>
      <c r="AG158" s="11">
        <v>5</v>
      </c>
      <c r="AH158" s="340">
        <f t="shared" si="83"/>
        <v>12300</v>
      </c>
      <c r="AI158" s="340">
        <f t="shared" si="83"/>
        <v>12300</v>
      </c>
      <c r="AJ158" s="340">
        <f t="shared" si="83"/>
        <v>12600</v>
      </c>
      <c r="AK158" s="340">
        <f t="shared" si="83"/>
        <v>12700</v>
      </c>
      <c r="AL158" s="341">
        <f t="shared" si="84"/>
        <v>23</v>
      </c>
      <c r="AM158" s="341">
        <f t="shared" si="84"/>
        <v>23</v>
      </c>
      <c r="AN158" s="341">
        <f t="shared" si="84"/>
        <v>29</v>
      </c>
      <c r="AO158" s="341">
        <f t="shared" si="84"/>
        <v>30</v>
      </c>
      <c r="AR158" s="2">
        <v>2</v>
      </c>
      <c r="AS158" s="2">
        <f t="shared" ref="AS158:AV173" si="85">IF(AS133="","",(AS133-AS$153)^2)</f>
        <v>3506026040.17108</v>
      </c>
      <c r="AT158" s="2">
        <f t="shared" si="85"/>
        <v>520580615.60086</v>
      </c>
      <c r="AU158" s="2">
        <f t="shared" si="85"/>
        <v>180192471.756233</v>
      </c>
      <c r="AV158" s="2">
        <f t="shared" si="85"/>
        <v>9110993675.06341</v>
      </c>
      <c r="AY158" s="2">
        <f t="shared" ref="AY158:AZ173" si="86">IF(AY133="","",(AY133-AY$153)^2)</f>
        <v>180192471.756233</v>
      </c>
      <c r="AZ158" s="2">
        <f t="shared" si="86"/>
        <v>9110993675.06341</v>
      </c>
    </row>
    <row r="159" ht="20.1" customHeight="1" spans="22:52">
      <c r="V159" s="336"/>
      <c r="W159" s="11">
        <v>6</v>
      </c>
      <c r="X159" s="335">
        <f t="shared" si="81"/>
        <v>11000</v>
      </c>
      <c r="Y159" s="335">
        <f t="shared" si="81"/>
        <v>12000</v>
      </c>
      <c r="Z159" s="335">
        <f t="shared" si="81"/>
        <v>12000</v>
      </c>
      <c r="AA159" s="335">
        <f t="shared" si="81"/>
        <v>11000</v>
      </c>
      <c r="AB159" s="339">
        <f t="shared" si="82"/>
        <v>0</v>
      </c>
      <c r="AC159" s="339">
        <f t="shared" si="82"/>
        <v>2</v>
      </c>
      <c r="AD159" s="339">
        <f t="shared" si="82"/>
        <v>2</v>
      </c>
      <c r="AE159" s="339">
        <f t="shared" si="82"/>
        <v>0</v>
      </c>
      <c r="AF159" s="336"/>
      <c r="AG159" s="11">
        <v>6</v>
      </c>
      <c r="AH159" s="340">
        <f t="shared" si="83"/>
        <v>9999</v>
      </c>
      <c r="AI159" s="340">
        <f t="shared" si="83"/>
        <v>9999</v>
      </c>
      <c r="AJ159" s="340">
        <f t="shared" si="83"/>
        <v>11999</v>
      </c>
      <c r="AK159" s="340">
        <f t="shared" si="83"/>
        <v>11999</v>
      </c>
      <c r="AL159" s="341">
        <f t="shared" si="84"/>
        <v>6</v>
      </c>
      <c r="AM159" s="341">
        <f t="shared" si="84"/>
        <v>6</v>
      </c>
      <c r="AN159" s="341">
        <f t="shared" si="84"/>
        <v>7</v>
      </c>
      <c r="AO159" s="341">
        <f t="shared" si="84"/>
        <v>6</v>
      </c>
      <c r="AR159" s="2">
        <v>3</v>
      </c>
      <c r="AS159" s="2">
        <f t="shared" si="85"/>
        <v>4883195.10507504</v>
      </c>
      <c r="AT159" s="2">
        <f t="shared" si="85"/>
        <v>1373941419.41762</v>
      </c>
      <c r="AU159" s="2">
        <f t="shared" si="85"/>
        <v>56739745.598338</v>
      </c>
      <c r="AV159" s="2">
        <f t="shared" si="85"/>
        <v>2191090463.1737</v>
      </c>
      <c r="AY159" s="2">
        <f t="shared" si="86"/>
        <v>56739745.598338</v>
      </c>
      <c r="AZ159" s="2">
        <f t="shared" si="86"/>
        <v>2191090463.1737</v>
      </c>
    </row>
    <row r="160" ht="20.1" customHeight="1" spans="22:52">
      <c r="V160" s="336"/>
      <c r="W160" s="11">
        <v>7</v>
      </c>
      <c r="X160" s="335">
        <f t="shared" si="81"/>
        <v>8000</v>
      </c>
      <c r="Y160" s="335">
        <f t="shared" si="81"/>
        <v>8000</v>
      </c>
      <c r="Z160" s="335">
        <f t="shared" si="81"/>
        <v>8300</v>
      </c>
      <c r="AA160" s="335">
        <f t="shared" si="81"/>
        <v>8300</v>
      </c>
      <c r="AB160" s="339">
        <f t="shared" si="82"/>
        <v>14</v>
      </c>
      <c r="AC160" s="339">
        <f t="shared" si="82"/>
        <v>24</v>
      </c>
      <c r="AD160" s="339">
        <f t="shared" si="82"/>
        <v>29</v>
      </c>
      <c r="AE160" s="339">
        <f t="shared" si="82"/>
        <v>30</v>
      </c>
      <c r="AF160" s="336"/>
      <c r="AG160" s="11">
        <v>7</v>
      </c>
      <c r="AH160" s="340">
        <f t="shared" si="83"/>
        <v>10000</v>
      </c>
      <c r="AI160" s="340">
        <f t="shared" si="83"/>
        <v>10100</v>
      </c>
      <c r="AJ160" s="340">
        <f t="shared" si="83"/>
        <v>11100</v>
      </c>
      <c r="AK160" s="340">
        <f t="shared" si="83"/>
        <v>11400</v>
      </c>
      <c r="AL160" s="341">
        <f t="shared" si="84"/>
        <v>11</v>
      </c>
      <c r="AM160" s="341">
        <f t="shared" si="84"/>
        <v>16</v>
      </c>
      <c r="AN160" s="341">
        <f t="shared" si="84"/>
        <v>23</v>
      </c>
      <c r="AO160" s="341">
        <f t="shared" si="84"/>
        <v>23</v>
      </c>
      <c r="AR160" s="2">
        <v>4</v>
      </c>
      <c r="AS160" s="2">
        <f t="shared" si="85"/>
        <v>29228554144.6152</v>
      </c>
      <c r="AT160" s="2">
        <f t="shared" si="85"/>
        <v>1523385846.45785</v>
      </c>
      <c r="AU160" s="2">
        <f t="shared" si="85"/>
        <v>180192471.756233</v>
      </c>
      <c r="AV160" s="2">
        <f t="shared" si="85"/>
        <v>14044488491.8346</v>
      </c>
      <c r="AY160" s="2">
        <f t="shared" si="86"/>
        <v>180192471.756233</v>
      </c>
      <c r="AZ160" s="2">
        <f t="shared" si="86"/>
        <v>14044488491.8346</v>
      </c>
    </row>
    <row r="161" ht="20.1" customHeight="1" spans="22:52">
      <c r="V161" s="336"/>
      <c r="W161" s="11">
        <v>8</v>
      </c>
      <c r="X161" s="335">
        <f t="shared" si="81"/>
        <v>9200</v>
      </c>
      <c r="Y161" s="335">
        <f t="shared" si="81"/>
        <v>9200</v>
      </c>
      <c r="Z161" s="335">
        <f t="shared" si="81"/>
        <v>9500</v>
      </c>
      <c r="AA161" s="335">
        <f t="shared" si="81"/>
        <v>9500</v>
      </c>
      <c r="AB161" s="339">
        <f t="shared" si="82"/>
        <v>27</v>
      </c>
      <c r="AC161" s="339">
        <f t="shared" si="82"/>
        <v>27</v>
      </c>
      <c r="AD161" s="339">
        <f t="shared" si="82"/>
        <v>33</v>
      </c>
      <c r="AE161" s="339">
        <f t="shared" si="82"/>
        <v>40</v>
      </c>
      <c r="AF161" s="336"/>
      <c r="AG161" s="11">
        <v>8</v>
      </c>
      <c r="AH161" s="340">
        <f t="shared" si="83"/>
        <v>11400</v>
      </c>
      <c r="AI161" s="340">
        <f t="shared" si="83"/>
        <v>11400</v>
      </c>
      <c r="AJ161" s="340">
        <f t="shared" si="83"/>
        <v>11900</v>
      </c>
      <c r="AK161" s="340">
        <f t="shared" si="83"/>
        <v>11900</v>
      </c>
      <c r="AL161" s="341">
        <f t="shared" si="84"/>
        <v>19</v>
      </c>
      <c r="AM161" s="341">
        <f t="shared" si="84"/>
        <v>19</v>
      </c>
      <c r="AN161" s="341">
        <f t="shared" si="84"/>
        <v>28</v>
      </c>
      <c r="AO161" s="341">
        <f t="shared" si="84"/>
        <v>28</v>
      </c>
      <c r="AR161" s="2">
        <v>5</v>
      </c>
      <c r="AS161" s="2">
        <f t="shared" si="85"/>
        <v>158487539480.883</v>
      </c>
      <c r="AT161" s="2">
        <f t="shared" si="85"/>
        <v>3832485837.30761</v>
      </c>
      <c r="AU161" s="2">
        <f t="shared" si="85"/>
        <v>180192471.756233</v>
      </c>
      <c r="AV161" s="2">
        <f t="shared" si="85"/>
        <v>122235154987.9</v>
      </c>
      <c r="AY161" s="2">
        <f t="shared" si="86"/>
        <v>180192471.756233</v>
      </c>
      <c r="AZ161" s="2">
        <f t="shared" si="86"/>
        <v>122235154987.9</v>
      </c>
    </row>
    <row r="162" ht="20.1" customHeight="1" spans="22:52">
      <c r="V162" s="336"/>
      <c r="W162" s="11">
        <v>9</v>
      </c>
      <c r="X162" s="335">
        <f t="shared" si="81"/>
        <v>8799</v>
      </c>
      <c r="Y162" s="335">
        <f t="shared" si="81"/>
        <v>8799</v>
      </c>
      <c r="Z162" s="335">
        <f t="shared" si="81"/>
        <v>9599</v>
      </c>
      <c r="AA162" s="335">
        <f t="shared" si="81"/>
        <v>9699</v>
      </c>
      <c r="AB162" s="339">
        <f t="shared" si="82"/>
        <v>21</v>
      </c>
      <c r="AC162" s="339">
        <f t="shared" si="82"/>
        <v>21</v>
      </c>
      <c r="AD162" s="339">
        <f t="shared" si="82"/>
        <v>30</v>
      </c>
      <c r="AE162" s="339">
        <f t="shared" si="82"/>
        <v>31</v>
      </c>
      <c r="AF162" s="336"/>
      <c r="AG162" s="11">
        <v>9</v>
      </c>
      <c r="AH162" s="340">
        <f t="shared" si="83"/>
        <v>10999</v>
      </c>
      <c r="AI162" s="340">
        <f t="shared" si="83"/>
        <v>10999</v>
      </c>
      <c r="AJ162" s="340">
        <f t="shared" si="83"/>
        <v>11999</v>
      </c>
      <c r="AK162" s="340">
        <f t="shared" si="83"/>
        <v>12199</v>
      </c>
      <c r="AL162" s="341">
        <f t="shared" si="84"/>
        <v>26</v>
      </c>
      <c r="AM162" s="341">
        <f t="shared" si="84"/>
        <v>26</v>
      </c>
      <c r="AN162" s="341">
        <f t="shared" si="84"/>
        <v>39</v>
      </c>
      <c r="AO162" s="341">
        <f t="shared" si="84"/>
        <v>39</v>
      </c>
      <c r="AR162" s="2">
        <v>6</v>
      </c>
      <c r="AS162" s="2">
        <f t="shared" si="85"/>
        <v>1669778190310.95</v>
      </c>
      <c r="AT162" s="2">
        <f t="shared" si="85"/>
        <v>1523385846.45785</v>
      </c>
      <c r="AU162" s="2">
        <f t="shared" si="85"/>
        <v>180192471.756233</v>
      </c>
      <c r="AV162" s="2">
        <f t="shared" si="85"/>
        <v>1536967230461.78</v>
      </c>
      <c r="AY162" s="2">
        <f t="shared" si="86"/>
        <v>180192471.756233</v>
      </c>
      <c r="AZ162" s="2">
        <f t="shared" si="86"/>
        <v>1536967230461.78</v>
      </c>
    </row>
    <row r="163" ht="20.1" customHeight="1" spans="22:52">
      <c r="V163" s="336"/>
      <c r="W163" s="11">
        <v>10</v>
      </c>
      <c r="X163" s="335">
        <f t="shared" si="81"/>
        <v>9000</v>
      </c>
      <c r="Y163" s="335">
        <f t="shared" si="81"/>
        <v>9000</v>
      </c>
      <c r="Z163" s="335">
        <f t="shared" si="81"/>
        <v>9100</v>
      </c>
      <c r="AA163" s="335">
        <f t="shared" si="81"/>
        <v>9100</v>
      </c>
      <c r="AB163" s="339">
        <f t="shared" si="82"/>
        <v>30</v>
      </c>
      <c r="AC163" s="339">
        <f t="shared" si="82"/>
        <v>30</v>
      </c>
      <c r="AD163" s="339">
        <f t="shared" si="82"/>
        <v>30</v>
      </c>
      <c r="AE163" s="339">
        <f t="shared" si="82"/>
        <v>46</v>
      </c>
      <c r="AF163" s="336"/>
      <c r="AG163" s="11">
        <v>10</v>
      </c>
      <c r="AH163" s="340">
        <f t="shared" si="83"/>
        <v>11500</v>
      </c>
      <c r="AI163" s="340">
        <f t="shared" si="83"/>
        <v>11500</v>
      </c>
      <c r="AJ163" s="340">
        <f t="shared" si="83"/>
        <v>12000</v>
      </c>
      <c r="AK163" s="340">
        <f t="shared" si="83"/>
        <v>12000</v>
      </c>
      <c r="AL163" s="341">
        <f t="shared" si="84"/>
        <v>22</v>
      </c>
      <c r="AM163" s="341">
        <f t="shared" si="84"/>
        <v>23</v>
      </c>
      <c r="AN163" s="341">
        <f t="shared" si="84"/>
        <v>24</v>
      </c>
      <c r="AO163" s="341">
        <f t="shared" si="84"/>
        <v>30</v>
      </c>
      <c r="AR163" s="2">
        <v>7</v>
      </c>
      <c r="AS163" s="2">
        <f t="shared" si="85"/>
        <v>5868830822.48687</v>
      </c>
      <c r="AT163" s="2">
        <f t="shared" si="85"/>
        <v>1523385846.45785</v>
      </c>
      <c r="AU163" s="2">
        <f t="shared" si="85"/>
        <v>180192471.756233</v>
      </c>
      <c r="AV163" s="2">
        <f t="shared" si="85"/>
        <v>583422707.968279</v>
      </c>
      <c r="AY163" s="2">
        <f t="shared" si="86"/>
        <v>180192471.756233</v>
      </c>
      <c r="AZ163" s="2">
        <f t="shared" si="86"/>
        <v>583422707.968279</v>
      </c>
    </row>
    <row r="164" ht="20.1" customHeight="1" spans="22:52">
      <c r="V164" s="336"/>
      <c r="W164" s="11">
        <v>11</v>
      </c>
      <c r="X164" s="335">
        <f t="shared" si="81"/>
        <v>9550</v>
      </c>
      <c r="Y164" s="335">
        <f t="shared" si="81"/>
        <v>9550</v>
      </c>
      <c r="Z164" s="335">
        <f t="shared" si="81"/>
        <v>9650</v>
      </c>
      <c r="AA164" s="335">
        <f t="shared" si="81"/>
        <v>9850</v>
      </c>
      <c r="AB164" s="339">
        <f t="shared" si="82"/>
        <v>22</v>
      </c>
      <c r="AC164" s="339">
        <f t="shared" si="82"/>
        <v>23</v>
      </c>
      <c r="AD164" s="339">
        <f t="shared" si="82"/>
        <v>30</v>
      </c>
      <c r="AE164" s="339">
        <f t="shared" si="82"/>
        <v>33</v>
      </c>
      <c r="AF164" s="336"/>
      <c r="AG164" s="11">
        <v>11</v>
      </c>
      <c r="AH164" s="340">
        <f t="shared" si="83"/>
        <v>11850</v>
      </c>
      <c r="AI164" s="340">
        <f t="shared" si="83"/>
        <v>11850</v>
      </c>
      <c r="AJ164" s="340">
        <f t="shared" si="83"/>
        <v>12000</v>
      </c>
      <c r="AK164" s="340">
        <f t="shared" si="83"/>
        <v>12150</v>
      </c>
      <c r="AL164" s="341">
        <f t="shared" si="84"/>
        <v>19</v>
      </c>
      <c r="AM164" s="341">
        <f t="shared" si="84"/>
        <v>19</v>
      </c>
      <c r="AN164" s="341">
        <f t="shared" si="84"/>
        <v>26</v>
      </c>
      <c r="AO164" s="341">
        <f t="shared" si="84"/>
        <v>29</v>
      </c>
      <c r="AR164" s="2">
        <v>8</v>
      </c>
      <c r="AS164" s="2">
        <f t="shared" si="85"/>
        <v>40045170850.6036</v>
      </c>
      <c r="AT164" s="2">
        <f t="shared" si="85"/>
        <v>153984874.580965</v>
      </c>
      <c r="AU164" s="2">
        <f t="shared" si="85"/>
        <v>180192471.756233</v>
      </c>
      <c r="AV164" s="2">
        <f t="shared" si="85"/>
        <v>40452237170.4393</v>
      </c>
      <c r="AY164" s="2">
        <f t="shared" si="86"/>
        <v>180192471.756233</v>
      </c>
      <c r="AZ164" s="2">
        <f t="shared" si="86"/>
        <v>40452237170.4393</v>
      </c>
    </row>
    <row r="165" ht="20.1" customHeight="1" spans="22:52">
      <c r="V165" s="336"/>
      <c r="W165" s="11">
        <v>12</v>
      </c>
      <c r="X165" s="335">
        <f t="shared" si="81"/>
        <v>7300</v>
      </c>
      <c r="Y165" s="335">
        <f t="shared" si="81"/>
        <v>7300</v>
      </c>
      <c r="Z165" s="335">
        <f t="shared" si="81"/>
        <v>7600</v>
      </c>
      <c r="AA165" s="335">
        <f t="shared" si="81"/>
        <v>7600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9300</v>
      </c>
      <c r="AI165" s="340">
        <f t="shared" si="83"/>
        <v>9300</v>
      </c>
      <c r="AJ165" s="340">
        <f t="shared" si="83"/>
        <v>9600</v>
      </c>
      <c r="AK165" s="340">
        <f t="shared" si="83"/>
        <v>9600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>
        <f t="shared" si="85"/>
        <v>83233135849.1991</v>
      </c>
      <c r="AT165" s="2">
        <f t="shared" si="85"/>
        <v>1190679509.26711</v>
      </c>
      <c r="AU165" s="2">
        <f t="shared" si="85"/>
        <v>180192471.756233</v>
      </c>
      <c r="AV165" s="2">
        <f t="shared" si="85"/>
        <v>71512865543.7677</v>
      </c>
      <c r="AY165" s="2">
        <f t="shared" si="86"/>
        <v>180192471.756233</v>
      </c>
      <c r="AZ165" s="2">
        <f t="shared" si="86"/>
        <v>71512865543.7677</v>
      </c>
    </row>
    <row r="166" ht="20.1" customHeight="1" spans="22:52">
      <c r="V166" s="336"/>
      <c r="W166" s="11">
        <v>13</v>
      </c>
      <c r="X166" s="335">
        <f t="shared" si="81"/>
        <v>8600</v>
      </c>
      <c r="Y166" s="335">
        <f t="shared" si="81"/>
        <v>8600</v>
      </c>
      <c r="Z166" s="335">
        <f t="shared" si="81"/>
        <v>8900</v>
      </c>
      <c r="AA166" s="335">
        <f t="shared" si="81"/>
        <v>8900</v>
      </c>
      <c r="AB166" s="339">
        <f t="shared" si="82"/>
        <v>38</v>
      </c>
      <c r="AC166" s="339">
        <f t="shared" si="82"/>
        <v>38</v>
      </c>
      <c r="AD166" s="339">
        <f t="shared" si="82"/>
        <v>36</v>
      </c>
      <c r="AE166" s="339">
        <f t="shared" si="82"/>
        <v>43</v>
      </c>
      <c r="AF166" s="336"/>
      <c r="AG166" s="11">
        <v>13</v>
      </c>
      <c r="AH166" s="340">
        <f t="shared" si="83"/>
        <v>11320</v>
      </c>
      <c r="AI166" s="340">
        <f t="shared" si="83"/>
        <v>11320</v>
      </c>
      <c r="AJ166" s="340">
        <f t="shared" si="83"/>
        <v>11640</v>
      </c>
      <c r="AK166" s="340">
        <f t="shared" si="83"/>
        <v>11880</v>
      </c>
      <c r="AL166" s="341">
        <f t="shared" si="84"/>
        <v>14</v>
      </c>
      <c r="AM166" s="341">
        <f t="shared" si="84"/>
        <v>14</v>
      </c>
      <c r="AN166" s="341">
        <f t="shared" si="84"/>
        <v>14</v>
      </c>
      <c r="AO166" s="341">
        <f t="shared" si="84"/>
        <v>20</v>
      </c>
      <c r="AR166" s="2">
        <v>10</v>
      </c>
      <c r="AS166" s="2">
        <f t="shared" si="85"/>
        <v>183580615433.224</v>
      </c>
      <c r="AT166" s="2">
        <f t="shared" si="85"/>
        <v>4829777996.79454</v>
      </c>
      <c r="AU166" s="2">
        <f t="shared" si="85"/>
        <v>180192471.756233</v>
      </c>
      <c r="AV166" s="2">
        <f t="shared" si="85"/>
        <v>138674353258.898</v>
      </c>
      <c r="AY166" s="2">
        <f t="shared" si="86"/>
        <v>180192471.756233</v>
      </c>
      <c r="AZ166" s="2">
        <f t="shared" si="86"/>
        <v>138674353258.898</v>
      </c>
    </row>
    <row r="167" ht="19.5" customHeight="1" spans="22:52">
      <c r="V167" s="336"/>
      <c r="W167" s="11">
        <v>14</v>
      </c>
      <c r="X167" s="335">
        <f t="shared" si="81"/>
        <v>7600</v>
      </c>
      <c r="Y167" s="335">
        <f t="shared" si="81"/>
        <v>7600</v>
      </c>
      <c r="Z167" s="335">
        <f t="shared" si="81"/>
        <v>8000</v>
      </c>
      <c r="AA167" s="335">
        <f t="shared" si="81"/>
        <v>8000</v>
      </c>
      <c r="AB167" s="339">
        <f t="shared" si="82"/>
        <v>19</v>
      </c>
      <c r="AC167" s="339">
        <f t="shared" si="82"/>
        <v>19</v>
      </c>
      <c r="AD167" s="339">
        <f t="shared" si="82"/>
        <v>2</v>
      </c>
      <c r="AE167" s="339">
        <f t="shared" si="82"/>
        <v>2</v>
      </c>
      <c r="AF167" s="336"/>
      <c r="AG167" s="11">
        <v>14</v>
      </c>
      <c r="AH167" s="340">
        <f t="shared" si="83"/>
        <v>9600</v>
      </c>
      <c r="AI167" s="340">
        <f t="shared" si="83"/>
        <v>9600</v>
      </c>
      <c r="AJ167" s="340">
        <f t="shared" si="83"/>
        <v>10000</v>
      </c>
      <c r="AK167" s="340">
        <f t="shared" si="83"/>
        <v>10000</v>
      </c>
      <c r="AL167" s="341">
        <f t="shared" si="84"/>
        <v>33</v>
      </c>
      <c r="AM167" s="341">
        <f t="shared" si="84"/>
        <v>33</v>
      </c>
      <c r="AN167" s="341">
        <f t="shared" si="84"/>
        <v>4</v>
      </c>
      <c r="AO167" s="341">
        <f t="shared" si="84"/>
        <v>4</v>
      </c>
      <c r="AR167" s="2">
        <v>11</v>
      </c>
      <c r="AS167" s="2">
        <f t="shared" si="85"/>
        <v>160825008977.173</v>
      </c>
      <c r="AT167" s="2">
        <f t="shared" si="85"/>
        <v>3923559659.90301</v>
      </c>
      <c r="AU167" s="2">
        <f t="shared" si="85"/>
        <v>38642289313.8615</v>
      </c>
      <c r="AV167" s="2">
        <f t="shared" si="85"/>
        <v>20111549607.5278</v>
      </c>
      <c r="AY167" s="2">
        <f t="shared" si="86"/>
        <v>38642289313.8615</v>
      </c>
      <c r="AZ167" s="2">
        <f t="shared" si="86"/>
        <v>20111549607.5278</v>
      </c>
    </row>
    <row r="168" ht="19.5" customHeight="1" spans="22:52">
      <c r="V168" s="336"/>
      <c r="W168" s="11">
        <v>15</v>
      </c>
      <c r="X168" s="335">
        <f t="shared" si="81"/>
        <v>6000</v>
      </c>
      <c r="Y168" s="335">
        <f t="shared" si="81"/>
        <v>6000</v>
      </c>
      <c r="Z168" s="335">
        <f t="shared" si="81"/>
        <v>6000</v>
      </c>
      <c r="AA168" s="335">
        <f t="shared" si="81"/>
        <v>7600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8000</v>
      </c>
      <c r="AI168" s="340">
        <f t="shared" si="83"/>
        <v>8000</v>
      </c>
      <c r="AJ168" s="340">
        <f t="shared" si="83"/>
        <v>8000</v>
      </c>
      <c r="AK168" s="340">
        <f t="shared" si="83"/>
        <v>8000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>
        <f t="shared" si="85"/>
        <v>18877167639.8948</v>
      </c>
      <c r="AT168" s="2">
        <f t="shared" si="85"/>
        <v>10696927.6423547</v>
      </c>
      <c r="AU168" s="2">
        <f t="shared" si="85"/>
        <v>180192471.756233</v>
      </c>
      <c r="AV168" s="2">
        <f t="shared" si="85"/>
        <v>23743233554.7751</v>
      </c>
      <c r="AY168" s="2">
        <f t="shared" si="86"/>
        <v>180192471.756233</v>
      </c>
      <c r="AZ168" s="2">
        <f t="shared" si="86"/>
        <v>23743233554.7751</v>
      </c>
    </row>
    <row r="169" ht="19.5" customHeight="1" spans="22:52">
      <c r="V169" s="336"/>
      <c r="W169" s="11">
        <v>16</v>
      </c>
      <c r="X169" s="335">
        <f t="shared" si="81"/>
        <v>9000</v>
      </c>
      <c r="Y169" s="335">
        <f t="shared" si="81"/>
        <v>9000</v>
      </c>
      <c r="Z169" s="335">
        <f t="shared" si="81"/>
        <v>9300</v>
      </c>
      <c r="AA169" s="335">
        <f t="shared" si="81"/>
        <v>9200</v>
      </c>
      <c r="AB169" s="339">
        <f t="shared" si="82"/>
        <v>29</v>
      </c>
      <c r="AC169" s="339">
        <f t="shared" si="82"/>
        <v>19</v>
      </c>
      <c r="AD169" s="339">
        <f t="shared" si="82"/>
        <v>27</v>
      </c>
      <c r="AE169" s="339">
        <f t="shared" si="82"/>
        <v>15</v>
      </c>
      <c r="AF169" s="336"/>
      <c r="AG169" s="11">
        <v>16</v>
      </c>
      <c r="AH169" s="340">
        <f t="shared" si="83"/>
        <v>11000</v>
      </c>
      <c r="AI169" s="340">
        <f t="shared" si="83"/>
        <v>11000</v>
      </c>
      <c r="AJ169" s="340">
        <f t="shared" si="83"/>
        <v>13000</v>
      </c>
      <c r="AK169" s="340">
        <f t="shared" si="83"/>
        <v>12000</v>
      </c>
      <c r="AL169" s="341">
        <f t="shared" si="84"/>
        <v>29</v>
      </c>
      <c r="AM169" s="341">
        <f t="shared" si="84"/>
        <v>24</v>
      </c>
      <c r="AN169" s="341">
        <f t="shared" si="84"/>
        <v>17</v>
      </c>
      <c r="AO169" s="341">
        <f t="shared" si="84"/>
        <v>8</v>
      </c>
      <c r="AR169" s="2">
        <v>13</v>
      </c>
      <c r="AS169" s="2">
        <f t="shared" si="85"/>
        <v>114680209311.196</v>
      </c>
      <c r="AT169" s="2">
        <f t="shared" si="85"/>
        <v>2212950160.14317</v>
      </c>
      <c r="AU169" s="2">
        <f t="shared" si="85"/>
        <v>154345313.861496</v>
      </c>
      <c r="AV169" s="2">
        <f t="shared" si="85"/>
        <v>92431951728.29</v>
      </c>
      <c r="AY169" s="2">
        <f t="shared" si="86"/>
        <v>154345313.861496</v>
      </c>
      <c r="AZ169" s="2">
        <f t="shared" si="86"/>
        <v>92431951728.29</v>
      </c>
    </row>
    <row r="170" ht="19.5" customHeight="1" spans="22:52">
      <c r="V170" s="336"/>
      <c r="W170" s="11">
        <v>17</v>
      </c>
      <c r="X170" s="335">
        <f t="shared" si="81"/>
        <v>7300</v>
      </c>
      <c r="Y170" s="335">
        <f t="shared" si="81"/>
        <v>7300</v>
      </c>
      <c r="Z170" s="335">
        <f t="shared" si="81"/>
        <v>7600</v>
      </c>
      <c r="AA170" s="335">
        <f t="shared" si="81"/>
        <v>7600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9300</v>
      </c>
      <c r="AI170" s="340">
        <f t="shared" si="83"/>
        <v>9300</v>
      </c>
      <c r="AJ170" s="340">
        <f t="shared" si="83"/>
        <v>9600</v>
      </c>
      <c r="AK170" s="340">
        <f t="shared" si="83"/>
        <v>9600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>
        <f t="shared" si="85"/>
        <v>29377012255.8543</v>
      </c>
      <c r="AT170" s="2">
        <f t="shared" si="85"/>
        <v>27354408.4629018</v>
      </c>
      <c r="AU170" s="2">
        <f t="shared" si="85"/>
        <v>180192471.756233</v>
      </c>
      <c r="AV170" s="2">
        <f t="shared" si="85"/>
        <v>32252810641.4774</v>
      </c>
      <c r="AY170" s="2">
        <f t="shared" si="86"/>
        <v>180192471.756233</v>
      </c>
      <c r="AZ170" s="2">
        <f t="shared" si="86"/>
        <v>32252810641.4774</v>
      </c>
    </row>
    <row r="171" ht="19.5" customHeight="1" spans="22:52">
      <c r="V171" s="336"/>
      <c r="W171" s="11">
        <v>18</v>
      </c>
      <c r="X171" s="335">
        <f t="shared" si="81"/>
        <v>9300</v>
      </c>
      <c r="Y171" s="335">
        <f t="shared" si="81"/>
        <v>9300</v>
      </c>
      <c r="Z171" s="335">
        <f t="shared" si="81"/>
        <v>9800</v>
      </c>
      <c r="AA171" s="335">
        <f t="shared" si="81"/>
        <v>9800</v>
      </c>
      <c r="AB171" s="339">
        <f t="shared" si="82"/>
        <v>14</v>
      </c>
      <c r="AC171" s="339">
        <f t="shared" si="82"/>
        <v>14</v>
      </c>
      <c r="AD171" s="339">
        <f t="shared" si="82"/>
        <v>20</v>
      </c>
      <c r="AE171" s="339">
        <f t="shared" si="82"/>
        <v>32</v>
      </c>
      <c r="AF171" s="336"/>
      <c r="AG171" s="11">
        <v>18</v>
      </c>
      <c r="AH171" s="340">
        <f t="shared" si="83"/>
        <v>11300</v>
      </c>
      <c r="AI171" s="340">
        <f t="shared" si="83"/>
        <v>11300</v>
      </c>
      <c r="AJ171" s="340">
        <f t="shared" si="83"/>
        <v>12000</v>
      </c>
      <c r="AK171" s="340">
        <f t="shared" si="83"/>
        <v>12000</v>
      </c>
      <c r="AL171" s="341">
        <f t="shared" si="84"/>
        <v>14</v>
      </c>
      <c r="AM171" s="341">
        <f t="shared" si="84"/>
        <v>15</v>
      </c>
      <c r="AN171" s="341">
        <f t="shared" si="84"/>
        <v>24</v>
      </c>
      <c r="AO171" s="341">
        <f t="shared" si="84"/>
        <v>37</v>
      </c>
      <c r="AR171" s="2">
        <v>15</v>
      </c>
      <c r="AS171" s="2">
        <f t="shared" si="85"/>
        <v>1422253149862.65</v>
      </c>
      <c r="AT171" s="2">
        <f t="shared" si="85"/>
        <v>1523385846.45785</v>
      </c>
      <c r="AU171" s="2">
        <f t="shared" si="85"/>
        <v>180192471.756233</v>
      </c>
      <c r="AV171" s="2">
        <f t="shared" si="85"/>
        <v>1299892779287.77</v>
      </c>
      <c r="AY171" s="2">
        <f t="shared" si="86"/>
        <v>180192471.756233</v>
      </c>
      <c r="AZ171" s="2">
        <f t="shared" si="86"/>
        <v>1299892779287.77</v>
      </c>
    </row>
    <row r="172" ht="19.5" customHeight="1" spans="22:52">
      <c r="V172" s="336"/>
      <c r="W172" s="11">
        <v>19</v>
      </c>
      <c r="X172" s="335">
        <f t="shared" si="81"/>
        <v>7350</v>
      </c>
      <c r="Y172" s="335">
        <f t="shared" si="81"/>
        <v>7350</v>
      </c>
      <c r="Z172" s="335">
        <f t="shared" si="81"/>
        <v>7650</v>
      </c>
      <c r="AA172" s="335">
        <f t="shared" si="81"/>
        <v>7650</v>
      </c>
      <c r="AB172" s="339">
        <f t="shared" si="82"/>
        <v>33</v>
      </c>
      <c r="AC172" s="339">
        <f t="shared" si="82"/>
        <v>14</v>
      </c>
      <c r="AD172" s="339">
        <f t="shared" si="82"/>
        <v>14</v>
      </c>
      <c r="AE172" s="339">
        <f t="shared" si="82"/>
        <v>10</v>
      </c>
      <c r="AF172" s="336"/>
      <c r="AG172" s="11">
        <v>19</v>
      </c>
      <c r="AH172" s="340">
        <f t="shared" si="83"/>
        <v>9350</v>
      </c>
      <c r="AI172" s="340">
        <f t="shared" si="83"/>
        <v>9350</v>
      </c>
      <c r="AJ172" s="340">
        <f t="shared" si="83"/>
        <v>9650</v>
      </c>
      <c r="AK172" s="340">
        <f t="shared" si="83"/>
        <v>9650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>
        <f t="shared" si="85"/>
        <v>87862709022.4467</v>
      </c>
      <c r="AT172" s="2">
        <f t="shared" si="85"/>
        <v>1331151883.7442</v>
      </c>
      <c r="AU172" s="2">
        <f t="shared" si="85"/>
        <v>180192471.756233</v>
      </c>
      <c r="AV172" s="2">
        <f t="shared" si="85"/>
        <v>74722997172.1275</v>
      </c>
      <c r="AY172" s="2">
        <f t="shared" si="86"/>
        <v>180192471.756233</v>
      </c>
      <c r="AZ172" s="2">
        <f t="shared" si="86"/>
        <v>74722997172.1275</v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>
        <f t="shared" si="85"/>
        <v>15929841338.0038</v>
      </c>
      <c r="AT173" s="2">
        <f t="shared" si="85"/>
        <v>36793878.5595968</v>
      </c>
      <c r="AU173" s="2">
        <f t="shared" si="85"/>
        <v>180192471.756233</v>
      </c>
      <c r="AV173" s="2">
        <f t="shared" si="85"/>
        <v>21229319117.78</v>
      </c>
      <c r="AY173" s="2">
        <f t="shared" si="86"/>
        <v>180192471.756233</v>
      </c>
      <c r="AZ173" s="2">
        <f t="shared" si="86"/>
        <v>21229319117.78</v>
      </c>
    </row>
    <row r="174" ht="19.5" customHeight="1" spans="44:52">
      <c r="AR174" s="2">
        <v>18</v>
      </c>
      <c r="AS174" s="2">
        <f t="shared" ref="AS174:AV176" si="87">IF(AS149="","",(AS149-AS$153)^2)</f>
        <v>2045785941.83868</v>
      </c>
      <c r="AT174" s="2">
        <f t="shared" si="87"/>
        <v>692299020.525218</v>
      </c>
      <c r="AU174" s="2">
        <f t="shared" si="87"/>
        <v>611742116.966759</v>
      </c>
      <c r="AV174" s="2">
        <f t="shared" si="87"/>
        <v>2191037101.14137</v>
      </c>
      <c r="AY174" s="2">
        <f t="shared" ref="AY174:AZ176" si="88">IF(AY149="","",(AY149-AY$153)^2)</f>
        <v>611742116.966759</v>
      </c>
      <c r="AZ174" s="2">
        <f t="shared" si="88"/>
        <v>2191037101.14137</v>
      </c>
    </row>
    <row r="175" ht="19.5" customHeight="1" spans="44:52">
      <c r="AR175" s="2">
        <v>19</v>
      </c>
      <c r="AS175" s="2">
        <f t="shared" si="87"/>
        <v>2807551668.84468</v>
      </c>
      <c r="AT175" s="2">
        <f t="shared" si="87"/>
        <v>1523385846.45785</v>
      </c>
      <c r="AU175" s="2">
        <f t="shared" si="87"/>
        <v>180192471.756233</v>
      </c>
      <c r="AV175" s="2">
        <f t="shared" si="87"/>
        <v>283209.950531416</v>
      </c>
      <c r="AY175" s="2">
        <f t="shared" si="88"/>
        <v>180192471.756233</v>
      </c>
      <c r="AZ175" s="2">
        <f t="shared" si="88"/>
        <v>283209.950531416</v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461118.040659215</v>
      </c>
      <c r="AT178" s="2">
        <f>(SUM(AT157:AT176)/比赛参数!$G$4)^0.5</f>
        <v>39253.9446698279</v>
      </c>
      <c r="AU178" s="2">
        <f>(SUM(AU157:AU176)/比赛参数!$G$4)^0.5</f>
        <v>47110.1752148098</v>
      </c>
      <c r="AV178" s="2">
        <f>(SUM(AV157:AV176)/比赛参数!$G$4)^0.5</f>
        <v>429527.758854086</v>
      </c>
      <c r="AY178" s="2">
        <f>(SUM(AY157:AY176)/比赛参数!$G$4)^0.5</f>
        <v>47110.1752148098</v>
      </c>
      <c r="AZ178" s="2">
        <f>(SUM(AZ157:AZ176)/比赛参数!$G$4)^0.5</f>
        <v>429527.758854086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>
        <f t="shared" ref="AS183:AV198" si="89">IF(AS132="","",(AS132-AS$153)/AS$178*AS$181)</f>
        <v>-0.0466650641484469</v>
      </c>
      <c r="AT183" s="318">
        <f t="shared" si="89"/>
        <v>-0.119317157399901</v>
      </c>
      <c r="AU183" s="318">
        <f t="shared" si="89"/>
        <v>-0.0341928143196084</v>
      </c>
      <c r="AV183" s="318">
        <f t="shared" si="89"/>
        <v>-0.0205384126544696</v>
      </c>
    </row>
    <row r="184" customHeight="1" spans="44:48">
      <c r="AR184" s="347">
        <v>2</v>
      </c>
      <c r="AS184" s="318">
        <f t="shared" si="89"/>
        <v>0.0256817994709158</v>
      </c>
      <c r="AT184" s="318">
        <f t="shared" si="89"/>
        <v>-0.0697496345339616</v>
      </c>
      <c r="AU184" s="318">
        <f t="shared" si="89"/>
        <v>-0.0341928143196084</v>
      </c>
      <c r="AV184" s="318">
        <f t="shared" si="89"/>
        <v>0.0355558953462039</v>
      </c>
    </row>
    <row r="185" customHeight="1" spans="44:48">
      <c r="AR185" s="347">
        <v>3</v>
      </c>
      <c r="AS185" s="318">
        <f t="shared" si="89"/>
        <v>0.000958451011805464</v>
      </c>
      <c r="AT185" s="318">
        <f t="shared" si="89"/>
        <v>-0.113313602802211</v>
      </c>
      <c r="AU185" s="318">
        <f t="shared" si="89"/>
        <v>-0.0191871388625201</v>
      </c>
      <c r="AV185" s="318">
        <f t="shared" si="89"/>
        <v>0.017436483411657</v>
      </c>
    </row>
    <row r="186" customHeight="1" spans="44:48">
      <c r="AR186" s="347">
        <v>4</v>
      </c>
      <c r="AS186" s="318">
        <f t="shared" si="89"/>
        <v>-0.0741517744534273</v>
      </c>
      <c r="AT186" s="318">
        <f t="shared" si="89"/>
        <v>-0.119317157399901</v>
      </c>
      <c r="AU186" s="318">
        <f t="shared" si="89"/>
        <v>-0.0341928143196084</v>
      </c>
      <c r="AV186" s="318">
        <f t="shared" si="89"/>
        <v>-0.044145019191498</v>
      </c>
    </row>
    <row r="187" customHeight="1" spans="44:48">
      <c r="AR187" s="347">
        <v>5</v>
      </c>
      <c r="AS187" s="318">
        <f t="shared" si="89"/>
        <v>0.17266942524913</v>
      </c>
      <c r="AT187" s="318">
        <f t="shared" si="89"/>
        <v>0.189251015859643</v>
      </c>
      <c r="AU187" s="318">
        <f t="shared" si="89"/>
        <v>-0.0341928143196084</v>
      </c>
      <c r="AV187" s="318">
        <f t="shared" si="89"/>
        <v>0.130234728929611</v>
      </c>
    </row>
    <row r="188" customHeight="1" spans="44:48">
      <c r="AR188" s="347">
        <v>6</v>
      </c>
      <c r="AS188" s="318">
        <f t="shared" si="89"/>
        <v>-0.560463421855936</v>
      </c>
      <c r="AT188" s="318">
        <f t="shared" si="89"/>
        <v>-0.119317157399901</v>
      </c>
      <c r="AU188" s="318">
        <f t="shared" si="89"/>
        <v>-0.0341928143196084</v>
      </c>
      <c r="AV188" s="318">
        <f t="shared" si="89"/>
        <v>-0.461807573245292</v>
      </c>
    </row>
    <row r="189" customHeight="1" spans="44:48">
      <c r="AR189" s="347">
        <v>7</v>
      </c>
      <c r="AS189" s="318">
        <f t="shared" si="89"/>
        <v>-0.033227194766582</v>
      </c>
      <c r="AT189" s="318">
        <f t="shared" si="89"/>
        <v>-0.119317157399901</v>
      </c>
      <c r="AU189" s="318">
        <f t="shared" si="89"/>
        <v>-0.0341928143196084</v>
      </c>
      <c r="AV189" s="318">
        <f t="shared" si="89"/>
        <v>-0.00899747007784768</v>
      </c>
    </row>
    <row r="190" customHeight="1" spans="44:48">
      <c r="AR190" s="347">
        <v>8</v>
      </c>
      <c r="AS190" s="318">
        <f t="shared" si="89"/>
        <v>0.086794650227554</v>
      </c>
      <c r="AT190" s="318">
        <f t="shared" si="89"/>
        <v>0.0379347277780143</v>
      </c>
      <c r="AU190" s="318">
        <f t="shared" si="89"/>
        <v>-0.0341928143196084</v>
      </c>
      <c r="AV190" s="318">
        <f t="shared" si="89"/>
        <v>0.0749203882141583</v>
      </c>
    </row>
    <row r="191" customHeight="1" spans="44:48">
      <c r="AR191" s="347">
        <v>9</v>
      </c>
      <c r="AS191" s="318">
        <f t="shared" si="89"/>
        <v>0.125131315552398</v>
      </c>
      <c r="AT191" s="318">
        <f t="shared" si="89"/>
        <v>0.105486134962785</v>
      </c>
      <c r="AU191" s="318">
        <f t="shared" si="89"/>
        <v>-0.0341928143196084</v>
      </c>
      <c r="AV191" s="318">
        <f t="shared" si="89"/>
        <v>0.0996141049329488</v>
      </c>
    </row>
    <row r="192" customHeight="1" spans="44:48">
      <c r="AR192" s="347">
        <v>10</v>
      </c>
      <c r="AS192" s="318">
        <f t="shared" si="89"/>
        <v>0.185836617734854</v>
      </c>
      <c r="AT192" s="318">
        <f t="shared" si="89"/>
        <v>0.212452342698524</v>
      </c>
      <c r="AU192" s="318">
        <f t="shared" si="89"/>
        <v>-0.0341928143196084</v>
      </c>
      <c r="AV192" s="318">
        <f t="shared" si="89"/>
        <v>0.138716084383142</v>
      </c>
    </row>
    <row r="193" customHeight="1" spans="44:48">
      <c r="AR193" s="347">
        <v>11</v>
      </c>
      <c r="AS193" s="318">
        <f t="shared" si="89"/>
        <v>0.17393808088265</v>
      </c>
      <c r="AT193" s="318">
        <f t="shared" si="89"/>
        <v>0.191486459984765</v>
      </c>
      <c r="AU193" s="318">
        <f t="shared" si="89"/>
        <v>0.500723472556734</v>
      </c>
      <c r="AV193" s="318">
        <f t="shared" si="89"/>
        <v>0.0528264606288542</v>
      </c>
    </row>
    <row r="194" customHeight="1" spans="44:48">
      <c r="AR194" s="347">
        <v>12</v>
      </c>
      <c r="AS194" s="318">
        <f t="shared" si="89"/>
        <v>0.0595917718017447</v>
      </c>
      <c r="AT194" s="318">
        <f t="shared" si="89"/>
        <v>-0.00999833005416433</v>
      </c>
      <c r="AU194" s="318">
        <f t="shared" si="89"/>
        <v>-0.0341928143196084</v>
      </c>
      <c r="AV194" s="318">
        <f t="shared" si="89"/>
        <v>0.0573982536259792</v>
      </c>
    </row>
    <row r="195" customHeight="1" spans="44:48">
      <c r="AR195" s="347">
        <v>13</v>
      </c>
      <c r="AS195" s="318">
        <f t="shared" si="89"/>
        <v>0.146879816187209</v>
      </c>
      <c r="AT195" s="318">
        <f t="shared" si="89"/>
        <v>0.143808235140306</v>
      </c>
      <c r="AU195" s="318">
        <f t="shared" si="89"/>
        <v>-0.0316455939059115</v>
      </c>
      <c r="AV195" s="318">
        <f t="shared" si="89"/>
        <v>0.113250416624715</v>
      </c>
    </row>
    <row r="196" customHeight="1" spans="44:48">
      <c r="AR196" s="347">
        <v>14</v>
      </c>
      <c r="AS196" s="318">
        <f t="shared" si="89"/>
        <v>0.0743398523372142</v>
      </c>
      <c r="AT196" s="318">
        <f t="shared" si="89"/>
        <v>0.0159886429387457</v>
      </c>
      <c r="AU196" s="318">
        <f t="shared" si="89"/>
        <v>-0.0341928143196084</v>
      </c>
      <c r="AV196" s="318">
        <f t="shared" si="89"/>
        <v>0.0668979069449776</v>
      </c>
    </row>
    <row r="197" ht="19.5" customHeight="1" spans="44:48">
      <c r="AR197" s="347">
        <v>15</v>
      </c>
      <c r="AS197" s="318">
        <f t="shared" si="89"/>
        <v>-0.517256949232315</v>
      </c>
      <c r="AT197" s="318">
        <f t="shared" si="89"/>
        <v>-0.119317157399901</v>
      </c>
      <c r="AU197" s="318">
        <f t="shared" si="89"/>
        <v>-0.0341928143196084</v>
      </c>
      <c r="AV197" s="318">
        <f t="shared" si="89"/>
        <v>-0.424700245787524</v>
      </c>
    </row>
    <row r="198" ht="19.5" customHeight="1" spans="44:48">
      <c r="AR198" s="347">
        <v>16</v>
      </c>
      <c r="AS198" s="318">
        <f t="shared" si="89"/>
        <v>0.128564236974724</v>
      </c>
      <c r="AT198" s="318">
        <f t="shared" si="89"/>
        <v>0.111535147412291</v>
      </c>
      <c r="AU198" s="318">
        <f t="shared" si="89"/>
        <v>-0.0341928143196084</v>
      </c>
      <c r="AV198" s="318">
        <f t="shared" si="89"/>
        <v>0.101825344556982</v>
      </c>
    </row>
    <row r="199" ht="19.5" customHeight="1" spans="44:48">
      <c r="AR199" s="347">
        <v>17</v>
      </c>
      <c r="AS199" s="318">
        <f t="shared" ref="AS199:AV202" si="90">IF(AS148="","",(AS148-AS$153)/AS$178*AS$181)</f>
        <v>0.0547423714252094</v>
      </c>
      <c r="AT199" s="318">
        <f>IF(AT148="","",(AT148-AT$153)/AT$178*AT$181)</f>
        <v>-0.018543244528908</v>
      </c>
      <c r="AU199" s="318">
        <f>IF(AU148="","",(AU148-AU$153)/AU$178*AU$181)</f>
        <v>-0.0341928143196084</v>
      </c>
      <c r="AV199" s="318">
        <f>IF(AV148="","",(AV148-AV$153)/AV$178*AV$181)</f>
        <v>0.054274618488685</v>
      </c>
    </row>
    <row r="200" ht="19.5" customHeight="1" spans="44:48">
      <c r="AR200" s="347">
        <v>18</v>
      </c>
      <c r="AS200" s="318">
        <f t="shared" si="90"/>
        <v>0.0196176949392379</v>
      </c>
      <c r="AT200" s="318">
        <f t="shared" si="90"/>
        <v>-0.0804349504564247</v>
      </c>
      <c r="AU200" s="318">
        <f t="shared" si="90"/>
        <v>0.0630014750058231</v>
      </c>
      <c r="AV200" s="318">
        <f t="shared" si="90"/>
        <v>0.0174362710854495</v>
      </c>
    </row>
    <row r="201" ht="19.5" customHeight="1" spans="44:48">
      <c r="AR201" s="347">
        <v>19</v>
      </c>
      <c r="AS201" s="318">
        <f t="shared" si="90"/>
        <v>-0.0229816793379382</v>
      </c>
      <c r="AT201" s="318">
        <f t="shared" si="90"/>
        <v>-0.119317157399901</v>
      </c>
      <c r="AU201" s="318">
        <f t="shared" si="90"/>
        <v>-0.0341928143196084</v>
      </c>
      <c r="AV201" s="318">
        <f t="shared" si="90"/>
        <v>-0.0001982362167271</v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111</v>
      </c>
      <c r="Z231" s="65">
        <f>G25</f>
        <v>111</v>
      </c>
      <c r="AA231" s="65">
        <f>G26</f>
        <v>158</v>
      </c>
      <c r="AB231" s="65">
        <f>G27</f>
        <v>141</v>
      </c>
      <c r="AC231" s="65">
        <f>G28</f>
        <v>34</v>
      </c>
      <c r="AD231" s="65">
        <f>G29</f>
        <v>35</v>
      </c>
      <c r="AE231" s="65">
        <f>G30</f>
        <v>66</v>
      </c>
      <c r="AF231" s="65">
        <f>G31</f>
        <v>67</v>
      </c>
      <c r="AG231" s="65">
        <f>G32</f>
        <v>22</v>
      </c>
      <c r="AH231" s="65">
        <f>G33</f>
        <v>23</v>
      </c>
      <c r="AI231" s="65">
        <f>G34</f>
        <v>30</v>
      </c>
      <c r="AJ231" s="65">
        <f>G35</f>
        <v>33</v>
      </c>
      <c r="AK231" s="65">
        <f>G36</f>
        <v>19</v>
      </c>
      <c r="AL231" s="65">
        <f>G37</f>
        <v>19</v>
      </c>
      <c r="AM231" s="65">
        <f>G38</f>
        <v>26</v>
      </c>
      <c r="AN231" s="65">
        <f>G39</f>
        <v>29</v>
      </c>
    </row>
    <row r="232" customHeight="1" spans="24:40">
      <c r="X232" s="11" t="s">
        <v>406</v>
      </c>
      <c r="Y232" s="65">
        <f t="shared" ref="Y232:AF232" si="91">INT(Y231/DS37+0.5)</f>
        <v>1225</v>
      </c>
      <c r="Z232" s="65">
        <f t="shared" si="91"/>
        <v>1283</v>
      </c>
      <c r="AA232" s="65">
        <f t="shared" si="91"/>
        <v>1717</v>
      </c>
      <c r="AB232" s="65">
        <f t="shared" si="91"/>
        <v>1822</v>
      </c>
      <c r="AC232" s="65">
        <f t="shared" si="91"/>
        <v>916</v>
      </c>
      <c r="AD232" s="65">
        <f t="shared" si="91"/>
        <v>919</v>
      </c>
      <c r="AE232" s="65">
        <f t="shared" si="91"/>
        <v>1181</v>
      </c>
      <c r="AF232" s="65">
        <f t="shared" si="91"/>
        <v>1161</v>
      </c>
      <c r="AG232" s="65">
        <f t="shared" ref="AG232:AN232" si="92">IF(EA37&gt;0,INT(AG231/EA37+0.5),0)</f>
        <v>336</v>
      </c>
      <c r="AH232" s="65">
        <f t="shared" si="92"/>
        <v>324</v>
      </c>
      <c r="AI232" s="65">
        <f t="shared" si="92"/>
        <v>338</v>
      </c>
      <c r="AJ232" s="65">
        <f t="shared" si="92"/>
        <v>391</v>
      </c>
      <c r="AK232" s="65">
        <f t="shared" si="92"/>
        <v>293</v>
      </c>
      <c r="AL232" s="65">
        <f t="shared" si="92"/>
        <v>318</v>
      </c>
      <c r="AM232" s="65">
        <f t="shared" si="92"/>
        <v>364</v>
      </c>
      <c r="AN232" s="65">
        <f t="shared" si="92"/>
        <v>336</v>
      </c>
    </row>
    <row r="233" customHeight="1" spans="24:40">
      <c r="X233" s="11" t="s">
        <v>407</v>
      </c>
      <c r="Y233" s="113">
        <f>SUM(AB131:AB150)/比赛参数!$G$4</f>
        <v>64.4736842105263</v>
      </c>
      <c r="Z233" s="113">
        <f>SUM(AC131:AC150)/比赛参数!$G$4</f>
        <v>67.5263157894737</v>
      </c>
      <c r="AA233" s="113">
        <f>SUM(AD131:AD150)/比赛参数!$G$4</f>
        <v>90.3684210526316</v>
      </c>
      <c r="AB233" s="113">
        <f>SUM(AE131:AE150)/比赛参数!$G$4</f>
        <v>95.8421052631579</v>
      </c>
      <c r="AC233" s="113">
        <f>SUM(AL131:AL150)/比赛参数!$G$4</f>
        <v>48.2631578947368</v>
      </c>
      <c r="AD233" s="113">
        <f>SUM(AM131:AM150)/比赛参数!$G$4</f>
        <v>48.3157894736842</v>
      </c>
      <c r="AE233" s="113">
        <f>SUM(AN131:AN150)/比赛参数!$G$4</f>
        <v>62.1052631578947</v>
      </c>
      <c r="AF233" s="113">
        <f>SUM(AO131:AO150)/比赛参数!$G$4</f>
        <v>61.1052631578947</v>
      </c>
      <c r="AG233" s="113">
        <f>SUM(AB154:AB173)/比赛参数!$G$4</f>
        <v>17.6842105263158</v>
      </c>
      <c r="AH233" s="113">
        <f>SUM(AC154:AC173)/比赛参数!$G$4</f>
        <v>17.0526315789474</v>
      </c>
      <c r="AI233" s="113">
        <f>SUM(AD154:AD173)/比赛参数!$G$4</f>
        <v>17.7894736842105</v>
      </c>
      <c r="AJ233" s="113">
        <f>SUM(AE154:AE173)/比赛参数!$G$4</f>
        <v>20.5789473684211</v>
      </c>
      <c r="AK233" s="113">
        <f>SUM(AL154:AL173)/比赛参数!$G$4</f>
        <v>15.4210526315789</v>
      </c>
      <c r="AL233" s="113">
        <f>SUM(AM154:AM173)/比赛参数!$G$4</f>
        <v>16.7368421052632</v>
      </c>
      <c r="AM233" s="113">
        <f>SUM(AN154:AN173)/比赛参数!$G$4</f>
        <v>19.1578947368421</v>
      </c>
      <c r="AN233" s="113">
        <f>SUM(AO154:AO173)/比赛参数!$G$4</f>
        <v>17.6842105263158</v>
      </c>
    </row>
    <row r="234" customHeight="1" spans="24:40">
      <c r="X234" s="11" t="s">
        <v>408</v>
      </c>
      <c r="Y234" s="304">
        <f t="shared" ref="Y234:AN234" si="93">SUMPRODUCT(D50:D69,D73:D92)</f>
        <v>3208.7564</v>
      </c>
      <c r="Z234" s="304">
        <f t="shared" si="93"/>
        <v>3215.9177</v>
      </c>
      <c r="AA234" s="304">
        <f t="shared" si="93"/>
        <v>3454.8596</v>
      </c>
      <c r="AB234" s="304">
        <f t="shared" si="93"/>
        <v>3468.4814</v>
      </c>
      <c r="AC234" s="304">
        <f t="shared" si="93"/>
        <v>6254.8965</v>
      </c>
      <c r="AD234" s="304">
        <f t="shared" si="93"/>
        <v>6400.9667</v>
      </c>
      <c r="AE234" s="304">
        <f t="shared" si="93"/>
        <v>6776.5376</v>
      </c>
      <c r="AF234" s="304">
        <f t="shared" si="93"/>
        <v>6885.8934</v>
      </c>
      <c r="AG234" s="304">
        <f t="shared" si="93"/>
        <v>8782.8577</v>
      </c>
      <c r="AH234" s="304">
        <f t="shared" si="93"/>
        <v>8867.4212</v>
      </c>
      <c r="AI234" s="304">
        <f t="shared" si="93"/>
        <v>9266.9984</v>
      </c>
      <c r="AJ234" s="304">
        <f t="shared" si="93"/>
        <v>9347.6031</v>
      </c>
      <c r="AK234" s="304">
        <f t="shared" si="93"/>
        <v>10945.8978</v>
      </c>
      <c r="AL234" s="304">
        <f t="shared" si="93"/>
        <v>10936.8107</v>
      </c>
      <c r="AM234" s="304">
        <f t="shared" si="93"/>
        <v>11922.4352</v>
      </c>
      <c r="AN234" s="304">
        <f t="shared" si="93"/>
        <v>12002.6669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-58.7563999999993</v>
      </c>
      <c r="Z235" s="113">
        <f t="shared" si="94"/>
        <v>-65.9176999999995</v>
      </c>
      <c r="AA235" s="113">
        <f t="shared" si="94"/>
        <v>-74.8596000000011</v>
      </c>
      <c r="AB235" s="113">
        <f t="shared" si="94"/>
        <v>-18.4814000000006</v>
      </c>
      <c r="AC235" s="113">
        <f t="shared" si="94"/>
        <v>745.103499999999</v>
      </c>
      <c r="AD235" s="113">
        <f t="shared" si="94"/>
        <v>599.033299999999</v>
      </c>
      <c r="AE235" s="113">
        <f t="shared" si="94"/>
        <v>523.462399999999</v>
      </c>
      <c r="AF235" s="113">
        <f t="shared" si="94"/>
        <v>514.1066</v>
      </c>
      <c r="AG235" s="113">
        <f t="shared" si="94"/>
        <v>767.142300000001</v>
      </c>
      <c r="AH235" s="113">
        <f t="shared" si="94"/>
        <v>682.578800000001</v>
      </c>
      <c r="AI235" s="113">
        <f t="shared" si="94"/>
        <v>383.0016</v>
      </c>
      <c r="AJ235" s="113">
        <f t="shared" si="94"/>
        <v>502.3969</v>
      </c>
      <c r="AK235" s="113">
        <f t="shared" si="94"/>
        <v>904.102200000001</v>
      </c>
      <c r="AL235" s="113">
        <f t="shared" si="94"/>
        <v>913.1893</v>
      </c>
      <c r="AM235" s="113">
        <f t="shared" si="94"/>
        <v>77.5648000000019</v>
      </c>
      <c r="AN235" s="113">
        <f t="shared" si="94"/>
        <v>147.333099999998</v>
      </c>
    </row>
    <row r="236" customHeight="1" spans="24:40">
      <c r="X236" s="2" t="s">
        <v>410</v>
      </c>
      <c r="Y236" s="114">
        <f t="shared" ref="Y236:AN236" si="95">Y235/Y234</f>
        <v>-0.0183112685026508</v>
      </c>
      <c r="Z236" s="114">
        <f t="shared" si="95"/>
        <v>-0.0204973218064627</v>
      </c>
      <c r="AA236" s="114">
        <f t="shared" si="95"/>
        <v>-0.0216679137988708</v>
      </c>
      <c r="AB236" s="114">
        <f t="shared" si="95"/>
        <v>-0.00532838377048831</v>
      </c>
      <c r="AC236" s="114">
        <f t="shared" si="95"/>
        <v>0.119123234093482</v>
      </c>
      <c r="AD236" s="114">
        <f t="shared" si="95"/>
        <v>0.0935848174307795</v>
      </c>
      <c r="AE236" s="114">
        <f t="shared" si="95"/>
        <v>0.0772462916755599</v>
      </c>
      <c r="AF236" s="114">
        <f t="shared" si="95"/>
        <v>0.0746608421210819</v>
      </c>
      <c r="AG236" s="114">
        <f t="shared" si="95"/>
        <v>0.0873454092282517</v>
      </c>
      <c r="AH236" s="114">
        <f t="shared" si="95"/>
        <v>0.0769760209428195</v>
      </c>
      <c r="AI236" s="114">
        <f t="shared" si="95"/>
        <v>0.0413296283724404</v>
      </c>
      <c r="AJ236" s="114">
        <f t="shared" si="95"/>
        <v>0.053746066732337</v>
      </c>
      <c r="AK236" s="114">
        <f t="shared" si="95"/>
        <v>0.0825973544171042</v>
      </c>
      <c r="AL236" s="114">
        <f t="shared" si="95"/>
        <v>0.083496855257813</v>
      </c>
      <c r="AM236" s="114">
        <f t="shared" si="95"/>
        <v>0.00650578499264999</v>
      </c>
      <c r="AN236" s="114">
        <f t="shared" si="95"/>
        <v>0.0122750303101387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(第十期!#REF!-$BE$54)&lt;0</formula>
    </cfRule>
  </conditionalFormatting>
  <conditionalFormatting sqref="BF132:BF133">
    <cfRule type="expression" dxfId="6" priority="26" stopIfTrue="1">
      <formula>(第十期!#REF!-$BF$54)&lt;0</formula>
    </cfRule>
  </conditionalFormatting>
  <conditionalFormatting sqref="BG132:BG133">
    <cfRule type="expression" dxfId="6" priority="25" stopIfTrue="1">
      <formula>(第十期!#REF!-$BG$54)&lt;0</formula>
    </cfRule>
  </conditionalFormatting>
  <conditionalFormatting sqref="BH132:BH133">
    <cfRule type="expression" dxfId="6" priority="24" stopIfTrue="1">
      <formula>(第十期!#REF!-$BH$54)&lt;0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55" zoomScaleNormal="55" topLeftCell="U54" workbookViewId="0">
      <selection activeCell="N42" sqref="N42:P45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260</v>
      </c>
      <c r="E4" s="9">
        <v>8</v>
      </c>
      <c r="F4" s="10"/>
      <c r="G4" s="11" t="s">
        <v>153</v>
      </c>
      <c r="H4" s="353">
        <v>3583785</v>
      </c>
      <c r="W4" s="43">
        <f>AC4-X4</f>
        <v>141.5</v>
      </c>
      <c r="X4" s="32">
        <f>SUM(AF70:AF73)</f>
        <v>294</v>
      </c>
      <c r="Y4" s="67">
        <f>AVERAGE(Y76:Y79)</f>
        <v>0.071570093223023</v>
      </c>
      <c r="Z4" s="67">
        <f>1/比赛参数!$G$4</f>
        <v>0.0526315789473684</v>
      </c>
      <c r="AA4" s="68">
        <f>(AC4-X4)/X4</f>
        <v>0.481292517006803</v>
      </c>
      <c r="AB4" s="69">
        <f>SUM(Y232:AB232)/比赛参数!$G$4</f>
        <v>317.105263157895</v>
      </c>
      <c r="AC4" s="70">
        <f>AN4+SUM(Y57:Y60)-SUM(AF57:AF60)-SUM(Y108:Y111)</f>
        <v>435.5</v>
      </c>
      <c r="AD4" s="2">
        <v>571</v>
      </c>
      <c r="AE4" s="71">
        <f>DK29</f>
        <v>14.6526642335766</v>
      </c>
      <c r="AF4" s="72">
        <f>DK41</f>
        <v>19.5013503649635</v>
      </c>
      <c r="AG4" s="71">
        <f>DQ29</f>
        <v>12.2105535279805</v>
      </c>
      <c r="AH4" s="77">
        <f>DK35*15</f>
        <v>11.2677394298985</v>
      </c>
      <c r="AJ4" s="72">
        <f>DD29</f>
        <v>6.95355605465094</v>
      </c>
      <c r="AK4" s="77">
        <f>DD35*15</f>
        <v>3.82678490005312</v>
      </c>
      <c r="AL4" s="132">
        <f>CJ24/比赛参数!D26</f>
        <v>19.6703583643344</v>
      </c>
      <c r="AM4" s="32">
        <f>AF68</f>
        <v>435</v>
      </c>
      <c r="AN4" s="32">
        <f>Y93</f>
        <v>411.5</v>
      </c>
      <c r="AO4" s="32">
        <f>AC9+D42-Y92</f>
        <v>108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214</v>
      </c>
      <c r="E5" s="9">
        <v>10</v>
      </c>
      <c r="F5" s="10"/>
      <c r="G5" s="11" t="s">
        <v>155</v>
      </c>
      <c r="H5" s="13">
        <v>120000</v>
      </c>
      <c r="M5" s="27"/>
      <c r="N5" s="28"/>
      <c r="O5" s="29"/>
      <c r="P5" s="29"/>
      <c r="Q5" s="44"/>
      <c r="W5" s="43">
        <f>AC5-X5</f>
        <v>190.75</v>
      </c>
      <c r="X5" s="32">
        <f>SUM(AG70:AG73)</f>
        <v>190</v>
      </c>
      <c r="Y5" s="67">
        <f>AVERAGE(Z76:Z79)</f>
        <v>0.107970554098245</v>
      </c>
      <c r="Z5" s="67">
        <f>1/比赛参数!$G$4</f>
        <v>0.0526315789473684</v>
      </c>
      <c r="AA5" s="68">
        <f>(AC5-X5)/X5</f>
        <v>1.00394736842105</v>
      </c>
      <c r="AB5" s="69">
        <f>SUM(AC232:AF232)/比赛参数!$G$4</f>
        <v>183.421052631579</v>
      </c>
      <c r="AC5" s="70">
        <f>AN5+SUM(Z57:Z60)-SUM(AG57:AG60)-SUM(Z108:Z111)</f>
        <v>380.75</v>
      </c>
      <c r="AD5" s="2">
        <v>679.25</v>
      </c>
      <c r="AE5" s="71">
        <f>DK30</f>
        <v>13.3022857142857</v>
      </c>
      <c r="AF5" s="72">
        <f>DK42</f>
        <v>14.4337142857143</v>
      </c>
      <c r="AG5" s="71">
        <f>DQ30</f>
        <v>22.1704761904762</v>
      </c>
      <c r="AH5" s="77">
        <f>DK36*15</f>
        <v>13.8289379093465</v>
      </c>
      <c r="AJ5" s="72">
        <f>DD30</f>
        <v>5.60938373626374</v>
      </c>
      <c r="AK5" s="77">
        <f>DD36*15</f>
        <v>3.80181488995481</v>
      </c>
      <c r="AL5" s="132">
        <f>CK24/比赛参数!E26</f>
        <v>16.4156429014462</v>
      </c>
      <c r="AM5" s="32">
        <f>AG68</f>
        <v>380</v>
      </c>
      <c r="AN5" s="32">
        <f>Z93</f>
        <v>350.75</v>
      </c>
      <c r="AO5" s="32">
        <f>AC10+D43-Z92</f>
        <v>98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200738</v>
      </c>
      <c r="E6" s="9">
        <v>15</v>
      </c>
      <c r="F6" s="10"/>
      <c r="M6" s="30"/>
      <c r="N6" s="354" t="s">
        <v>162</v>
      </c>
      <c r="O6" s="32">
        <f>K8+Y18-AA18</f>
        <v>342</v>
      </c>
      <c r="P6" s="33" t="s">
        <v>163</v>
      </c>
      <c r="Q6" s="32">
        <f>AH15</f>
        <v>2014236</v>
      </c>
      <c r="W6" s="43">
        <f>AC6-X6</f>
        <v>-4</v>
      </c>
      <c r="X6" s="32">
        <f>SUM(AH70:AH73)</f>
        <v>132</v>
      </c>
      <c r="Y6" s="67">
        <f>AVERAGE(AA76:AA79)</f>
        <v>0.0577437889057041</v>
      </c>
      <c r="Z6" s="67">
        <f>1/比赛参数!$G$4</f>
        <v>0.0526315789473684</v>
      </c>
      <c r="AA6" s="68">
        <f>(AC6-X6)/X6</f>
        <v>-0.0303030303030303</v>
      </c>
      <c r="AB6" s="69">
        <f>SUM(AG232:AJ232)/比赛参数!$G$4</f>
        <v>115.894736842105</v>
      </c>
      <c r="AC6" s="70">
        <f>AN6+SUM(AA57:AA60)-SUM(AH57:AH60)-SUM(AA108:AA111)</f>
        <v>128</v>
      </c>
      <c r="AD6" s="2">
        <v>294</v>
      </c>
      <c r="AE6" s="71">
        <f>DK31</f>
        <v>14.2167004048583</v>
      </c>
      <c r="AF6" s="72">
        <f>DK43</f>
        <v>12.9675101214575</v>
      </c>
      <c r="AG6" s="71">
        <f>DQ31</f>
        <v>33.7646634615385</v>
      </c>
      <c r="AH6" s="77">
        <f>DK37*15</f>
        <v>16.4536994588028</v>
      </c>
      <c r="AJ6" s="72">
        <f>DD31</f>
        <v>6.52854251012146</v>
      </c>
      <c r="AK6" s="77">
        <f>DD37*15</f>
        <v>4.74243506767214</v>
      </c>
      <c r="AL6" s="132">
        <f>CL24/比赛参数!F26</f>
        <v>15.8618355081638</v>
      </c>
      <c r="AM6" s="32">
        <f>AH68</f>
        <v>128</v>
      </c>
      <c r="AN6" s="32">
        <f>AA93</f>
        <v>130</v>
      </c>
      <c r="AO6" s="32">
        <f>AC11+D44-AA92</f>
        <v>36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67</v>
      </c>
      <c r="DW6" s="251">
        <f t="shared" ref="DW6:DX21" si="1">I24</f>
        <v>0</v>
      </c>
      <c r="DX6" s="251">
        <f t="shared" si="1"/>
        <v>13</v>
      </c>
    </row>
    <row r="7" customHeight="1" spans="2:128">
      <c r="B7" s="7"/>
      <c r="C7" s="8" t="s">
        <v>166</v>
      </c>
      <c r="D7" s="14">
        <v>2938168.08</v>
      </c>
      <c r="E7" s="9">
        <v>10</v>
      </c>
      <c r="F7" s="10"/>
      <c r="M7" s="30"/>
      <c r="N7" s="31" t="s">
        <v>154</v>
      </c>
      <c r="O7" s="32"/>
      <c r="P7" s="33" t="s">
        <v>167</v>
      </c>
      <c r="Q7" s="32">
        <f>BS58</f>
        <v>299189.25</v>
      </c>
      <c r="W7" s="43">
        <f>AC7-X7</f>
        <v>-21</v>
      </c>
      <c r="X7" s="32">
        <f>SUM(AI70:AI73)</f>
        <v>157</v>
      </c>
      <c r="Y7" s="67">
        <f>AVERAGE(AB76:AB79)</f>
        <v>0.0895426299349733</v>
      </c>
      <c r="Z7" s="67">
        <f>1/比赛参数!$G$4</f>
        <v>0.0526315789473684</v>
      </c>
      <c r="AA7" s="68">
        <f>(AC7-X7)/X7</f>
        <v>-0.133757961783439</v>
      </c>
      <c r="AB7" s="69">
        <f>SUM(AK232:AN232)/比赛参数!$G$4</f>
        <v>80.4736842105263</v>
      </c>
      <c r="AC7" s="70">
        <f>AN7+SUM(AB57:AB60)-SUM(AI57:AI60)-SUM(AB108:AB111)</f>
        <v>136</v>
      </c>
      <c r="AE7" s="71">
        <f>DK32</f>
        <v>13.5517722473605</v>
      </c>
      <c r="AF7" s="72">
        <f>DK44</f>
        <v>12.1910633484163</v>
      </c>
      <c r="AG7" s="71">
        <f>DQ32</f>
        <v>39.1495642701525</v>
      </c>
      <c r="AH7" s="77">
        <f>DK38*15</f>
        <v>16.6786140643902</v>
      </c>
      <c r="AJ7" s="72">
        <f>DD32</f>
        <v>5.86103569632981</v>
      </c>
      <c r="AK7" s="77">
        <f>DD38*15</f>
        <v>4.42132462053664</v>
      </c>
      <c r="AL7" s="132">
        <f>CM24/比赛参数!G26</f>
        <v>16.5152639658323</v>
      </c>
      <c r="AM7" s="32">
        <f>AI68</f>
        <v>136</v>
      </c>
      <c r="AN7" s="32">
        <f>AB93</f>
        <v>153</v>
      </c>
      <c r="AO7" s="32">
        <f>AC12+D45-AB92</f>
        <v>40</v>
      </c>
      <c r="AR7" s="174" t="s">
        <v>107</v>
      </c>
      <c r="BR7" s="197" t="s">
        <v>21</v>
      </c>
      <c r="BS7" s="198">
        <f>第十一期!AF76</f>
        <v>3230</v>
      </c>
      <c r="BT7" s="198">
        <f>第十一期!AF77</f>
        <v>3230</v>
      </c>
      <c r="BU7" s="198">
        <f>第十一期!AF78</f>
        <v>3480</v>
      </c>
      <c r="BV7" s="198">
        <f>第十一期!AF79</f>
        <v>3580</v>
      </c>
      <c r="BW7" s="200">
        <f>第十一期!$AF$80</f>
        <v>48880</v>
      </c>
      <c r="DT7" s="252" t="s">
        <v>21</v>
      </c>
      <c r="DU7" s="250">
        <v>2</v>
      </c>
      <c r="DV7" s="251">
        <f t="shared" si="0"/>
        <v>68</v>
      </c>
      <c r="DW7" s="251">
        <f t="shared" si="1"/>
        <v>0</v>
      </c>
      <c r="DX7" s="251">
        <f t="shared" si="1"/>
        <v>12</v>
      </c>
    </row>
    <row r="8" customHeight="1" spans="2:128">
      <c r="B8" s="7"/>
      <c r="C8" s="8" t="s">
        <v>168</v>
      </c>
      <c r="D8" s="14">
        <v>6000000</v>
      </c>
      <c r="E8" s="9">
        <v>1</v>
      </c>
      <c r="F8" s="10"/>
      <c r="J8" s="11" t="s">
        <v>162</v>
      </c>
      <c r="K8" s="34">
        <f>D4</f>
        <v>260</v>
      </c>
      <c r="M8" s="30"/>
      <c r="N8" s="31" t="s">
        <v>161</v>
      </c>
      <c r="O8" s="32">
        <f>AL23</f>
        <v>305966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第十一期!$AG$76</f>
        <v>6750</v>
      </c>
      <c r="BT8" s="198">
        <f>第十一期!$AG$77</f>
        <v>6750</v>
      </c>
      <c r="BU8" s="198">
        <f>第十一期!$AG$78</f>
        <v>7000</v>
      </c>
      <c r="BV8" s="198">
        <f>第十一期!$AG$79</f>
        <v>7100</v>
      </c>
      <c r="BW8" s="200">
        <f>第十一期!$AG$80</f>
        <v>86800</v>
      </c>
      <c r="BX8" s="173"/>
      <c r="DT8" s="253" t="s">
        <v>21</v>
      </c>
      <c r="DU8" s="254">
        <v>3</v>
      </c>
      <c r="DV8" s="255">
        <f t="shared" si="0"/>
        <v>79</v>
      </c>
      <c r="DW8" s="255">
        <f t="shared" si="1"/>
        <v>0</v>
      </c>
      <c r="DX8" s="255">
        <f t="shared" si="1"/>
        <v>15</v>
      </c>
    </row>
    <row r="9" customHeight="1" spans="2:128">
      <c r="B9" s="7"/>
      <c r="C9" s="8" t="s">
        <v>187</v>
      </c>
      <c r="D9" s="14">
        <v>12000000</v>
      </c>
      <c r="E9" s="9">
        <v>1</v>
      </c>
      <c r="F9" s="10"/>
      <c r="J9" s="11" t="s">
        <v>154</v>
      </c>
      <c r="K9" s="34">
        <f>D5</f>
        <v>214</v>
      </c>
      <c r="M9" s="36" t="s">
        <v>188</v>
      </c>
      <c r="N9" s="31" t="s">
        <v>189</v>
      </c>
      <c r="O9" s="32">
        <f>AJ20</f>
        <v>3422413.87359615</v>
      </c>
      <c r="P9" s="35"/>
      <c r="Q9" s="45"/>
      <c r="X9" s="47" t="s">
        <v>190</v>
      </c>
      <c r="Y9" s="75">
        <v>430</v>
      </c>
      <c r="Z9" s="75"/>
      <c r="AA9" s="75"/>
      <c r="AB9" s="75"/>
      <c r="AC9" s="76">
        <f>SUM(Y9:AB9)</f>
        <v>430</v>
      </c>
      <c r="AE9" s="72">
        <f>SUMPRODUCT(Y96:Y99,AF64:AF67)/SUM(AF64:AF67)</f>
        <v>14.4169979575047</v>
      </c>
      <c r="AF9" s="77">
        <f>CC24*15</f>
        <v>10.9920079322418</v>
      </c>
      <c r="AG9" s="133">
        <f>SUMPRODUCT(Y102:Y105,AF64:AF67)/SUM(AF64:AF67)*20</f>
        <v>8.45732385741843</v>
      </c>
      <c r="AH9" s="32">
        <f>AC9*比赛参数!D26</f>
        <v>43000</v>
      </c>
      <c r="AI9" s="134">
        <f>第十一期!DB56</f>
        <v>1428.52450839415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>
        <f>SUM(AB131:AE131)*比赛参数!$D$26+SUM(AL131:AO131)*比赛参数!$E$26+SUM(AB154:AE154)*比赛参数!$F$26+SUM(AL154:AO154)*比赛参数!$G$26</f>
        <v>285910</v>
      </c>
      <c r="AT9" s="55">
        <f t="shared" ref="AT9:AT28" si="3">AS9/1300</f>
        <v>219.930769230769</v>
      </c>
      <c r="AU9" s="175">
        <f t="shared" ref="AU9:AU28" si="4">F95</f>
        <v>471773</v>
      </c>
      <c r="AV9" s="176">
        <f t="shared" ref="AV9:AV28" si="5">AU9/AS9</f>
        <v>1.65007519848903</v>
      </c>
      <c r="AW9" s="175">
        <f t="shared" ref="AW9:AW28" si="6">E95</f>
        <v>7308303</v>
      </c>
      <c r="AX9" s="192">
        <f t="shared" ref="AX9:AX28" si="7">AU9/AW9</f>
        <v>0.0645530159327001</v>
      </c>
      <c r="AY9" s="65">
        <f t="shared" ref="AY9:AY28" si="8">X131*AB131+Y131*AC131+Z131*AD131+AA131*AE131+AH131*AL131+AI131*AM131+AJ131*AN131+AK131*AO131+X154*AB154+Y154*AC154+Z154*AD154+AA154*AE154+AH154*AL154+AI154*AM154+AJ154*AN154+AK154*AO154</f>
        <v>7750076</v>
      </c>
      <c r="AZ9" s="193">
        <f t="shared" ref="AZ9:AZ28" si="9">D95</f>
        <v>7780076</v>
      </c>
      <c r="BA9" s="65">
        <f t="shared" ref="BA9:BA28" si="10">AZ9-AY9</f>
        <v>30000</v>
      </c>
      <c r="BB9" s="65">
        <f>IF(BA9&lt;比赛参数!$K$34,0,IF(BA9&lt;比赛参数!$K$35,BA9/(1-比赛参数!$E$36),IF(BA9&lt;比赛参数!$K$36,BA9/(1-比赛参数!$E$34))))</f>
        <v>999999.999999999</v>
      </c>
      <c r="BC9" s="65">
        <f t="shared" ref="BC9:BC28" si="11">AU9-BA9</f>
        <v>441773</v>
      </c>
      <c r="BD9" s="101"/>
      <c r="BE9" s="65">
        <f t="shared" ref="BE9:BE28" si="12">BC9-BD9</f>
        <v>441773</v>
      </c>
      <c r="BF9" s="176">
        <f t="shared" ref="BF9:BF28" si="13">BE9/AS9</f>
        <v>1.54514707425414</v>
      </c>
      <c r="BQ9" s="173"/>
      <c r="BR9" s="196" t="s">
        <v>23</v>
      </c>
      <c r="BS9" s="198">
        <f>第十一期!$AH$76</f>
        <v>10200</v>
      </c>
      <c r="BT9" s="198">
        <f>第十一期!$AH$77</f>
        <v>10200</v>
      </c>
      <c r="BU9" s="198">
        <f>第十一期!$AH$78</f>
        <v>10300</v>
      </c>
      <c r="BV9" s="198">
        <f>第十一期!$AH$79</f>
        <v>10500</v>
      </c>
      <c r="BW9" s="200">
        <f>第十一期!$AH$80</f>
        <v>43560</v>
      </c>
      <c r="BX9" s="173"/>
      <c r="DT9" s="256" t="s">
        <v>21</v>
      </c>
      <c r="DU9" s="257">
        <v>4</v>
      </c>
      <c r="DV9" s="258">
        <f t="shared" si="0"/>
        <v>80</v>
      </c>
      <c r="DW9" s="258">
        <f t="shared" si="1"/>
        <v>0</v>
      </c>
      <c r="DX9" s="259">
        <f t="shared" si="1"/>
        <v>5</v>
      </c>
    </row>
    <row r="10" customHeight="1" spans="2:128">
      <c r="B10" s="7"/>
      <c r="C10" s="8" t="s">
        <v>191</v>
      </c>
      <c r="D10" s="9">
        <v>0</v>
      </c>
      <c r="E10" s="9">
        <v>1</v>
      </c>
      <c r="F10" s="10"/>
      <c r="J10" s="11" t="s">
        <v>161</v>
      </c>
      <c r="K10" s="34">
        <f>D6</f>
        <v>200738</v>
      </c>
      <c r="M10" s="30"/>
      <c r="N10" s="31" t="s">
        <v>168</v>
      </c>
      <c r="O10" s="37"/>
      <c r="P10" s="35"/>
      <c r="Q10" s="45"/>
      <c r="X10" s="11" t="s">
        <v>192</v>
      </c>
      <c r="Y10" s="75">
        <v>273</v>
      </c>
      <c r="Z10" s="75"/>
      <c r="AA10" s="75">
        <v>116</v>
      </c>
      <c r="AB10" s="75"/>
      <c r="AC10" s="76">
        <f>SUM(Y10:AB10)</f>
        <v>389</v>
      </c>
      <c r="AE10" s="72">
        <f>SUMPRODUCT(Z96:Z99,AG64:AG67)/SUM(AG64:AG67)</f>
        <v>11.3001465722381</v>
      </c>
      <c r="AF10" s="77">
        <f>CD24*15</f>
        <v>10.3281765680024</v>
      </c>
      <c r="AG10" s="133">
        <f>SUMPRODUCT(Z102:Z105,AG64:AG67)/SUM(AG64:AG67)*20</f>
        <v>8.15487259497846</v>
      </c>
      <c r="AH10" s="32">
        <f>AC10*比赛参数!E26</f>
        <v>97250</v>
      </c>
      <c r="AI10" s="134">
        <f>第十一期!DB57</f>
        <v>2816.22611674372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>
        <f>SUM(AB132:AE132)*比赛参数!$D$26+SUM(AL132:AO132)*比赛参数!$E$26+SUM(AB155:AE155)*比赛参数!$F$26+SUM(AL155:AO155)*比赛参数!$G$26</f>
        <v>190480</v>
      </c>
      <c r="AT10" s="55">
        <f t="shared" si="3"/>
        <v>146.523076923077</v>
      </c>
      <c r="AU10" s="175">
        <f t="shared" si="4"/>
        <v>-440305.41</v>
      </c>
      <c r="AV10" s="176">
        <f t="shared" si="5"/>
        <v>-2.31155717135657</v>
      </c>
      <c r="AW10" s="175">
        <f t="shared" si="6"/>
        <v>5076860.41</v>
      </c>
      <c r="AX10" s="192">
        <f t="shared" si="7"/>
        <v>-0.0867278937062601</v>
      </c>
      <c r="AY10" s="65">
        <f t="shared" si="8"/>
        <v>4878355</v>
      </c>
      <c r="AZ10" s="193">
        <f t="shared" si="9"/>
        <v>4636555</v>
      </c>
      <c r="BA10" s="65">
        <f t="shared" si="10"/>
        <v>-241800</v>
      </c>
      <c r="BB10" s="65">
        <f>IF(BA10&lt;比赛参数!$K$34,0,IF(BA10&lt;比赛参数!$K$35,BA10/(1-比赛参数!$E$36),IF(BA10&lt;比赛参数!$K$36,BA10/(1-比赛参数!$E$34))))</f>
        <v>0</v>
      </c>
      <c r="BC10" s="65">
        <f t="shared" si="11"/>
        <v>-198505.41</v>
      </c>
      <c r="BD10" s="101"/>
      <c r="BE10" s="65">
        <f t="shared" si="12"/>
        <v>-198505.41</v>
      </c>
      <c r="BF10" s="176">
        <f t="shared" si="13"/>
        <v>-1.0421325598488</v>
      </c>
      <c r="BQ10" s="173"/>
      <c r="BR10" s="196" t="s">
        <v>24</v>
      </c>
      <c r="BS10" s="198">
        <f>第十一期!$AI$76</f>
        <v>13100</v>
      </c>
      <c r="BT10" s="198">
        <f>第十一期!$AI$77</f>
        <v>13100</v>
      </c>
      <c r="BU10" s="198">
        <f>第十一期!$AI$78</f>
        <v>13500</v>
      </c>
      <c r="BV10" s="198">
        <f>第十一期!$AI$79</f>
        <v>13650</v>
      </c>
      <c r="BW10" s="200">
        <f>第十一期!$AI$80</f>
        <v>63630</v>
      </c>
      <c r="BX10" s="173"/>
      <c r="DT10" s="249" t="s">
        <v>22</v>
      </c>
      <c r="DU10" s="260">
        <v>1</v>
      </c>
      <c r="DV10" s="261">
        <f t="shared" si="0"/>
        <v>38</v>
      </c>
      <c r="DW10" s="261">
        <f t="shared" si="1"/>
        <v>0</v>
      </c>
      <c r="DX10" s="261">
        <f t="shared" si="1"/>
        <v>12</v>
      </c>
    </row>
    <row r="11" customHeight="1" spans="2:128">
      <c r="B11" s="7"/>
      <c r="C11" s="8" t="s">
        <v>193</v>
      </c>
      <c r="D11" s="14">
        <v>5413785</v>
      </c>
      <c r="E11" s="9">
        <v>9</v>
      </c>
      <c r="F11" s="10"/>
      <c r="J11" s="11" t="s">
        <v>166</v>
      </c>
      <c r="K11" s="34">
        <f>D7</f>
        <v>2938168.08</v>
      </c>
      <c r="M11" s="36" t="s">
        <v>194</v>
      </c>
      <c r="N11" s="32" t="s">
        <v>195</v>
      </c>
      <c r="O11" s="32">
        <f>AL14</f>
        <v>11698502</v>
      </c>
      <c r="P11" s="35"/>
      <c r="Q11" s="45"/>
      <c r="X11" s="11" t="s">
        <v>196</v>
      </c>
      <c r="Y11" s="75"/>
      <c r="Z11" s="75"/>
      <c r="AA11" s="75">
        <v>144</v>
      </c>
      <c r="AB11" s="75"/>
      <c r="AC11" s="76">
        <f>SUM(Y11:AB11)</f>
        <v>144</v>
      </c>
      <c r="AE11" s="72">
        <f>SUMPRODUCT(AA96:AA99,AH64:AH67)/SUM(AH64:AH67)</f>
        <v>11.3112730444678</v>
      </c>
      <c r="AF11" s="77">
        <f>CE24*15</f>
        <v>10.701500474336</v>
      </c>
      <c r="AG11" s="133">
        <f>SUMPRODUCT(AA102:AA105,AH64:AH67)/SUM(AH64:AH67)*20</f>
        <v>8.32596044382578</v>
      </c>
      <c r="AH11" s="32">
        <f>AC11*比赛参数!F26</f>
        <v>54720</v>
      </c>
      <c r="AI11" s="134">
        <f>第十一期!DB58</f>
        <v>4298.14313189776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>
        <f>SUM(AB133:AE133)*比赛参数!$D$26+SUM(AL133:AO133)*比赛参数!$E$26+SUM(AB156:AE156)*比赛参数!$F$26+SUM(AL156:AO156)*比赛参数!$G$26</f>
        <v>109260</v>
      </c>
      <c r="AT11" s="55">
        <f t="shared" si="3"/>
        <v>84.0461538461538</v>
      </c>
      <c r="AU11" s="175">
        <f t="shared" si="4"/>
        <v>-132448.6</v>
      </c>
      <c r="AV11" s="176">
        <f t="shared" si="5"/>
        <v>-1.21223320519861</v>
      </c>
      <c r="AW11" s="175">
        <f t="shared" si="6"/>
        <v>3267598.6</v>
      </c>
      <c r="AX11" s="192">
        <f t="shared" si="7"/>
        <v>-0.0405339260458736</v>
      </c>
      <c r="AY11" s="65">
        <f t="shared" si="8"/>
        <v>3231250</v>
      </c>
      <c r="AZ11" s="193">
        <f t="shared" si="9"/>
        <v>3135150</v>
      </c>
      <c r="BA11" s="65">
        <f t="shared" si="10"/>
        <v>-96100</v>
      </c>
      <c r="BB11" s="65">
        <f>IF(BA11&lt;比赛参数!$K$34,0,IF(BA11&lt;比赛参数!$K$35,BA11/(1-比赛参数!$E$36),IF(BA11&lt;比赛参数!$K$36,BA11/(1-比赛参数!$E$34))))</f>
        <v>0</v>
      </c>
      <c r="BC11" s="65">
        <f t="shared" si="11"/>
        <v>-36348.6</v>
      </c>
      <c r="BD11" s="101"/>
      <c r="BE11" s="65">
        <f t="shared" si="12"/>
        <v>-36348.6</v>
      </c>
      <c r="BF11" s="176">
        <f t="shared" si="13"/>
        <v>-0.332679846238331</v>
      </c>
      <c r="BQ11" s="173"/>
      <c r="BR11" s="199" t="s">
        <v>197</v>
      </c>
      <c r="BS11" s="200">
        <f>第十一期!$AJ$76</f>
        <v>46350</v>
      </c>
      <c r="BT11" s="200">
        <f>第十一期!$AJ$77</f>
        <v>46000</v>
      </c>
      <c r="BU11" s="200">
        <f>第十一期!$AJ$78</f>
        <v>73730</v>
      </c>
      <c r="BV11" s="200">
        <f>第十一期!$AJ$79</f>
        <v>73250</v>
      </c>
      <c r="BW11" s="210"/>
      <c r="BX11" s="173"/>
      <c r="DT11" s="252" t="s">
        <v>22</v>
      </c>
      <c r="DU11" s="250">
        <v>2</v>
      </c>
      <c r="DV11" s="251">
        <f t="shared" si="0"/>
        <v>39</v>
      </c>
      <c r="DW11" s="251">
        <f t="shared" si="1"/>
        <v>0</v>
      </c>
      <c r="DX11" s="251">
        <f t="shared" si="1"/>
        <v>12</v>
      </c>
    </row>
    <row r="12" ht="17.25" customHeight="1" spans="2:128">
      <c r="B12" s="7"/>
      <c r="C12" s="8" t="s">
        <v>198</v>
      </c>
      <c r="D12" s="14">
        <v>1900000</v>
      </c>
      <c r="E12" s="9">
        <v>3</v>
      </c>
      <c r="F12" s="10"/>
      <c r="J12" s="11" t="s">
        <v>187</v>
      </c>
      <c r="K12" s="34">
        <f>D9</f>
        <v>12000000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53</v>
      </c>
      <c r="AB12" s="75">
        <v>107</v>
      </c>
      <c r="AC12" s="78">
        <f>SUM(Y12:AB12)</f>
        <v>160</v>
      </c>
      <c r="AE12" s="72">
        <f>SUMPRODUCT(AB96:AB99,AI64:AI67)/SUM(AI64:AI67)</f>
        <v>9.22568626041206</v>
      </c>
      <c r="AF12" s="77">
        <f>CF24*15</f>
        <v>8.37965770602537</v>
      </c>
      <c r="AG12" s="133">
        <f>SUMPRODUCT(AB102:AB105,AI64:AI67)/SUM(AI64:AI67)*20</f>
        <v>7.16793398077757</v>
      </c>
      <c r="AH12" s="32">
        <f>AC12*比赛参数!G26</f>
        <v>83200</v>
      </c>
      <c r="AI12" s="134">
        <f>第十一期!DB59</f>
        <v>4780.07744364957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>
        <f>SUM(AB134:AE134)*比赛参数!$D$26+SUM(AL134:AO134)*比赛参数!$E$26+SUM(AB157:AE157)*比赛参数!$F$26+SUM(AL157:AO157)*比赛参数!$G$26</f>
        <v>260660</v>
      </c>
      <c r="AT12" s="55">
        <f t="shared" si="3"/>
        <v>200.507692307692</v>
      </c>
      <c r="AU12" s="175">
        <f t="shared" si="4"/>
        <v>311824.96</v>
      </c>
      <c r="AV12" s="176">
        <f t="shared" si="5"/>
        <v>1.19629003299317</v>
      </c>
      <c r="AW12" s="175">
        <f t="shared" si="6"/>
        <v>6804205.04</v>
      </c>
      <c r="AX12" s="192">
        <f t="shared" si="7"/>
        <v>0.0458282721003951</v>
      </c>
      <c r="AY12" s="65">
        <f t="shared" si="8"/>
        <v>7086830</v>
      </c>
      <c r="AZ12" s="193">
        <f t="shared" si="9"/>
        <v>7116030</v>
      </c>
      <c r="BA12" s="65">
        <f t="shared" si="10"/>
        <v>29200</v>
      </c>
      <c r="BB12" s="65">
        <f>IF(BA12&lt;比赛参数!$K$34,0,IF(BA12&lt;比赛参数!$K$35,BA12/(1-比赛参数!$E$36),IF(BA12&lt;比赛参数!$K$36,BA12/(1-比赛参数!$E$34))))</f>
        <v>0</v>
      </c>
      <c r="BC12" s="65">
        <f t="shared" si="11"/>
        <v>282624.96</v>
      </c>
      <c r="BD12" s="101"/>
      <c r="BE12" s="65">
        <f t="shared" si="12"/>
        <v>282624.96</v>
      </c>
      <c r="BF12" s="176">
        <f t="shared" si="13"/>
        <v>1.08426670758843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57</v>
      </c>
      <c r="DW12" s="251">
        <f t="shared" si="1"/>
        <v>0</v>
      </c>
      <c r="DX12" s="251">
        <f t="shared" si="1"/>
        <v>12</v>
      </c>
    </row>
    <row r="13" customHeight="1" spans="2:128">
      <c r="B13" s="7"/>
      <c r="C13" s="8" t="s">
        <v>100</v>
      </c>
      <c r="D13" s="14">
        <v>209631.09</v>
      </c>
      <c r="E13" s="9">
        <v>7</v>
      </c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7128831.75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177.980769230769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96.1153846153846</v>
      </c>
      <c r="AB13" s="79">
        <f>(AB9*比赛参数!D27+AB10*比赛参数!E27+AB11*比赛参数!F27+AB12*比赛参数!G27)/260</f>
        <v>74.0769230769231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第十一期!BU86</f>
        <v>6179815.40365385</v>
      </c>
      <c r="AG13" s="135" t="s">
        <v>203</v>
      </c>
      <c r="AH13" s="136">
        <f>第十一期!BV76</f>
        <v>0.9375</v>
      </c>
      <c r="AI13" s="42" t="s">
        <v>204</v>
      </c>
      <c r="AJ13" s="137">
        <f>SUMPRODUCT(AE4:AE7,AH9:AH12)</f>
        <v>3829157.14489232</v>
      </c>
      <c r="AL13" s="48"/>
      <c r="AQ13" s="173"/>
      <c r="AR13" s="11">
        <v>5</v>
      </c>
      <c r="AS13" s="65">
        <f>SUM(AB135:AE135)*比赛参数!$D$26+SUM(AL135:AO135)*比赛参数!$E$26+SUM(AB158:AE158)*比赛参数!$F$26+SUM(AL158:AO158)*比赛参数!$G$26</f>
        <v>198130</v>
      </c>
      <c r="AT13" s="55">
        <f t="shared" si="3"/>
        <v>152.407692307692</v>
      </c>
      <c r="AU13" s="175">
        <f t="shared" si="4"/>
        <v>295537.91</v>
      </c>
      <c r="AV13" s="176">
        <f t="shared" si="5"/>
        <v>1.4916363498713</v>
      </c>
      <c r="AW13" s="175">
        <f t="shared" si="6"/>
        <v>5462082.09</v>
      </c>
      <c r="AX13" s="192">
        <f t="shared" si="7"/>
        <v>0.054107189370345</v>
      </c>
      <c r="AY13" s="65">
        <f t="shared" si="8"/>
        <v>5727620</v>
      </c>
      <c r="AZ13" s="193">
        <f t="shared" si="9"/>
        <v>5757620</v>
      </c>
      <c r="BA13" s="65">
        <f t="shared" si="10"/>
        <v>30000</v>
      </c>
      <c r="BB13" s="65">
        <f>IF(BA13&lt;比赛参数!$K$34,0,IF(BA13&lt;比赛参数!$K$35,BA13/(1-比赛参数!$E$36),IF(BA13&lt;比赛参数!$K$36,BA13/(1-比赛参数!$E$34))))</f>
        <v>999999.999999999</v>
      </c>
      <c r="BC13" s="65">
        <f t="shared" si="11"/>
        <v>265537.91</v>
      </c>
      <c r="BD13" s="101"/>
      <c r="BE13" s="65">
        <f t="shared" si="12"/>
        <v>265537.91</v>
      </c>
      <c r="BF13" s="176">
        <f t="shared" si="13"/>
        <v>1.34022061272902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56</v>
      </c>
      <c r="DW13" s="264">
        <f t="shared" si="1"/>
        <v>0</v>
      </c>
      <c r="DX13" s="265">
        <f t="shared" si="1"/>
        <v>11</v>
      </c>
    </row>
    <row r="14" customHeight="1" spans="2:128">
      <c r="B14" s="7"/>
      <c r="C14" s="8" t="s">
        <v>206</v>
      </c>
      <c r="D14" s="14">
        <v>52407.77</v>
      </c>
      <c r="E14" s="9">
        <v>6</v>
      </c>
      <c r="F14" s="10"/>
      <c r="J14" s="11" t="s">
        <v>193</v>
      </c>
      <c r="K14" s="34">
        <f>D11</f>
        <v>5413785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213.942307692308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214</v>
      </c>
      <c r="AB14" s="79">
        <f>(AB9*比赛参数!D26+AB10*比赛参数!E26+AB11*比赛参数!F26+AB12*比赛参数!G26)/260</f>
        <v>214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第十一期!BW92</f>
        <v>1296675.99634615</v>
      </c>
      <c r="AG14" s="73" t="s">
        <v>208</v>
      </c>
      <c r="AH14" s="138">
        <v>301498</v>
      </c>
      <c r="AI14" s="42" t="s">
        <v>93</v>
      </c>
      <c r="AJ14" s="139">
        <f>第十一期!K12</f>
        <v>12000000</v>
      </c>
      <c r="AK14" s="42" t="s">
        <v>209</v>
      </c>
      <c r="AL14" s="91">
        <f>AJ14-AH14</f>
        <v>11698502</v>
      </c>
      <c r="AQ14" s="173"/>
      <c r="AR14" s="11">
        <v>6</v>
      </c>
      <c r="AS14" s="65">
        <f>SUM(AB136:AE136)*比赛参数!$D$26+SUM(AL136:AO136)*比赛参数!$E$26+SUM(AB159:AE159)*比赛参数!$F$26+SUM(AL159:AO159)*比赛参数!$G$26</f>
        <v>20620</v>
      </c>
      <c r="AT14" s="55">
        <f t="shared" si="3"/>
        <v>15.8615384615385</v>
      </c>
      <c r="AU14" s="175">
        <f t="shared" si="4"/>
        <v>-1739960.14</v>
      </c>
      <c r="AV14" s="176">
        <f t="shared" si="5"/>
        <v>-84.3821600387973</v>
      </c>
      <c r="AW14" s="175">
        <f t="shared" si="6"/>
        <v>2385950.14</v>
      </c>
      <c r="AX14" s="192">
        <f t="shared" si="7"/>
        <v>-0.729252514891195</v>
      </c>
      <c r="AY14" s="65">
        <f t="shared" si="8"/>
        <v>645990</v>
      </c>
      <c r="AZ14" s="193">
        <f t="shared" si="9"/>
        <v>645990</v>
      </c>
      <c r="BA14" s="65">
        <f t="shared" si="10"/>
        <v>0</v>
      </c>
      <c r="BB14" s="65">
        <f>IF(BA14&lt;比赛参数!$K$34,0,IF(BA14&lt;比赛参数!$K$35,BA14/(1-比赛参数!$E$36),IF(BA14&lt;比赛参数!$K$36,BA14/(1-比赛参数!$E$34))))</f>
        <v>0</v>
      </c>
      <c r="BC14" s="65">
        <f t="shared" si="11"/>
        <v>-1739960.14</v>
      </c>
      <c r="BD14" s="101"/>
      <c r="BE14" s="65">
        <f t="shared" si="12"/>
        <v>-1739960.14</v>
      </c>
      <c r="BF14" s="176">
        <f t="shared" si="13"/>
        <v>-84.3821600387973</v>
      </c>
      <c r="BQ14" s="173"/>
      <c r="BR14" s="197" t="s">
        <v>21</v>
      </c>
      <c r="BS14" s="198">
        <f>第十一期!Y88</f>
        <v>79</v>
      </c>
      <c r="BT14" s="198">
        <f>第十一期!Y89</f>
        <v>80</v>
      </c>
      <c r="BU14" s="198">
        <f>第十一期!Y90</f>
        <v>120</v>
      </c>
      <c r="BV14" s="198">
        <f>第十一期!Y91</f>
        <v>132</v>
      </c>
      <c r="BW14" s="202"/>
      <c r="BX14" s="173"/>
      <c r="DT14" s="249" t="s">
        <v>23</v>
      </c>
      <c r="DU14" s="260">
        <v>1</v>
      </c>
      <c r="DV14" s="261">
        <f t="shared" si="0"/>
        <v>24</v>
      </c>
      <c r="DW14" s="261">
        <f t="shared" si="1"/>
        <v>0</v>
      </c>
      <c r="DX14" s="261">
        <f t="shared" si="1"/>
        <v>3</v>
      </c>
    </row>
    <row r="15" customHeight="1" spans="2:128">
      <c r="B15" s="7"/>
      <c r="C15" s="8" t="s">
        <v>210</v>
      </c>
      <c r="D15" s="14">
        <v>160449.95</v>
      </c>
      <c r="E15" s="9">
        <v>3</v>
      </c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0.999730409777139</v>
      </c>
      <c r="Z15" s="86">
        <f>(Z14+AA14)/AA20</f>
        <v>1</v>
      </c>
      <c r="AA15" s="87"/>
      <c r="AB15" s="88">
        <f>AB14/AA20</f>
        <v>1</v>
      </c>
      <c r="AC15" s="89" t="str">
        <f>IF(AC21&lt;=AC20,"材料 YES","材料 NO")</f>
        <v>材料 YES</v>
      </c>
      <c r="AE15" s="83" t="s">
        <v>105</v>
      </c>
      <c r="AF15" s="90">
        <f>AF14/(Y18+第十一期!K8-AA18)</f>
        <v>3791.4502817139</v>
      </c>
      <c r="AG15" s="73" t="s">
        <v>214</v>
      </c>
      <c r="AH15" s="138">
        <v>2014236</v>
      </c>
      <c r="AI15" s="42" t="s">
        <v>215</v>
      </c>
      <c r="AJ15" s="139">
        <f>第十一期!K16*0.5-第十一期!K14</f>
        <v>2014237.08</v>
      </c>
      <c r="AK15" s="42" t="s">
        <v>216</v>
      </c>
      <c r="AL15" s="111">
        <f>O20*0.5-O13</f>
        <v>753026.928721154</v>
      </c>
      <c r="AQ15" s="173"/>
      <c r="AR15" s="11">
        <v>7</v>
      </c>
      <c r="AS15" s="65">
        <f>SUM(AB137:AE137)*比赛参数!$D$26+SUM(AL137:AO137)*比赛参数!$E$26+SUM(AB160:AE160)*比赛参数!$F$26+SUM(AL160:AO160)*比赛参数!$G$26</f>
        <v>210100</v>
      </c>
      <c r="AT15" s="55">
        <f t="shared" si="3"/>
        <v>161.615384615385</v>
      </c>
      <c r="AU15" s="175">
        <f t="shared" si="4"/>
        <v>-175255.39</v>
      </c>
      <c r="AV15" s="176">
        <f t="shared" si="5"/>
        <v>-0.834152260828177</v>
      </c>
      <c r="AW15" s="175">
        <f t="shared" si="6"/>
        <v>5543847.39</v>
      </c>
      <c r="AX15" s="192">
        <f t="shared" si="7"/>
        <v>-0.0316125927845932</v>
      </c>
      <c r="AY15" s="65">
        <f t="shared" si="8"/>
        <v>5548114</v>
      </c>
      <c r="AZ15" s="193">
        <f t="shared" si="9"/>
        <v>5368592</v>
      </c>
      <c r="BA15" s="65">
        <f t="shared" si="10"/>
        <v>-179522</v>
      </c>
      <c r="BB15" s="65">
        <f>IF(BA15&lt;比赛参数!$K$34,0,IF(BA15&lt;比赛参数!$K$35,BA15/(1-比赛参数!$E$36),IF(BA15&lt;比赛参数!$K$36,BA15/(1-比赛参数!$E$34))))</f>
        <v>0</v>
      </c>
      <c r="BC15" s="65">
        <f t="shared" si="11"/>
        <v>4266.60999999999</v>
      </c>
      <c r="BD15" s="101"/>
      <c r="BE15" s="65">
        <f t="shared" si="12"/>
        <v>4266.60999999999</v>
      </c>
      <c r="BF15" s="176">
        <f t="shared" si="13"/>
        <v>0.0203075202284626</v>
      </c>
      <c r="BQ15" s="173"/>
      <c r="BR15" s="196" t="s">
        <v>22</v>
      </c>
      <c r="BS15" s="198">
        <f>第十一期!Z88</f>
        <v>70</v>
      </c>
      <c r="BT15" s="198">
        <f>第十一期!Z89</f>
        <v>64</v>
      </c>
      <c r="BU15" s="198">
        <f>第十一期!Z90</f>
        <v>112</v>
      </c>
      <c r="BV15" s="198">
        <f>第十一期!Z91</f>
        <v>104</v>
      </c>
      <c r="BW15" s="202"/>
      <c r="BX15" s="173"/>
      <c r="DT15" s="252" t="s">
        <v>23</v>
      </c>
      <c r="DU15" s="250">
        <v>2</v>
      </c>
      <c r="DV15" s="251">
        <f t="shared" si="0"/>
        <v>27</v>
      </c>
      <c r="DW15" s="251">
        <f t="shared" si="1"/>
        <v>0</v>
      </c>
      <c r="DX15" s="251">
        <f t="shared" si="1"/>
        <v>1</v>
      </c>
    </row>
    <row r="16" customHeight="1" spans="2:130">
      <c r="B16" s="7"/>
      <c r="C16" s="8" t="s">
        <v>211</v>
      </c>
      <c r="D16" s="14">
        <v>0</v>
      </c>
      <c r="E16" s="9">
        <v>1</v>
      </c>
      <c r="F16" s="10">
        <f>D16*4</f>
        <v>0</v>
      </c>
      <c r="J16" s="11" t="s">
        <v>104</v>
      </c>
      <c r="K16" s="34">
        <f>D18</f>
        <v>14856044.16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第十一期!DM60</f>
        <v>102000</v>
      </c>
      <c r="Z16" s="92" t="s">
        <v>218</v>
      </c>
      <c r="AA16" s="93">
        <f>AH20+Y16+第十一期!K9*比赛参数!D30*比赛参数!F30</f>
        <v>2832040</v>
      </c>
      <c r="AB16" s="73" t="s">
        <v>219</v>
      </c>
      <c r="AC16" s="94">
        <f>Y20-Y21</f>
        <v>0.403846153846189</v>
      </c>
      <c r="AE16" s="83" t="s">
        <v>220</v>
      </c>
      <c r="AF16" s="95">
        <f>AJ13/SUM(AH9:AH12)</f>
        <v>13.7655287949539</v>
      </c>
      <c r="AG16" s="83" t="s">
        <v>221</v>
      </c>
      <c r="AH16" s="140">
        <f>AF14/AL111</f>
        <v>6537.1860515396</v>
      </c>
      <c r="AI16" s="42" t="s">
        <v>222</v>
      </c>
      <c r="AJ16" s="141">
        <f>BS75+BS76</f>
        <v>482200</v>
      </c>
      <c r="AK16" s="142">
        <f>AJ16/BS77</f>
        <v>0.0651621621621622</v>
      </c>
      <c r="AL16" s="143"/>
      <c r="AQ16" s="173"/>
      <c r="AR16" s="11">
        <v>8</v>
      </c>
      <c r="AS16" s="65">
        <f>SUM(AB138:AE138)*比赛参数!$D$26+SUM(AL138:AO138)*比赛参数!$E$26+SUM(AB161:AE161)*比赛参数!$F$26+SUM(AL161:AO161)*比赛参数!$G$26</f>
        <v>207710</v>
      </c>
      <c r="AT16" s="55">
        <f t="shared" si="3"/>
        <v>159.776923076923</v>
      </c>
      <c r="AU16" s="175">
        <f t="shared" si="4"/>
        <v>236185.23</v>
      </c>
      <c r="AV16" s="176">
        <f t="shared" si="5"/>
        <v>1.13709128111309</v>
      </c>
      <c r="AW16" s="175">
        <f t="shared" si="6"/>
        <v>5560914.77</v>
      </c>
      <c r="AX16" s="192">
        <f t="shared" si="7"/>
        <v>0.0424723700629564</v>
      </c>
      <c r="AY16" s="65">
        <f t="shared" si="8"/>
        <v>5642500</v>
      </c>
      <c r="AZ16" s="193">
        <f t="shared" si="9"/>
        <v>5797100</v>
      </c>
      <c r="BA16" s="65">
        <f t="shared" si="10"/>
        <v>154600</v>
      </c>
      <c r="BB16" s="65">
        <f>IF(BA16&lt;比赛参数!$K$34,0,IF(BA16&lt;比赛参数!$K$35,BA16/(1-比赛参数!$E$36),IF(BA16&lt;比赛参数!$K$36,BA16/(1-比赛参数!$E$34))))</f>
        <v>1932500</v>
      </c>
      <c r="BC16" s="65">
        <f t="shared" si="11"/>
        <v>81585.23</v>
      </c>
      <c r="BD16" s="101"/>
      <c r="BE16" s="65">
        <f t="shared" si="12"/>
        <v>81585.23</v>
      </c>
      <c r="BF16" s="176">
        <f t="shared" si="13"/>
        <v>0.392784314669491</v>
      </c>
      <c r="BQ16" s="173"/>
      <c r="BR16" s="196" t="s">
        <v>23</v>
      </c>
      <c r="BS16" s="198">
        <f>第十一期!AA88</f>
        <v>21</v>
      </c>
      <c r="BT16" s="198">
        <f>第十一期!AA89</f>
        <v>26</v>
      </c>
      <c r="BU16" s="198">
        <f>第十一期!AA90</f>
        <v>40</v>
      </c>
      <c r="BV16" s="198">
        <f>第十一期!AA91</f>
        <v>43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39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14">
        <v>314200</v>
      </c>
      <c r="E17" s="9">
        <v>1</v>
      </c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2100.00000000018</v>
      </c>
      <c r="AE17" s="83" t="s">
        <v>233</v>
      </c>
      <c r="AF17" s="100">
        <f>(AE9*SUM(AF64:AF67)+AE10*SUM(AG64:AG67)+AE11*SUM(AH64:AH67)+AE12*SUM(AI64:AI67))/SUM(AF64:AI67)</f>
        <v>12.2965580074819</v>
      </c>
      <c r="AG17" s="2" t="s">
        <v>106</v>
      </c>
      <c r="AH17" s="2">
        <f>AF14/(O20+O13)</f>
        <v>0.0566418353089656</v>
      </c>
      <c r="AI17" s="48"/>
      <c r="AJ17" s="48"/>
      <c r="AK17" s="48"/>
      <c r="AL17" s="48"/>
      <c r="AQ17" s="173"/>
      <c r="AR17" s="11">
        <v>9</v>
      </c>
      <c r="AS17" s="65">
        <f>SUM(AB139:AE139)*比赛参数!$D$26+SUM(AL139:AO139)*比赛参数!$E$26+SUM(AB162:AE162)*比赛参数!$F$26+SUM(AL162:AO162)*比赛参数!$G$26</f>
        <v>136580</v>
      </c>
      <c r="AT17" s="55">
        <f t="shared" si="3"/>
        <v>105.061538461538</v>
      </c>
      <c r="AU17" s="175">
        <f t="shared" si="4"/>
        <v>-414591.94</v>
      </c>
      <c r="AV17" s="176">
        <f t="shared" si="5"/>
        <v>-3.0355245277493</v>
      </c>
      <c r="AW17" s="175">
        <f t="shared" si="6"/>
        <v>4149618.94</v>
      </c>
      <c r="AX17" s="192">
        <f t="shared" si="7"/>
        <v>-0.0999108462715856</v>
      </c>
      <c r="AY17" s="65">
        <f t="shared" si="8"/>
        <v>3769727</v>
      </c>
      <c r="AZ17" s="193">
        <f t="shared" si="9"/>
        <v>3735027</v>
      </c>
      <c r="BA17" s="65">
        <f t="shared" si="10"/>
        <v>-34700</v>
      </c>
      <c r="BB17" s="65">
        <f>IF(BA17&lt;比赛参数!$K$34,0,IF(BA17&lt;比赛参数!$K$35,BA17/(1-比赛参数!$E$36),IF(BA17&lt;比赛参数!$K$36,BA17/(1-比赛参数!$E$34))))</f>
        <v>0</v>
      </c>
      <c r="BC17" s="65">
        <f t="shared" si="11"/>
        <v>-379891.94</v>
      </c>
      <c r="BD17" s="101"/>
      <c r="BE17" s="65">
        <f t="shared" si="12"/>
        <v>-379891.94</v>
      </c>
      <c r="BF17" s="176">
        <f t="shared" si="13"/>
        <v>-2.7814609752526</v>
      </c>
      <c r="BQ17" s="173"/>
      <c r="BR17" s="196" t="s">
        <v>24</v>
      </c>
      <c r="BS17" s="198">
        <f>第十一期!AB88</f>
        <v>30</v>
      </c>
      <c r="BT17" s="198">
        <f>第十一期!AB89</f>
        <v>30</v>
      </c>
      <c r="BU17" s="198">
        <f>第十一期!AB90</f>
        <v>49</v>
      </c>
      <c r="BV17" s="198">
        <f>第十一期!AB91</f>
        <v>44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42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104</v>
      </c>
      <c r="D18" s="14">
        <v>14856044.16</v>
      </c>
      <c r="E18" s="9">
        <v>6</v>
      </c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90</v>
      </c>
      <c r="Z18" s="11" t="s">
        <v>235</v>
      </c>
      <c r="AA18" s="101">
        <v>8</v>
      </c>
      <c r="AB18" s="11" t="s">
        <v>236</v>
      </c>
      <c r="AC18" s="102">
        <v>1529828</v>
      </c>
      <c r="AE18" s="11" t="s">
        <v>237</v>
      </c>
      <c r="AF18" s="103">
        <v>39</v>
      </c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214</v>
      </c>
      <c r="AQ18" s="173"/>
      <c r="AR18" s="11">
        <v>10</v>
      </c>
      <c r="AS18" s="65">
        <f>SUM(AB140:AE140)*比赛参数!$D$26+SUM(AL140:AO140)*比赛参数!$E$26+SUM(AB163:AE163)*比赛参数!$F$26+SUM(AL163:AO163)*比赛参数!$G$26</f>
        <v>144620</v>
      </c>
      <c r="AT18" s="55">
        <f t="shared" si="3"/>
        <v>111.246153846154</v>
      </c>
      <c r="AU18" s="175">
        <f t="shared" si="4"/>
        <v>-379510.08</v>
      </c>
      <c r="AV18" s="176">
        <f t="shared" si="5"/>
        <v>-2.62418807910386</v>
      </c>
      <c r="AW18" s="175">
        <f t="shared" si="6"/>
        <v>4278560.08</v>
      </c>
      <c r="AX18" s="192">
        <f t="shared" si="7"/>
        <v>-0.0887004209135705</v>
      </c>
      <c r="AY18" s="65">
        <f t="shared" si="8"/>
        <v>3883750</v>
      </c>
      <c r="AZ18" s="193">
        <f t="shared" si="9"/>
        <v>3899050</v>
      </c>
      <c r="BA18" s="65">
        <f t="shared" si="10"/>
        <v>15300</v>
      </c>
      <c r="BB18" s="65">
        <f>IF(BA18&lt;比赛参数!$K$34,0,IF(BA18&lt;比赛参数!$K$35,BA18/(1-比赛参数!$E$36),IF(BA18&lt;比赛参数!$K$36,BA18/(1-比赛参数!$E$34))))</f>
        <v>0</v>
      </c>
      <c r="BC18" s="65">
        <f t="shared" si="11"/>
        <v>-394810.08</v>
      </c>
      <c r="BD18" s="101"/>
      <c r="BE18" s="65">
        <f t="shared" si="12"/>
        <v>-394810.08</v>
      </c>
      <c r="BF18" s="176">
        <f t="shared" si="13"/>
        <v>-2.7299825750242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28</v>
      </c>
      <c r="DW18" s="261">
        <f t="shared" si="1"/>
        <v>2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>
        <v>806.27</v>
      </c>
      <c r="E19" s="9">
        <v>7</v>
      </c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第十一期!K8*比赛参数!D57</f>
        <v>130</v>
      </c>
      <c r="Z19" s="104" t="s">
        <v>244</v>
      </c>
      <c r="AA19" s="99">
        <f>第十一期!K8*比赛参数!D60</f>
        <v>7.8</v>
      </c>
      <c r="AB19" s="104" t="s">
        <v>244</v>
      </c>
      <c r="AC19" s="105">
        <f>IF((AC21-第十一期!K10)/比赛参数!D41&gt;0,(AC21-第十一期!K10)/比赛参数!D41,0)</f>
        <v>1529827.5</v>
      </c>
      <c r="AE19" s="42" t="s">
        <v>36</v>
      </c>
      <c r="AF19" s="106">
        <f>BS67</f>
        <v>76491.4000000001</v>
      </c>
      <c r="AG19" s="48"/>
      <c r="AH19" s="48"/>
      <c r="AI19" s="146" t="s">
        <v>245</v>
      </c>
      <c r="AJ19" s="105">
        <f>IF((第十一期!BW92-第十一期!BS87)&gt;0,第十一期!BW92-第十一期!BS87,0)</f>
        <v>907673.197442308</v>
      </c>
      <c r="AK19" s="42" t="s">
        <v>246</v>
      </c>
      <c r="AL19" s="145">
        <f>AL110</f>
        <v>198.353846153846</v>
      </c>
      <c r="AM19" s="2" t="s">
        <v>247</v>
      </c>
      <c r="AR19" s="11">
        <v>11</v>
      </c>
      <c r="AS19" s="65">
        <f>SUM(AB141:AE141)*比赛参数!$D$26+SUM(AL141:AO141)*比赛参数!$E$26+SUM(AB164:AE164)*比赛参数!$F$26+SUM(AL164:AO164)*比赛参数!$G$26</f>
        <v>192680</v>
      </c>
      <c r="AT19" s="55">
        <f t="shared" si="3"/>
        <v>148.215384615385</v>
      </c>
      <c r="AU19" s="175">
        <f t="shared" si="4"/>
        <v>209631.09</v>
      </c>
      <c r="AV19" s="176">
        <f t="shared" si="5"/>
        <v>1.0879753477268</v>
      </c>
      <c r="AW19" s="175">
        <f t="shared" si="6"/>
        <v>5214799.55</v>
      </c>
      <c r="AX19" s="192">
        <f t="shared" si="7"/>
        <v>0.0401992613503236</v>
      </c>
      <c r="AY19" s="65">
        <f t="shared" si="8"/>
        <v>5402370</v>
      </c>
      <c r="AZ19" s="193">
        <f t="shared" si="9"/>
        <v>5424430.64</v>
      </c>
      <c r="BA19" s="65">
        <f t="shared" si="10"/>
        <v>22060.6399999997</v>
      </c>
      <c r="BB19" s="65">
        <f>IF(BA19&lt;比赛参数!$K$34,0,IF(BA19&lt;比赛参数!$K$35,BA19/(1-比赛参数!$E$36),IF(BA19&lt;比赛参数!$K$36,BA19/(1-比赛参数!$E$34))))</f>
        <v>0</v>
      </c>
      <c r="BC19" s="65">
        <f t="shared" si="11"/>
        <v>187570.45</v>
      </c>
      <c r="BD19" s="101"/>
      <c r="BE19" s="65">
        <f t="shared" si="12"/>
        <v>187570.45</v>
      </c>
      <c r="BF19" s="176">
        <f t="shared" si="13"/>
        <v>0.973481679468551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第十一期!$CX$68</f>
        <v>0.708338949435044</v>
      </c>
      <c r="CD19" s="110">
        <f>第十一期!$CX$69</f>
        <v>0.676696256606497</v>
      </c>
      <c r="CE19" s="110">
        <f>第十一期!$CX$70</f>
        <v>0.715624516120231</v>
      </c>
      <c r="CF19" s="110">
        <f>第十一期!$CX$71</f>
        <v>0.545463302815837</v>
      </c>
      <c r="CG19" s="219"/>
      <c r="CH19" s="225"/>
      <c r="CI19" s="226" t="s">
        <v>55</v>
      </c>
      <c r="CJ19" s="110">
        <f>第十一期!$CX$50</f>
        <v>1890.72549160585</v>
      </c>
      <c r="CK19" s="110">
        <f>第十一期!$CX$51</f>
        <v>4025.77388325628</v>
      </c>
      <c r="CL19" s="110">
        <f>第十一期!$CX$52</f>
        <v>5945.35686810224</v>
      </c>
      <c r="CM19" s="110">
        <f>第十一期!$CX$53</f>
        <v>8476.42255635043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28</v>
      </c>
      <c r="DW19" s="251">
        <f t="shared" si="1"/>
        <v>2</v>
      </c>
      <c r="DX19" s="251">
        <f t="shared" si="1"/>
        <v>0</v>
      </c>
    </row>
    <row r="20" customHeight="1" spans="2:130">
      <c r="B20" s="7"/>
      <c r="C20" s="8" t="s">
        <v>106</v>
      </c>
      <c r="D20" s="9">
        <v>0.0103</v>
      </c>
      <c r="E20" s="9">
        <v>7</v>
      </c>
      <c r="F20" s="10"/>
      <c r="M20" s="30"/>
      <c r="N20" s="32" t="s">
        <v>104</v>
      </c>
      <c r="O20" s="38">
        <f>K16+AJ19-AJ18</f>
        <v>15763717.3574423</v>
      </c>
      <c r="P20" s="35"/>
      <c r="Q20" s="45"/>
      <c r="W20" s="50"/>
      <c r="X20" s="42" t="s">
        <v>249</v>
      </c>
      <c r="Y20" s="107">
        <f>第十一期!K8+第十一期!Y18*比赛参数!D59-第十一期!AA18</f>
        <v>274.5</v>
      </c>
      <c r="Z20" s="42" t="s">
        <v>239</v>
      </c>
      <c r="AA20" s="108">
        <f>第十一期!K9</f>
        <v>214</v>
      </c>
      <c r="AB20" s="42" t="s">
        <v>250</v>
      </c>
      <c r="AC20" s="109">
        <f>AC18*比赛参数!D41+第十一期!K10</f>
        <v>1424600.4</v>
      </c>
      <c r="AE20" s="11" t="s">
        <v>251</v>
      </c>
      <c r="AF20" s="101"/>
      <c r="AG20" s="42" t="s">
        <v>87</v>
      </c>
      <c r="AH20" s="147">
        <f>第十一期!BS62+第十一期!BS71</f>
        <v>1874040</v>
      </c>
      <c r="AI20" s="73" t="s">
        <v>252</v>
      </c>
      <c r="AJ20" s="111">
        <f>第十一期!BV90</f>
        <v>3422413.87359615</v>
      </c>
      <c r="AK20" s="148" t="s">
        <v>253</v>
      </c>
      <c r="AL20" s="145">
        <f>AL111</f>
        <v>198.353846153846</v>
      </c>
      <c r="AM20" s="2">
        <f>AF14/AL20/1300</f>
        <v>5.02860465503046</v>
      </c>
      <c r="AR20" s="11">
        <v>12</v>
      </c>
      <c r="AS20" s="65">
        <f>SUM(AB142:AE142)*比赛参数!$D$26+SUM(AL142:AO142)*比赛参数!$E$26+SUM(AB165:AE165)*比赛参数!$F$26+SUM(AL165:AO165)*比赛参数!$G$26</f>
        <v>162900</v>
      </c>
      <c r="AT20" s="55">
        <f t="shared" si="3"/>
        <v>125.307692307692</v>
      </c>
      <c r="AU20" s="175">
        <f t="shared" si="4"/>
        <v>294057.77</v>
      </c>
      <c r="AV20" s="176">
        <f t="shared" si="5"/>
        <v>1.80514284837324</v>
      </c>
      <c r="AW20" s="175">
        <f t="shared" si="6"/>
        <v>3960672.23</v>
      </c>
      <c r="AX20" s="192">
        <f t="shared" si="7"/>
        <v>0.0742444092628185</v>
      </c>
      <c r="AY20" s="65">
        <f t="shared" si="8"/>
        <v>4257530</v>
      </c>
      <c r="AZ20" s="193">
        <f t="shared" si="9"/>
        <v>4254730</v>
      </c>
      <c r="BA20" s="65">
        <f t="shared" si="10"/>
        <v>-2800</v>
      </c>
      <c r="BB20" s="65">
        <f>IF(BA20&lt;比赛参数!$K$34,0,IF(BA20&lt;比赛参数!$K$35,BA20/(1-比赛参数!$E$36),IF(BA20&lt;比赛参数!$K$36,BA20/(1-比赛参数!$E$34))))</f>
        <v>0</v>
      </c>
      <c r="BC20" s="65">
        <f t="shared" si="11"/>
        <v>296857.77</v>
      </c>
      <c r="BD20" s="101"/>
      <c r="BE20" s="65">
        <f t="shared" si="12"/>
        <v>296857.77</v>
      </c>
      <c r="BF20" s="176">
        <f t="shared" si="13"/>
        <v>1.82233130755064</v>
      </c>
      <c r="BR20" s="197" t="s">
        <v>21</v>
      </c>
      <c r="BS20" s="198">
        <f>第十一期!Y9</f>
        <v>430</v>
      </c>
      <c r="BT20" s="198">
        <f>第十一期!Z9</f>
        <v>0</v>
      </c>
      <c r="BU20" s="198">
        <f>第十一期!AA9</f>
        <v>0</v>
      </c>
      <c r="BV20" s="198">
        <f>第十一期!AB9</f>
        <v>0</v>
      </c>
      <c r="BW20" s="200">
        <f>第十一期!AJ34</f>
        <v>0</v>
      </c>
      <c r="BX20" s="215"/>
      <c r="CA20" s="213"/>
      <c r="CB20" s="196" t="s">
        <v>56</v>
      </c>
      <c r="CC20" s="110">
        <f>第十一期!$CY$68</f>
        <v>0.746205052943208</v>
      </c>
      <c r="CD20" s="110">
        <f>第十一期!$CY$69</f>
        <v>0.712426993509801</v>
      </c>
      <c r="CE20" s="110">
        <f>第十一期!$CY$70</f>
        <v>0.748564373932836</v>
      </c>
      <c r="CF20" s="110">
        <f>第十一期!$CY$71</f>
        <v>0.571040554909659</v>
      </c>
      <c r="CG20" s="219"/>
      <c r="CH20" s="225"/>
      <c r="CI20" s="227" t="s">
        <v>56</v>
      </c>
      <c r="CJ20" s="110">
        <f>第十一期!$CY$50</f>
        <v>1849.72549160585</v>
      </c>
      <c r="CK20" s="110">
        <f>第十一期!$CY$51</f>
        <v>3941.77388325628</v>
      </c>
      <c r="CL20" s="110">
        <f>第十一期!$CY$52</f>
        <v>5833.35686810224</v>
      </c>
      <c r="CM20" s="110">
        <f>第十一期!$CY$53</f>
        <v>8338.42255635043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52</v>
      </c>
      <c r="DW20" s="251">
        <f t="shared" si="1"/>
        <v>5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>
        <v>0.599</v>
      </c>
      <c r="E21" s="9">
        <v>1</v>
      </c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274.096153846154</v>
      </c>
      <c r="Z21" s="42" t="s">
        <v>256</v>
      </c>
      <c r="AA21" s="110">
        <f>MAX(Y14,Z14+AA14,AB14)</f>
        <v>214</v>
      </c>
      <c r="AB21" s="42" t="s">
        <v>257</v>
      </c>
      <c r="AC21" s="111">
        <f>AC9*比赛参数!D28+AC10*比赛参数!E28+AC11*比赛参数!F28+AC12*比赛参数!G28</f>
        <v>1424600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362877.958866765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>
        <f>SUM(AB143:AE143)*比赛参数!$D$26+SUM(AL143:AO143)*比赛参数!$E$26+SUM(AB166:AE166)*比赛参数!$F$26+SUM(AL166:AO166)*比赛参数!$G$26</f>
        <v>173810</v>
      </c>
      <c r="AT21" s="55">
        <f t="shared" si="3"/>
        <v>133.7</v>
      </c>
      <c r="AU21" s="175">
        <f t="shared" si="4"/>
        <v>-208733.81</v>
      </c>
      <c r="AV21" s="176">
        <f t="shared" si="5"/>
        <v>-1.20093095909326</v>
      </c>
      <c r="AW21" s="175">
        <f t="shared" si="6"/>
        <v>4976398.81</v>
      </c>
      <c r="AX21" s="192">
        <f t="shared" si="7"/>
        <v>-0.0419447512085552</v>
      </c>
      <c r="AY21" s="65">
        <f t="shared" si="8"/>
        <v>4826750</v>
      </c>
      <c r="AZ21" s="193">
        <f t="shared" si="9"/>
        <v>4767665</v>
      </c>
      <c r="BA21" s="65">
        <f t="shared" si="10"/>
        <v>-59085</v>
      </c>
      <c r="BB21" s="65">
        <f>IF(BA21&lt;比赛参数!$K$34,0,IF(BA21&lt;比赛参数!$K$35,BA21/(1-比赛参数!$E$36),IF(BA21&lt;比赛参数!$K$36,BA21/(1-比赛参数!$E$34))))</f>
        <v>0</v>
      </c>
      <c r="BC21" s="65">
        <f t="shared" si="11"/>
        <v>-149648.81</v>
      </c>
      <c r="BD21" s="101"/>
      <c r="BE21" s="65">
        <f t="shared" si="12"/>
        <v>-149648.81</v>
      </c>
      <c r="BF21" s="176">
        <f t="shared" si="13"/>
        <v>-0.860990794545768</v>
      </c>
      <c r="BR21" s="196" t="s">
        <v>22</v>
      </c>
      <c r="BS21" s="198">
        <f>第十一期!Y10</f>
        <v>273</v>
      </c>
      <c r="BT21" s="198">
        <f>第十一期!Z10</f>
        <v>0</v>
      </c>
      <c r="BU21" s="198">
        <f>第十一期!AA10</f>
        <v>116</v>
      </c>
      <c r="BV21" s="198">
        <f>第十一期!AB10</f>
        <v>0</v>
      </c>
      <c r="BW21" s="200">
        <f>第十一期!AJ35</f>
        <v>0</v>
      </c>
      <c r="BX21" s="215"/>
      <c r="CA21" s="213"/>
      <c r="CB21" s="196" t="s">
        <v>57</v>
      </c>
      <c r="CC21" s="110">
        <f>第十一期!$CZ$68</f>
        <v>0.733304684604352</v>
      </c>
      <c r="CD21" s="110">
        <f>第十一期!$CZ$69</f>
        <v>0.683188409974113</v>
      </c>
      <c r="CE21" s="110">
        <f>第十一期!$CZ$70</f>
        <v>0.691475836135387</v>
      </c>
      <c r="CF21" s="110">
        <f>第十一期!$CZ$71</f>
        <v>0.55486558185606</v>
      </c>
      <c r="CG21" s="219"/>
      <c r="CH21" s="225"/>
      <c r="CI21" s="227" t="s">
        <v>57</v>
      </c>
      <c r="CJ21" s="110">
        <f>第十一期!$CZ$50</f>
        <v>2007.72549160585</v>
      </c>
      <c r="CK21" s="110">
        <f>第十一期!$CZ$51</f>
        <v>4158.77388325628</v>
      </c>
      <c r="CL21" s="110">
        <f>第十一期!$CZ$52</f>
        <v>6089.35686810224</v>
      </c>
      <c r="CM21" s="110">
        <f>第十一期!$CZ$53</f>
        <v>8682.42255635043</v>
      </c>
      <c r="CN21" s="48"/>
      <c r="CO21" s="239"/>
      <c r="DT21" s="252" t="s">
        <v>24</v>
      </c>
      <c r="DU21" s="250">
        <v>4</v>
      </c>
      <c r="DV21" s="251">
        <f t="shared" si="0"/>
        <v>49</v>
      </c>
      <c r="DW21" s="251">
        <f t="shared" si="1"/>
        <v>2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213.976923076923</v>
      </c>
      <c r="AB22" s="114">
        <f>AA22/AA20</f>
        <v>0.999892163910855</v>
      </c>
      <c r="AD22" s="115"/>
      <c r="AH22" s="151">
        <f>AH20+AH21</f>
        <v>2236917.95886676</v>
      </c>
      <c r="AI22" s="42" t="s">
        <v>264</v>
      </c>
      <c r="AJ22" s="139">
        <f>K11</f>
        <v>2938168.08</v>
      </c>
      <c r="AK22" s="2" t="s">
        <v>265</v>
      </c>
      <c r="AL22" s="152">
        <f>K10</f>
        <v>200738</v>
      </c>
      <c r="AR22" s="11">
        <v>14</v>
      </c>
      <c r="AS22" s="65">
        <f>SUM(AB144:AE144)*比赛参数!$D$26+SUM(AL144:AO144)*比赛参数!$E$26+SUM(AB167:AE167)*比赛参数!$F$26+SUM(AL167:AO167)*比赛参数!$G$26</f>
        <v>101180</v>
      </c>
      <c r="AT22" s="55">
        <f t="shared" si="3"/>
        <v>77.8307692307692</v>
      </c>
      <c r="AU22" s="175">
        <f t="shared" si="4"/>
        <v>-719760.5</v>
      </c>
      <c r="AV22" s="176">
        <f t="shared" si="5"/>
        <v>-7.11366376754299</v>
      </c>
      <c r="AW22" s="175">
        <f t="shared" si="6"/>
        <v>3086360.5</v>
      </c>
      <c r="AX22" s="192">
        <f t="shared" si="7"/>
        <v>-0.233206879105665</v>
      </c>
      <c r="AY22" s="65">
        <f t="shared" si="8"/>
        <v>3152200</v>
      </c>
      <c r="AZ22" s="193">
        <f t="shared" si="9"/>
        <v>2366600</v>
      </c>
      <c r="BA22" s="65">
        <f t="shared" si="10"/>
        <v>-785600</v>
      </c>
      <c r="BB22" s="65">
        <f>IF(BA22&lt;比赛参数!$K$34,0,IF(BA22&lt;比赛参数!$K$35,BA22/(1-比赛参数!$E$36),IF(BA22&lt;比赛参数!$K$36,BA22/(1-比赛参数!$E$34))))</f>
        <v>0</v>
      </c>
      <c r="BC22" s="65">
        <f t="shared" si="11"/>
        <v>65839.5</v>
      </c>
      <c r="BD22" s="101"/>
      <c r="BE22" s="65">
        <f t="shared" si="12"/>
        <v>65839.5</v>
      </c>
      <c r="BF22" s="176">
        <f t="shared" si="13"/>
        <v>0.650716544771694</v>
      </c>
      <c r="BR22" s="196" t="s">
        <v>23</v>
      </c>
      <c r="BS22" s="198">
        <f>第十一期!Y11</f>
        <v>0</v>
      </c>
      <c r="BT22" s="198">
        <f>第十一期!Z11</f>
        <v>0</v>
      </c>
      <c r="BU22" s="198">
        <f>第十一期!AA11</f>
        <v>144</v>
      </c>
      <c r="BV22" s="198">
        <f>第十一期!AB11</f>
        <v>0</v>
      </c>
      <c r="BW22" s="200">
        <f>第十一期!AJ36</f>
        <v>0</v>
      </c>
      <c r="BX22" s="215"/>
      <c r="CA22" s="213"/>
      <c r="CB22" s="196" t="s">
        <v>58</v>
      </c>
      <c r="CC22" s="110">
        <f>第十一期!$DA$68</f>
        <v>0.73978502701357</v>
      </c>
      <c r="CD22" s="110">
        <f>第十一期!$DA$69</f>
        <v>0.686952114069577</v>
      </c>
      <c r="CE22" s="110">
        <f>第十一期!$DA$70</f>
        <v>0.710276862150497</v>
      </c>
      <c r="CF22" s="110">
        <f>第十一期!$DA$71</f>
        <v>0.563140115118843</v>
      </c>
      <c r="CG22" s="219"/>
      <c r="CH22" s="225"/>
      <c r="CI22" s="227" t="s">
        <v>58</v>
      </c>
      <c r="CJ22" s="110">
        <f>第十一期!$DA$50</f>
        <v>2057.72549160585</v>
      </c>
      <c r="CK22" s="110">
        <f>第十一期!$DA$51</f>
        <v>4208.77388325628</v>
      </c>
      <c r="CL22" s="110">
        <f>第十一期!$DA$52</f>
        <v>6139.35686810224</v>
      </c>
      <c r="CM22" s="110">
        <f>第十一期!$DA$53</f>
        <v>8732.42255635043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6179815.40365385</v>
      </c>
      <c r="AK23" s="2" t="s">
        <v>272</v>
      </c>
      <c r="AL23" s="152">
        <f>AL22+AC18-AC21</f>
        <v>305966</v>
      </c>
      <c r="AQ23" s="177"/>
      <c r="AR23" s="11">
        <v>15</v>
      </c>
      <c r="AS23" s="65">
        <f>SUM(AB145:AE145)*比赛参数!$D$26+SUM(AL145:AO145)*比赛参数!$E$26+SUM(AB168:AE168)*比赛参数!$F$26+SUM(AL168:AO168)*比赛参数!$G$26</f>
        <v>107060</v>
      </c>
      <c r="AT23" s="55">
        <f t="shared" si="3"/>
        <v>82.3538461538461</v>
      </c>
      <c r="AU23" s="175">
        <f t="shared" si="4"/>
        <v>-1065330.13</v>
      </c>
      <c r="AV23" s="176">
        <f t="shared" si="5"/>
        <v>-9.95077648047824</v>
      </c>
      <c r="AW23" s="175">
        <f t="shared" si="6"/>
        <v>3815120.13</v>
      </c>
      <c r="AX23" s="192">
        <f t="shared" si="7"/>
        <v>-0.279238947581973</v>
      </c>
      <c r="AY23" s="65">
        <f t="shared" si="8"/>
        <v>2913150</v>
      </c>
      <c r="AZ23" s="193">
        <f t="shared" si="9"/>
        <v>2749790</v>
      </c>
      <c r="BA23" s="65">
        <f t="shared" si="10"/>
        <v>-163360</v>
      </c>
      <c r="BB23" s="65">
        <f>IF(BA23&lt;比赛参数!$K$34,0,IF(BA23&lt;比赛参数!$K$35,BA23/(1-比赛参数!$E$36),IF(BA23&lt;比赛参数!$K$36,BA23/(1-比赛参数!$E$34))))</f>
        <v>0</v>
      </c>
      <c r="BC23" s="65">
        <f t="shared" si="11"/>
        <v>-901970.13</v>
      </c>
      <c r="BD23" s="101"/>
      <c r="BE23" s="65">
        <f t="shared" si="12"/>
        <v>-901970.13</v>
      </c>
      <c r="BF23" s="176">
        <f t="shared" si="13"/>
        <v>-8.42490313842705</v>
      </c>
      <c r="BQ23" s="177"/>
      <c r="BR23" s="196" t="s">
        <v>24</v>
      </c>
      <c r="BS23" s="198">
        <f>第十一期!Y12</f>
        <v>0</v>
      </c>
      <c r="BT23" s="198">
        <f>第十一期!Z12</f>
        <v>0</v>
      </c>
      <c r="BU23" s="198">
        <f>第十一期!AA12</f>
        <v>53</v>
      </c>
      <c r="BV23" s="198">
        <f>第十一期!AB12</f>
        <v>107</v>
      </c>
      <c r="BW23" s="200">
        <f>第十一期!AJ37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589.76923076923</v>
      </c>
      <c r="DA23" s="2">
        <f t="shared" si="14"/>
        <v>630.76923076923</v>
      </c>
      <c r="DB23" s="2">
        <f t="shared" si="14"/>
        <v>722.76923076923</v>
      </c>
      <c r="DC23" s="2">
        <f t="shared" si="14"/>
        <v>772.76923076923</v>
      </c>
      <c r="DF23" s="2" t="s">
        <v>38</v>
      </c>
      <c r="DG23" s="2">
        <f t="shared" ref="DG23:DJ26" si="15">BS7-DG17</f>
        <v>1379.5</v>
      </c>
      <c r="DH23" s="2">
        <f t="shared" si="15"/>
        <v>1379.5</v>
      </c>
      <c r="DI23" s="2">
        <f t="shared" si="15"/>
        <v>1467</v>
      </c>
      <c r="DJ23" s="2">
        <f t="shared" si="15"/>
        <v>1567</v>
      </c>
      <c r="DM23" s="2">
        <f t="shared" ref="DM23:DP26" si="16">DG23/CS23</f>
        <v>13.795</v>
      </c>
      <c r="DN23" s="2">
        <f t="shared" si="16"/>
        <v>13.795</v>
      </c>
      <c r="DO23" s="2">
        <f t="shared" si="16"/>
        <v>14.67</v>
      </c>
      <c r="DP23" s="2">
        <f t="shared" si="16"/>
        <v>15.67</v>
      </c>
      <c r="DQ23" s="2">
        <f>SUMPRODUCT(DM23:DP23,BS14:BV14)/SUM(BS14:BV14)</f>
        <v>14.6526642335766</v>
      </c>
      <c r="DT23" s="219"/>
      <c r="DU23" s="196" t="s">
        <v>273</v>
      </c>
      <c r="DV23" s="251">
        <f>SUM(E42:E45)</f>
        <v>530000</v>
      </c>
    </row>
    <row r="24" ht="16.35" spans="2:126">
      <c r="B24" s="7"/>
      <c r="C24" s="18">
        <v>1</v>
      </c>
      <c r="D24" s="18">
        <v>1</v>
      </c>
      <c r="E24" s="9">
        <v>0</v>
      </c>
      <c r="F24" s="9">
        <v>67</v>
      </c>
      <c r="G24" s="9">
        <v>67</v>
      </c>
      <c r="H24" s="19">
        <v>0.0507</v>
      </c>
      <c r="I24" s="9">
        <v>0</v>
      </c>
      <c r="J24" s="9">
        <v>13</v>
      </c>
      <c r="K24" s="9">
        <v>2</v>
      </c>
      <c r="L24" s="10"/>
      <c r="M24" s="39">
        <f>AF64-AF104</f>
        <v>88</v>
      </c>
      <c r="N24" s="35"/>
      <c r="O24" s="35"/>
      <c r="P24" s="35"/>
      <c r="Q24" s="45"/>
      <c r="AH24" s="153"/>
      <c r="AQ24" s="177"/>
      <c r="AR24" s="11">
        <v>16</v>
      </c>
      <c r="AS24" s="65">
        <f>SUM(AB146:AE146)*比赛参数!$D$26+SUM(AL146:AO146)*比赛参数!$E$26+SUM(AB169:AE169)*比赛参数!$F$26+SUM(AL169:AO169)*比赛参数!$G$26</f>
        <v>193840</v>
      </c>
      <c r="AT24" s="55">
        <f t="shared" si="3"/>
        <v>149.107692307692</v>
      </c>
      <c r="AU24" s="175">
        <f t="shared" si="4"/>
        <v>454636.88</v>
      </c>
      <c r="AV24" s="176">
        <f t="shared" si="5"/>
        <v>2.34542344201403</v>
      </c>
      <c r="AW24" s="175">
        <f t="shared" si="6"/>
        <v>4843413.12</v>
      </c>
      <c r="AX24" s="192">
        <f t="shared" si="7"/>
        <v>0.0938670455598056</v>
      </c>
      <c r="AY24" s="65">
        <f t="shared" si="8"/>
        <v>5289350</v>
      </c>
      <c r="AZ24" s="193">
        <f t="shared" si="9"/>
        <v>5298050</v>
      </c>
      <c r="BA24" s="65">
        <f t="shared" si="10"/>
        <v>8700</v>
      </c>
      <c r="BB24" s="65">
        <f>IF(BA24&lt;比赛参数!$K$34,0,IF(BA24&lt;比赛参数!$K$35,BA24/(1-比赛参数!$E$36),IF(BA24&lt;比赛参数!$K$36,BA24/(1-比赛参数!$E$34))))</f>
        <v>0</v>
      </c>
      <c r="BC24" s="65">
        <f t="shared" si="11"/>
        <v>445936.88</v>
      </c>
      <c r="BD24" s="101"/>
      <c r="BE24" s="65">
        <f t="shared" si="12"/>
        <v>445936.88</v>
      </c>
      <c r="BF24" s="176">
        <f t="shared" si="13"/>
        <v>2.30054106479571</v>
      </c>
      <c r="BQ24" s="177"/>
      <c r="BX24" s="215"/>
      <c r="CA24" s="213"/>
      <c r="CB24" s="196" t="s">
        <v>274</v>
      </c>
      <c r="CC24" s="110">
        <f>SUMPRODUCT(CC19:CC22,AF64:AF67)/SUM(AF64:AF67)</f>
        <v>0.732800528816119</v>
      </c>
      <c r="CD24" s="110">
        <f>SUMPRODUCT(CD19:CD22,AG64:AG67)/SUM(AG64:AG67)</f>
        <v>0.688545104533493</v>
      </c>
      <c r="CE24" s="110">
        <f>SUMPRODUCT(CE19:CE22,AH64:AH67)/SUM(AH64:AH67)</f>
        <v>0.713433364955736</v>
      </c>
      <c r="CF24" s="110">
        <f>SUMPRODUCT(CF19:CF22,AI64:AI67)/SUM(AI64:AI67)</f>
        <v>0.558643847068358</v>
      </c>
      <c r="CG24" s="219"/>
      <c r="CH24" s="225"/>
      <c r="CI24" s="227" t="s">
        <v>274</v>
      </c>
      <c r="CJ24" s="110">
        <f>SUMPRODUCT(CJ19:CJ22,AF64:AF67)/SUM(AF64:AF67)</f>
        <v>1967.03583643344</v>
      </c>
      <c r="CK24" s="110">
        <f>SUMPRODUCT(CK19:CK22,AG64:AG67)/SUM(AG64:AG67)</f>
        <v>4103.91072536154</v>
      </c>
      <c r="CL24" s="110">
        <f>SUMPRODUCT(CL19:CL22,AH64:AH67)/SUM(AH64:AH67)</f>
        <v>6027.49749310224</v>
      </c>
      <c r="CM24" s="110">
        <f>SUMPRODUCT(CM19:CM22,AI64:AI67)/SUM(AI64:AI67)</f>
        <v>8587.93726223278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1299.92307692308</v>
      </c>
      <c r="DA24" s="2">
        <f t="shared" si="14"/>
        <v>1383.92307692308</v>
      </c>
      <c r="DB24" s="2">
        <f t="shared" si="14"/>
        <v>1416.92307692308</v>
      </c>
      <c r="DC24" s="2">
        <f t="shared" si="14"/>
        <v>1466.92307692308</v>
      </c>
      <c r="DF24" s="2" t="s">
        <v>39</v>
      </c>
      <c r="DG24" s="2">
        <f t="shared" si="15"/>
        <v>3265</v>
      </c>
      <c r="DH24" s="2">
        <f t="shared" si="15"/>
        <v>3265</v>
      </c>
      <c r="DI24" s="2">
        <f t="shared" si="15"/>
        <v>3315</v>
      </c>
      <c r="DJ24" s="2">
        <f t="shared" si="15"/>
        <v>3415</v>
      </c>
      <c r="DM24" s="2">
        <f t="shared" si="16"/>
        <v>13.06</v>
      </c>
      <c r="DN24" s="2">
        <f t="shared" si="16"/>
        <v>13.06</v>
      </c>
      <c r="DO24" s="2">
        <f t="shared" si="16"/>
        <v>13.26</v>
      </c>
      <c r="DP24" s="2">
        <f t="shared" si="16"/>
        <v>13.66</v>
      </c>
      <c r="DQ24" s="2">
        <f>SUMPRODUCT(DM24:DP24,BS15:BV15)/SUM(BS15:BV15)</f>
        <v>13.3022857142857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>
        <v>0</v>
      </c>
      <c r="F25" s="9">
        <v>68</v>
      </c>
      <c r="G25" s="9">
        <v>68</v>
      </c>
      <c r="H25" s="19">
        <v>0.0498</v>
      </c>
      <c r="I25" s="9">
        <v>0</v>
      </c>
      <c r="J25" s="9">
        <v>12</v>
      </c>
      <c r="K25" s="9">
        <v>2</v>
      </c>
      <c r="L25" s="10"/>
      <c r="M25" s="39">
        <f>AF65-AF105</f>
        <v>88</v>
      </c>
      <c r="N25" s="35"/>
      <c r="O25" s="35"/>
      <c r="P25" s="35"/>
      <c r="Q25" s="45"/>
      <c r="W25" s="3"/>
      <c r="AD25" s="116" t="s">
        <v>275</v>
      </c>
      <c r="AE25" s="117">
        <f>AC5/AC$4</f>
        <v>0.874282433983926</v>
      </c>
      <c r="AF25" s="117">
        <f>AC6/AC$4</f>
        <v>0.293915040183697</v>
      </c>
      <c r="AG25" s="117">
        <f>AC7/AC$4</f>
        <v>0.312284730195178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>
        <f>SUM(AB147:AE147)*比赛参数!$D$26+SUM(AL147:AO147)*比赛参数!$E$26+SUM(AB170:AE170)*比赛参数!$F$26+SUM(AL170:AO170)*比赛参数!$G$26</f>
        <v>161810</v>
      </c>
      <c r="AT25" s="55">
        <f t="shared" si="3"/>
        <v>124.469230769231</v>
      </c>
      <c r="AU25" s="175">
        <f t="shared" si="4"/>
        <v>-123194.52</v>
      </c>
      <c r="AV25" s="176">
        <f t="shared" si="5"/>
        <v>-0.761352944811816</v>
      </c>
      <c r="AW25" s="175">
        <f t="shared" si="6"/>
        <v>4289238.52</v>
      </c>
      <c r="AX25" s="192">
        <f t="shared" si="7"/>
        <v>-0.0287217694762286</v>
      </c>
      <c r="AY25" s="65">
        <f t="shared" si="8"/>
        <v>4206144</v>
      </c>
      <c r="AZ25" s="193">
        <f t="shared" si="9"/>
        <v>4166044</v>
      </c>
      <c r="BA25" s="65">
        <f t="shared" si="10"/>
        <v>-40100</v>
      </c>
      <c r="BB25" s="65">
        <f>IF(BA25&lt;比赛参数!$K$34,0,IF(BA25&lt;比赛参数!$K$35,BA25/(1-比赛参数!$E$36),IF(BA25&lt;比赛参数!$K$36,BA25/(1-比赛参数!$E$34))))</f>
        <v>0</v>
      </c>
      <c r="BC25" s="65">
        <f t="shared" si="11"/>
        <v>-83094.52</v>
      </c>
      <c r="BD25" s="101"/>
      <c r="BE25" s="65">
        <f t="shared" si="12"/>
        <v>-83094.52</v>
      </c>
      <c r="BF25" s="176">
        <f t="shared" si="13"/>
        <v>-0.513531425746246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2436.92307692308</v>
      </c>
      <c r="DA25" s="2">
        <f t="shared" si="14"/>
        <v>2548.92307692308</v>
      </c>
      <c r="DB25" s="2">
        <f t="shared" si="14"/>
        <v>2392.92307692308</v>
      </c>
      <c r="DC25" s="2">
        <f t="shared" si="14"/>
        <v>2542.92307692308</v>
      </c>
      <c r="DF25" s="2" t="s">
        <v>40</v>
      </c>
      <c r="DG25" s="2">
        <f t="shared" si="15"/>
        <v>5416</v>
      </c>
      <c r="DH25" s="2">
        <f t="shared" si="15"/>
        <v>5416</v>
      </c>
      <c r="DI25" s="2">
        <f t="shared" si="15"/>
        <v>5291</v>
      </c>
      <c r="DJ25" s="2">
        <f t="shared" si="15"/>
        <v>5491</v>
      </c>
      <c r="DM25" s="2">
        <f t="shared" si="16"/>
        <v>14.2526315789474</v>
      </c>
      <c r="DN25" s="2">
        <f t="shared" si="16"/>
        <v>14.2526315789474</v>
      </c>
      <c r="DO25" s="2">
        <f t="shared" si="16"/>
        <v>13.9236842105263</v>
      </c>
      <c r="DP25" s="2">
        <f t="shared" si="16"/>
        <v>14.45</v>
      </c>
      <c r="DQ25" s="2">
        <f>SUMPRODUCT(DM25:DP25,BS16:BV16)/SUM(BS16:BV16)</f>
        <v>14.2167004048583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>
        <v>0</v>
      </c>
      <c r="F26" s="9">
        <v>79</v>
      </c>
      <c r="G26" s="9">
        <v>79</v>
      </c>
      <c r="H26" s="19">
        <v>0.0465</v>
      </c>
      <c r="I26" s="9">
        <v>0</v>
      </c>
      <c r="J26" s="9">
        <v>15</v>
      </c>
      <c r="K26" s="9">
        <v>4</v>
      </c>
      <c r="L26" s="10"/>
      <c r="M26" s="39">
        <f>AF66-AF106</f>
        <v>129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第十一期!BV57-第十一期!BV76</f>
        <v>5253901.1425</v>
      </c>
      <c r="AJ26" s="65">
        <f>第十一期!K9</f>
        <v>214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第十一期!DB50</f>
        <v>1951.47549160585</v>
      </c>
      <c r="AQ26" s="177"/>
      <c r="AR26" s="11">
        <v>18</v>
      </c>
      <c r="AS26" s="65">
        <f>SUM(AB148:AE148)*比赛参数!$D$26+SUM(AL148:AO148)*比赛参数!$E$26+SUM(AB171:AE171)*比赛参数!$F$26+SUM(AL171:AO171)*比赛参数!$G$26</f>
        <v>121320</v>
      </c>
      <c r="AT26" s="55">
        <f t="shared" si="3"/>
        <v>93.3230769230769</v>
      </c>
      <c r="AU26" s="178">
        <f t="shared" si="4"/>
        <v>-293991.4</v>
      </c>
      <c r="AV26" s="176">
        <f t="shared" si="5"/>
        <v>-2.42327233761952</v>
      </c>
      <c r="AW26" s="175">
        <f t="shared" si="6"/>
        <v>3621337.4</v>
      </c>
      <c r="AX26" s="192">
        <f t="shared" si="7"/>
        <v>-0.0811831010278137</v>
      </c>
      <c r="AY26" s="65">
        <f t="shared" si="8"/>
        <v>3278619</v>
      </c>
      <c r="AZ26" s="193">
        <f t="shared" si="9"/>
        <v>3327346</v>
      </c>
      <c r="BA26" s="65">
        <f t="shared" si="10"/>
        <v>48727</v>
      </c>
      <c r="BB26" s="65">
        <f>IF(BA26&lt;比赛参数!$K$34,0,IF(BA26&lt;比赛参数!$K$35,BA26/(1-比赛参数!$E$36),IF(BA26&lt;比赛参数!$K$36,BA26/(1-比赛参数!$E$34))))</f>
        <v>1624233.33333333</v>
      </c>
      <c r="BC26" s="65">
        <f t="shared" si="11"/>
        <v>-342718.4</v>
      </c>
      <c r="BD26" s="101"/>
      <c r="BE26" s="65">
        <f t="shared" si="12"/>
        <v>-342718.4</v>
      </c>
      <c r="BF26" s="176">
        <f t="shared" si="13"/>
        <v>-2.82491262776129</v>
      </c>
      <c r="BQ26" s="177"/>
      <c r="BR26" s="201"/>
      <c r="BS26" s="198">
        <f>第十一期!Y18</f>
        <v>90</v>
      </c>
      <c r="BT26" s="198">
        <f>第十一期!AA18</f>
        <v>8</v>
      </c>
      <c r="BU26" s="198">
        <f>第十一期!AF18</f>
        <v>39</v>
      </c>
      <c r="BV26" s="204">
        <f>第十一期!AC18</f>
        <v>1529828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2874</v>
      </c>
      <c r="DA26" s="2">
        <f t="shared" si="14"/>
        <v>3012</v>
      </c>
      <c r="DB26" s="2">
        <f t="shared" si="14"/>
        <v>3068</v>
      </c>
      <c r="DC26" s="2">
        <f t="shared" si="14"/>
        <v>3168</v>
      </c>
      <c r="DF26" s="2" t="s">
        <v>41</v>
      </c>
      <c r="DG26" s="2">
        <f t="shared" si="15"/>
        <v>6943</v>
      </c>
      <c r="DH26" s="2">
        <f t="shared" si="15"/>
        <v>6943</v>
      </c>
      <c r="DI26" s="2">
        <f t="shared" si="15"/>
        <v>7043</v>
      </c>
      <c r="DJ26" s="2">
        <f t="shared" si="15"/>
        <v>7193</v>
      </c>
      <c r="DM26" s="2">
        <f t="shared" si="16"/>
        <v>13.3519230769231</v>
      </c>
      <c r="DN26" s="2">
        <f t="shared" si="16"/>
        <v>13.3519230769231</v>
      </c>
      <c r="DO26" s="2">
        <f t="shared" si="16"/>
        <v>13.5442307692308</v>
      </c>
      <c r="DP26" s="2">
        <f t="shared" si="16"/>
        <v>13.8326923076923</v>
      </c>
      <c r="DQ26" s="2">
        <f>SUMPRODUCT(DM26:DP26,BS17:BV17)/SUM(BS17:BV17)</f>
        <v>13.5517722473605</v>
      </c>
      <c r="DT26" s="127" t="s">
        <v>21</v>
      </c>
      <c r="DU26" s="251">
        <f>D42</f>
        <v>89</v>
      </c>
      <c r="DV26" s="270">
        <f>G42</f>
        <v>3</v>
      </c>
    </row>
    <row r="27" ht="17.1" spans="2:126">
      <c r="B27" s="7"/>
      <c r="C27" s="18">
        <v>1</v>
      </c>
      <c r="D27" s="18">
        <v>4</v>
      </c>
      <c r="E27" s="9">
        <v>1</v>
      </c>
      <c r="F27" s="9">
        <v>80</v>
      </c>
      <c r="G27" s="9">
        <v>81</v>
      </c>
      <c r="H27" s="19">
        <v>0.0494</v>
      </c>
      <c r="I27" s="9">
        <v>0</v>
      </c>
      <c r="J27" s="9">
        <v>5</v>
      </c>
      <c r="K27" s="9">
        <v>4</v>
      </c>
      <c r="L27" s="10"/>
      <c r="M27" s="39">
        <f>AF67-AF107</f>
        <v>130</v>
      </c>
      <c r="N27" s="35"/>
      <c r="O27" s="35"/>
      <c r="P27" s="35"/>
      <c r="Q27" s="45"/>
      <c r="U27" s="53"/>
      <c r="V27" s="54"/>
      <c r="W27" s="11">
        <v>1</v>
      </c>
      <c r="X27" s="55">
        <f t="shared" ref="X27:Z46" si="17">AT9</f>
        <v>219.930769230769</v>
      </c>
      <c r="Y27" s="118">
        <f t="shared" si="17"/>
        <v>471773</v>
      </c>
      <c r="Z27" s="119">
        <f t="shared" si="17"/>
        <v>1.65007519848903</v>
      </c>
      <c r="AA27" s="120">
        <f t="shared" ref="AA27:AA46" si="18">SUM(AB131:AE131)</f>
        <v>730</v>
      </c>
      <c r="AB27" s="121">
        <f t="shared" ref="AB27:AB46" si="19">SUM(AL131:AO131)</f>
        <v>331</v>
      </c>
      <c r="AC27" s="121">
        <f t="shared" ref="AC27:AC46" si="20">SUM(AB154:AE154)</f>
        <v>244</v>
      </c>
      <c r="AD27" s="122">
        <f t="shared" ref="AD27:AD46" si="21">SUM(AL154:AO154)</f>
        <v>72</v>
      </c>
      <c r="AE27" s="123">
        <f t="shared" ref="AE27:AG46" si="22">AB27/$AA27</f>
        <v>0.453424657534247</v>
      </c>
      <c r="AF27" s="124">
        <f t="shared" si="22"/>
        <v>0.334246575342466</v>
      </c>
      <c r="AG27" s="158">
        <f t="shared" si="22"/>
        <v>0.0986301369863014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第十一期!DB51</f>
        <v>4083.77388325628</v>
      </c>
      <c r="AO27" s="179"/>
      <c r="AQ27" s="177"/>
      <c r="AR27" s="11">
        <v>19</v>
      </c>
      <c r="AS27" s="65">
        <f>SUM(AB149:AE149)*比赛参数!$D$26+SUM(AL149:AO149)*比赛参数!$E$26+SUM(AB172:AE172)*比赛参数!$F$26+SUM(AL172:AO172)*比赛参数!$G$26</f>
        <v>127120</v>
      </c>
      <c r="AT27" s="55">
        <f t="shared" si="3"/>
        <v>97.7846153846154</v>
      </c>
      <c r="AU27" s="175">
        <f t="shared" si="4"/>
        <v>-187244.09</v>
      </c>
      <c r="AV27" s="176">
        <f t="shared" si="5"/>
        <v>-1.47297112964128</v>
      </c>
      <c r="AW27" s="175">
        <f t="shared" si="6"/>
        <v>3406944.09</v>
      </c>
      <c r="AX27" s="192">
        <f t="shared" si="7"/>
        <v>-0.0549595429374951</v>
      </c>
      <c r="AY27" s="65">
        <f t="shared" si="8"/>
        <v>3351200</v>
      </c>
      <c r="AZ27" s="193">
        <f t="shared" si="9"/>
        <v>3219700</v>
      </c>
      <c r="BA27" s="65">
        <f t="shared" si="10"/>
        <v>-131500</v>
      </c>
      <c r="BB27" s="65">
        <f>IF(BA27&lt;比赛参数!$K$34,0,IF(BA27&lt;比赛参数!$K$35,BA27/(1-比赛参数!$E$36),IF(BA27&lt;比赛参数!$K$36,BA27/(1-比赛参数!$E$34))))</f>
        <v>0</v>
      </c>
      <c r="BC27" s="65">
        <f t="shared" si="11"/>
        <v>-55744.09</v>
      </c>
      <c r="BD27" s="101"/>
      <c r="BE27" s="65">
        <f t="shared" si="12"/>
        <v>-55744.09</v>
      </c>
      <c r="BF27" s="176">
        <f t="shared" si="13"/>
        <v>-0.43851549716803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108.455696202532</v>
      </c>
      <c r="CD27" s="107">
        <f t="shared" si="23"/>
        <v>603.342857142857</v>
      </c>
      <c r="CE27" s="107">
        <f t="shared" si="23"/>
        <v>1285.61904761905</v>
      </c>
      <c r="CF27" s="107">
        <f t="shared" si="23"/>
        <v>1310.66666666667</v>
      </c>
      <c r="CG27" s="225"/>
      <c r="CH27" s="225"/>
      <c r="CI27" s="226" t="s">
        <v>55</v>
      </c>
      <c r="CJ27" s="110">
        <f t="shared" ref="CJ27:CM30" si="24">IF(AF64&gt;0,CJ19+CC27,0)</f>
        <v>1999.18118780838</v>
      </c>
      <c r="CK27" s="110">
        <f t="shared" si="24"/>
        <v>4629.11674039913</v>
      </c>
      <c r="CL27" s="110">
        <f t="shared" si="24"/>
        <v>7230.97591572129</v>
      </c>
      <c r="CM27" s="110">
        <f t="shared" si="24"/>
        <v>9787.0892230171</v>
      </c>
      <c r="CN27" s="48"/>
      <c r="CO27" s="239"/>
      <c r="DT27" s="271" t="s">
        <v>22</v>
      </c>
      <c r="DU27" s="251">
        <f>D43</f>
        <v>59</v>
      </c>
      <c r="DV27" s="270">
        <f>G43</f>
        <v>3</v>
      </c>
    </row>
    <row r="28" ht="17.1" spans="2:126">
      <c r="B28" s="7"/>
      <c r="C28" s="18">
        <v>2</v>
      </c>
      <c r="D28" s="18">
        <v>1</v>
      </c>
      <c r="E28" s="9">
        <v>0</v>
      </c>
      <c r="F28" s="9">
        <v>38</v>
      </c>
      <c r="G28" s="9">
        <v>38</v>
      </c>
      <c r="H28" s="19">
        <v>0.0467</v>
      </c>
      <c r="I28" s="9">
        <v>0</v>
      </c>
      <c r="J28" s="9">
        <v>12</v>
      </c>
      <c r="K28" s="9">
        <v>2</v>
      </c>
      <c r="L28" s="10"/>
      <c r="M28" s="39">
        <f>AG64-AG104</f>
        <v>79</v>
      </c>
      <c r="N28" s="35"/>
      <c r="O28" s="35"/>
      <c r="P28" s="35"/>
      <c r="Q28" s="45"/>
      <c r="U28" s="53"/>
      <c r="V28" s="54"/>
      <c r="W28" s="11">
        <v>2</v>
      </c>
      <c r="X28" s="55">
        <f t="shared" si="17"/>
        <v>146.523076923077</v>
      </c>
      <c r="Y28" s="118">
        <f t="shared" si="17"/>
        <v>-440305.41</v>
      </c>
      <c r="Z28" s="119">
        <f t="shared" si="17"/>
        <v>-2.31155717135657</v>
      </c>
      <c r="AA28" s="120">
        <f t="shared" si="18"/>
        <v>490</v>
      </c>
      <c r="AB28" s="121">
        <f t="shared" si="19"/>
        <v>84</v>
      </c>
      <c r="AC28" s="121">
        <f t="shared" si="20"/>
        <v>146</v>
      </c>
      <c r="AD28" s="122">
        <f t="shared" si="21"/>
        <v>125</v>
      </c>
      <c r="AE28" s="123">
        <f t="shared" si="22"/>
        <v>0.171428571428571</v>
      </c>
      <c r="AF28" s="124">
        <f t="shared" si="22"/>
        <v>0.297959183673469</v>
      </c>
      <c r="AG28" s="158">
        <f t="shared" si="22"/>
        <v>0.255102040816327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第十一期!DB52</f>
        <v>6001.85686810224</v>
      </c>
      <c r="AQ28" s="177"/>
      <c r="AR28" s="11">
        <v>20</v>
      </c>
      <c r="AS28" s="65">
        <f>SUM(AB150:AE150)*比赛参数!$D$26+SUM(AL150:AO150)*比赛参数!$E$26+SUM(AB173:AE173)*比赛参数!$F$26+SUM(AL173:AO173)*比赛参数!$G$26</f>
        <v>0</v>
      </c>
      <c r="AT28" s="55">
        <f t="shared" si="3"/>
        <v>0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>
        <f t="shared" si="8"/>
        <v>0</v>
      </c>
      <c r="AZ28" s="193">
        <f t="shared" si="9"/>
        <v>0</v>
      </c>
      <c r="BA28" s="65">
        <f t="shared" si="10"/>
        <v>0</v>
      </c>
      <c r="BB28" s="65">
        <f>IF(BA28&lt;比赛参数!$K$34,0,IF(BA28&lt;比赛参数!$K$35,BA28/(1-比赛参数!$E$36),IF(BA28&lt;比赛参数!$K$36,BA28/(1-比赛参数!$E$34))))</f>
        <v>0</v>
      </c>
      <c r="BC28" s="65">
        <f t="shared" si="11"/>
        <v>0</v>
      </c>
      <c r="BD28" s="101"/>
      <c r="BE28" s="65">
        <f t="shared" si="12"/>
        <v>0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58.1125</v>
      </c>
      <c r="CD28" s="107">
        <f t="shared" si="23"/>
        <v>494.8125</v>
      </c>
      <c r="CE28" s="107">
        <f t="shared" si="23"/>
        <v>977.769230769231</v>
      </c>
      <c r="CF28" s="107">
        <f t="shared" si="23"/>
        <v>1089.33333333333</v>
      </c>
      <c r="CG28" s="225"/>
      <c r="CH28" s="225"/>
      <c r="CI28" s="227" t="s">
        <v>56</v>
      </c>
      <c r="CJ28" s="110">
        <f t="shared" si="24"/>
        <v>1907.83799160585</v>
      </c>
      <c r="CK28" s="110">
        <f t="shared" si="24"/>
        <v>4436.58638325628</v>
      </c>
      <c r="CL28" s="110">
        <f t="shared" si="24"/>
        <v>6811.12609887147</v>
      </c>
      <c r="CM28" s="110">
        <f t="shared" si="24"/>
        <v>9427.75588968377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22</v>
      </c>
      <c r="DV28" s="270">
        <f>G44</f>
        <v>2</v>
      </c>
    </row>
    <row r="29" ht="16.35" spans="2:126">
      <c r="B29" s="7"/>
      <c r="C29" s="18">
        <v>2</v>
      </c>
      <c r="D29" s="18">
        <v>2</v>
      </c>
      <c r="E29" s="9">
        <v>0</v>
      </c>
      <c r="F29" s="9">
        <v>39</v>
      </c>
      <c r="G29" s="9">
        <v>39</v>
      </c>
      <c r="H29" s="19">
        <v>0.0495</v>
      </c>
      <c r="I29" s="9">
        <v>0</v>
      </c>
      <c r="J29" s="9">
        <v>12</v>
      </c>
      <c r="K29" s="9">
        <v>2</v>
      </c>
      <c r="L29" s="10"/>
      <c r="M29" s="39">
        <f>AG65-AG105</f>
        <v>73</v>
      </c>
      <c r="N29" s="35"/>
      <c r="O29" s="35"/>
      <c r="P29" s="35"/>
      <c r="Q29" s="45"/>
      <c r="U29" s="53"/>
      <c r="V29" s="56"/>
      <c r="W29" s="11">
        <v>3</v>
      </c>
      <c r="X29" s="55">
        <f t="shared" si="17"/>
        <v>84.0461538461538</v>
      </c>
      <c r="Y29" s="118">
        <f t="shared" si="17"/>
        <v>-132448.6</v>
      </c>
      <c r="Z29" s="119">
        <f t="shared" si="17"/>
        <v>-1.21223320519861</v>
      </c>
      <c r="AA29" s="120">
        <f t="shared" si="18"/>
        <v>300</v>
      </c>
      <c r="AB29" s="121">
        <f t="shared" si="19"/>
        <v>152</v>
      </c>
      <c r="AC29" s="121">
        <f t="shared" si="20"/>
        <v>47</v>
      </c>
      <c r="AD29" s="122">
        <f t="shared" si="21"/>
        <v>45</v>
      </c>
      <c r="AE29" s="123">
        <f t="shared" si="22"/>
        <v>0.506666666666667</v>
      </c>
      <c r="AF29" s="124">
        <f t="shared" si="22"/>
        <v>0.156666666666667</v>
      </c>
      <c r="AG29" s="158">
        <f t="shared" si="22"/>
        <v>0.15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第十一期!DB53</f>
        <v>8557.42255635043</v>
      </c>
      <c r="BQ29" s="177"/>
      <c r="BR29" s="201"/>
      <c r="BS29" s="204">
        <f>第十一期!AH14</f>
        <v>301498</v>
      </c>
      <c r="BT29" s="204">
        <f>第十一期!AH15</f>
        <v>2014236</v>
      </c>
      <c r="BU29" s="198">
        <f>第十一期!AF20</f>
        <v>0</v>
      </c>
      <c r="BV29" s="204">
        <f>第十一期!AJ18</f>
        <v>0</v>
      </c>
      <c r="BW29" s="218">
        <f>第十一期!AH18</f>
        <v>1</v>
      </c>
      <c r="BX29" s="215"/>
      <c r="CA29" s="213"/>
      <c r="CB29" s="196" t="s">
        <v>57</v>
      </c>
      <c r="CC29" s="107">
        <f t="shared" si="23"/>
        <v>234.166666666667</v>
      </c>
      <c r="CD29" s="107">
        <f t="shared" si="23"/>
        <v>707.142857142857</v>
      </c>
      <c r="CE29" s="107">
        <f t="shared" si="23"/>
        <v>1200</v>
      </c>
      <c r="CF29" s="107">
        <f t="shared" si="23"/>
        <v>1367.34693877551</v>
      </c>
      <c r="CG29" s="225"/>
      <c r="CH29" s="225"/>
      <c r="CI29" s="227" t="s">
        <v>57</v>
      </c>
      <c r="CJ29" s="110">
        <f t="shared" si="24"/>
        <v>2241.89215827252</v>
      </c>
      <c r="CK29" s="110">
        <f t="shared" si="24"/>
        <v>4865.91674039913</v>
      </c>
      <c r="CL29" s="110">
        <f t="shared" si="24"/>
        <v>7289.35686810224</v>
      </c>
      <c r="CM29" s="110">
        <f t="shared" si="24"/>
        <v>10049.7694951259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5.8976923076923</v>
      </c>
      <c r="DA29" s="2">
        <f t="shared" si="25"/>
        <v>6.3076923076923</v>
      </c>
      <c r="DB29" s="2">
        <f t="shared" si="25"/>
        <v>7.2276923076923</v>
      </c>
      <c r="DC29" s="2">
        <f t="shared" si="25"/>
        <v>7.7276923076923</v>
      </c>
      <c r="DD29" s="2">
        <f>SUMPRODUCT(CZ29:DC29,BS14:BV14)/SUM(BS14:BV14)</f>
        <v>6.95355605465094</v>
      </c>
      <c r="DF29" s="2" t="s">
        <v>38</v>
      </c>
      <c r="DG29" s="2">
        <f t="shared" ref="DG29:DJ32" si="26">DG23/CS23</f>
        <v>13.795</v>
      </c>
      <c r="DH29" s="2">
        <f t="shared" si="26"/>
        <v>13.795</v>
      </c>
      <c r="DI29" s="2">
        <f t="shared" si="26"/>
        <v>14.67</v>
      </c>
      <c r="DJ29" s="2">
        <f t="shared" si="26"/>
        <v>15.67</v>
      </c>
      <c r="DK29" s="2">
        <f>SUMPRODUCT(DG29:DJ29,BS14:BV14)/SUM(BS14:BV14)</f>
        <v>14.6526642335766</v>
      </c>
      <c r="DM29" s="2">
        <f t="shared" ref="DM29:DP32" si="27">DG23/CS29</f>
        <v>11.4958333333333</v>
      </c>
      <c r="DN29" s="2">
        <f t="shared" si="27"/>
        <v>11.4958333333333</v>
      </c>
      <c r="DO29" s="2">
        <f t="shared" si="27"/>
        <v>12.225</v>
      </c>
      <c r="DP29" s="2">
        <f t="shared" si="27"/>
        <v>13.0583333333333</v>
      </c>
      <c r="DQ29" s="2">
        <f>SUMPRODUCT(DM29:DP29,BS14:BV14)/SUM(BS14:BV14)</f>
        <v>12.2105535279805</v>
      </c>
      <c r="DT29" s="127" t="s">
        <v>24</v>
      </c>
      <c r="DU29" s="251">
        <f>D45</f>
        <v>33</v>
      </c>
      <c r="DV29" s="270">
        <f>G45</f>
        <v>2</v>
      </c>
    </row>
    <row r="30" ht="16.35" spans="2:121">
      <c r="B30" s="7"/>
      <c r="C30" s="18">
        <v>2</v>
      </c>
      <c r="D30" s="18">
        <v>3</v>
      </c>
      <c r="E30" s="9">
        <v>0</v>
      </c>
      <c r="F30" s="9">
        <v>57</v>
      </c>
      <c r="G30" s="9">
        <v>57</v>
      </c>
      <c r="H30" s="19">
        <v>0.0607</v>
      </c>
      <c r="I30" s="9">
        <v>0</v>
      </c>
      <c r="J30" s="9">
        <v>12</v>
      </c>
      <c r="K30" s="9">
        <v>4</v>
      </c>
      <c r="L30" s="10"/>
      <c r="M30" s="39">
        <f>AG66-AG106</f>
        <v>118</v>
      </c>
      <c r="N30" s="35"/>
      <c r="O30" s="35"/>
      <c r="P30" s="35"/>
      <c r="Q30" s="45"/>
      <c r="U30" s="53"/>
      <c r="V30" s="54"/>
      <c r="W30" s="11">
        <v>4</v>
      </c>
      <c r="X30" s="55">
        <f t="shared" si="17"/>
        <v>200.507692307692</v>
      </c>
      <c r="Y30" s="118">
        <f t="shared" si="17"/>
        <v>311824.96</v>
      </c>
      <c r="Z30" s="119">
        <f t="shared" si="17"/>
        <v>1.19629003299317</v>
      </c>
      <c r="AA30" s="120">
        <f t="shared" si="18"/>
        <v>817</v>
      </c>
      <c r="AB30" s="121">
        <f t="shared" si="19"/>
        <v>168</v>
      </c>
      <c r="AC30" s="121">
        <f t="shared" si="20"/>
        <v>188</v>
      </c>
      <c r="AD30" s="122">
        <f t="shared" si="21"/>
        <v>126</v>
      </c>
      <c r="AE30" s="123">
        <f t="shared" si="22"/>
        <v>0.20563035495716</v>
      </c>
      <c r="AF30" s="124">
        <f t="shared" si="22"/>
        <v>0.230110159118727</v>
      </c>
      <c r="AG30" s="158">
        <f t="shared" si="22"/>
        <v>0.15422276621787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287.878787878788</v>
      </c>
      <c r="CD30" s="107">
        <f t="shared" si="23"/>
        <v>775</v>
      </c>
      <c r="CE30" s="107">
        <f t="shared" si="23"/>
        <v>1245.3488372093</v>
      </c>
      <c r="CF30" s="107">
        <f t="shared" si="23"/>
        <v>1493.18181818182</v>
      </c>
      <c r="CG30" s="225"/>
      <c r="CH30" s="225"/>
      <c r="CI30" s="227" t="s">
        <v>58</v>
      </c>
      <c r="CJ30" s="110">
        <f t="shared" si="24"/>
        <v>2345.60427948464</v>
      </c>
      <c r="CK30" s="110">
        <f t="shared" si="24"/>
        <v>4983.77388325628</v>
      </c>
      <c r="CL30" s="110">
        <f t="shared" si="24"/>
        <v>7384.70570531154</v>
      </c>
      <c r="CM30" s="110">
        <f t="shared" si="24"/>
        <v>10225.6043745323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5.19969230769231</v>
      </c>
      <c r="DA30" s="2">
        <f t="shared" si="25"/>
        <v>5.53569230769231</v>
      </c>
      <c r="DB30" s="2">
        <f t="shared" si="25"/>
        <v>5.66769230769231</v>
      </c>
      <c r="DC30" s="2">
        <f t="shared" si="25"/>
        <v>5.86769230769231</v>
      </c>
      <c r="DD30" s="2">
        <f>SUMPRODUCT(CZ30:DC30,BS15:BV15)/SUM(BS15:BV15)</f>
        <v>5.60938373626374</v>
      </c>
      <c r="DF30" s="2" t="s">
        <v>39</v>
      </c>
      <c r="DG30" s="2">
        <f t="shared" si="26"/>
        <v>13.06</v>
      </c>
      <c r="DH30" s="2">
        <f t="shared" si="26"/>
        <v>13.06</v>
      </c>
      <c r="DI30" s="2">
        <f t="shared" si="26"/>
        <v>13.26</v>
      </c>
      <c r="DJ30" s="2">
        <f t="shared" si="26"/>
        <v>13.66</v>
      </c>
      <c r="DK30" s="2">
        <f>SUMPRODUCT(DG30:DJ30,BS15:BV15)/SUM(BS15:BV15)</f>
        <v>13.3022857142857</v>
      </c>
      <c r="DM30" s="2">
        <f t="shared" si="27"/>
        <v>21.7666666666667</v>
      </c>
      <c r="DN30" s="2">
        <f t="shared" si="27"/>
        <v>21.7666666666667</v>
      </c>
      <c r="DO30" s="2">
        <f t="shared" si="27"/>
        <v>22.1</v>
      </c>
      <c r="DP30" s="2">
        <f t="shared" si="27"/>
        <v>22.7666666666667</v>
      </c>
      <c r="DQ30" s="2">
        <f>SUMPRODUCT(DM30:DP30,BS15:BV15)/SUM(BS15:BV15)</f>
        <v>22.1704761904762</v>
      </c>
    </row>
    <row r="31" ht="16.35" spans="2:138">
      <c r="B31" s="7"/>
      <c r="C31" s="18">
        <v>2</v>
      </c>
      <c r="D31" s="18">
        <v>4</v>
      </c>
      <c r="E31" s="9">
        <v>0</v>
      </c>
      <c r="F31" s="9">
        <v>56</v>
      </c>
      <c r="G31" s="9">
        <v>56</v>
      </c>
      <c r="H31" s="19">
        <v>0.0593</v>
      </c>
      <c r="I31" s="9">
        <v>0</v>
      </c>
      <c r="J31" s="9">
        <v>11</v>
      </c>
      <c r="K31" s="9">
        <v>3</v>
      </c>
      <c r="L31" s="10"/>
      <c r="M31" s="39">
        <f>AG67-AG107</f>
        <v>110</v>
      </c>
      <c r="N31" s="35"/>
      <c r="O31" s="35"/>
      <c r="P31" s="35"/>
      <c r="Q31" s="45"/>
      <c r="U31" s="53"/>
      <c r="V31" s="54"/>
      <c r="W31" s="11">
        <v>5</v>
      </c>
      <c r="X31" s="55">
        <f t="shared" si="17"/>
        <v>152.407692307692</v>
      </c>
      <c r="Y31" s="118">
        <f t="shared" si="17"/>
        <v>295537.91</v>
      </c>
      <c r="Z31" s="119">
        <f t="shared" si="17"/>
        <v>1.4916363498713</v>
      </c>
      <c r="AA31" s="120">
        <f t="shared" si="18"/>
        <v>446</v>
      </c>
      <c r="AB31" s="121">
        <f t="shared" si="19"/>
        <v>241</v>
      </c>
      <c r="AC31" s="121">
        <f t="shared" si="20"/>
        <v>84</v>
      </c>
      <c r="AD31" s="122">
        <f t="shared" si="21"/>
        <v>118</v>
      </c>
      <c r="AE31" s="123">
        <f t="shared" si="22"/>
        <v>0.540358744394619</v>
      </c>
      <c r="AF31" s="124">
        <f t="shared" si="22"/>
        <v>0.188340807174888</v>
      </c>
      <c r="AG31" s="158">
        <f t="shared" si="22"/>
        <v>0.26457399103139</v>
      </c>
      <c r="AL31" s="156">
        <f>Y20/AA20/2</f>
        <v>0.641355140186916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6.41295546558704</v>
      </c>
      <c r="DA31" s="2">
        <f t="shared" si="25"/>
        <v>6.70769230769231</v>
      </c>
      <c r="DB31" s="2">
        <f t="shared" si="25"/>
        <v>6.29716599190283</v>
      </c>
      <c r="DC31" s="2">
        <f t="shared" si="25"/>
        <v>6.6919028340081</v>
      </c>
      <c r="DD31" s="2">
        <f>SUMPRODUCT(CZ31:DC31,BS16:BV16)/SUM(BS16:BV16)</f>
        <v>6.52854251012146</v>
      </c>
      <c r="DF31" s="2" t="s">
        <v>40</v>
      </c>
      <c r="DG31" s="2">
        <f t="shared" si="26"/>
        <v>14.2526315789474</v>
      </c>
      <c r="DH31" s="2">
        <f t="shared" si="26"/>
        <v>14.2526315789474</v>
      </c>
      <c r="DI31" s="2">
        <f t="shared" si="26"/>
        <v>13.9236842105263</v>
      </c>
      <c r="DJ31" s="2">
        <f t="shared" si="26"/>
        <v>14.45</v>
      </c>
      <c r="DK31" s="2">
        <f>SUMPRODUCT(DG31:DJ31,BS16:BV16)/SUM(BS16:BV16)</f>
        <v>14.2167004048583</v>
      </c>
      <c r="DM31" s="2">
        <f t="shared" si="27"/>
        <v>33.85</v>
      </c>
      <c r="DN31" s="2">
        <f t="shared" si="27"/>
        <v>33.85</v>
      </c>
      <c r="DO31" s="2">
        <f t="shared" si="27"/>
        <v>33.06875</v>
      </c>
      <c r="DP31" s="2">
        <f t="shared" si="27"/>
        <v>34.31875</v>
      </c>
      <c r="DQ31" s="2">
        <f>SUMPRODUCT(DM31:DP31,BS16:BV16)/SUM(BS16:BV16)</f>
        <v>33.7646634615385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>
        <v>0</v>
      </c>
      <c r="F32" s="9">
        <v>24</v>
      </c>
      <c r="G32" s="9">
        <v>24</v>
      </c>
      <c r="H32" s="19">
        <v>0.0446</v>
      </c>
      <c r="I32" s="9">
        <v>0</v>
      </c>
      <c r="J32" s="9">
        <v>3</v>
      </c>
      <c r="K32" s="9">
        <v>1</v>
      </c>
      <c r="L32" s="10"/>
      <c r="M32" s="39">
        <f>AH64-AH104</f>
        <v>23</v>
      </c>
      <c r="N32" s="35"/>
      <c r="O32" s="35"/>
      <c r="P32" s="35"/>
      <c r="Q32" s="45"/>
      <c r="U32" s="53"/>
      <c r="V32" s="54"/>
      <c r="W32" s="11">
        <v>6</v>
      </c>
      <c r="X32" s="55">
        <f t="shared" si="17"/>
        <v>15.8615384615385</v>
      </c>
      <c r="Y32" s="118">
        <f t="shared" si="17"/>
        <v>-1739960.14</v>
      </c>
      <c r="Z32" s="119">
        <f t="shared" si="17"/>
        <v>-84.3821600387973</v>
      </c>
      <c r="AA32" s="120">
        <f t="shared" si="18"/>
        <v>71</v>
      </c>
      <c r="AB32" s="121">
        <f t="shared" si="19"/>
        <v>48</v>
      </c>
      <c r="AC32" s="121">
        <f t="shared" si="20"/>
        <v>4</v>
      </c>
      <c r="AD32" s="122">
        <f t="shared" si="21"/>
        <v>0</v>
      </c>
      <c r="AE32" s="123">
        <f t="shared" si="22"/>
        <v>0.676056338028169</v>
      </c>
      <c r="AF32" s="124">
        <f t="shared" si="22"/>
        <v>0.0563380281690141</v>
      </c>
      <c r="AG32" s="158">
        <f t="shared" si="22"/>
        <v>0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5.52692307692308</v>
      </c>
      <c r="DA32" s="2">
        <f t="shared" si="25"/>
        <v>5.79230769230769</v>
      </c>
      <c r="DB32" s="2">
        <f t="shared" si="25"/>
        <v>5.9</v>
      </c>
      <c r="DC32" s="2">
        <f t="shared" si="25"/>
        <v>6.09230769230769</v>
      </c>
      <c r="DD32" s="2">
        <f>SUMPRODUCT(CZ32:DC32,BS17:BV17)/SUM(BS17:BV17)</f>
        <v>5.86103569632981</v>
      </c>
      <c r="DF32" s="2" t="s">
        <v>41</v>
      </c>
      <c r="DG32" s="2">
        <f t="shared" si="26"/>
        <v>13.3519230769231</v>
      </c>
      <c r="DH32" s="2">
        <f t="shared" si="26"/>
        <v>13.3519230769231</v>
      </c>
      <c r="DI32" s="2">
        <f t="shared" si="26"/>
        <v>13.5442307692308</v>
      </c>
      <c r="DJ32" s="2">
        <f t="shared" si="26"/>
        <v>13.8326923076923</v>
      </c>
      <c r="DK32" s="2">
        <f>SUMPRODUCT(DG32:DJ32,BS17:BV17)/SUM(BS17:BV17)</f>
        <v>13.5517722473605</v>
      </c>
      <c r="DM32" s="2">
        <f t="shared" si="27"/>
        <v>38.5722222222222</v>
      </c>
      <c r="DN32" s="2">
        <f t="shared" si="27"/>
        <v>38.5722222222222</v>
      </c>
      <c r="DO32" s="2">
        <f t="shared" si="27"/>
        <v>39.1277777777778</v>
      </c>
      <c r="DP32" s="2">
        <f t="shared" si="27"/>
        <v>39.9611111111111</v>
      </c>
      <c r="DQ32" s="2">
        <f>SUMPRODUCT(DM32:DP32,BS17:BV17)/SUM(BS17:BV17)</f>
        <v>39.1495642701525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>
        <v>0</v>
      </c>
      <c r="F33" s="9">
        <v>27</v>
      </c>
      <c r="G33" s="9">
        <v>27</v>
      </c>
      <c r="H33" s="19">
        <v>0.0514</v>
      </c>
      <c r="I33" s="9">
        <v>0</v>
      </c>
      <c r="J33" s="9">
        <v>1</v>
      </c>
      <c r="K33" s="9">
        <v>1</v>
      </c>
      <c r="L33" s="10"/>
      <c r="M33" s="39">
        <f>AH65-AH105</f>
        <v>26</v>
      </c>
      <c r="N33" s="35"/>
      <c r="O33" s="35"/>
      <c r="P33" s="35"/>
      <c r="Q33" s="45"/>
      <c r="U33" s="53"/>
      <c r="V33" s="54"/>
      <c r="W33" s="11">
        <v>7</v>
      </c>
      <c r="X33" s="55">
        <f t="shared" si="17"/>
        <v>161.615384615385</v>
      </c>
      <c r="Y33" s="118">
        <f t="shared" si="17"/>
        <v>-175255.39</v>
      </c>
      <c r="Z33" s="119">
        <f t="shared" si="17"/>
        <v>-0.834152260828177</v>
      </c>
      <c r="AA33" s="120">
        <f t="shared" si="18"/>
        <v>348</v>
      </c>
      <c r="AB33" s="121">
        <f t="shared" si="19"/>
        <v>224</v>
      </c>
      <c r="AC33" s="121">
        <f t="shared" si="20"/>
        <v>147</v>
      </c>
      <c r="AD33" s="122">
        <f t="shared" si="21"/>
        <v>122</v>
      </c>
      <c r="AE33" s="123">
        <f t="shared" si="22"/>
        <v>0.64367816091954</v>
      </c>
      <c r="AF33" s="124">
        <f t="shared" si="22"/>
        <v>0.422413793103448</v>
      </c>
      <c r="AG33" s="158">
        <f t="shared" si="22"/>
        <v>0.350574712643678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>
        <f t="shared" ref="AS33:BH48" si="28">IF(D73="","",D73)</f>
        <v>0.1166</v>
      </c>
      <c r="AT33" s="187">
        <f t="shared" si="28"/>
        <v>0.1135</v>
      </c>
      <c r="AU33" s="187">
        <f t="shared" si="28"/>
        <v>0.1218</v>
      </c>
      <c r="AV33" s="188">
        <f t="shared" si="28"/>
        <v>0.1304</v>
      </c>
      <c r="AW33" s="186">
        <f t="shared" si="28"/>
        <v>0.0946</v>
      </c>
      <c r="AX33" s="187">
        <f t="shared" si="28"/>
        <v>0.0977</v>
      </c>
      <c r="AY33" s="187">
        <f t="shared" si="28"/>
        <v>0.0927</v>
      </c>
      <c r="AZ33" s="188">
        <f t="shared" si="28"/>
        <v>0.0953</v>
      </c>
      <c r="BA33" s="186">
        <f t="shared" si="28"/>
        <v>0.0911</v>
      </c>
      <c r="BB33" s="187">
        <f t="shared" si="28"/>
        <v>0.0895</v>
      </c>
      <c r="BC33" s="187">
        <f t="shared" si="28"/>
        <v>0.1345</v>
      </c>
      <c r="BD33" s="188">
        <f t="shared" si="28"/>
        <v>0.1256</v>
      </c>
      <c r="BE33" s="186">
        <f t="shared" si="28"/>
        <v>0.0256</v>
      </c>
      <c r="BF33" s="187">
        <f t="shared" si="28"/>
        <v>0.0356</v>
      </c>
      <c r="BG33" s="187">
        <f t="shared" si="28"/>
        <v>0.0661</v>
      </c>
      <c r="BH33" s="188">
        <f t="shared" si="28"/>
        <v>0.0628</v>
      </c>
      <c r="BX33" s="215"/>
      <c r="CA33" s="213"/>
      <c r="CB33" s="196" t="s">
        <v>304</v>
      </c>
      <c r="CC33" s="230">
        <f t="shared" ref="CC33:CF35" si="29">CC70</f>
        <v>1441.69979575047</v>
      </c>
      <c r="CD33" s="230">
        <f t="shared" si="29"/>
        <v>2825.03664305951</v>
      </c>
      <c r="CE33" s="230">
        <f t="shared" si="29"/>
        <v>4298.28375689776</v>
      </c>
      <c r="CF33" s="230">
        <f t="shared" si="29"/>
        <v>4797.35685541427</v>
      </c>
      <c r="CG33" s="225"/>
      <c r="CH33" s="225"/>
      <c r="CI33" s="197" t="s">
        <v>55</v>
      </c>
      <c r="CJ33" s="231">
        <f t="shared" ref="CJ33:CM36" si="30">IF(CJ27&gt;0,(AF76-CJ27)/CJ27,0)</f>
        <v>0.615661461651162</v>
      </c>
      <c r="CK33" s="231">
        <f t="shared" si="30"/>
        <v>0.45816154107576</v>
      </c>
      <c r="CL33" s="231">
        <f t="shared" si="30"/>
        <v>0.410597977214055</v>
      </c>
      <c r="CM33" s="231">
        <f t="shared" si="30"/>
        <v>0.338498066329227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3350</v>
      </c>
      <c r="DT33" s="37">
        <f t="shared" si="31"/>
        <v>3350</v>
      </c>
      <c r="DU33" s="37">
        <f t="shared" si="31"/>
        <v>3730</v>
      </c>
      <c r="DV33" s="37">
        <f t="shared" si="31"/>
        <v>3800</v>
      </c>
      <c r="DW33" s="37">
        <f t="shared" si="31"/>
        <v>6950</v>
      </c>
      <c r="DX33" s="37">
        <f t="shared" si="31"/>
        <v>6950</v>
      </c>
      <c r="DY33" s="37">
        <f t="shared" si="31"/>
        <v>7300</v>
      </c>
      <c r="DZ33" s="37">
        <f t="shared" si="31"/>
        <v>7400</v>
      </c>
      <c r="EA33" s="37">
        <f t="shared" si="31"/>
        <v>10150</v>
      </c>
      <c r="EB33" s="37">
        <f t="shared" si="31"/>
        <v>10150</v>
      </c>
      <c r="EC33" s="37">
        <f t="shared" si="31"/>
        <v>10200</v>
      </c>
      <c r="ED33" s="37">
        <f t="shared" si="31"/>
        <v>10400</v>
      </c>
      <c r="EE33" s="37">
        <f t="shared" si="31"/>
        <v>12700</v>
      </c>
      <c r="EF33" s="37">
        <f t="shared" si="31"/>
        <v>12700</v>
      </c>
      <c r="EG33" s="37">
        <f t="shared" si="31"/>
        <v>13000</v>
      </c>
      <c r="EH33" s="37">
        <f t="shared" si="31"/>
        <v>13150</v>
      </c>
    </row>
    <row r="34" ht="16.35" spans="2:110">
      <c r="B34" s="7"/>
      <c r="C34" s="18">
        <v>3</v>
      </c>
      <c r="D34" s="18">
        <v>3</v>
      </c>
      <c r="E34" s="9">
        <v>0</v>
      </c>
      <c r="F34" s="9">
        <v>39</v>
      </c>
      <c r="G34" s="9">
        <v>39</v>
      </c>
      <c r="H34" s="19">
        <v>0.0709</v>
      </c>
      <c r="I34" s="9">
        <v>0</v>
      </c>
      <c r="J34" s="9">
        <v>0</v>
      </c>
      <c r="K34" s="9">
        <v>2</v>
      </c>
      <c r="L34" s="10"/>
      <c r="M34" s="39">
        <f>AH66-AH106</f>
        <v>38</v>
      </c>
      <c r="N34" s="35"/>
      <c r="O34" s="35"/>
      <c r="P34" s="35"/>
      <c r="Q34" s="45"/>
      <c r="U34" s="53"/>
      <c r="V34" s="54"/>
      <c r="W34" s="11">
        <v>8</v>
      </c>
      <c r="X34" s="55">
        <f t="shared" si="17"/>
        <v>159.776923076923</v>
      </c>
      <c r="Y34" s="118">
        <f t="shared" si="17"/>
        <v>236185.23</v>
      </c>
      <c r="Z34" s="119">
        <f t="shared" si="17"/>
        <v>1.13709128111309</v>
      </c>
      <c r="AA34" s="120">
        <f t="shared" si="18"/>
        <v>377</v>
      </c>
      <c r="AB34" s="121">
        <f t="shared" si="19"/>
        <v>269</v>
      </c>
      <c r="AC34" s="121">
        <f t="shared" si="20"/>
        <v>228</v>
      </c>
      <c r="AD34" s="122">
        <f t="shared" si="21"/>
        <v>31</v>
      </c>
      <c r="AE34" s="123">
        <f t="shared" si="22"/>
        <v>0.713527851458886</v>
      </c>
      <c r="AF34" s="124">
        <f t="shared" si="22"/>
        <v>0.604774535809019</v>
      </c>
      <c r="AG34" s="158">
        <f t="shared" si="22"/>
        <v>0.0822281167108753</v>
      </c>
      <c r="AI34" s="64" t="s">
        <v>38</v>
      </c>
      <c r="AJ34" s="163"/>
      <c r="AK34" s="164">
        <f>IF(AM34=1,CK70-CJ70,IF(AM34=2,CL70-CK70,IF(AM34=3,CM70-CL70,IF(AM34=4,CN70-CM70,0))))</f>
        <v>100000</v>
      </c>
      <c r="AL34" s="162"/>
      <c r="AM34" s="65">
        <f>INT(第十一期!DV26)</f>
        <v>3</v>
      </c>
      <c r="AN34" s="126"/>
      <c r="AR34" s="185">
        <v>2</v>
      </c>
      <c r="AS34" s="186">
        <f t="shared" si="28"/>
        <v>0.0931</v>
      </c>
      <c r="AT34" s="187">
        <f t="shared" si="28"/>
        <v>0.0842</v>
      </c>
      <c r="AU34" s="187">
        <f t="shared" si="28"/>
        <v>0.0806</v>
      </c>
      <c r="AV34" s="188">
        <f t="shared" si="28"/>
        <v>0.0701</v>
      </c>
      <c r="AW34" s="186">
        <f t="shared" si="28"/>
        <v>0.0283</v>
      </c>
      <c r="AX34" s="187">
        <f t="shared" si="28"/>
        <v>0.0266</v>
      </c>
      <c r="AY34" s="187">
        <f t="shared" si="28"/>
        <v>0.0202</v>
      </c>
      <c r="AZ34" s="188">
        <f t="shared" si="28"/>
        <v>0.0222</v>
      </c>
      <c r="BA34" s="186">
        <f t="shared" si="28"/>
        <v>0.0818</v>
      </c>
      <c r="BB34" s="187">
        <f t="shared" si="28"/>
        <v>0.0895</v>
      </c>
      <c r="BC34" s="187">
        <f t="shared" si="28"/>
        <v>0.0564</v>
      </c>
      <c r="BD34" s="188">
        <f t="shared" si="28"/>
        <v>0.0407</v>
      </c>
      <c r="BE34" s="186">
        <f t="shared" si="28"/>
        <v>0.0972</v>
      </c>
      <c r="BF34" s="187">
        <f t="shared" si="28"/>
        <v>0.0738</v>
      </c>
      <c r="BG34" s="187">
        <f t="shared" si="28"/>
        <v>0.1047</v>
      </c>
      <c r="BH34" s="188">
        <f t="shared" si="28"/>
        <v>0.0524</v>
      </c>
      <c r="BX34" s="215"/>
      <c r="CA34" s="213"/>
      <c r="CB34" s="196" t="s">
        <v>305</v>
      </c>
      <c r="CC34" s="230">
        <f t="shared" si="29"/>
        <v>14.4169979575047</v>
      </c>
      <c r="CD34" s="230">
        <f t="shared" si="29"/>
        <v>11.300146572238</v>
      </c>
      <c r="CE34" s="230">
        <f t="shared" si="29"/>
        <v>11.3112730444678</v>
      </c>
      <c r="CF34" s="230">
        <f t="shared" si="29"/>
        <v>9.22568626041207</v>
      </c>
      <c r="CG34" s="232"/>
      <c r="CH34" s="225"/>
      <c r="CI34" s="196" t="s">
        <v>56</v>
      </c>
      <c r="CJ34" s="231">
        <f t="shared" si="30"/>
        <v>0.693015871479353</v>
      </c>
      <c r="CK34" s="231">
        <f t="shared" si="30"/>
        <v>0.521440002943382</v>
      </c>
      <c r="CL34" s="231">
        <f t="shared" si="30"/>
        <v>0.49754972260608</v>
      </c>
      <c r="CM34" s="231">
        <f t="shared" si="30"/>
        <v>0.389514127570332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>
        <v>0</v>
      </c>
      <c r="F35" s="9">
        <v>42</v>
      </c>
      <c r="G35" s="9">
        <v>42</v>
      </c>
      <c r="H35" s="19">
        <v>0.0713</v>
      </c>
      <c r="I35" s="9">
        <v>0</v>
      </c>
      <c r="J35" s="9">
        <v>0</v>
      </c>
      <c r="K35" s="9">
        <v>2</v>
      </c>
      <c r="L35" s="10"/>
      <c r="M35" s="39">
        <f>AH67-AH107</f>
        <v>41</v>
      </c>
      <c r="N35" s="35"/>
      <c r="O35" s="35"/>
      <c r="P35" s="35"/>
      <c r="Q35" s="57"/>
      <c r="U35" s="53"/>
      <c r="V35" s="54"/>
      <c r="W35" s="11">
        <v>9</v>
      </c>
      <c r="X35" s="55">
        <f t="shared" si="17"/>
        <v>105.061538461538</v>
      </c>
      <c r="Y35" s="118">
        <f t="shared" si="17"/>
        <v>-414591.94</v>
      </c>
      <c r="Z35" s="119">
        <f t="shared" si="17"/>
        <v>-3.0355245277493</v>
      </c>
      <c r="AA35" s="120">
        <f t="shared" si="18"/>
        <v>148</v>
      </c>
      <c r="AB35" s="121">
        <f t="shared" si="19"/>
        <v>122</v>
      </c>
      <c r="AC35" s="121">
        <f t="shared" si="20"/>
        <v>102</v>
      </c>
      <c r="AD35" s="122">
        <f t="shared" si="21"/>
        <v>101</v>
      </c>
      <c r="AE35" s="123">
        <f t="shared" si="22"/>
        <v>0.824324324324324</v>
      </c>
      <c r="AF35" s="124">
        <f t="shared" si="22"/>
        <v>0.689189189189189</v>
      </c>
      <c r="AG35" s="158">
        <f t="shared" si="22"/>
        <v>0.682432432432432</v>
      </c>
      <c r="AI35" s="11" t="s">
        <v>39</v>
      </c>
      <c r="AJ35" s="163"/>
      <c r="AK35" s="164">
        <f>IF(AM35=1,CK71-CJ71,IF(AM35=2,CL71-CK71,IF(AM35=3,CM71-CL71,IF(AM35=4,CN71-CM71,0))))</f>
        <v>150000</v>
      </c>
      <c r="AL35" s="165"/>
      <c r="AM35" s="65">
        <f>INT(第十一期!DV27)</f>
        <v>3</v>
      </c>
      <c r="AN35" s="126"/>
      <c r="AR35" s="185">
        <v>3</v>
      </c>
      <c r="AS35" s="186">
        <f t="shared" si="28"/>
        <v>0.0356</v>
      </c>
      <c r="AT35" s="187">
        <f t="shared" si="28"/>
        <v>0.0388</v>
      </c>
      <c r="AU35" s="187">
        <f t="shared" si="28"/>
        <v>0.0536</v>
      </c>
      <c r="AV35" s="188">
        <f t="shared" si="28"/>
        <v>0.0664</v>
      </c>
      <c r="AW35" s="186">
        <f t="shared" si="28"/>
        <v>0.0307</v>
      </c>
      <c r="AX35" s="187">
        <f t="shared" si="28"/>
        <v>0.0343</v>
      </c>
      <c r="AY35" s="187">
        <f t="shared" si="28"/>
        <v>0.0575</v>
      </c>
      <c r="AZ35" s="188">
        <f t="shared" si="28"/>
        <v>0.0487</v>
      </c>
      <c r="BA35" s="186">
        <f t="shared" si="28"/>
        <v>0.0019</v>
      </c>
      <c r="BB35" s="187">
        <f t="shared" si="28"/>
        <v>0.0019</v>
      </c>
      <c r="BC35" s="187">
        <f t="shared" si="28"/>
        <v>0.0364</v>
      </c>
      <c r="BD35" s="188">
        <f t="shared" si="28"/>
        <v>0.0424</v>
      </c>
      <c r="BE35" s="186">
        <f t="shared" si="28"/>
        <v>0.0026</v>
      </c>
      <c r="BF35" s="187">
        <f t="shared" si="28"/>
        <v>0.0025</v>
      </c>
      <c r="BG35" s="187">
        <f t="shared" si="28"/>
        <v>0.0523</v>
      </c>
      <c r="BH35" s="188">
        <f t="shared" si="28"/>
        <v>0.0628</v>
      </c>
      <c r="CA35" s="213"/>
      <c r="CB35" s="196" t="s">
        <v>307</v>
      </c>
      <c r="CC35" s="230">
        <f t="shared" si="29"/>
        <v>0.422942683538882</v>
      </c>
      <c r="CD35" s="230">
        <f t="shared" si="29"/>
        <v>0.407715125090245</v>
      </c>
      <c r="CE35" s="230">
        <f t="shared" si="29"/>
        <v>0.416267171735578</v>
      </c>
      <c r="CF35" s="230">
        <f t="shared" si="29"/>
        <v>0.35840503863785</v>
      </c>
      <c r="CG35" s="232"/>
      <c r="CH35" s="225"/>
      <c r="CI35" s="196" t="s">
        <v>57</v>
      </c>
      <c r="CJ35" s="231">
        <f t="shared" si="30"/>
        <v>0.552260213391129</v>
      </c>
      <c r="CK35" s="231">
        <f t="shared" si="30"/>
        <v>0.438577841228293</v>
      </c>
      <c r="CL35" s="231">
        <f t="shared" si="30"/>
        <v>0.413019033966102</v>
      </c>
      <c r="CM35" s="231">
        <f t="shared" si="30"/>
        <v>0.343314392091022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0.223377909856364</v>
      </c>
      <c r="DA35" s="2">
        <f t="shared" si="32"/>
        <v>0.242675347736016</v>
      </c>
      <c r="DB35" s="2">
        <f t="shared" si="32"/>
        <v>0.262135922330097</v>
      </c>
      <c r="DC35" s="2">
        <f t="shared" si="32"/>
        <v>0.275278127911437</v>
      </c>
      <c r="DD35" s="2">
        <f>SUMPRODUCT(CZ35:DC35,BS14:BV14)/SUM(BS14:BV14)</f>
        <v>0.255118993336875</v>
      </c>
      <c r="DG35" s="2">
        <f t="shared" ref="DG35:DJ38" si="33">DG23/DG17</f>
        <v>0.745474196163199</v>
      </c>
      <c r="DH35" s="2">
        <f t="shared" si="33"/>
        <v>0.745474196163199</v>
      </c>
      <c r="DI35" s="2">
        <f t="shared" si="33"/>
        <v>0.72876304023845</v>
      </c>
      <c r="DJ35" s="2">
        <f t="shared" si="33"/>
        <v>0.778440139095877</v>
      </c>
      <c r="DK35" s="2">
        <f>SUMPRODUCT(DG35:DJ35,BS14:BV14)/SUM(BS14:BV14)</f>
        <v>0.751182628659899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>
        <v>1</v>
      </c>
      <c r="F36" s="9">
        <v>28</v>
      </c>
      <c r="G36" s="9">
        <v>24</v>
      </c>
      <c r="H36" s="19">
        <v>0.0614</v>
      </c>
      <c r="I36" s="9">
        <v>2</v>
      </c>
      <c r="J36" s="9">
        <v>0</v>
      </c>
      <c r="K36" s="9">
        <v>1</v>
      </c>
      <c r="L36" s="10"/>
      <c r="M36" s="39">
        <f>AI64-AI104</f>
        <v>27</v>
      </c>
      <c r="N36" s="35"/>
      <c r="O36" s="35"/>
      <c r="P36" s="35"/>
      <c r="Q36" s="57"/>
      <c r="U36" s="53"/>
      <c r="V36" s="54"/>
      <c r="W36" s="11">
        <v>10</v>
      </c>
      <c r="X36" s="55">
        <f t="shared" si="17"/>
        <v>111.246153846154</v>
      </c>
      <c r="Y36" s="118">
        <f t="shared" si="17"/>
        <v>-379510.08</v>
      </c>
      <c r="Z36" s="119">
        <f t="shared" si="17"/>
        <v>-2.62418807910386</v>
      </c>
      <c r="AA36" s="120">
        <f t="shared" si="18"/>
        <v>76</v>
      </c>
      <c r="AB36" s="121">
        <f t="shared" si="19"/>
        <v>166</v>
      </c>
      <c r="AC36" s="121">
        <f t="shared" si="20"/>
        <v>120</v>
      </c>
      <c r="AD36" s="122">
        <f t="shared" si="21"/>
        <v>96</v>
      </c>
      <c r="AE36" s="123">
        <f t="shared" si="22"/>
        <v>2.18421052631579</v>
      </c>
      <c r="AF36" s="124">
        <f t="shared" si="22"/>
        <v>1.57894736842105</v>
      </c>
      <c r="AG36" s="158">
        <f t="shared" si="22"/>
        <v>1.26315789473684</v>
      </c>
      <c r="AI36" s="11" t="s">
        <v>40</v>
      </c>
      <c r="AJ36" s="163"/>
      <c r="AK36" s="164">
        <f>IF(AM36=0,CJ72,IF(AM36=1,CK72-CJ72,IF(AM36=2,CL72-CK72,IF(AM36=3,CM72-CL72,IF(AM36=4,CN72-CM72,0)))))</f>
        <v>130000</v>
      </c>
      <c r="AL36" s="42" t="s">
        <v>308</v>
      </c>
      <c r="AM36" s="65">
        <f>INT(第十一期!DV28)</f>
        <v>2</v>
      </c>
      <c r="AN36" s="126"/>
      <c r="AR36" s="185">
        <v>4</v>
      </c>
      <c r="AS36" s="186">
        <f t="shared" si="28"/>
        <v>0.1484</v>
      </c>
      <c r="AT36" s="187">
        <f t="shared" si="28"/>
        <v>0.1464</v>
      </c>
      <c r="AU36" s="187">
        <f t="shared" si="28"/>
        <v>0.1142</v>
      </c>
      <c r="AV36" s="188">
        <f t="shared" si="28"/>
        <v>0.1383</v>
      </c>
      <c r="AW36" s="186">
        <f t="shared" si="28"/>
        <v>0.043</v>
      </c>
      <c r="AX36" s="187">
        <f t="shared" si="28"/>
        <v>0.0444</v>
      </c>
      <c r="AY36" s="187">
        <f t="shared" si="28"/>
        <v>0.0511</v>
      </c>
      <c r="AZ36" s="188">
        <f t="shared" si="28"/>
        <v>0.053</v>
      </c>
      <c r="BA36" s="186">
        <f t="shared" si="28"/>
        <v>0.0836</v>
      </c>
      <c r="BB36" s="187">
        <f t="shared" si="28"/>
        <v>0.0838</v>
      </c>
      <c r="BC36" s="187">
        <f t="shared" si="28"/>
        <v>0.0855</v>
      </c>
      <c r="BD36" s="188">
        <f t="shared" si="28"/>
        <v>0.0883</v>
      </c>
      <c r="BE36" s="186">
        <f t="shared" si="28"/>
        <v>0.0742</v>
      </c>
      <c r="BF36" s="187">
        <f t="shared" si="28"/>
        <v>0.0738</v>
      </c>
      <c r="BG36" s="187">
        <f t="shared" si="28"/>
        <v>0.0882</v>
      </c>
      <c r="BH36" s="188">
        <f t="shared" si="28"/>
        <v>0.0942</v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0.526259152625085</v>
      </c>
      <c r="CK36" s="231">
        <f t="shared" si="30"/>
        <v>0.424623220538455</v>
      </c>
      <c r="CL36" s="231">
        <f t="shared" si="30"/>
        <v>0.421857609362516</v>
      </c>
      <c r="CM36" s="231">
        <f t="shared" si="30"/>
        <v>0.334884423457307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0.238514629292459</v>
      </c>
      <c r="DA36" s="2">
        <f t="shared" si="32"/>
        <v>0.257902206166946</v>
      </c>
      <c r="DB36" s="2">
        <f t="shared" si="32"/>
        <v>0.253788922568201</v>
      </c>
      <c r="DC36" s="2">
        <f t="shared" si="32"/>
        <v>0.260412399289909</v>
      </c>
      <c r="DD36" s="2">
        <f>SUMPRODUCT(CZ36:DC36,BS15:BV15)/SUM(BS15:BV15)</f>
        <v>0.253454325996988</v>
      </c>
      <c r="DG36" s="2">
        <f t="shared" si="33"/>
        <v>0.93687230989957</v>
      </c>
      <c r="DH36" s="2">
        <f t="shared" si="33"/>
        <v>0.93687230989957</v>
      </c>
      <c r="DI36" s="2">
        <f t="shared" si="33"/>
        <v>0.899592944369064</v>
      </c>
      <c r="DJ36" s="2">
        <f t="shared" si="33"/>
        <v>0.926729986431479</v>
      </c>
      <c r="DK36" s="2">
        <f>SUMPRODUCT(DG36:DJ36,BS15:BV15)/SUM(BS15:BV15)</f>
        <v>0.921929193956432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>
        <v>1</v>
      </c>
      <c r="F37" s="9">
        <v>28</v>
      </c>
      <c r="G37" s="9">
        <v>24</v>
      </c>
      <c r="H37" s="19">
        <v>0.0611</v>
      </c>
      <c r="I37" s="9">
        <v>2</v>
      </c>
      <c r="J37" s="9">
        <v>0</v>
      </c>
      <c r="K37" s="9">
        <v>1</v>
      </c>
      <c r="L37" s="10"/>
      <c r="M37" s="39">
        <f>AI65-AI105</f>
        <v>27</v>
      </c>
      <c r="N37" s="35"/>
      <c r="O37" s="35"/>
      <c r="P37" s="35"/>
      <c r="Q37" s="57"/>
      <c r="U37" s="53"/>
      <c r="V37" s="54"/>
      <c r="W37" s="11">
        <v>11</v>
      </c>
      <c r="X37" s="55">
        <f t="shared" si="17"/>
        <v>148.215384615385</v>
      </c>
      <c r="Y37" s="118">
        <f t="shared" si="17"/>
        <v>209631.09</v>
      </c>
      <c r="Z37" s="119">
        <f t="shared" si="17"/>
        <v>1.0879753477268</v>
      </c>
      <c r="AA37" s="120">
        <f t="shared" si="18"/>
        <v>295</v>
      </c>
      <c r="AB37" s="121">
        <f t="shared" si="19"/>
        <v>190</v>
      </c>
      <c r="AC37" s="121">
        <f t="shared" si="20"/>
        <v>132</v>
      </c>
      <c r="AD37" s="122">
        <f t="shared" si="21"/>
        <v>126</v>
      </c>
      <c r="AE37" s="123">
        <f t="shared" si="22"/>
        <v>0.644067796610169</v>
      </c>
      <c r="AF37" s="124">
        <f t="shared" si="22"/>
        <v>0.447457627118644</v>
      </c>
      <c r="AG37" s="158">
        <f t="shared" si="22"/>
        <v>0.427118644067797</v>
      </c>
      <c r="AI37" s="11" t="s">
        <v>41</v>
      </c>
      <c r="AJ37" s="163"/>
      <c r="AK37" s="164">
        <f>IF(AM37=0,CJ73,IF(AM37=1,CK73-CJ73,IF(AM37=2,CL73-CK73,IF(AM37=3,CM73-CL73,IF(AM37=4,CN73-CM73,0)))))</f>
        <v>100000</v>
      </c>
      <c r="AL37" s="154">
        <f>SUM(AJ34:AJ37)</f>
        <v>0</v>
      </c>
      <c r="AM37" s="65">
        <f>INT(第十一期!DV29)</f>
        <v>2</v>
      </c>
      <c r="AN37" s="126"/>
      <c r="AR37" s="185">
        <v>5</v>
      </c>
      <c r="AS37" s="186">
        <f t="shared" si="28"/>
        <v>0.0696</v>
      </c>
      <c r="AT37" s="187">
        <f t="shared" si="28"/>
        <v>0.0673</v>
      </c>
      <c r="AU37" s="187">
        <f t="shared" si="28"/>
        <v>0.0742</v>
      </c>
      <c r="AV37" s="188">
        <f t="shared" si="28"/>
        <v>0.0829</v>
      </c>
      <c r="AW37" s="186">
        <f t="shared" si="28"/>
        <v>0.0627</v>
      </c>
      <c r="AX37" s="187">
        <f t="shared" si="28"/>
        <v>0.0622</v>
      </c>
      <c r="AY37" s="187">
        <f t="shared" si="28"/>
        <v>0.0809</v>
      </c>
      <c r="AZ37" s="188">
        <f t="shared" si="28"/>
        <v>0.0689</v>
      </c>
      <c r="BA37" s="186">
        <f t="shared" si="28"/>
        <v>0.0335</v>
      </c>
      <c r="BB37" s="187">
        <f t="shared" si="28"/>
        <v>0.0362</v>
      </c>
      <c r="BC37" s="187">
        <f t="shared" si="28"/>
        <v>0.0364</v>
      </c>
      <c r="BD37" s="188">
        <f t="shared" si="28"/>
        <v>0.0458</v>
      </c>
      <c r="BE37" s="186">
        <f t="shared" si="28"/>
        <v>0.0767</v>
      </c>
      <c r="BF37" s="187">
        <f t="shared" si="28"/>
        <v>0.0763</v>
      </c>
      <c r="BG37" s="187">
        <f t="shared" si="28"/>
        <v>0.0799</v>
      </c>
      <c r="BH37" s="188">
        <f t="shared" si="28"/>
        <v>0.0759</v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0.313912009512485</v>
      </c>
      <c r="DA37" s="2">
        <f t="shared" si="32"/>
        <v>0.333145660741575</v>
      </c>
      <c r="DB37" s="2">
        <f t="shared" si="32"/>
        <v>0.302630554906997</v>
      </c>
      <c r="DC37" s="2">
        <f t="shared" si="32"/>
        <v>0.319580054523308</v>
      </c>
      <c r="DD37" s="2">
        <f>SUMPRODUCT(CZ37:DC37,BS16:BV16)/SUM(BS16:BV16)</f>
        <v>0.31616233784481</v>
      </c>
      <c r="DG37" s="2">
        <f t="shared" si="33"/>
        <v>1.13210702341137</v>
      </c>
      <c r="DH37" s="2">
        <f t="shared" si="33"/>
        <v>1.13210702341137</v>
      </c>
      <c r="DI37" s="2">
        <f t="shared" si="33"/>
        <v>1.05629866240767</v>
      </c>
      <c r="DJ37" s="2">
        <f t="shared" si="33"/>
        <v>1.09622679177481</v>
      </c>
      <c r="DK37" s="2">
        <f>SUMPRODUCT(DG37:DJ37,BS16:BV16)/SUM(BS16:BV16)</f>
        <v>1.09691329725352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0.0507</v>
      </c>
      <c r="DT37" s="37">
        <f t="shared" si="34"/>
        <v>0.0498</v>
      </c>
      <c r="DU37" s="37">
        <f t="shared" si="34"/>
        <v>0.0465</v>
      </c>
      <c r="DV37" s="37">
        <f t="shared" si="34"/>
        <v>0.0494</v>
      </c>
      <c r="DW37" s="37">
        <f t="shared" si="34"/>
        <v>0.0467</v>
      </c>
      <c r="DX37" s="37">
        <f t="shared" si="34"/>
        <v>0.0495</v>
      </c>
      <c r="DY37" s="37">
        <f t="shared" si="34"/>
        <v>0.0607</v>
      </c>
      <c r="DZ37" s="37">
        <f t="shared" si="34"/>
        <v>0.0593</v>
      </c>
      <c r="EA37" s="37">
        <f t="shared" si="34"/>
        <v>0.0446</v>
      </c>
      <c r="EB37" s="37">
        <f t="shared" si="34"/>
        <v>0.0514</v>
      </c>
      <c r="EC37" s="37">
        <f t="shared" si="34"/>
        <v>0.0709</v>
      </c>
      <c r="ED37" s="37">
        <f t="shared" si="34"/>
        <v>0.0713</v>
      </c>
      <c r="EE37" s="37">
        <f t="shared" si="34"/>
        <v>0.0614</v>
      </c>
      <c r="EF37" s="37">
        <f t="shared" si="34"/>
        <v>0.0611</v>
      </c>
      <c r="EG37" s="37">
        <f t="shared" si="34"/>
        <v>0.1019</v>
      </c>
      <c r="EH37" s="37">
        <f t="shared" si="34"/>
        <v>0.1073</v>
      </c>
    </row>
    <row r="38" ht="17.1" spans="2:115">
      <c r="B38" s="7"/>
      <c r="C38" s="18">
        <v>4</v>
      </c>
      <c r="D38" s="18">
        <v>3</v>
      </c>
      <c r="E38" s="9">
        <v>3</v>
      </c>
      <c r="F38" s="9">
        <v>52</v>
      </c>
      <c r="G38" s="9">
        <v>37</v>
      </c>
      <c r="H38" s="19">
        <v>0.1019</v>
      </c>
      <c r="I38" s="9">
        <v>5</v>
      </c>
      <c r="J38" s="9">
        <v>0</v>
      </c>
      <c r="K38" s="9">
        <v>2</v>
      </c>
      <c r="L38" s="10"/>
      <c r="M38" s="39">
        <f>AI66-AI106</f>
        <v>42</v>
      </c>
      <c r="N38" s="35"/>
      <c r="O38" s="35"/>
      <c r="P38" s="35"/>
      <c r="Q38" s="57"/>
      <c r="U38" s="53"/>
      <c r="V38" s="54"/>
      <c r="W38" s="11">
        <v>12</v>
      </c>
      <c r="X38" s="55">
        <f t="shared" si="17"/>
        <v>125.307692307692</v>
      </c>
      <c r="Y38" s="118">
        <f t="shared" si="17"/>
        <v>294057.77</v>
      </c>
      <c r="Z38" s="119">
        <f t="shared" si="17"/>
        <v>1.80514284837324</v>
      </c>
      <c r="AA38" s="120">
        <f t="shared" si="18"/>
        <v>338</v>
      </c>
      <c r="AB38" s="121">
        <f t="shared" si="19"/>
        <v>296</v>
      </c>
      <c r="AC38" s="121">
        <f t="shared" si="20"/>
        <v>145</v>
      </c>
      <c r="AD38" s="122">
        <f t="shared" si="21"/>
        <v>0</v>
      </c>
      <c r="AE38" s="123">
        <f t="shared" si="22"/>
        <v>0.875739644970414</v>
      </c>
      <c r="AF38" s="124">
        <f t="shared" si="22"/>
        <v>0.428994082840237</v>
      </c>
      <c r="AG38" s="158">
        <f t="shared" si="22"/>
        <v>0</v>
      </c>
      <c r="AI38" s="48"/>
      <c r="AJ38" s="48"/>
      <c r="AK38" s="48"/>
      <c r="AL38" s="48"/>
      <c r="AM38" s="48"/>
      <c r="AN38" s="48"/>
      <c r="AR38" s="185">
        <v>6</v>
      </c>
      <c r="AS38" s="186">
        <f t="shared" si="28"/>
        <v>0.0106</v>
      </c>
      <c r="AT38" s="187">
        <f t="shared" si="28"/>
        <v>0.0095</v>
      </c>
      <c r="AU38" s="187">
        <f t="shared" si="28"/>
        <v>0.0118</v>
      </c>
      <c r="AV38" s="188">
        <f t="shared" si="28"/>
        <v>0.0146</v>
      </c>
      <c r="AW38" s="186">
        <f t="shared" si="28"/>
        <v>0.0356</v>
      </c>
      <c r="AX38" s="187">
        <f t="shared" si="28"/>
        <v>0.0241</v>
      </c>
      <c r="AY38" s="187">
        <f t="shared" si="28"/>
        <v>0</v>
      </c>
      <c r="AZ38" s="188">
        <f t="shared" si="28"/>
        <v>0</v>
      </c>
      <c r="BA38" s="186">
        <f t="shared" si="28"/>
        <v>0</v>
      </c>
      <c r="BB38" s="187">
        <f t="shared" si="28"/>
        <v>0.0019</v>
      </c>
      <c r="BC38" s="187">
        <f t="shared" si="28"/>
        <v>0.0055</v>
      </c>
      <c r="BD38" s="188">
        <f t="shared" si="28"/>
        <v>0</v>
      </c>
      <c r="BE38" s="186">
        <f t="shared" si="28"/>
        <v>0</v>
      </c>
      <c r="BF38" s="187">
        <f t="shared" si="28"/>
        <v>0</v>
      </c>
      <c r="BG38" s="187">
        <f t="shared" si="28"/>
        <v>0</v>
      </c>
      <c r="BH38" s="188">
        <f t="shared" si="28"/>
        <v>0</v>
      </c>
      <c r="CA38" s="213"/>
      <c r="CB38" s="197" t="s">
        <v>55</v>
      </c>
      <c r="CC38" s="108">
        <f>第十一期!DG56*第十一期!DG50+第十一期!DG64*第十一期!Y88</f>
        <v>8568</v>
      </c>
      <c r="CD38" s="108">
        <f>第十一期!DH56*第十一期!DH50+第十一期!DH64*第十一期!Z88</f>
        <v>42234</v>
      </c>
      <c r="CE38" s="108">
        <f>第十一期!DI56*第十一期!DI50+第十一期!DI64*第十一期!AA88</f>
        <v>26998</v>
      </c>
      <c r="CF38" s="108">
        <f>第十一期!DJ56*第十一期!DJ50+第十一期!DJ64*第十一期!AB88</f>
        <v>39320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0.281048308233914</v>
      </c>
      <c r="DA38" s="2">
        <f t="shared" si="32"/>
        <v>0.298572561459159</v>
      </c>
      <c r="DB38" s="2">
        <f t="shared" si="32"/>
        <v>0.29409509202454</v>
      </c>
      <c r="DC38" s="2">
        <f t="shared" si="32"/>
        <v>0.302232398397252</v>
      </c>
      <c r="DD38" s="2">
        <f>SUMPRODUCT(CZ38:DC38,BS17:BV17)/SUM(BS17:BV17)</f>
        <v>0.294754974702443</v>
      </c>
      <c r="DG38" s="2">
        <f t="shared" si="33"/>
        <v>1.12765957446809</v>
      </c>
      <c r="DH38" s="2">
        <f t="shared" si="33"/>
        <v>1.12765957446809</v>
      </c>
      <c r="DI38" s="2">
        <f t="shared" si="33"/>
        <v>1.09075422022611</v>
      </c>
      <c r="DJ38" s="2">
        <f t="shared" si="33"/>
        <v>1.11398482267307</v>
      </c>
      <c r="DK38" s="2">
        <f>SUMPRODUCT(DG38:DJ38,BS17:BV17)/SUM(BS17:BV17)</f>
        <v>1.11190760429268</v>
      </c>
    </row>
    <row r="39" ht="17.1" spans="2:93">
      <c r="B39" s="7"/>
      <c r="C39" s="18">
        <v>4</v>
      </c>
      <c r="D39" s="18">
        <v>4</v>
      </c>
      <c r="E39" s="9">
        <v>3</v>
      </c>
      <c r="F39" s="9">
        <v>49</v>
      </c>
      <c r="G39" s="9">
        <v>41</v>
      </c>
      <c r="H39" s="19">
        <v>0.1073</v>
      </c>
      <c r="I39" s="9">
        <v>2</v>
      </c>
      <c r="J39" s="9">
        <v>0</v>
      </c>
      <c r="K39" s="9">
        <v>2</v>
      </c>
      <c r="L39" s="10"/>
      <c r="M39" s="39">
        <f>AI67-AI107</f>
        <v>40</v>
      </c>
      <c r="N39" s="35"/>
      <c r="O39" s="35"/>
      <c r="P39" s="35"/>
      <c r="Q39" s="57"/>
      <c r="U39" s="53"/>
      <c r="V39" s="54"/>
      <c r="W39" s="11">
        <v>13</v>
      </c>
      <c r="X39" s="55">
        <f t="shared" si="17"/>
        <v>133.7</v>
      </c>
      <c r="Y39" s="118">
        <f t="shared" si="17"/>
        <v>-208733.81</v>
      </c>
      <c r="Z39" s="119">
        <f t="shared" si="17"/>
        <v>-1.20093095909326</v>
      </c>
      <c r="AA39" s="120">
        <f t="shared" si="18"/>
        <v>231</v>
      </c>
      <c r="AB39" s="121">
        <f t="shared" si="19"/>
        <v>147</v>
      </c>
      <c r="AC39" s="121">
        <f t="shared" si="20"/>
        <v>148</v>
      </c>
      <c r="AD39" s="122">
        <f t="shared" si="21"/>
        <v>111</v>
      </c>
      <c r="AE39" s="123">
        <f t="shared" si="22"/>
        <v>0.636363636363636</v>
      </c>
      <c r="AF39" s="124">
        <f t="shared" si="22"/>
        <v>0.640692640692641</v>
      </c>
      <c r="AG39" s="158">
        <f t="shared" si="22"/>
        <v>0.480519480519481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>
        <f t="shared" si="28"/>
        <v>0.0515</v>
      </c>
      <c r="AT39" s="187">
        <f t="shared" si="28"/>
        <v>0.0498</v>
      </c>
      <c r="AU39" s="187">
        <f t="shared" si="28"/>
        <v>0.0812</v>
      </c>
      <c r="AV39" s="188">
        <f t="shared" si="28"/>
        <v>0.0451</v>
      </c>
      <c r="AW39" s="186">
        <f t="shared" si="28"/>
        <v>0.0393</v>
      </c>
      <c r="AX39" s="187">
        <f t="shared" si="28"/>
        <v>0.0711</v>
      </c>
      <c r="AY39" s="187">
        <f t="shared" si="28"/>
        <v>0.0735</v>
      </c>
      <c r="AZ39" s="188">
        <f t="shared" si="28"/>
        <v>0.071</v>
      </c>
      <c r="BA39" s="186">
        <f t="shared" si="28"/>
        <v>0.0799</v>
      </c>
      <c r="BB39" s="187">
        <f t="shared" si="28"/>
        <v>0.0762</v>
      </c>
      <c r="BC39" s="187">
        <f t="shared" si="28"/>
        <v>0.0527</v>
      </c>
      <c r="BD39" s="188">
        <f t="shared" si="28"/>
        <v>0.0594</v>
      </c>
      <c r="BE39" s="186">
        <f t="shared" si="28"/>
        <v>0.0946</v>
      </c>
      <c r="BF39" s="187">
        <f t="shared" si="28"/>
        <v>0.0916</v>
      </c>
      <c r="BG39" s="187">
        <f t="shared" si="28"/>
        <v>0.0661</v>
      </c>
      <c r="BH39" s="188">
        <f t="shared" si="28"/>
        <v>0.0654</v>
      </c>
      <c r="CA39" s="213"/>
      <c r="CB39" s="196" t="s">
        <v>56</v>
      </c>
      <c r="CC39" s="108">
        <f>第十一期!DG57*第十一期!DG51+第十一期!DG65*第十一期!Y89</f>
        <v>4649</v>
      </c>
      <c r="CD39" s="108">
        <f>第十一期!DH57*第十一期!DH51+第十一期!DH65*第十一期!Z89</f>
        <v>31668</v>
      </c>
      <c r="CE39" s="108">
        <f>第十一期!DI57*第十一期!DI51+第十一期!DI65*第十一期!AA89</f>
        <v>25422</v>
      </c>
      <c r="CF39" s="108">
        <f>第十一期!DJ57*第十一期!DJ51+第十一期!DJ65*第十一期!AB89</f>
        <v>32680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>
        <f t="shared" si="17"/>
        <v>77.8307692307692</v>
      </c>
      <c r="Y40" s="118">
        <f t="shared" si="17"/>
        <v>-719760.5</v>
      </c>
      <c r="Z40" s="119">
        <f t="shared" si="17"/>
        <v>-7.11366376754299</v>
      </c>
      <c r="AA40" s="120">
        <f t="shared" si="18"/>
        <v>80</v>
      </c>
      <c r="AB40" s="121">
        <f t="shared" si="19"/>
        <v>76</v>
      </c>
      <c r="AC40" s="121">
        <f t="shared" si="20"/>
        <v>83</v>
      </c>
      <c r="AD40" s="122">
        <f t="shared" si="21"/>
        <v>82</v>
      </c>
      <c r="AE40" s="123">
        <f t="shared" si="22"/>
        <v>0.95</v>
      </c>
      <c r="AF40" s="124">
        <f t="shared" si="22"/>
        <v>1.0375</v>
      </c>
      <c r="AG40" s="158">
        <f t="shared" si="22"/>
        <v>1.025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350000.0001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>
        <f t="shared" si="28"/>
        <v>0.084</v>
      </c>
      <c r="AT40" s="187">
        <f t="shared" si="28"/>
        <v>0.0769</v>
      </c>
      <c r="AU40" s="187">
        <f t="shared" si="28"/>
        <v>0.0459</v>
      </c>
      <c r="AV40" s="188">
        <f t="shared" si="28"/>
        <v>0.0506</v>
      </c>
      <c r="AW40" s="186">
        <f t="shared" si="28"/>
        <v>0.0823</v>
      </c>
      <c r="AX40" s="187">
        <f t="shared" si="28"/>
        <v>0.0863</v>
      </c>
      <c r="AY40" s="187">
        <f t="shared" si="28"/>
        <v>0.0714</v>
      </c>
      <c r="AZ40" s="188">
        <f t="shared" si="28"/>
        <v>0.071</v>
      </c>
      <c r="BA40" s="186">
        <f t="shared" si="28"/>
        <v>0.1059</v>
      </c>
      <c r="BB40" s="187">
        <f t="shared" si="28"/>
        <v>0.1086</v>
      </c>
      <c r="BC40" s="187">
        <f t="shared" si="28"/>
        <v>0.1055</v>
      </c>
      <c r="BD40" s="188">
        <f t="shared" si="28"/>
        <v>0.0951</v>
      </c>
      <c r="BE40" s="186">
        <f t="shared" si="28"/>
        <v>0.0384</v>
      </c>
      <c r="BF40" s="187">
        <f t="shared" si="28"/>
        <v>0.0407</v>
      </c>
      <c r="BG40" s="187">
        <f t="shared" si="28"/>
        <v>0</v>
      </c>
      <c r="BH40" s="188">
        <f t="shared" si="28"/>
        <v>0</v>
      </c>
      <c r="CA40" s="213"/>
      <c r="CB40" s="196" t="s">
        <v>57</v>
      </c>
      <c r="CC40" s="108">
        <f>第十一期!DG58*第十一期!DG52+第十一期!DG66*第十一期!Y90</f>
        <v>28100</v>
      </c>
      <c r="CD40" s="108">
        <f>第十一期!DH58*第十一期!DH52+第十一期!DH66*第十一期!Z90</f>
        <v>79200</v>
      </c>
      <c r="CE40" s="108">
        <f>第十一期!DI58*第十一期!DI52+第十一期!DI66*第十一期!AA90</f>
        <v>48000</v>
      </c>
      <c r="CF40" s="108">
        <f>第十一期!DJ58*第十一期!DJ52+第十一期!DJ66*第十一期!AB90</f>
        <v>67000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>
        <f t="shared" si="17"/>
        <v>82.3538461538461</v>
      </c>
      <c r="Y41" s="118">
        <f t="shared" si="17"/>
        <v>-1065330.13</v>
      </c>
      <c r="Z41" s="119">
        <f t="shared" si="17"/>
        <v>-9.95077648047824</v>
      </c>
      <c r="AA41" s="120">
        <f t="shared" si="18"/>
        <v>316</v>
      </c>
      <c r="AB41" s="121">
        <f t="shared" si="19"/>
        <v>184</v>
      </c>
      <c r="AC41" s="121">
        <f t="shared" si="20"/>
        <v>57</v>
      </c>
      <c r="AD41" s="122">
        <f t="shared" si="21"/>
        <v>15</v>
      </c>
      <c r="AE41" s="123">
        <f t="shared" si="22"/>
        <v>0.582278481012658</v>
      </c>
      <c r="AF41" s="124">
        <f t="shared" si="22"/>
        <v>0.180379746835443</v>
      </c>
      <c r="AG41" s="158">
        <f t="shared" si="22"/>
        <v>0.0474683544303798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500000.0001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>
        <f t="shared" si="28"/>
        <v>0.0189</v>
      </c>
      <c r="AT41" s="187">
        <f t="shared" si="28"/>
        <v>0.0183</v>
      </c>
      <c r="AU41" s="187">
        <f t="shared" si="28"/>
        <v>0.0283</v>
      </c>
      <c r="AV41" s="188">
        <f t="shared" si="28"/>
        <v>0.0305</v>
      </c>
      <c r="AW41" s="186">
        <f t="shared" si="28"/>
        <v>0.0467</v>
      </c>
      <c r="AX41" s="187">
        <f t="shared" si="28"/>
        <v>0.0482</v>
      </c>
      <c r="AY41" s="187">
        <f t="shared" si="28"/>
        <v>0.0224</v>
      </c>
      <c r="AZ41" s="188">
        <f t="shared" si="28"/>
        <v>0.0265</v>
      </c>
      <c r="BA41" s="186">
        <f t="shared" si="28"/>
        <v>0.0446</v>
      </c>
      <c r="BB41" s="187">
        <f t="shared" si="28"/>
        <v>0.0438</v>
      </c>
      <c r="BC41" s="187">
        <f t="shared" si="28"/>
        <v>0.0509</v>
      </c>
      <c r="BD41" s="188">
        <f t="shared" si="28"/>
        <v>0.0458</v>
      </c>
      <c r="BE41" s="186">
        <f t="shared" si="28"/>
        <v>0.0639</v>
      </c>
      <c r="BF41" s="187">
        <f t="shared" si="28"/>
        <v>0.0636</v>
      </c>
      <c r="BG41" s="187">
        <f t="shared" si="28"/>
        <v>0.0689</v>
      </c>
      <c r="BH41" s="188">
        <f t="shared" si="28"/>
        <v>0.0681</v>
      </c>
      <c r="CA41" s="213"/>
      <c r="CB41" s="196" t="s">
        <v>58</v>
      </c>
      <c r="CC41" s="108">
        <f>第十一期!DG59*第十一期!DG53+第十一期!DG67*第十一期!Y91</f>
        <v>38000</v>
      </c>
      <c r="CD41" s="108">
        <f>第十一期!DH59*第十一期!DH53+第十一期!DH67*第十一期!Z91</f>
        <v>80600</v>
      </c>
      <c r="CE41" s="108">
        <f>第十一期!DI59*第十一期!DI53+第十一期!DI67*第十一期!AA91</f>
        <v>53550</v>
      </c>
      <c r="CF41" s="108">
        <f>第十一期!DJ59*第十一期!DJ53+第十一期!DJ67*第十一期!AB91</f>
        <v>65700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>
        <f>SUMPRODUCT(DG41:DJ41,BS14:BV14)/SUM(BS14:BV14)</f>
        <v>19.5013503649635</v>
      </c>
    </row>
    <row r="42" ht="15.6" spans="2:115">
      <c r="B42" s="7"/>
      <c r="C42" s="18" t="s">
        <v>21</v>
      </c>
      <c r="D42" s="9">
        <v>89</v>
      </c>
      <c r="E42" s="14">
        <v>130000</v>
      </c>
      <c r="F42" s="14">
        <v>350000</v>
      </c>
      <c r="G42" s="9">
        <v>3</v>
      </c>
      <c r="H42" s="9">
        <v>0.951</v>
      </c>
      <c r="I42" s="10"/>
      <c r="M42" s="30"/>
      <c r="N42" s="39" t="s">
        <v>287</v>
      </c>
      <c r="O42" s="39">
        <f>AO4</f>
        <v>108</v>
      </c>
      <c r="P42" s="39">
        <f>AJ34</f>
        <v>0</v>
      </c>
      <c r="Q42" s="45"/>
      <c r="U42" s="53"/>
      <c r="V42" s="54"/>
      <c r="W42" s="11">
        <v>16</v>
      </c>
      <c r="X42" s="55">
        <f t="shared" si="17"/>
        <v>149.107692307692</v>
      </c>
      <c r="Y42" s="118">
        <f t="shared" si="17"/>
        <v>454636.88</v>
      </c>
      <c r="Z42" s="119">
        <f t="shared" si="17"/>
        <v>2.34542344201403</v>
      </c>
      <c r="AA42" s="120">
        <f t="shared" si="18"/>
        <v>327</v>
      </c>
      <c r="AB42" s="121">
        <f t="shared" si="19"/>
        <v>248</v>
      </c>
      <c r="AC42" s="121">
        <f t="shared" si="20"/>
        <v>109</v>
      </c>
      <c r="AD42" s="122">
        <f t="shared" si="21"/>
        <v>111</v>
      </c>
      <c r="AE42" s="123">
        <f t="shared" si="22"/>
        <v>0.758409785932722</v>
      </c>
      <c r="AF42" s="124">
        <f t="shared" si="22"/>
        <v>0.333333333333333</v>
      </c>
      <c r="AG42" s="158">
        <f t="shared" si="22"/>
        <v>0.339449541284404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450000.0001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>
        <f t="shared" si="28"/>
        <v>0.0129</v>
      </c>
      <c r="AT42" s="187">
        <f t="shared" si="28"/>
        <v>0.0117</v>
      </c>
      <c r="AU42" s="187">
        <f t="shared" si="28"/>
        <v>0.0118</v>
      </c>
      <c r="AV42" s="188">
        <f t="shared" si="28"/>
        <v>0.014</v>
      </c>
      <c r="AW42" s="186">
        <f t="shared" si="28"/>
        <v>0.0479</v>
      </c>
      <c r="AX42" s="187">
        <f t="shared" si="28"/>
        <v>0.0495</v>
      </c>
      <c r="AY42" s="187">
        <f t="shared" si="28"/>
        <v>0.0426</v>
      </c>
      <c r="AZ42" s="188">
        <f t="shared" si="28"/>
        <v>0.0508</v>
      </c>
      <c r="BA42" s="186">
        <f t="shared" si="28"/>
        <v>0.0446</v>
      </c>
      <c r="BB42" s="187">
        <f t="shared" si="28"/>
        <v>0.0457</v>
      </c>
      <c r="BC42" s="187">
        <f t="shared" si="28"/>
        <v>0.06</v>
      </c>
      <c r="BD42" s="188">
        <f t="shared" si="28"/>
        <v>0.0662</v>
      </c>
      <c r="BE42" s="186">
        <f t="shared" si="28"/>
        <v>0.0486</v>
      </c>
      <c r="BF42" s="187">
        <f t="shared" si="28"/>
        <v>0.0483</v>
      </c>
      <c r="BG42" s="187">
        <f t="shared" si="28"/>
        <v>0.0799</v>
      </c>
      <c r="BH42" s="188">
        <f t="shared" si="28"/>
        <v>0.0759</v>
      </c>
      <c r="CA42" s="213"/>
      <c r="CB42" s="98" t="s">
        <v>308</v>
      </c>
      <c r="CC42" s="127">
        <f>SUM(CC38:CC41)</f>
        <v>79317</v>
      </c>
      <c r="CD42" s="127">
        <f>SUM(CD38:CD41)</f>
        <v>233702</v>
      </c>
      <c r="CE42" s="127">
        <f>SUM(CE38:CE41)</f>
        <v>153970</v>
      </c>
      <c r="CF42" s="127">
        <f>SUM(CF38:CF41)</f>
        <v>204700</v>
      </c>
      <c r="CG42" s="108">
        <f>SUM(CC42:CF42)</f>
        <v>671689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>
        <f>SUMPRODUCT(DG42:DJ42,BS15:BV15)/SUM(BS15:BV15)</f>
        <v>14.4337142857143</v>
      </c>
    </row>
    <row r="43" ht="16.35" spans="2:115">
      <c r="B43" s="7"/>
      <c r="C43" s="18" t="s">
        <v>22</v>
      </c>
      <c r="D43" s="9">
        <v>59</v>
      </c>
      <c r="E43" s="14">
        <v>150000</v>
      </c>
      <c r="F43" s="14">
        <v>500000</v>
      </c>
      <c r="G43" s="9">
        <v>3</v>
      </c>
      <c r="H43" s="9">
        <v>0.951</v>
      </c>
      <c r="I43" s="10"/>
      <c r="M43" s="30"/>
      <c r="N43" s="39" t="s">
        <v>288</v>
      </c>
      <c r="O43" s="39">
        <f>AO5</f>
        <v>98</v>
      </c>
      <c r="P43" s="39">
        <f>AJ35</f>
        <v>0</v>
      </c>
      <c r="Q43" s="45"/>
      <c r="U43" s="53"/>
      <c r="V43" s="54"/>
      <c r="W43" s="11">
        <v>17</v>
      </c>
      <c r="X43" s="55">
        <f t="shared" si="17"/>
        <v>124.469230769231</v>
      </c>
      <c r="Y43" s="118">
        <f t="shared" si="17"/>
        <v>-123194.52</v>
      </c>
      <c r="Z43" s="119">
        <f t="shared" si="17"/>
        <v>-0.761352944811816</v>
      </c>
      <c r="AA43" s="120">
        <f t="shared" si="18"/>
        <v>163</v>
      </c>
      <c r="AB43" s="121">
        <f t="shared" si="19"/>
        <v>295</v>
      </c>
      <c r="AC43" s="121">
        <f t="shared" si="20"/>
        <v>104</v>
      </c>
      <c r="AD43" s="122">
        <f t="shared" si="21"/>
        <v>62</v>
      </c>
      <c r="AE43" s="123">
        <f t="shared" si="22"/>
        <v>1.80981595092025</v>
      </c>
      <c r="AF43" s="124">
        <f t="shared" si="22"/>
        <v>0.638036809815951</v>
      </c>
      <c r="AG43" s="158">
        <f t="shared" si="22"/>
        <v>0.380368098159509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600000.0001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>
        <f t="shared" si="28"/>
        <v>0.0507</v>
      </c>
      <c r="AT43" s="187">
        <f t="shared" si="28"/>
        <v>0.0498</v>
      </c>
      <c r="AU43" s="187">
        <f t="shared" si="28"/>
        <v>0.0465</v>
      </c>
      <c r="AV43" s="188">
        <f t="shared" si="28"/>
        <v>0.0494</v>
      </c>
      <c r="AW43" s="186">
        <f t="shared" si="28"/>
        <v>0.0467</v>
      </c>
      <c r="AX43" s="187">
        <f t="shared" si="28"/>
        <v>0.0495</v>
      </c>
      <c r="AY43" s="187">
        <f t="shared" si="28"/>
        <v>0.0607</v>
      </c>
      <c r="AZ43" s="188">
        <f t="shared" si="28"/>
        <v>0.0593</v>
      </c>
      <c r="BA43" s="186">
        <f t="shared" si="28"/>
        <v>0.0446</v>
      </c>
      <c r="BB43" s="187">
        <f t="shared" si="28"/>
        <v>0.0514</v>
      </c>
      <c r="BC43" s="187">
        <f t="shared" si="28"/>
        <v>0.0709</v>
      </c>
      <c r="BD43" s="188">
        <f t="shared" si="28"/>
        <v>0.0713</v>
      </c>
      <c r="BE43" s="186">
        <f t="shared" si="28"/>
        <v>0.0614</v>
      </c>
      <c r="BF43" s="187">
        <f t="shared" si="28"/>
        <v>0.0611</v>
      </c>
      <c r="BG43" s="187">
        <f t="shared" si="28"/>
        <v>0.1019</v>
      </c>
      <c r="BH43" s="188">
        <f t="shared" si="28"/>
        <v>0.1073</v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>
        <f>SUMPRODUCT(DG43:DJ43,BS16:BV16)/SUM(BS16:BV16)</f>
        <v>12.9675101214575</v>
      </c>
    </row>
    <row r="44" ht="16.35" spans="2:115">
      <c r="B44" s="7"/>
      <c r="C44" s="18" t="s">
        <v>23</v>
      </c>
      <c r="D44" s="9">
        <v>22</v>
      </c>
      <c r="E44" s="14">
        <v>150000</v>
      </c>
      <c r="F44" s="14">
        <v>450000</v>
      </c>
      <c r="G44" s="9">
        <v>2</v>
      </c>
      <c r="H44" s="9">
        <v>0.951</v>
      </c>
      <c r="I44" s="10"/>
      <c r="M44" s="30"/>
      <c r="N44" s="39" t="s">
        <v>289</v>
      </c>
      <c r="O44" s="39">
        <f>AO6</f>
        <v>36</v>
      </c>
      <c r="P44" s="39">
        <f>AJ36</f>
        <v>0</v>
      </c>
      <c r="Q44" s="45"/>
      <c r="U44" s="53"/>
      <c r="V44" s="54"/>
      <c r="W44" s="11">
        <v>18</v>
      </c>
      <c r="X44" s="55">
        <f t="shared" si="17"/>
        <v>93.3230769230769</v>
      </c>
      <c r="Y44" s="118">
        <f t="shared" si="17"/>
        <v>-293991.4</v>
      </c>
      <c r="Z44" s="119">
        <f t="shared" si="17"/>
        <v>-2.42327233761952</v>
      </c>
      <c r="AA44" s="125">
        <f t="shared" si="18"/>
        <v>116</v>
      </c>
      <c r="AB44" s="121">
        <f t="shared" si="19"/>
        <v>86</v>
      </c>
      <c r="AC44" s="121">
        <f t="shared" si="20"/>
        <v>57</v>
      </c>
      <c r="AD44" s="122">
        <f t="shared" si="21"/>
        <v>128</v>
      </c>
      <c r="AE44" s="123">
        <f t="shared" si="22"/>
        <v>0.741379310344828</v>
      </c>
      <c r="AF44" s="124">
        <f t="shared" si="22"/>
        <v>0.491379310344828</v>
      </c>
      <c r="AG44" s="158">
        <f t="shared" si="22"/>
        <v>1.10344827586207</v>
      </c>
      <c r="AR44" s="185">
        <v>12</v>
      </c>
      <c r="AS44" s="186">
        <f t="shared" si="28"/>
        <v>0.0492</v>
      </c>
      <c r="AT44" s="187">
        <f t="shared" si="28"/>
        <v>0.0615</v>
      </c>
      <c r="AU44" s="187">
        <f t="shared" si="28"/>
        <v>0.0512</v>
      </c>
      <c r="AV44" s="188">
        <f t="shared" si="28"/>
        <v>0.0622</v>
      </c>
      <c r="AW44" s="186">
        <f t="shared" si="28"/>
        <v>0.07</v>
      </c>
      <c r="AX44" s="187">
        <f t="shared" si="28"/>
        <v>0.0723</v>
      </c>
      <c r="AY44" s="187">
        <f t="shared" si="28"/>
        <v>0.0969</v>
      </c>
      <c r="AZ44" s="188">
        <f t="shared" si="28"/>
        <v>0.0964</v>
      </c>
      <c r="BA44" s="186">
        <f t="shared" si="28"/>
        <v>0.0539</v>
      </c>
      <c r="BB44" s="187">
        <f t="shared" si="28"/>
        <v>0.0552</v>
      </c>
      <c r="BC44" s="187">
        <f t="shared" si="28"/>
        <v>0.0782</v>
      </c>
      <c r="BD44" s="188">
        <f t="shared" si="28"/>
        <v>0.0747</v>
      </c>
      <c r="BE44" s="186">
        <f t="shared" si="28"/>
        <v>0</v>
      </c>
      <c r="BF44" s="187">
        <f t="shared" si="28"/>
        <v>0</v>
      </c>
      <c r="BG44" s="187">
        <f t="shared" si="28"/>
        <v>0</v>
      </c>
      <c r="BH44" s="188">
        <f t="shared" si="28"/>
        <v>0</v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>
        <f>SUMPRODUCT(DG44:DJ44,BS17:BV17)/SUM(BS17:BV17)</f>
        <v>12.1910633484163</v>
      </c>
    </row>
    <row r="45" ht="16.35" spans="2:60">
      <c r="B45" s="7"/>
      <c r="C45" s="18" t="s">
        <v>24</v>
      </c>
      <c r="D45" s="9">
        <v>33</v>
      </c>
      <c r="E45" s="14">
        <v>100000</v>
      </c>
      <c r="F45" s="14">
        <v>600000</v>
      </c>
      <c r="G45" s="9">
        <v>2</v>
      </c>
      <c r="H45" s="9">
        <v>0.951</v>
      </c>
      <c r="I45" s="10"/>
      <c r="M45" s="30"/>
      <c r="N45" s="39" t="s">
        <v>290</v>
      </c>
      <c r="O45" s="39">
        <f>AO7</f>
        <v>40</v>
      </c>
      <c r="P45" s="39">
        <f>AJ37</f>
        <v>0</v>
      </c>
      <c r="Q45" s="45"/>
      <c r="U45" s="53"/>
      <c r="V45" s="54"/>
      <c r="W45" s="11">
        <v>19</v>
      </c>
      <c r="X45" s="55">
        <f t="shared" si="17"/>
        <v>97.7846153846154</v>
      </c>
      <c r="Y45" s="118">
        <f t="shared" si="17"/>
        <v>-187244.09</v>
      </c>
      <c r="Z45" s="119">
        <f t="shared" si="17"/>
        <v>-1.47297112964128</v>
      </c>
      <c r="AA45" s="120">
        <f t="shared" si="18"/>
        <v>358</v>
      </c>
      <c r="AB45" s="121">
        <f t="shared" si="19"/>
        <v>158</v>
      </c>
      <c r="AC45" s="121">
        <f t="shared" si="20"/>
        <v>57</v>
      </c>
      <c r="AD45" s="122">
        <f t="shared" si="21"/>
        <v>58</v>
      </c>
      <c r="AE45" s="123">
        <f t="shared" si="22"/>
        <v>0.441340782122905</v>
      </c>
      <c r="AF45" s="124">
        <f t="shared" si="22"/>
        <v>0.159217877094972</v>
      </c>
      <c r="AG45" s="158">
        <f t="shared" si="22"/>
        <v>0.162011173184358</v>
      </c>
      <c r="AR45" s="185">
        <v>13</v>
      </c>
      <c r="AS45" s="186">
        <f t="shared" si="28"/>
        <v>0.0356</v>
      </c>
      <c r="AT45" s="187">
        <f t="shared" si="28"/>
        <v>0.0381</v>
      </c>
      <c r="AU45" s="187">
        <f t="shared" si="28"/>
        <v>0.033</v>
      </c>
      <c r="AV45" s="188">
        <f t="shared" si="28"/>
        <v>0.0463</v>
      </c>
      <c r="AW45" s="186">
        <f t="shared" si="28"/>
        <v>0.0319</v>
      </c>
      <c r="AX45" s="187">
        <f t="shared" si="28"/>
        <v>0.033</v>
      </c>
      <c r="AY45" s="187">
        <f t="shared" si="28"/>
        <v>0.0469</v>
      </c>
      <c r="AZ45" s="188">
        <f t="shared" si="28"/>
        <v>0.054</v>
      </c>
      <c r="BA45" s="186">
        <f t="shared" si="28"/>
        <v>0.0669</v>
      </c>
      <c r="BB45" s="187">
        <f t="shared" si="28"/>
        <v>0.0686</v>
      </c>
      <c r="BC45" s="187">
        <f t="shared" si="28"/>
        <v>0.0655</v>
      </c>
      <c r="BD45" s="188">
        <f t="shared" si="28"/>
        <v>0.0679</v>
      </c>
      <c r="BE45" s="186">
        <f t="shared" si="28"/>
        <v>0.0588</v>
      </c>
      <c r="BF45" s="187">
        <f t="shared" si="28"/>
        <v>0.0585</v>
      </c>
      <c r="BG45" s="187">
        <f t="shared" si="28"/>
        <v>0.0909</v>
      </c>
      <c r="BH45" s="188">
        <f t="shared" si="28"/>
        <v>0.0838</v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>
        <f t="shared" si="17"/>
        <v>0</v>
      </c>
      <c r="Y46" s="118">
        <f t="shared" si="17"/>
        <v>0</v>
      </c>
      <c r="Z46" s="119" t="e">
        <f t="shared" si="17"/>
        <v>#DIV/0!</v>
      </c>
      <c r="AA46" s="120">
        <f t="shared" si="18"/>
        <v>0</v>
      </c>
      <c r="AB46" s="121">
        <f t="shared" si="19"/>
        <v>0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>
        <f t="shared" si="28"/>
        <v>0.0114</v>
      </c>
      <c r="AT46" s="187">
        <f t="shared" si="28"/>
        <v>0.0139</v>
      </c>
      <c r="AU46" s="187">
        <f t="shared" si="28"/>
        <v>0.0124</v>
      </c>
      <c r="AV46" s="188">
        <f t="shared" si="28"/>
        <v>0.0152</v>
      </c>
      <c r="AW46" s="186">
        <f t="shared" si="28"/>
        <v>0.0172</v>
      </c>
      <c r="AX46" s="187">
        <f t="shared" si="28"/>
        <v>0.0152</v>
      </c>
      <c r="AY46" s="187">
        <f t="shared" si="28"/>
        <v>0.0256</v>
      </c>
      <c r="AZ46" s="188">
        <f t="shared" si="28"/>
        <v>0.0275</v>
      </c>
      <c r="BA46" s="186">
        <f t="shared" si="28"/>
        <v>0.0539</v>
      </c>
      <c r="BB46" s="187">
        <f t="shared" si="28"/>
        <v>0.0362</v>
      </c>
      <c r="BC46" s="187">
        <f t="shared" si="28"/>
        <v>0.0273</v>
      </c>
      <c r="BD46" s="188">
        <f t="shared" si="28"/>
        <v>0.034</v>
      </c>
      <c r="BE46" s="186">
        <f t="shared" si="28"/>
        <v>0.0563</v>
      </c>
      <c r="BF46" s="187">
        <f t="shared" si="28"/>
        <v>0.0483</v>
      </c>
      <c r="BG46" s="187">
        <f t="shared" si="28"/>
        <v>0.0578</v>
      </c>
      <c r="BH46" s="188">
        <f t="shared" si="28"/>
        <v>0.0524</v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>
        <f t="shared" si="28"/>
        <v>0.0295</v>
      </c>
      <c r="AT47" s="187">
        <f t="shared" si="28"/>
        <v>0.0505</v>
      </c>
      <c r="AU47" s="187">
        <f t="shared" si="28"/>
        <v>0.063</v>
      </c>
      <c r="AV47" s="188">
        <f t="shared" si="28"/>
        <v>0.0615</v>
      </c>
      <c r="AW47" s="186">
        <f t="shared" si="28"/>
        <v>0.1437</v>
      </c>
      <c r="AX47" s="187">
        <f t="shared" si="28"/>
        <v>0.085</v>
      </c>
      <c r="AY47" s="187">
        <f t="shared" si="28"/>
        <v>0</v>
      </c>
      <c r="AZ47" s="188">
        <f t="shared" si="28"/>
        <v>0</v>
      </c>
      <c r="BA47" s="186">
        <f t="shared" si="28"/>
        <v>0.0669</v>
      </c>
      <c r="BB47" s="187">
        <f t="shared" si="28"/>
        <v>0.04</v>
      </c>
      <c r="BC47" s="187">
        <f t="shared" si="28"/>
        <v>0</v>
      </c>
      <c r="BD47" s="188">
        <f t="shared" si="28"/>
        <v>0</v>
      </c>
      <c r="BE47" s="186">
        <f t="shared" si="28"/>
        <v>0.0256</v>
      </c>
      <c r="BF47" s="187">
        <f t="shared" si="28"/>
        <v>0.0127</v>
      </c>
      <c r="BG47" s="187">
        <f t="shared" si="28"/>
        <v>0</v>
      </c>
      <c r="BH47" s="188">
        <f t="shared" si="28"/>
        <v>0</v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>
        <f t="shared" si="28"/>
        <v>0.0583</v>
      </c>
      <c r="AT48" s="187">
        <f t="shared" si="28"/>
        <v>0.0498</v>
      </c>
      <c r="AU48" s="187">
        <f t="shared" si="28"/>
        <v>0.0565</v>
      </c>
      <c r="AV48" s="188">
        <f t="shared" si="28"/>
        <v>0.0524</v>
      </c>
      <c r="AW48" s="186">
        <f t="shared" si="28"/>
        <v>0.0528</v>
      </c>
      <c r="AX48" s="187">
        <f t="shared" si="28"/>
        <v>0.0584</v>
      </c>
      <c r="AY48" s="187">
        <f t="shared" si="28"/>
        <v>0.0873</v>
      </c>
      <c r="AZ48" s="188">
        <f t="shared" si="28"/>
        <v>0.0816</v>
      </c>
      <c r="BA48" s="186">
        <f t="shared" si="28"/>
        <v>0.039</v>
      </c>
      <c r="BB48" s="187">
        <f t="shared" si="28"/>
        <v>0.04</v>
      </c>
      <c r="BC48" s="187">
        <f t="shared" si="28"/>
        <v>0.0527</v>
      </c>
      <c r="BD48" s="188">
        <f t="shared" si="28"/>
        <v>0.0645</v>
      </c>
      <c r="BE48" s="186">
        <f t="shared" si="28"/>
        <v>0.0537</v>
      </c>
      <c r="BF48" s="187">
        <f t="shared" si="28"/>
        <v>0.0712</v>
      </c>
      <c r="BG48" s="187">
        <f t="shared" si="28"/>
        <v>0.0523</v>
      </c>
      <c r="BH48" s="188">
        <f>IF(S88="","",S88)</f>
        <v>0.1126</v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>
        <f t="shared" ref="AS49:BG52" si="36">IF(D89="","",D89)</f>
        <v>0.0288</v>
      </c>
      <c r="AT49" s="187">
        <f t="shared" si="36"/>
        <v>0.0271</v>
      </c>
      <c r="AU49" s="187">
        <f t="shared" si="36"/>
        <v>0.0241</v>
      </c>
      <c r="AV49" s="188">
        <f t="shared" si="36"/>
        <v>0.0286</v>
      </c>
      <c r="AW49" s="186">
        <f t="shared" si="36"/>
        <v>0.0713</v>
      </c>
      <c r="AX49" s="187">
        <f t="shared" si="36"/>
        <v>0.0799</v>
      </c>
      <c r="AY49" s="187">
        <f t="shared" si="36"/>
        <v>0.0927</v>
      </c>
      <c r="AZ49" s="188">
        <f t="shared" si="36"/>
        <v>0.0922</v>
      </c>
      <c r="BA49" s="186">
        <f t="shared" si="36"/>
        <v>0.0446</v>
      </c>
      <c r="BB49" s="187">
        <f t="shared" si="36"/>
        <v>0.0457</v>
      </c>
      <c r="BC49" s="187">
        <f t="shared" si="36"/>
        <v>0.0509</v>
      </c>
      <c r="BD49" s="188">
        <f t="shared" si="36"/>
        <v>0.0475</v>
      </c>
      <c r="BE49" s="186">
        <f t="shared" si="36"/>
        <v>0.0435</v>
      </c>
      <c r="BF49" s="187">
        <f t="shared" si="36"/>
        <v>0.0433</v>
      </c>
      <c r="BG49" s="187">
        <f t="shared" si="36"/>
        <v>0.0386</v>
      </c>
      <c r="BH49" s="188">
        <f>IF(S89="","",S89)</f>
        <v>0.0366</v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>
        <v>3088</v>
      </c>
      <c r="E50" s="26">
        <v>3088</v>
      </c>
      <c r="F50" s="26">
        <v>3288</v>
      </c>
      <c r="G50" s="26">
        <v>3288</v>
      </c>
      <c r="H50" s="26">
        <v>6388</v>
      </c>
      <c r="I50" s="26">
        <v>6388</v>
      </c>
      <c r="J50" s="26">
        <v>6988</v>
      </c>
      <c r="K50" s="26">
        <v>6988</v>
      </c>
      <c r="L50" s="26">
        <v>9288</v>
      </c>
      <c r="M50" s="26">
        <v>9288</v>
      </c>
      <c r="N50" s="26">
        <v>9688</v>
      </c>
      <c r="O50" s="26">
        <v>9688</v>
      </c>
      <c r="P50" s="26">
        <v>11888</v>
      </c>
      <c r="Q50" s="26">
        <v>11888</v>
      </c>
      <c r="R50" s="26">
        <v>12088</v>
      </c>
      <c r="S50" s="26">
        <v>12088</v>
      </c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>
        <f t="shared" si="36"/>
        <v>0.0204</v>
      </c>
      <c r="AT50" s="187">
        <f t="shared" si="36"/>
        <v>0.0198</v>
      </c>
      <c r="AU50" s="187">
        <f t="shared" si="36"/>
        <v>0.0159</v>
      </c>
      <c r="AV50" s="188">
        <f t="shared" si="36"/>
        <v>0.0213</v>
      </c>
      <c r="AW50" s="186">
        <f t="shared" si="36"/>
        <v>0.0197</v>
      </c>
      <c r="AX50" s="187">
        <f t="shared" si="36"/>
        <v>0.0203</v>
      </c>
      <c r="AY50" s="187">
        <f t="shared" si="36"/>
        <v>0.0266</v>
      </c>
      <c r="AZ50" s="188">
        <f t="shared" si="36"/>
        <v>0.0307</v>
      </c>
      <c r="BA50" s="186">
        <f t="shared" si="36"/>
        <v>0.0483</v>
      </c>
      <c r="BB50" s="187">
        <f t="shared" si="36"/>
        <v>0.059</v>
      </c>
      <c r="BC50" s="187">
        <f t="shared" si="36"/>
        <v>0</v>
      </c>
      <c r="BD50" s="188">
        <f t="shared" si="36"/>
        <v>0</v>
      </c>
      <c r="BE50" s="186">
        <f t="shared" si="36"/>
        <v>0.1534</v>
      </c>
      <c r="BF50" s="187">
        <f t="shared" si="36"/>
        <v>0.173</v>
      </c>
      <c r="BG50" s="187">
        <f t="shared" si="36"/>
        <v>0</v>
      </c>
      <c r="BH50" s="188">
        <f>IF(S90="","",S90)</f>
        <v>0</v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284240</v>
      </c>
      <c r="CD50" s="108">
        <f t="shared" si="37"/>
        <v>533250</v>
      </c>
      <c r="CE50" s="108">
        <f t="shared" si="37"/>
        <v>234600</v>
      </c>
      <c r="CF50" s="108">
        <f t="shared" si="37"/>
        <v>379100</v>
      </c>
      <c r="CG50" s="219"/>
      <c r="CH50" s="219"/>
      <c r="CI50" s="197" t="s">
        <v>55</v>
      </c>
      <c r="CJ50" s="108">
        <f t="shared" ref="CJ50:CM53" si="38">Y108*AF76*0.4</f>
        <v>5168</v>
      </c>
      <c r="CK50" s="108">
        <f t="shared" si="38"/>
        <v>8100</v>
      </c>
      <c r="CL50" s="108">
        <f t="shared" si="38"/>
        <v>4080</v>
      </c>
      <c r="CM50" s="108">
        <f t="shared" si="38"/>
        <v>5240</v>
      </c>
      <c r="CN50" s="219"/>
      <c r="CO50" s="219"/>
      <c r="CP50" s="65" t="s">
        <v>38</v>
      </c>
      <c r="CQ50" s="65">
        <f>第十一期!Y9*第十一期!CQ62*比赛参数!D65</f>
        <v>516000</v>
      </c>
      <c r="CR50" s="65">
        <f>第十一期!Z9*第十一期!CR62*比赛参数!E65</f>
        <v>0</v>
      </c>
      <c r="CS50" s="65">
        <f>第十一期!AA9*第十一期!CS62*比赛参数!F65</f>
        <v>0</v>
      </c>
      <c r="CT50" s="65">
        <f>第十一期!AB9*第十一期!CT62*比赛参数!G65</f>
        <v>0</v>
      </c>
      <c r="CU50" s="65">
        <f>IF(第十一期!AC9&gt;0,SUM(CQ50:CT50)/第十一期!AC9,0)</f>
        <v>1200</v>
      </c>
      <c r="CW50" s="11" t="s">
        <v>38</v>
      </c>
      <c r="CX50" s="242">
        <f>IF(第十一期!$CU$50*第十一期!CQ93&gt;0,第十一期!$CU$50+第十一期!CQ68+第十一期!CQ93+第十一期!CQ74,0)</f>
        <v>1890.72549160585</v>
      </c>
      <c r="CY50" s="242">
        <f>IF(第十一期!$CU$50*第十一期!CR93&gt;0,第十一期!$CU$50+第十一期!CR68+第十一期!CR93+第十一期!CR74,0)</f>
        <v>1849.72549160585</v>
      </c>
      <c r="CZ50" s="242">
        <f>IF(第十一期!$CU$50*第十一期!CS93&gt;0,第十一期!$CU$50+第十一期!CS68+第十一期!CS93+第十一期!CS74,0)</f>
        <v>2007.72549160585</v>
      </c>
      <c r="DA50" s="242">
        <f>IF(第十一期!$CU$50*第十一期!CT93&gt;0,第十一期!$CU$50+第十一期!CT68+第十一期!CT93+第十一期!CT74,0)</f>
        <v>2057.72549160585</v>
      </c>
      <c r="DB50" s="242">
        <f>AVERAGE(CX50:DA50)</f>
        <v>1951.47549160585</v>
      </c>
      <c r="DF50" s="65" t="s">
        <v>55</v>
      </c>
      <c r="DG50" s="245">
        <f>IF(第十一期!Y88&gt;0,1,0)</f>
        <v>1</v>
      </c>
      <c r="DH50" s="245">
        <f>IF(第十一期!Z88&gt;0,1,0)</f>
        <v>1</v>
      </c>
      <c r="DI50" s="245">
        <f>IF(第十一期!AA88&gt;0,1,0)</f>
        <v>1</v>
      </c>
      <c r="DJ50" s="245">
        <f>IF(第十一期!AB88&gt;0,1,0)</f>
        <v>1</v>
      </c>
      <c r="DL50" s="245" t="s">
        <v>21</v>
      </c>
      <c r="DM50" s="248">
        <f>IF(第十一期!Y9+第十一期!Z9&gt;0,1,0)</f>
        <v>1</v>
      </c>
      <c r="DN50" s="248">
        <f>IF(第十一期!AA9+第十一期!AB9&gt;0,1,0)</f>
        <v>0</v>
      </c>
      <c r="DO50" s="246"/>
    </row>
    <row r="51" customHeight="1" spans="2:119">
      <c r="B51" s="7"/>
      <c r="C51" s="25">
        <v>2</v>
      </c>
      <c r="D51" s="26">
        <v>2799</v>
      </c>
      <c r="E51" s="26">
        <v>2799</v>
      </c>
      <c r="F51" s="26">
        <v>2899</v>
      </c>
      <c r="G51" s="26">
        <v>2899</v>
      </c>
      <c r="H51" s="26">
        <v>6999</v>
      </c>
      <c r="I51" s="26">
        <v>6999</v>
      </c>
      <c r="J51" s="26">
        <v>7699</v>
      </c>
      <c r="K51" s="26">
        <v>7699</v>
      </c>
      <c r="L51" s="26">
        <v>8399</v>
      </c>
      <c r="M51" s="26">
        <v>8399</v>
      </c>
      <c r="N51" s="26">
        <v>9399</v>
      </c>
      <c r="O51" s="26">
        <v>9299</v>
      </c>
      <c r="P51" s="26">
        <v>11999</v>
      </c>
      <c r="Q51" s="26">
        <v>11999</v>
      </c>
      <c r="R51" s="26">
        <v>13499</v>
      </c>
      <c r="S51" s="26">
        <v>13499</v>
      </c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>
        <f t="shared" si="36"/>
        <v>0.0749</v>
      </c>
      <c r="AT51" s="187">
        <f t="shared" si="36"/>
        <v>0.0732</v>
      </c>
      <c r="AU51" s="187">
        <f t="shared" si="36"/>
        <v>0.0742</v>
      </c>
      <c r="AV51" s="188">
        <f t="shared" si="36"/>
        <v>0.0201</v>
      </c>
      <c r="AW51" s="186">
        <f t="shared" si="36"/>
        <v>0.0356</v>
      </c>
      <c r="AX51" s="187">
        <f t="shared" si="36"/>
        <v>0.0419</v>
      </c>
      <c r="AY51" s="187">
        <f t="shared" si="36"/>
        <v>0.0511</v>
      </c>
      <c r="AZ51" s="188">
        <f t="shared" si="36"/>
        <v>0.0508</v>
      </c>
      <c r="BA51" s="186">
        <f t="shared" si="36"/>
        <v>0.0149</v>
      </c>
      <c r="BB51" s="187">
        <f t="shared" si="36"/>
        <v>0.0267</v>
      </c>
      <c r="BC51" s="187">
        <f t="shared" si="36"/>
        <v>0.0309</v>
      </c>
      <c r="BD51" s="188">
        <f t="shared" si="36"/>
        <v>0.0306</v>
      </c>
      <c r="BE51" s="186">
        <f t="shared" si="36"/>
        <v>0.0256</v>
      </c>
      <c r="BF51" s="187">
        <f t="shared" si="36"/>
        <v>0.0254</v>
      </c>
      <c r="BG51" s="187">
        <f t="shared" si="36"/>
        <v>0.0523</v>
      </c>
      <c r="BH51" s="188">
        <f>IF(S91="","",S91)</f>
        <v>0.0497</v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284240</v>
      </c>
      <c r="CD51" s="108">
        <f t="shared" si="37"/>
        <v>492750</v>
      </c>
      <c r="CE51" s="108">
        <f t="shared" si="37"/>
        <v>265200</v>
      </c>
      <c r="CF51" s="108">
        <f t="shared" si="37"/>
        <v>379100</v>
      </c>
      <c r="CG51" s="219"/>
      <c r="CH51" s="219"/>
      <c r="CI51" s="196" t="s">
        <v>56</v>
      </c>
      <c r="CJ51" s="108">
        <f t="shared" si="38"/>
        <v>5168</v>
      </c>
      <c r="CK51" s="108">
        <f t="shared" si="38"/>
        <v>8100</v>
      </c>
      <c r="CL51" s="108">
        <f t="shared" si="38"/>
        <v>4080</v>
      </c>
      <c r="CM51" s="108">
        <f t="shared" si="38"/>
        <v>5240</v>
      </c>
      <c r="CN51" s="219"/>
      <c r="CO51" s="219"/>
      <c r="CP51" s="65" t="s">
        <v>39</v>
      </c>
      <c r="CQ51" s="65">
        <f>第十一期!Y10*第十一期!CQ63*比赛参数!D65</f>
        <v>409500</v>
      </c>
      <c r="CR51" s="65">
        <f>第十一期!Z10*第十一期!CR63*比赛参数!E65</f>
        <v>0</v>
      </c>
      <c r="CS51" s="65">
        <f>第十一期!AA10*第十一期!CS63*比赛参数!F65</f>
        <v>208800</v>
      </c>
      <c r="CT51" s="65">
        <f>第十一期!AB10*第十一期!CT63*比赛参数!G65</f>
        <v>0</v>
      </c>
      <c r="CU51" s="65">
        <f>IF(第十一期!AC10&gt;0,SUM(CQ51:CT51)/第十一期!AC10,0)</f>
        <v>1589.46015424165</v>
      </c>
      <c r="CW51" s="11" t="s">
        <v>39</v>
      </c>
      <c r="CX51" s="242">
        <f>IF(第十一期!$CU$51*第十一期!CQ94&gt;0,第十一期!$CU$51+第十一期!CQ69+第十一期!CQ94+第十一期!CQ75,0)</f>
        <v>4025.77388325628</v>
      </c>
      <c r="CY51" s="242">
        <f>IF(第十一期!$CU$51*第十一期!CR94&gt;0,第十一期!$CU$51+第十一期!CR69+第十一期!CR94+第十一期!CR75,0)</f>
        <v>3941.77388325628</v>
      </c>
      <c r="CZ51" s="242">
        <f>IF(第十一期!$CU$51*第十一期!CS94&gt;0,第十一期!$CU$51+第十一期!CS69+第十一期!CS94+第十一期!CS75,0)</f>
        <v>4158.77388325628</v>
      </c>
      <c r="DA51" s="242">
        <f>IF(第十一期!$CU$51*第十一期!CT94&gt;0,第十一期!$CU$51+第十一期!CT69+第十一期!CT94+第十一期!CT75,0)</f>
        <v>4208.77388325628</v>
      </c>
      <c r="DB51" s="242">
        <f>AVERAGE(CX51:DA51)</f>
        <v>4083.77388325628</v>
      </c>
      <c r="DF51" s="65" t="s">
        <v>56</v>
      </c>
      <c r="DG51" s="245">
        <f>IF(第十一期!Y89&gt;0,1,0)</f>
        <v>1</v>
      </c>
      <c r="DH51" s="245">
        <f>IF(第十一期!Z89&gt;0,1,0)</f>
        <v>1</v>
      </c>
      <c r="DI51" s="245">
        <f>IF(第十一期!AA89&gt;0,1,0)</f>
        <v>1</v>
      </c>
      <c r="DJ51" s="245">
        <f>IF(第十一期!AB89&gt;0,1,0)</f>
        <v>1</v>
      </c>
      <c r="DL51" s="245" t="s">
        <v>22</v>
      </c>
      <c r="DM51" s="248">
        <f>IF(第十一期!Y10+第十一期!Z10&gt;0,1,0)</f>
        <v>1</v>
      </c>
      <c r="DN51" s="248">
        <f>IF(第十一期!AA10+第十一期!AB10&gt;0,1,0)</f>
        <v>1</v>
      </c>
      <c r="DO51" s="246"/>
    </row>
    <row r="52" customHeight="1" spans="2:119">
      <c r="B52" s="7"/>
      <c r="C52" s="25">
        <v>3</v>
      </c>
      <c r="D52" s="26">
        <v>3300</v>
      </c>
      <c r="E52" s="26">
        <v>3250</v>
      </c>
      <c r="F52" s="26">
        <v>3450</v>
      </c>
      <c r="G52" s="26">
        <v>3450</v>
      </c>
      <c r="H52" s="26">
        <v>6500</v>
      </c>
      <c r="I52" s="26">
        <v>6500</v>
      </c>
      <c r="J52" s="26">
        <v>6900</v>
      </c>
      <c r="K52" s="26">
        <v>7200</v>
      </c>
      <c r="L52" s="26">
        <v>9500</v>
      </c>
      <c r="M52" s="26">
        <v>9500</v>
      </c>
      <c r="N52" s="26">
        <v>11000</v>
      </c>
      <c r="O52" s="26">
        <v>11000</v>
      </c>
      <c r="P52" s="26">
        <v>13000</v>
      </c>
      <c r="Q52" s="26">
        <v>13000</v>
      </c>
      <c r="R52" s="26">
        <v>14700</v>
      </c>
      <c r="S52" s="26">
        <v>14700</v>
      </c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448920</v>
      </c>
      <c r="CD52" s="108">
        <f t="shared" si="37"/>
        <v>826000</v>
      </c>
      <c r="CE52" s="108">
        <f t="shared" si="37"/>
        <v>391400</v>
      </c>
      <c r="CF52" s="108">
        <f t="shared" si="37"/>
        <v>632000</v>
      </c>
      <c r="CG52" s="108" t="s">
        <v>308</v>
      </c>
      <c r="CH52" s="219"/>
      <c r="CI52" s="196" t="s">
        <v>57</v>
      </c>
      <c r="CJ52" s="108">
        <f t="shared" si="38"/>
        <v>8352</v>
      </c>
      <c r="CK52" s="108">
        <f t="shared" si="38"/>
        <v>16800</v>
      </c>
      <c r="CL52" s="108">
        <f t="shared" si="38"/>
        <v>8240</v>
      </c>
      <c r="CM52" s="108">
        <f t="shared" si="38"/>
        <v>10800</v>
      </c>
      <c r="CN52" s="108" t="s">
        <v>308</v>
      </c>
      <c r="CO52" s="219"/>
      <c r="CP52" s="65" t="s">
        <v>40</v>
      </c>
      <c r="CQ52" s="65">
        <f>第十一期!Y11*第十一期!CQ64*比赛参数!D65</f>
        <v>0</v>
      </c>
      <c r="CR52" s="65">
        <f>第十一期!Z11*第十一期!CR64*比赛参数!E65</f>
        <v>0</v>
      </c>
      <c r="CS52" s="65">
        <f>第十一期!AA11*第十一期!CS64*比赛参数!F65</f>
        <v>276480</v>
      </c>
      <c r="CT52" s="65">
        <f>第十一期!AB11*第十一期!CT64*比赛参数!G65</f>
        <v>0</v>
      </c>
      <c r="CU52" s="65">
        <f>IF(第十一期!AC11&gt;0,SUM(CQ52:CT52)/第十一期!AC11,0)</f>
        <v>1920</v>
      </c>
      <c r="CW52" s="11" t="s">
        <v>40</v>
      </c>
      <c r="CX52" s="242">
        <f>IF(第十一期!$CU$52*第十一期!CQ95&gt;0,第十一期!$CU$52+第十一期!CQ70+第十一期!CQ95+第十一期!CQ76,0)</f>
        <v>5945.35686810224</v>
      </c>
      <c r="CY52" s="242">
        <f>IF(第十一期!$CU$52*第十一期!CR95&gt;0,第十一期!$CU$52+第十一期!CR70+第十一期!CR95+第十一期!CR76,0)</f>
        <v>5833.35686810224</v>
      </c>
      <c r="CZ52" s="242">
        <f>IF(第十一期!$CU$52*第十一期!CS95&gt;0,第十一期!$CU$52+第十一期!CS70+第十一期!CS95+第十一期!CS76,0)</f>
        <v>6089.35686810224</v>
      </c>
      <c r="DA52" s="242">
        <f>IF(第十一期!$CU$52*第十一期!CT95&gt;0,第十一期!$CU$52+第十一期!CT70+第十一期!CT95+第十一期!CT76,0)</f>
        <v>6139.35686810224</v>
      </c>
      <c r="DB52" s="242">
        <f>AVERAGE(CX52:DA52)</f>
        <v>6001.85686810224</v>
      </c>
      <c r="DF52" s="65" t="s">
        <v>57</v>
      </c>
      <c r="DG52" s="245">
        <f>IF(第十一期!Y90&gt;0,1,0)</f>
        <v>1</v>
      </c>
      <c r="DH52" s="245">
        <f>IF(第十一期!Z90&gt;0,1,0)</f>
        <v>1</v>
      </c>
      <c r="DI52" s="245">
        <f>IF(第十一期!AA90&gt;0,1,0)</f>
        <v>1</v>
      </c>
      <c r="DJ52" s="245">
        <f>IF(第十一期!AB90&gt;0,1,0)</f>
        <v>1</v>
      </c>
      <c r="DL52" s="245" t="s">
        <v>23</v>
      </c>
      <c r="DM52" s="248">
        <f>IF(第十一期!Y11+第十一期!Z11&gt;0,1,0)</f>
        <v>0</v>
      </c>
      <c r="DN52" s="248">
        <f>IF(第十一期!AA11+第十一期!AB11&gt;0,1,0)</f>
        <v>1</v>
      </c>
      <c r="DO52" s="246"/>
    </row>
    <row r="53" customHeight="1" spans="2:119">
      <c r="B53" s="7"/>
      <c r="C53" s="25">
        <v>4</v>
      </c>
      <c r="D53" s="26">
        <v>2990</v>
      </c>
      <c r="E53" s="26">
        <v>2990</v>
      </c>
      <c r="F53" s="26">
        <v>3290</v>
      </c>
      <c r="G53" s="26">
        <v>3290</v>
      </c>
      <c r="H53" s="26">
        <v>6500</v>
      </c>
      <c r="I53" s="26">
        <v>6500</v>
      </c>
      <c r="J53" s="26">
        <v>6900</v>
      </c>
      <c r="K53" s="26">
        <v>6900</v>
      </c>
      <c r="L53" s="26">
        <v>9500</v>
      </c>
      <c r="M53" s="26">
        <v>9500</v>
      </c>
      <c r="N53" s="26">
        <v>10000</v>
      </c>
      <c r="O53" s="26">
        <v>10000</v>
      </c>
      <c r="P53" s="26">
        <v>11500</v>
      </c>
      <c r="Q53" s="26">
        <v>11500</v>
      </c>
      <c r="R53" s="26">
        <v>13000</v>
      </c>
      <c r="S53" s="26">
        <v>13000</v>
      </c>
      <c r="T53" s="10"/>
      <c r="AK53" s="167">
        <f>Y20</f>
        <v>274.5</v>
      </c>
      <c r="AL53" s="168"/>
      <c r="AM53" s="168"/>
      <c r="AN53" s="169"/>
      <c r="CB53" s="196" t="s">
        <v>58</v>
      </c>
      <c r="CC53" s="108">
        <f t="shared" si="37"/>
        <v>465400</v>
      </c>
      <c r="CD53" s="108">
        <f t="shared" si="37"/>
        <v>781000</v>
      </c>
      <c r="CE53" s="108">
        <f t="shared" si="37"/>
        <v>430500</v>
      </c>
      <c r="CF53" s="108">
        <f t="shared" si="37"/>
        <v>572300</v>
      </c>
      <c r="CG53" s="108">
        <f>SUM(CC50:CF53)</f>
        <v>7400000</v>
      </c>
      <c r="CH53" s="219"/>
      <c r="CI53" s="196" t="s">
        <v>58</v>
      </c>
      <c r="CJ53" s="108">
        <f t="shared" si="38"/>
        <v>10024</v>
      </c>
      <c r="CK53" s="108">
        <f t="shared" si="38"/>
        <v>14200</v>
      </c>
      <c r="CL53" s="108">
        <f t="shared" si="38"/>
        <v>8400</v>
      </c>
      <c r="CM53" s="108">
        <f t="shared" si="38"/>
        <v>10920</v>
      </c>
      <c r="CN53" s="108">
        <f>SUM(CJ50:CM53)</f>
        <v>132912</v>
      </c>
      <c r="CO53" s="219"/>
      <c r="CP53" s="65" t="s">
        <v>41</v>
      </c>
      <c r="CQ53" s="65">
        <f>第十一期!Y12*第十一期!CQ65*比赛参数!D65</f>
        <v>0</v>
      </c>
      <c r="CR53" s="65">
        <f>第十一期!Z12*第十一期!CR65*比赛参数!E65</f>
        <v>0</v>
      </c>
      <c r="CS53" s="65">
        <f>第十一期!AA12*第十一期!CS65*比赛参数!F65</f>
        <v>114480</v>
      </c>
      <c r="CT53" s="65">
        <f>第十一期!AB12*第十一期!CT65*比赛参数!G65</f>
        <v>346680</v>
      </c>
      <c r="CU53" s="65">
        <f>IF(第十一期!AC12&gt;0,SUM(CQ53:CT53)/第十一期!AC12,0)</f>
        <v>2882.25</v>
      </c>
      <c r="CW53" s="11" t="s">
        <v>41</v>
      </c>
      <c r="CX53" s="242">
        <f>IF(第十一期!$CU$53*第十一期!CQ96&gt;0,第十一期!$CU$53+第十一期!CQ71+第十一期!CQ96+第十一期!CQ77,0)</f>
        <v>8476.42255635043</v>
      </c>
      <c r="CY53" s="242">
        <f>IF(第十一期!$CU$53*第十一期!CR96&gt;0,第十一期!$CU$53+第十一期!CR71+第十一期!CR96+第十一期!CR77,0)</f>
        <v>8338.42255635043</v>
      </c>
      <c r="CZ53" s="242">
        <f>IF(第十一期!$CU$53*第十一期!CS96&gt;0,第十一期!$CU$53+第十一期!CS71+第十一期!CS96+第十一期!CS77,0)</f>
        <v>8682.42255635043</v>
      </c>
      <c r="DA53" s="242">
        <f>IF(第十一期!$CU$53*第十一期!CT96&gt;0,第十一期!$CU$53+第十一期!CT71+第十一期!CT96+第十一期!CT77,0)</f>
        <v>8732.42255635043</v>
      </c>
      <c r="DB53" s="242">
        <f>AVERAGE(CX53:DA53)</f>
        <v>8557.42255635043</v>
      </c>
      <c r="DF53" s="65" t="s">
        <v>58</v>
      </c>
      <c r="DG53" s="245">
        <f>IF(第十一期!Y91&gt;0,1,0)</f>
        <v>1</v>
      </c>
      <c r="DH53" s="245">
        <f>IF(第十一期!Z91&gt;0,1,0)</f>
        <v>1</v>
      </c>
      <c r="DI53" s="245">
        <f>IF(第十一期!AA91&gt;0,1,0)</f>
        <v>1</v>
      </c>
      <c r="DJ53" s="245">
        <f>IF(第十一期!AB91&gt;0,1,0)</f>
        <v>1</v>
      </c>
      <c r="DL53" s="245" t="s">
        <v>24</v>
      </c>
      <c r="DM53" s="248">
        <f>IF(第十一期!Y12+第十一期!Z12&gt;0,1,0)</f>
        <v>0</v>
      </c>
      <c r="DN53" s="248">
        <f>IF(第十一期!AA12+第十一期!AB12&gt;0,1,0)</f>
        <v>1</v>
      </c>
      <c r="DO53" s="246"/>
    </row>
    <row r="54" customHeight="1" spans="2:119">
      <c r="B54" s="7"/>
      <c r="C54" s="25">
        <v>5</v>
      </c>
      <c r="D54" s="26">
        <v>3200</v>
      </c>
      <c r="E54" s="26">
        <v>3200</v>
      </c>
      <c r="F54" s="26">
        <v>3510</v>
      </c>
      <c r="G54" s="26">
        <v>3560</v>
      </c>
      <c r="H54" s="26">
        <v>6550</v>
      </c>
      <c r="I54" s="26">
        <v>6550</v>
      </c>
      <c r="J54" s="26">
        <v>6900</v>
      </c>
      <c r="K54" s="26">
        <v>7300</v>
      </c>
      <c r="L54" s="26">
        <v>10500</v>
      </c>
      <c r="M54" s="26">
        <v>10550</v>
      </c>
      <c r="N54" s="26">
        <v>11300</v>
      </c>
      <c r="O54" s="26">
        <v>11300</v>
      </c>
      <c r="P54" s="26">
        <v>13500</v>
      </c>
      <c r="Q54" s="26">
        <v>13500</v>
      </c>
      <c r="R54" s="26">
        <v>14200</v>
      </c>
      <c r="S54" s="26">
        <v>14350</v>
      </c>
      <c r="T54" s="10"/>
      <c r="AK54" s="126">
        <f>AA20</f>
        <v>214</v>
      </c>
      <c r="AL54" s="48"/>
      <c r="AM54" s="48"/>
      <c r="AN54" s="50"/>
      <c r="AR54" s="2" t="s">
        <v>25</v>
      </c>
      <c r="AS54" s="114">
        <f>SUM(AS33:AS52)/比赛参数!$G$4</f>
        <v>0.0526315789473684</v>
      </c>
      <c r="AT54" s="114">
        <f>SUM(AT33:AT52)/比赛参数!$G$4</f>
        <v>0.0526368421052632</v>
      </c>
      <c r="AU54" s="114">
        <f>SUM(AU33:AU52)/比赛参数!$G$4</f>
        <v>0.0526421052631579</v>
      </c>
      <c r="AV54" s="114">
        <f>SUM(AV33:AV52)/比赛参数!$G$4</f>
        <v>0.0526263157894737</v>
      </c>
      <c r="AW54" s="114">
        <f>SUM(AW33:AW52)/比赛参数!$G$4</f>
        <v>0.0526315789473684</v>
      </c>
      <c r="AX54" s="114">
        <f>SUM(AX33:AX52)/比赛参数!$G$4</f>
        <v>0.0526263157894737</v>
      </c>
      <c r="AY54" s="114">
        <f>SUM(AY33:AY52)/比赛参数!$G$4</f>
        <v>0.0526368421052631</v>
      </c>
      <c r="AZ54" s="114">
        <f>SUM(AZ33:AZ52)/比赛参数!$G$4</f>
        <v>0.0526263157894737</v>
      </c>
      <c r="BA54" s="114">
        <f>SUM(BA33:BA52)/比赛参数!$G$4</f>
        <v>0.0526263157894737</v>
      </c>
      <c r="BB54" s="114">
        <f>SUM(BB33:BB52)/比赛参数!$G$4</f>
        <v>0.0526263157894737</v>
      </c>
      <c r="BC54" s="114">
        <f>SUM(BC33:BC52)/比赛参数!$G$4</f>
        <v>0.0526421052631579</v>
      </c>
      <c r="BD54" s="114">
        <f>SUM(BD33:BD52)/比赛参数!$G$4</f>
        <v>0.052621052631579</v>
      </c>
      <c r="BE54" s="114">
        <f>SUM(BE33:BE52)/比赛参数!$G$4</f>
        <v>0.0526368421052632</v>
      </c>
      <c r="BF54" s="114">
        <f>SUM(BF33:BF52)/比赛参数!$G$4</f>
        <v>0.0526157894736842</v>
      </c>
      <c r="BG54" s="114">
        <f>SUM(BG33:BG52)/比赛参数!$G$4</f>
        <v>0.0526263157894737</v>
      </c>
      <c r="BH54" s="114">
        <f>SUM(BH33:BH52)/比赛参数!$G$4</f>
        <v>0.0526263157894737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1482800</v>
      </c>
      <c r="CD54" s="219">
        <f>SUM(CD50:CD53)</f>
        <v>2633000</v>
      </c>
      <c r="CE54" s="219">
        <f>SUM(CE50:CE53)</f>
        <v>1321700</v>
      </c>
      <c r="CF54" s="219">
        <f>SUM(CF50:CF53)</f>
        <v>1962500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>
        <v>3700</v>
      </c>
      <c r="E55" s="26">
        <v>3700</v>
      </c>
      <c r="F55" s="26">
        <v>4000</v>
      </c>
      <c r="G55" s="26">
        <v>4000</v>
      </c>
      <c r="H55" s="26">
        <v>6521</v>
      </c>
      <c r="I55" s="26">
        <v>6999</v>
      </c>
      <c r="J55" s="26">
        <v>6999</v>
      </c>
      <c r="K55" s="26">
        <v>6521</v>
      </c>
      <c r="L55" s="26">
        <v>11000</v>
      </c>
      <c r="M55" s="26">
        <v>12000</v>
      </c>
      <c r="N55" s="26">
        <v>12000</v>
      </c>
      <c r="O55" s="26">
        <v>11000</v>
      </c>
      <c r="P55" s="26">
        <v>9999</v>
      </c>
      <c r="Q55" s="26">
        <v>9999</v>
      </c>
      <c r="R55" s="26">
        <v>11999</v>
      </c>
      <c r="S55" s="26">
        <v>11999</v>
      </c>
      <c r="T55" s="10"/>
      <c r="Y55" s="2">
        <f>SUM(Y57:Y60)</f>
        <v>45</v>
      </c>
      <c r="Z55" s="2">
        <f>SUM(Z57:Z60)</f>
        <v>47</v>
      </c>
      <c r="AA55" s="2">
        <f>SUM(AA57:AA60)</f>
        <v>4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11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第十一期!K11</f>
        <v>2938168.08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>
        <v>3199</v>
      </c>
      <c r="E56" s="26">
        <v>3199</v>
      </c>
      <c r="F56" s="26">
        <v>3259</v>
      </c>
      <c r="G56" s="26">
        <v>3259</v>
      </c>
      <c r="H56" s="26">
        <v>6250</v>
      </c>
      <c r="I56" s="26">
        <v>6250</v>
      </c>
      <c r="J56" s="26">
        <v>6899</v>
      </c>
      <c r="K56" s="26">
        <v>6999</v>
      </c>
      <c r="L56" s="26">
        <v>9500</v>
      </c>
      <c r="M56" s="26">
        <v>9500</v>
      </c>
      <c r="N56" s="26">
        <v>9700</v>
      </c>
      <c r="O56" s="26">
        <v>9700</v>
      </c>
      <c r="P56" s="26">
        <v>11899</v>
      </c>
      <c r="Q56" s="26">
        <v>11899</v>
      </c>
      <c r="R56" s="26">
        <v>13199</v>
      </c>
      <c r="S56" s="26">
        <v>13299</v>
      </c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45</v>
      </c>
      <c r="AL56" s="48">
        <f>Z55</f>
        <v>47</v>
      </c>
      <c r="AM56" s="48">
        <f>AA55</f>
        <v>4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第十一期!AH14</f>
        <v>301498</v>
      </c>
      <c r="BT56" s="130"/>
      <c r="BU56" s="130"/>
      <c r="BV56" s="130">
        <f>BV55+BS56</f>
        <v>3239666.08</v>
      </c>
      <c r="BW56" s="126"/>
      <c r="CB56" s="196" t="s">
        <v>151</v>
      </c>
      <c r="CC56" s="108">
        <f>第十一期!DU26</f>
        <v>89</v>
      </c>
      <c r="CD56" s="108">
        <f>第十一期!DU27</f>
        <v>59</v>
      </c>
      <c r="CE56" s="108">
        <f>第十一期!DU28</f>
        <v>22</v>
      </c>
      <c r="CF56" s="108">
        <f>第十一期!DU29</f>
        <v>33</v>
      </c>
      <c r="CG56" s="219"/>
      <c r="CH56" s="219"/>
      <c r="CI56" s="197" t="s">
        <v>55</v>
      </c>
      <c r="CJ56" s="108">
        <f t="shared" ref="CJ56:CM59" si="39">Y108*(CJ19+CC27)</f>
        <v>7996.72475123354</v>
      </c>
      <c r="CK56" s="108">
        <f t="shared" si="39"/>
        <v>13887.3502211974</v>
      </c>
      <c r="CL56" s="108">
        <f t="shared" si="39"/>
        <v>7230.97591572129</v>
      </c>
      <c r="CM56" s="108">
        <f t="shared" si="39"/>
        <v>9787.0892230171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第十一期!BS7-第十一期!CX50</f>
        <v>1339.27450839415</v>
      </c>
      <c r="CY56" s="242">
        <f>第十一期!BT7-第十一期!CY50</f>
        <v>1380.27450839415</v>
      </c>
      <c r="CZ56" s="242">
        <f>第十一期!BU7-第十一期!CZ50</f>
        <v>1472.27450839415</v>
      </c>
      <c r="DA56" s="242">
        <f>第十一期!BV7-第十一期!DA50</f>
        <v>1522.27450839415</v>
      </c>
      <c r="DB56" s="242">
        <f>AVERAGE(CX56:DA56)</f>
        <v>1428.52450839415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10000</v>
      </c>
      <c r="DN56" s="245">
        <f>比赛参数!E44*DN50</f>
        <v>0</v>
      </c>
    </row>
    <row r="57" customHeight="1" spans="2:118">
      <c r="B57" s="7"/>
      <c r="C57" s="25">
        <v>8</v>
      </c>
      <c r="D57" s="26">
        <v>3200</v>
      </c>
      <c r="E57" s="26">
        <v>3200</v>
      </c>
      <c r="F57" s="26">
        <v>3700</v>
      </c>
      <c r="G57" s="26">
        <v>3700</v>
      </c>
      <c r="H57" s="26">
        <v>6600</v>
      </c>
      <c r="I57" s="26">
        <v>6600</v>
      </c>
      <c r="J57" s="26">
        <v>7000</v>
      </c>
      <c r="K57" s="26">
        <v>7000</v>
      </c>
      <c r="L57" s="26">
        <v>9300</v>
      </c>
      <c r="M57" s="26">
        <v>9300</v>
      </c>
      <c r="N57" s="26">
        <v>9600</v>
      </c>
      <c r="O57" s="26">
        <v>9600</v>
      </c>
      <c r="P57" s="26">
        <v>12000</v>
      </c>
      <c r="Q57" s="26">
        <v>12000</v>
      </c>
      <c r="R57" s="26">
        <v>12500</v>
      </c>
      <c r="S57" s="26">
        <v>12500</v>
      </c>
      <c r="T57" s="10"/>
      <c r="X57" s="64" t="s">
        <v>55</v>
      </c>
      <c r="Y57" s="127">
        <f>第十一期!DX6</f>
        <v>13</v>
      </c>
      <c r="Z57" s="127">
        <f>第十一期!DX10</f>
        <v>12</v>
      </c>
      <c r="AA57" s="127">
        <f>第十一期!DX14</f>
        <v>3</v>
      </c>
      <c r="AB57" s="127">
        <f>第十一期!DX18</f>
        <v>0</v>
      </c>
      <c r="AC57" s="128"/>
      <c r="AE57" s="64" t="s">
        <v>55</v>
      </c>
      <c r="AF57" s="127">
        <f>第十一期!DW6</f>
        <v>0</v>
      </c>
      <c r="AG57" s="127">
        <f>第十一期!DW10</f>
        <v>0</v>
      </c>
      <c r="AH57" s="127">
        <f>第十一期!DW14</f>
        <v>0</v>
      </c>
      <c r="AI57" s="127">
        <f>第十一期!DW18</f>
        <v>2</v>
      </c>
      <c r="AJ57" s="126"/>
      <c r="AK57" s="126">
        <f>D42</f>
        <v>89</v>
      </c>
      <c r="AL57" s="48">
        <f>D43</f>
        <v>59</v>
      </c>
      <c r="AM57" s="48">
        <f>D44</f>
        <v>22</v>
      </c>
      <c r="AN57" s="50">
        <f>D45</f>
        <v>33</v>
      </c>
      <c r="AO57" s="173"/>
      <c r="AR57" s="190">
        <v>1</v>
      </c>
      <c r="AS57" s="191">
        <f t="shared" ref="AS57:BH72" si="40">IF(AS33="","",(AS33-AS$54)^2)</f>
        <v>0.00409195889196676</v>
      </c>
      <c r="AT57" s="191">
        <f t="shared" si="40"/>
        <v>0.00370432398891967</v>
      </c>
      <c r="AU57" s="191">
        <f t="shared" si="40"/>
        <v>0.00478281440443213</v>
      </c>
      <c r="AV57" s="191">
        <f t="shared" si="40"/>
        <v>0.00604874595567867</v>
      </c>
      <c r="AW57" s="191">
        <f t="shared" si="40"/>
        <v>0.00176134836565097</v>
      </c>
      <c r="AX57" s="191">
        <f t="shared" si="40"/>
        <v>0.00203163700831025</v>
      </c>
      <c r="AY57" s="191">
        <f t="shared" si="40"/>
        <v>0.00160505662049862</v>
      </c>
      <c r="AZ57" s="191">
        <f t="shared" si="40"/>
        <v>0.00182104332409972</v>
      </c>
      <c r="BA57" s="191">
        <f t="shared" si="40"/>
        <v>0.0014802243767313</v>
      </c>
      <c r="BB57" s="191">
        <f t="shared" si="40"/>
        <v>0.00135966858725762</v>
      </c>
      <c r="BC57" s="191">
        <f t="shared" si="40"/>
        <v>0.00670071493074792</v>
      </c>
      <c r="BD57" s="191">
        <f t="shared" si="40"/>
        <v>0.00532592675900277</v>
      </c>
      <c r="BE57" s="191">
        <f t="shared" si="40"/>
        <v>0.000730990831024931</v>
      </c>
      <c r="BF57" s="191">
        <f t="shared" si="40"/>
        <v>0.000289537091412743</v>
      </c>
      <c r="BG57" s="191">
        <f t="shared" si="40"/>
        <v>0.000181540166204986</v>
      </c>
      <c r="BH57" s="191">
        <f t="shared" si="40"/>
        <v>0.000103503850415512</v>
      </c>
      <c r="BR57" s="209" t="s">
        <v>295</v>
      </c>
      <c r="BS57" s="130">
        <f>第十一期!AH15</f>
        <v>2014236</v>
      </c>
      <c r="BT57" s="130"/>
      <c r="BU57" s="130"/>
      <c r="BV57" s="130">
        <f>BV56+BS57</f>
        <v>5253902.08</v>
      </c>
      <c r="BW57" s="126"/>
      <c r="CB57" s="196" t="s">
        <v>327</v>
      </c>
      <c r="CC57" s="108">
        <f>AC9</f>
        <v>430</v>
      </c>
      <c r="CD57" s="108">
        <f>AC10</f>
        <v>389</v>
      </c>
      <c r="CE57" s="108">
        <f>AC11</f>
        <v>144</v>
      </c>
      <c r="CF57" s="108">
        <f>AC12</f>
        <v>160</v>
      </c>
      <c r="CG57" s="219"/>
      <c r="CH57" s="219"/>
      <c r="CI57" s="196" t="s">
        <v>56</v>
      </c>
      <c r="CJ57" s="108">
        <f t="shared" si="39"/>
        <v>7631.35196642341</v>
      </c>
      <c r="CK57" s="108">
        <f t="shared" si="39"/>
        <v>13309.7591497688</v>
      </c>
      <c r="CL57" s="108">
        <f t="shared" si="39"/>
        <v>6811.12609887147</v>
      </c>
      <c r="CM57" s="108">
        <f t="shared" si="39"/>
        <v>9427.75588968377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第十一期!BS8-第十一期!CX51</f>
        <v>2724.22611674372</v>
      </c>
      <c r="CY57" s="242">
        <f>第十一期!BT8-第十一期!CY51</f>
        <v>2808.22611674372</v>
      </c>
      <c r="CZ57" s="242">
        <f>第十一期!BU8-第十一期!CZ51</f>
        <v>2841.22611674372</v>
      </c>
      <c r="DA57" s="242">
        <f>第十一期!BV8-第十一期!DA51</f>
        <v>2891.22611674372</v>
      </c>
      <c r="DB57" s="242">
        <f>AVERAGE(CX57:DA57)</f>
        <v>2816.22611674372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18000</v>
      </c>
    </row>
    <row r="58" customHeight="1" spans="2:118">
      <c r="B58" s="7"/>
      <c r="C58" s="25">
        <v>9</v>
      </c>
      <c r="D58" s="26">
        <v>3699</v>
      </c>
      <c r="E58" s="26">
        <v>3699</v>
      </c>
      <c r="F58" s="26">
        <v>3999</v>
      </c>
      <c r="G58" s="26">
        <v>3999</v>
      </c>
      <c r="H58" s="26">
        <v>6999</v>
      </c>
      <c r="I58" s="26">
        <v>6999</v>
      </c>
      <c r="J58" s="26">
        <v>7999</v>
      </c>
      <c r="K58" s="26">
        <v>7999</v>
      </c>
      <c r="L58" s="26">
        <v>9799</v>
      </c>
      <c r="M58" s="26">
        <v>9799</v>
      </c>
      <c r="N58" s="26">
        <v>10399</v>
      </c>
      <c r="O58" s="26">
        <v>10399</v>
      </c>
      <c r="P58" s="26">
        <v>11999</v>
      </c>
      <c r="Q58" s="26">
        <v>11999</v>
      </c>
      <c r="R58" s="26">
        <v>12799</v>
      </c>
      <c r="S58" s="26">
        <v>13099</v>
      </c>
      <c r="T58" s="10"/>
      <c r="X58" s="11" t="s">
        <v>56</v>
      </c>
      <c r="Y58" s="127">
        <f>第十一期!DX7</f>
        <v>12</v>
      </c>
      <c r="Z58" s="127">
        <f>第十一期!DX11</f>
        <v>12</v>
      </c>
      <c r="AA58" s="127">
        <f>第十一期!DX15</f>
        <v>1</v>
      </c>
      <c r="AB58" s="127">
        <f>第十一期!DX19</f>
        <v>0</v>
      </c>
      <c r="AC58" s="128"/>
      <c r="AE58" s="11" t="s">
        <v>56</v>
      </c>
      <c r="AF58" s="127">
        <f>第十一期!DW7</f>
        <v>0</v>
      </c>
      <c r="AG58" s="127">
        <f>第十一期!DW11</f>
        <v>0</v>
      </c>
      <c r="AH58" s="127">
        <f>第十一期!DW15</f>
        <v>0</v>
      </c>
      <c r="AI58" s="127">
        <f>第十一期!DW19</f>
        <v>2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11</v>
      </c>
      <c r="AR58" s="190">
        <v>2</v>
      </c>
      <c r="AS58" s="191">
        <f t="shared" si="40"/>
        <v>0.00163769310249308</v>
      </c>
      <c r="AT58" s="191">
        <f t="shared" si="40"/>
        <v>0.000996232936288089</v>
      </c>
      <c r="AU58" s="191">
        <f t="shared" si="40"/>
        <v>0.000781643878116344</v>
      </c>
      <c r="AV58" s="191">
        <f t="shared" si="40"/>
        <v>0.000305329639889197</v>
      </c>
      <c r="AW58" s="191">
        <f t="shared" si="40"/>
        <v>0.000592025734072022</v>
      </c>
      <c r="AX58" s="191">
        <f t="shared" si="40"/>
        <v>0.000677369113573407</v>
      </c>
      <c r="AY58" s="191">
        <f t="shared" si="40"/>
        <v>0.00105214872576177</v>
      </c>
      <c r="AZ58" s="191">
        <f t="shared" si="40"/>
        <v>0.000925760692520776</v>
      </c>
      <c r="BA58" s="191">
        <f t="shared" si="40"/>
        <v>0.000851103850415512</v>
      </c>
      <c r="BB58" s="191">
        <f t="shared" si="40"/>
        <v>0.00135966858725762</v>
      </c>
      <c r="BC58" s="191">
        <f t="shared" si="40"/>
        <v>1.41217728531856e-5</v>
      </c>
      <c r="BD58" s="191">
        <f t="shared" si="40"/>
        <v>0.000142111495844875</v>
      </c>
      <c r="BE58" s="191">
        <f t="shared" si="40"/>
        <v>0.00198587504155125</v>
      </c>
      <c r="BF58" s="191">
        <f t="shared" si="40"/>
        <v>0.000448770775623268</v>
      </c>
      <c r="BG58" s="191">
        <f t="shared" si="40"/>
        <v>0.00271166858725762</v>
      </c>
      <c r="BH58" s="191">
        <f t="shared" si="40"/>
        <v>5.12188365650976e-8</v>
      </c>
      <c r="BR58" s="209" t="s">
        <v>328</v>
      </c>
      <c r="BS58" s="130">
        <f>第十一期!H5+第十一期!H4*比赛参数!F71</f>
        <v>299189.25</v>
      </c>
      <c r="BT58" s="130"/>
      <c r="BU58" s="130"/>
      <c r="BV58" s="130">
        <f t="shared" ref="BV58:BV64" si="41">BV57-BS58</f>
        <v>4954712.83</v>
      </c>
      <c r="BW58" s="126"/>
      <c r="CB58" s="196" t="s">
        <v>329</v>
      </c>
      <c r="CC58" s="108">
        <f>Y92</f>
        <v>411</v>
      </c>
      <c r="CD58" s="108">
        <f>Z92</f>
        <v>350</v>
      </c>
      <c r="CE58" s="108">
        <f>AA92</f>
        <v>130</v>
      </c>
      <c r="CF58" s="108">
        <f>AB92</f>
        <v>153</v>
      </c>
      <c r="CG58" s="219"/>
      <c r="CH58" s="219"/>
      <c r="CI58" s="196" t="s">
        <v>57</v>
      </c>
      <c r="CJ58" s="108">
        <f t="shared" si="39"/>
        <v>13451.3529496351</v>
      </c>
      <c r="CK58" s="108">
        <f t="shared" si="39"/>
        <v>29195.5004423948</v>
      </c>
      <c r="CL58" s="108">
        <f t="shared" si="39"/>
        <v>14578.7137362045</v>
      </c>
      <c r="CM58" s="108">
        <f t="shared" si="39"/>
        <v>20099.5389902519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第十一期!BS9-第十一期!CX52</f>
        <v>4254.64313189776</v>
      </c>
      <c r="CY58" s="242">
        <f>第十一期!BT9-第十一期!CY52</f>
        <v>4366.64313189776</v>
      </c>
      <c r="CZ58" s="242">
        <f>第十一期!BU9-第十一期!CZ52</f>
        <v>4210.64313189776</v>
      </c>
      <c r="DA58" s="242">
        <f>第十一期!BV9-第十一期!DA52</f>
        <v>4360.64313189776</v>
      </c>
      <c r="DB58" s="242">
        <f>AVERAGE(CX58:DA58)</f>
        <v>4298.14313189776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24000</v>
      </c>
    </row>
    <row r="59" customHeight="1" spans="2:118">
      <c r="B59" s="7"/>
      <c r="C59" s="25">
        <v>10</v>
      </c>
      <c r="D59" s="26">
        <v>3850</v>
      </c>
      <c r="E59" s="26">
        <v>3850</v>
      </c>
      <c r="F59" s="26">
        <v>4250</v>
      </c>
      <c r="G59" s="26">
        <v>4300</v>
      </c>
      <c r="H59" s="26">
        <v>7000</v>
      </c>
      <c r="I59" s="26">
        <v>7000</v>
      </c>
      <c r="J59" s="26">
        <v>7600</v>
      </c>
      <c r="K59" s="26">
        <v>7600</v>
      </c>
      <c r="L59" s="26">
        <v>9400</v>
      </c>
      <c r="M59" s="26">
        <v>9400</v>
      </c>
      <c r="N59" s="26">
        <v>9600</v>
      </c>
      <c r="O59" s="26">
        <v>9600</v>
      </c>
      <c r="P59" s="26">
        <v>12300</v>
      </c>
      <c r="Q59" s="26">
        <v>12300</v>
      </c>
      <c r="R59" s="26">
        <v>12900</v>
      </c>
      <c r="S59" s="26">
        <v>12900</v>
      </c>
      <c r="T59" s="10"/>
      <c r="X59" s="11" t="s">
        <v>57</v>
      </c>
      <c r="Y59" s="127">
        <f>第十一期!DX8</f>
        <v>15</v>
      </c>
      <c r="Z59" s="127">
        <f>第十一期!DX12</f>
        <v>12</v>
      </c>
      <c r="AA59" s="127">
        <f>第十一期!DX16</f>
        <v>0</v>
      </c>
      <c r="AB59" s="127">
        <f>第十一期!DX20</f>
        <v>0</v>
      </c>
      <c r="AC59" s="129"/>
      <c r="AE59" s="11" t="s">
        <v>57</v>
      </c>
      <c r="AF59" s="127">
        <f>第十一期!DW8</f>
        <v>0</v>
      </c>
      <c r="AG59" s="127">
        <f>第十一期!DW12</f>
        <v>0</v>
      </c>
      <c r="AH59" s="127">
        <f>第十一期!DW16</f>
        <v>0</v>
      </c>
      <c r="AI59" s="127">
        <f>第十一期!DW20</f>
        <v>5</v>
      </c>
      <c r="AK59" s="126"/>
      <c r="AL59" s="48"/>
      <c r="AM59" s="48"/>
      <c r="AN59" s="50"/>
      <c r="AR59" s="190">
        <v>3</v>
      </c>
      <c r="AS59" s="191">
        <f t="shared" si="40"/>
        <v>0.000290074681440443</v>
      </c>
      <c r="AT59" s="191">
        <f t="shared" si="40"/>
        <v>0.000191458199445983</v>
      </c>
      <c r="AU59" s="191">
        <f t="shared" si="40"/>
        <v>9.17562326869813e-7</v>
      </c>
      <c r="AV59" s="191">
        <f t="shared" si="40"/>
        <v>0.000189714376731302</v>
      </c>
      <c r="AW59" s="191">
        <f t="shared" si="40"/>
        <v>0.000480994155124654</v>
      </c>
      <c r="AX59" s="191">
        <f t="shared" si="40"/>
        <v>0.000335853850415513</v>
      </c>
      <c r="AY59" s="191">
        <f t="shared" si="40"/>
        <v>2.36503047091414e-5</v>
      </c>
      <c r="AZ59" s="191">
        <f t="shared" si="40"/>
        <v>1.54159556786704e-5</v>
      </c>
      <c r="BA59" s="191">
        <f t="shared" si="40"/>
        <v>0.00257315911357341</v>
      </c>
      <c r="BB59" s="191">
        <f t="shared" si="40"/>
        <v>0.00257315911357341</v>
      </c>
      <c r="BC59" s="191">
        <f t="shared" si="40"/>
        <v>0.000263805983379501</v>
      </c>
      <c r="BD59" s="191">
        <f t="shared" si="40"/>
        <v>0.000104469916897507</v>
      </c>
      <c r="BE59" s="191">
        <f t="shared" si="40"/>
        <v>0.00250368556786704</v>
      </c>
      <c r="BF59" s="191">
        <f t="shared" si="40"/>
        <v>0.00251159235457064</v>
      </c>
      <c r="BG59" s="191">
        <f t="shared" si="40"/>
        <v>1.06481994459832e-7</v>
      </c>
      <c r="BH59" s="191">
        <f t="shared" si="40"/>
        <v>0.000103503850415512</v>
      </c>
      <c r="BR59" s="209" t="s">
        <v>330</v>
      </c>
      <c r="BS59" s="130">
        <f>第十一期!K14*比赛参数!D71/4</f>
        <v>175948.0125</v>
      </c>
      <c r="BT59" s="130"/>
      <c r="BU59" s="130">
        <f>BS59</f>
        <v>175948.0125</v>
      </c>
      <c r="BV59" s="130">
        <f t="shared" si="41"/>
        <v>4778764.8175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16419.2299563925</v>
      </c>
      <c r="CK59" s="108">
        <f t="shared" si="39"/>
        <v>24918.8694162814</v>
      </c>
      <c r="CL59" s="108">
        <f t="shared" si="39"/>
        <v>14769.4114106231</v>
      </c>
      <c r="CM59" s="108">
        <f t="shared" si="39"/>
        <v>20451.2087490645</v>
      </c>
      <c r="CN59" s="108">
        <f>SUM(CJ56:CM59)</f>
        <v>229965.958866765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第十一期!BS10-第十一期!CX53</f>
        <v>4623.57744364957</v>
      </c>
      <c r="CY59" s="242">
        <f>第十一期!BT10-第十一期!CY53</f>
        <v>4761.57744364957</v>
      </c>
      <c r="CZ59" s="242">
        <f>第十一期!BU10-第十一期!CZ53</f>
        <v>4817.57744364957</v>
      </c>
      <c r="DA59" s="242">
        <f>第十一期!BV10-第十一期!DA53</f>
        <v>4917.57744364957</v>
      </c>
      <c r="DB59" s="242">
        <f>AVERAGE(CX59:DA59)</f>
        <v>4780.07744364957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3350</v>
      </c>
      <c r="E60" s="26">
        <v>3350</v>
      </c>
      <c r="F60" s="26">
        <v>3730</v>
      </c>
      <c r="G60" s="26">
        <v>3800</v>
      </c>
      <c r="H60" s="26">
        <v>6950</v>
      </c>
      <c r="I60" s="26">
        <v>6950</v>
      </c>
      <c r="J60" s="26">
        <v>7300</v>
      </c>
      <c r="K60" s="26">
        <v>7400</v>
      </c>
      <c r="L60" s="26">
        <v>10150</v>
      </c>
      <c r="M60" s="26">
        <v>10150</v>
      </c>
      <c r="N60" s="26">
        <v>10200</v>
      </c>
      <c r="O60" s="26">
        <v>10400</v>
      </c>
      <c r="P60" s="26">
        <v>12700</v>
      </c>
      <c r="Q60" s="26">
        <v>12700</v>
      </c>
      <c r="R60" s="26">
        <v>13000</v>
      </c>
      <c r="S60" s="26">
        <v>13150</v>
      </c>
      <c r="T60" s="10"/>
      <c r="X60" s="11" t="s">
        <v>58</v>
      </c>
      <c r="Y60" s="127">
        <f>第十一期!DX9</f>
        <v>5</v>
      </c>
      <c r="Z60" s="127">
        <f>第十一期!DX13</f>
        <v>11</v>
      </c>
      <c r="AA60" s="127">
        <f>第十一期!DX17</f>
        <v>0</v>
      </c>
      <c r="AB60" s="127">
        <f>第十一期!DX21</f>
        <v>0</v>
      </c>
      <c r="AC60" s="108" t="s">
        <v>308</v>
      </c>
      <c r="AE60" s="11" t="s">
        <v>58</v>
      </c>
      <c r="AF60" s="127">
        <f>第十一期!DW9</f>
        <v>0</v>
      </c>
      <c r="AG60" s="127">
        <f>第十一期!DW13</f>
        <v>0</v>
      </c>
      <c r="AH60" s="127">
        <f>第十一期!DW17</f>
        <v>0</v>
      </c>
      <c r="AI60" s="127">
        <f>第十一期!DW21</f>
        <v>2</v>
      </c>
      <c r="AK60" s="126">
        <f>AF74</f>
        <v>73.5</v>
      </c>
      <c r="AL60" s="48">
        <f>AG74</f>
        <v>47.5</v>
      </c>
      <c r="AM60" s="48">
        <f>AH74</f>
        <v>33</v>
      </c>
      <c r="AN60" s="50">
        <f>AI74</f>
        <v>39.25</v>
      </c>
      <c r="AR60" s="190">
        <v>4</v>
      </c>
      <c r="AS60" s="191">
        <f t="shared" si="40"/>
        <v>0.00917159047091413</v>
      </c>
      <c r="AT60" s="191">
        <f t="shared" si="40"/>
        <v>0.00879152977839335</v>
      </c>
      <c r="AU60" s="191">
        <f t="shared" si="40"/>
        <v>0.00378937440443213</v>
      </c>
      <c r="AV60" s="191">
        <f t="shared" si="40"/>
        <v>0.00733998016620499</v>
      </c>
      <c r="AW60" s="191">
        <f t="shared" si="40"/>
        <v>9.27673130193906e-5</v>
      </c>
      <c r="AX60" s="191">
        <f t="shared" si="40"/>
        <v>6.76722714681441e-5</v>
      </c>
      <c r="AY60" s="191">
        <f t="shared" si="40"/>
        <v>2.36188365650967e-6</v>
      </c>
      <c r="AZ60" s="191">
        <f t="shared" si="40"/>
        <v>1.39639889196672e-7</v>
      </c>
      <c r="BA60" s="191">
        <f t="shared" si="40"/>
        <v>0.000959369113573407</v>
      </c>
      <c r="BB60" s="191">
        <f t="shared" si="40"/>
        <v>0.000971798587257617</v>
      </c>
      <c r="BC60" s="191">
        <f t="shared" si="40"/>
        <v>0.0010796412465374</v>
      </c>
      <c r="BD60" s="191">
        <f t="shared" si="40"/>
        <v>0.00127298728531856</v>
      </c>
      <c r="BE60" s="191">
        <f t="shared" si="40"/>
        <v>0.000464969778393352</v>
      </c>
      <c r="BF60" s="191">
        <f t="shared" si="40"/>
        <v>0.000448770775623268</v>
      </c>
      <c r="BG60" s="191">
        <f t="shared" si="40"/>
        <v>0.00126548700831025</v>
      </c>
      <c r="BH60" s="191">
        <f t="shared" si="40"/>
        <v>0.00172837121883657</v>
      </c>
      <c r="BR60" s="209" t="s">
        <v>332</v>
      </c>
      <c r="BS60" s="130">
        <f>第十一期!Y18*比赛参数!D58</f>
        <v>90000</v>
      </c>
      <c r="BT60" s="130"/>
      <c r="BU60" s="130">
        <f>BU59+BS60</f>
        <v>265948.0125</v>
      </c>
      <c r="BV60" s="130">
        <f t="shared" si="41"/>
        <v>4688764.8175</v>
      </c>
      <c r="BW60" s="126"/>
      <c r="CB60" s="196" t="s">
        <v>333</v>
      </c>
      <c r="CC60" s="108">
        <f>SUM(Y57:Y60)+CC56</f>
        <v>134</v>
      </c>
      <c r="CD60" s="108">
        <f>SUM(Z57:Z60)+CD56</f>
        <v>106</v>
      </c>
      <c r="CE60" s="108">
        <f>SUM(AA57:AA60)+CE56</f>
        <v>26</v>
      </c>
      <c r="CF60" s="108">
        <f>SUM(AB57:AB60)+CF56</f>
        <v>33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102000</v>
      </c>
      <c r="DN60" s="246"/>
    </row>
    <row r="61" customHeight="1" spans="2:118">
      <c r="B61" s="7"/>
      <c r="C61" s="25">
        <v>12</v>
      </c>
      <c r="D61" s="26">
        <v>3250</v>
      </c>
      <c r="E61" s="26">
        <v>3150</v>
      </c>
      <c r="F61" s="26">
        <v>3480</v>
      </c>
      <c r="G61" s="26">
        <v>3500</v>
      </c>
      <c r="H61" s="26">
        <v>6140</v>
      </c>
      <c r="I61" s="26">
        <v>6200</v>
      </c>
      <c r="J61" s="26">
        <v>6420</v>
      </c>
      <c r="K61" s="26">
        <v>6480</v>
      </c>
      <c r="L61" s="26">
        <v>8600</v>
      </c>
      <c r="M61" s="26">
        <v>8650</v>
      </c>
      <c r="N61" s="26">
        <v>8450</v>
      </c>
      <c r="O61" s="26">
        <v>8660</v>
      </c>
      <c r="P61" s="26">
        <v>9300</v>
      </c>
      <c r="Q61" s="26">
        <v>9300</v>
      </c>
      <c r="R61" s="26">
        <v>9600</v>
      </c>
      <c r="S61" s="26">
        <v>9600</v>
      </c>
      <c r="T61" s="10"/>
      <c r="X61" s="65" t="s">
        <v>334</v>
      </c>
      <c r="Y61" s="130">
        <f>Y57*AF86+Y58*AF87+Y59*AF88+Y60*AF89</f>
        <v>158700</v>
      </c>
      <c r="Z61" s="130">
        <f>Z57*AG86+Z58*AG87+Z59*AG88+Z60*AG89</f>
        <v>335800</v>
      </c>
      <c r="AA61" s="130">
        <f>AA57*AH86+AA58*AH87+AA59*AH88+AA60*AH89</f>
        <v>40600</v>
      </c>
      <c r="AB61" s="130">
        <f>AB57*AI86+AB58*AI87+AB59*AI88+AB60*AI89</f>
        <v>0</v>
      </c>
      <c r="AC61" s="130">
        <f>SUM(Y61:AB61)</f>
        <v>535100</v>
      </c>
      <c r="AE61" s="48"/>
      <c r="AF61" s="48"/>
      <c r="AG61" s="48"/>
      <c r="AH61" s="48"/>
      <c r="AI61" s="48"/>
      <c r="AK61" s="170">
        <f>AF82</f>
        <v>3574.55782312925</v>
      </c>
      <c r="AL61" s="171">
        <f>AG82</f>
        <v>7187.63157894737</v>
      </c>
      <c r="AM61" s="171">
        <f>AH82</f>
        <v>10244.3181818182</v>
      </c>
      <c r="AN61" s="172">
        <f>AI82</f>
        <v>12939.8089171975</v>
      </c>
      <c r="AR61" s="190">
        <v>5</v>
      </c>
      <c r="AS61" s="191">
        <f t="shared" si="40"/>
        <v>0.000287927313019391</v>
      </c>
      <c r="AT61" s="191">
        <f t="shared" si="40"/>
        <v>0.000215008199445983</v>
      </c>
      <c r="AU61" s="191">
        <f t="shared" si="40"/>
        <v>0.000464742825484765</v>
      </c>
      <c r="AV61" s="191">
        <f t="shared" si="40"/>
        <v>0.000916495955678671</v>
      </c>
      <c r="AW61" s="191">
        <f t="shared" si="40"/>
        <v>0.000101373102493075</v>
      </c>
      <c r="AX61" s="191">
        <f t="shared" si="40"/>
        <v>9.16554293628808e-5</v>
      </c>
      <c r="AY61" s="191">
        <f t="shared" si="40"/>
        <v>0.000798806094182826</v>
      </c>
      <c r="AZ61" s="191">
        <f t="shared" si="40"/>
        <v>0.000264832797783933</v>
      </c>
      <c r="BA61" s="191">
        <f t="shared" si="40"/>
        <v>0.00036581595567867</v>
      </c>
      <c r="BB61" s="191">
        <f t="shared" si="40"/>
        <v>0.000269823850415512</v>
      </c>
      <c r="BC61" s="191">
        <f t="shared" si="40"/>
        <v>0.000263805983379501</v>
      </c>
      <c r="BD61" s="191">
        <f t="shared" si="40"/>
        <v>4.65267590027701e-5</v>
      </c>
      <c r="BE61" s="191">
        <f t="shared" si="40"/>
        <v>0.000579035567867036</v>
      </c>
      <c r="BF61" s="191">
        <f t="shared" si="40"/>
        <v>0.000560941828254848</v>
      </c>
      <c r="BG61" s="191">
        <f t="shared" si="40"/>
        <v>0.000743853850415513</v>
      </c>
      <c r="BH61" s="191">
        <f t="shared" si="40"/>
        <v>0.000541664376731302</v>
      </c>
      <c r="BR61" s="209" t="s">
        <v>335</v>
      </c>
      <c r="BS61" s="130">
        <f>第十一期!AA18*比赛参数!D62</f>
        <v>16000</v>
      </c>
      <c r="BT61" s="130"/>
      <c r="BU61" s="130">
        <f>BU60+BS61</f>
        <v>281948.0125</v>
      </c>
      <c r="BV61" s="130">
        <f t="shared" si="41"/>
        <v>4672764.8175</v>
      </c>
      <c r="BW61" s="126"/>
      <c r="CB61" s="196" t="s">
        <v>35</v>
      </c>
      <c r="CC61" s="108">
        <f>CC56+CC57-CC58+CC59</f>
        <v>108</v>
      </c>
      <c r="CD61" s="108">
        <f>CD56+CD57-CD58+CD59</f>
        <v>98</v>
      </c>
      <c r="CE61" s="108">
        <f>CE56+CE57-CE58+CE59</f>
        <v>36</v>
      </c>
      <c r="CF61" s="108">
        <f>CF56+CF57-CF58+CF59</f>
        <v>40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>
        <v>3480</v>
      </c>
      <c r="E62" s="26">
        <v>3440</v>
      </c>
      <c r="F62" s="26">
        <v>3860</v>
      </c>
      <c r="G62" s="26">
        <v>3860</v>
      </c>
      <c r="H62" s="26">
        <v>7180</v>
      </c>
      <c r="I62" s="26">
        <v>7200</v>
      </c>
      <c r="J62" s="26">
        <v>7450</v>
      </c>
      <c r="K62" s="26">
        <v>7450</v>
      </c>
      <c r="L62" s="26">
        <v>9600</v>
      </c>
      <c r="M62" s="26">
        <v>9600</v>
      </c>
      <c r="N62" s="26">
        <v>9960</v>
      </c>
      <c r="O62" s="26">
        <v>9960</v>
      </c>
      <c r="P62" s="26">
        <v>12680</v>
      </c>
      <c r="Q62" s="26">
        <v>12680</v>
      </c>
      <c r="R62" s="26">
        <v>13080</v>
      </c>
      <c r="S62" s="26">
        <v>13440</v>
      </c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>
        <f t="shared" si="40"/>
        <v>0.00176665362880886</v>
      </c>
      <c r="AT62" s="191">
        <f t="shared" si="40"/>
        <v>0.0018607871468144</v>
      </c>
      <c r="AU62" s="191">
        <f t="shared" si="40"/>
        <v>0.00166807756232687</v>
      </c>
      <c r="AV62" s="191">
        <f t="shared" si="40"/>
        <v>0.00144600069252078</v>
      </c>
      <c r="AW62" s="191">
        <f t="shared" si="40"/>
        <v>0.000290074681440443</v>
      </c>
      <c r="AX62" s="191">
        <f t="shared" si="40"/>
        <v>0.000813750692520776</v>
      </c>
      <c r="AY62" s="191">
        <f t="shared" si="40"/>
        <v>0.0027706371468144</v>
      </c>
      <c r="AZ62" s="191">
        <f t="shared" si="40"/>
        <v>0.00276952911357341</v>
      </c>
      <c r="BA62" s="191">
        <f t="shared" si="40"/>
        <v>0.00276952911357341</v>
      </c>
      <c r="BB62" s="191">
        <f t="shared" si="40"/>
        <v>0.00257315911357341</v>
      </c>
      <c r="BC62" s="191">
        <f t="shared" si="40"/>
        <v>0.00222237808864266</v>
      </c>
      <c r="BD62" s="191">
        <f t="shared" si="40"/>
        <v>0.0027689751800554</v>
      </c>
      <c r="BE62" s="191">
        <f t="shared" si="40"/>
        <v>0.0027706371468144</v>
      </c>
      <c r="BF62" s="191">
        <f t="shared" si="40"/>
        <v>0.00276842130193906</v>
      </c>
      <c r="BG62" s="191">
        <f t="shared" si="40"/>
        <v>0.00276952911357341</v>
      </c>
      <c r="BH62" s="191">
        <f t="shared" si="40"/>
        <v>0.00276952911357341</v>
      </c>
      <c r="BR62" s="209" t="s">
        <v>336</v>
      </c>
      <c r="BS62" s="130">
        <f>((第十一期!K8-第十一期!AA18)*比赛参数!D65+第十一期!Y18*比赛参数!D59*比赛参数!D65)*第十一期!AH18*520</f>
        <v>1427400</v>
      </c>
      <c r="BT62" s="130"/>
      <c r="BU62" s="130">
        <f>BU61+BS62</f>
        <v>1709348.0125</v>
      </c>
      <c r="BV62" s="130">
        <f t="shared" si="41"/>
        <v>3245364.8175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CX56/第十一期!CQ56</f>
        <v>13.3927450839415</v>
      </c>
      <c r="CY62" s="242">
        <f>CY56/第十一期!CR56</f>
        <v>13.8027450839415</v>
      </c>
      <c r="CZ62" s="242">
        <f>CZ56/第十一期!CS56</f>
        <v>14.7227450839415</v>
      </c>
      <c r="DA62" s="242">
        <f>DA56/第十一期!CT56</f>
        <v>15.2227450839415</v>
      </c>
      <c r="DB62" s="242">
        <f>AVERAGE(CX62:DA62)</f>
        <v>14.2852450839415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>
        <v>3700</v>
      </c>
      <c r="E63" s="26">
        <v>3600</v>
      </c>
      <c r="F63" s="26">
        <v>4000</v>
      </c>
      <c r="G63" s="26">
        <v>4000</v>
      </c>
      <c r="H63" s="26">
        <v>7200</v>
      </c>
      <c r="I63" s="26">
        <v>7000</v>
      </c>
      <c r="J63" s="26">
        <v>7500</v>
      </c>
      <c r="K63" s="26">
        <v>7500</v>
      </c>
      <c r="L63" s="26">
        <v>10000</v>
      </c>
      <c r="M63" s="26">
        <v>10000</v>
      </c>
      <c r="N63" s="26">
        <v>12000</v>
      </c>
      <c r="O63" s="26">
        <v>12000</v>
      </c>
      <c r="P63" s="26">
        <v>16000</v>
      </c>
      <c r="Q63" s="26">
        <v>15500</v>
      </c>
      <c r="R63" s="26">
        <v>18000</v>
      </c>
      <c r="S63" s="26">
        <v>18000</v>
      </c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>
        <f t="shared" si="40"/>
        <v>1.28047091412742e-6</v>
      </c>
      <c r="AT63" s="191">
        <f t="shared" si="40"/>
        <v>8.04767313019391e-6</v>
      </c>
      <c r="AU63" s="191">
        <f t="shared" si="40"/>
        <v>0.000815553351800554</v>
      </c>
      <c r="AV63" s="191">
        <f t="shared" si="40"/>
        <v>5.66454293628808e-5</v>
      </c>
      <c r="AW63" s="191">
        <f t="shared" si="40"/>
        <v>0.000177730997229917</v>
      </c>
      <c r="AX63" s="191">
        <f t="shared" si="40"/>
        <v>0.000341277008310249</v>
      </c>
      <c r="AY63" s="191">
        <f t="shared" si="40"/>
        <v>0.00043527135734072</v>
      </c>
      <c r="AZ63" s="191">
        <f t="shared" si="40"/>
        <v>0.000337592271468144</v>
      </c>
      <c r="BA63" s="191">
        <f t="shared" si="40"/>
        <v>0.000743853850415512</v>
      </c>
      <c r="BB63" s="191">
        <f t="shared" si="40"/>
        <v>0.000555718587257618</v>
      </c>
      <c r="BC63" s="191">
        <f t="shared" si="40"/>
        <v>3.35180055401647e-9</v>
      </c>
      <c r="BD63" s="191">
        <f t="shared" si="40"/>
        <v>4.59541274238227e-5</v>
      </c>
      <c r="BE63" s="191">
        <f t="shared" si="40"/>
        <v>0.00176090662049862</v>
      </c>
      <c r="BF63" s="191">
        <f t="shared" si="40"/>
        <v>0.00151976867036011</v>
      </c>
      <c r="BG63" s="191">
        <f t="shared" si="40"/>
        <v>0.000181540166204986</v>
      </c>
      <c r="BH63" s="191">
        <f t="shared" si="40"/>
        <v>0.000163167008310249</v>
      </c>
      <c r="BR63" s="209" t="s">
        <v>80</v>
      </c>
      <c r="BS63" s="130">
        <f>第十一期!K9*比赛参数!D49</f>
        <v>64200</v>
      </c>
      <c r="BT63" s="130"/>
      <c r="BU63" s="130">
        <f>BU62+BS63</f>
        <v>1773548.0125</v>
      </c>
      <c r="BV63" s="130">
        <f t="shared" si="41"/>
        <v>3181164.8175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CX57/第十一期!CQ57</f>
        <v>10.8969044669749</v>
      </c>
      <c r="CY63" s="242">
        <f>CY57/第十一期!CR57</f>
        <v>11.2329044669749</v>
      </c>
      <c r="CZ63" s="242">
        <f>CZ57/第十一期!CS57</f>
        <v>11.3649044669749</v>
      </c>
      <c r="DA63" s="242">
        <f>DA57/第十一期!CT57</f>
        <v>11.5649044669749</v>
      </c>
      <c r="DB63" s="242">
        <f>AVERAGE(CX63:DA63)</f>
        <v>11.2649044669749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>
        <v>3400</v>
      </c>
      <c r="E64" s="26">
        <v>3210</v>
      </c>
      <c r="F64" s="26">
        <v>3400</v>
      </c>
      <c r="G64" s="26">
        <v>3500</v>
      </c>
      <c r="H64" s="26">
        <v>6500</v>
      </c>
      <c r="I64" s="26">
        <v>6380</v>
      </c>
      <c r="J64" s="26">
        <v>6700</v>
      </c>
      <c r="K64" s="26">
        <v>6800</v>
      </c>
      <c r="L64" s="26">
        <v>8700</v>
      </c>
      <c r="M64" s="26">
        <v>8600</v>
      </c>
      <c r="N64" s="26">
        <v>9000</v>
      </c>
      <c r="O64" s="26">
        <v>9200</v>
      </c>
      <c r="P64" s="26">
        <v>10500</v>
      </c>
      <c r="Q64" s="26">
        <v>11000</v>
      </c>
      <c r="R64" s="26">
        <v>12400</v>
      </c>
      <c r="S64" s="26">
        <v>12200</v>
      </c>
      <c r="T64" s="10"/>
      <c r="X64" s="64" t="s">
        <v>55</v>
      </c>
      <c r="Y64" s="108">
        <f t="shared" ref="Y64:AB67" si="42">AF64-AF70</f>
        <v>21</v>
      </c>
      <c r="Z64" s="108">
        <f t="shared" si="42"/>
        <v>41</v>
      </c>
      <c r="AA64" s="108">
        <f t="shared" si="42"/>
        <v>-1</v>
      </c>
      <c r="AB64" s="108">
        <f t="shared" si="42"/>
        <v>-1</v>
      </c>
      <c r="AC64" s="126"/>
      <c r="AE64" s="64" t="s">
        <v>55</v>
      </c>
      <c r="AF64" s="131">
        <f t="shared" ref="AF64:AI67" si="43">IF(Y88+Y57-AF57-Y108&gt;0,Y88+Y57-AF57-Y108,0)</f>
        <v>88</v>
      </c>
      <c r="AG64" s="131">
        <f t="shared" si="43"/>
        <v>79</v>
      </c>
      <c r="AH64" s="131">
        <f t="shared" si="43"/>
        <v>23</v>
      </c>
      <c r="AI64" s="131">
        <f t="shared" si="43"/>
        <v>27</v>
      </c>
      <c r="AJ64" s="126"/>
      <c r="AL64" s="48"/>
      <c r="AN64" s="173"/>
      <c r="AO64" s="173"/>
      <c r="AR64" s="190">
        <v>8</v>
      </c>
      <c r="AS64" s="191">
        <f t="shared" si="40"/>
        <v>0.000983977839335181</v>
      </c>
      <c r="AT64" s="191">
        <f t="shared" si="40"/>
        <v>0.000588700831024931</v>
      </c>
      <c r="AU64" s="191">
        <f t="shared" si="40"/>
        <v>4.54559833795013e-5</v>
      </c>
      <c r="AV64" s="191">
        <f t="shared" si="40"/>
        <v>4.10595567867035e-6</v>
      </c>
      <c r="AW64" s="191">
        <f t="shared" si="40"/>
        <v>0.000880215207756233</v>
      </c>
      <c r="AX64" s="191">
        <f t="shared" si="40"/>
        <v>0.00113391700831025</v>
      </c>
      <c r="AY64" s="191">
        <f t="shared" si="40"/>
        <v>0.000352056094182826</v>
      </c>
      <c r="AZ64" s="191">
        <f t="shared" si="40"/>
        <v>0.000337592271468144</v>
      </c>
      <c r="BA64" s="191">
        <f t="shared" si="40"/>
        <v>0.00283808542936288</v>
      </c>
      <c r="BB64" s="191">
        <f t="shared" si="40"/>
        <v>0.00313305332409972</v>
      </c>
      <c r="BC64" s="191">
        <f t="shared" si="40"/>
        <v>0.00279395703601108</v>
      </c>
      <c r="BD64" s="191">
        <f t="shared" si="40"/>
        <v>0.00180446096952909</v>
      </c>
      <c r="BE64" s="191">
        <f t="shared" si="40"/>
        <v>0.000202687673130194</v>
      </c>
      <c r="BF64" s="191">
        <f t="shared" si="40"/>
        <v>0.000141986038781164</v>
      </c>
      <c r="BG64" s="191">
        <f t="shared" si="40"/>
        <v>0.00276952911357341</v>
      </c>
      <c r="BH64" s="191">
        <f t="shared" si="40"/>
        <v>0.00276952911357341</v>
      </c>
      <c r="BR64" s="209" t="s">
        <v>301</v>
      </c>
      <c r="BS64" s="130">
        <f>第十一期!AL37</f>
        <v>0</v>
      </c>
      <c r="BT64" s="130"/>
      <c r="BU64" s="130"/>
      <c r="BV64" s="130">
        <f t="shared" si="41"/>
        <v>3181164.8175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CX58/第十一期!CQ58</f>
        <v>11.1964292944678</v>
      </c>
      <c r="CY64" s="242">
        <f>CY58/第十一期!CR58</f>
        <v>11.4911661365731</v>
      </c>
      <c r="CZ64" s="242">
        <f>CZ58/第十一期!CS58</f>
        <v>11.0806398207836</v>
      </c>
      <c r="DA64" s="242">
        <f>DA58/第十一期!CT58</f>
        <v>11.4753766628888</v>
      </c>
      <c r="DB64" s="242">
        <f>AVERAGE(CX64:DA64)</f>
        <v>11.3109029786783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>
        <v>3250</v>
      </c>
      <c r="E65" s="26">
        <v>3250</v>
      </c>
      <c r="F65" s="26">
        <v>3550</v>
      </c>
      <c r="G65" s="26">
        <v>3700</v>
      </c>
      <c r="H65" s="26">
        <v>6800</v>
      </c>
      <c r="I65" s="26">
        <v>6800</v>
      </c>
      <c r="J65" s="26">
        <v>7000</v>
      </c>
      <c r="K65" s="26">
        <v>7200</v>
      </c>
      <c r="L65" s="26">
        <v>9500</v>
      </c>
      <c r="M65" s="26">
        <v>9500</v>
      </c>
      <c r="N65" s="26">
        <v>9800</v>
      </c>
      <c r="O65" s="26">
        <v>9900</v>
      </c>
      <c r="P65" s="26">
        <v>11500</v>
      </c>
      <c r="Q65" s="26">
        <v>11500</v>
      </c>
      <c r="R65" s="26">
        <v>13500</v>
      </c>
      <c r="S65" s="26">
        <v>12700</v>
      </c>
      <c r="T65" s="10"/>
      <c r="X65" s="11" t="s">
        <v>56</v>
      </c>
      <c r="Y65" s="108">
        <f t="shared" si="42"/>
        <v>20</v>
      </c>
      <c r="Z65" s="108">
        <f t="shared" si="42"/>
        <v>34</v>
      </c>
      <c r="AA65" s="108">
        <f t="shared" si="42"/>
        <v>-1</v>
      </c>
      <c r="AB65" s="108">
        <f t="shared" si="42"/>
        <v>-1</v>
      </c>
      <c r="AC65" s="126"/>
      <c r="AE65" s="11" t="s">
        <v>56</v>
      </c>
      <c r="AF65" s="131">
        <f t="shared" si="43"/>
        <v>88</v>
      </c>
      <c r="AG65" s="131">
        <f t="shared" si="43"/>
        <v>73</v>
      </c>
      <c r="AH65" s="131">
        <f t="shared" si="43"/>
        <v>26</v>
      </c>
      <c r="AI65" s="131">
        <f t="shared" si="43"/>
        <v>27</v>
      </c>
      <c r="AJ65" s="126"/>
      <c r="AL65" s="48"/>
      <c r="AN65" s="173"/>
      <c r="AO65" s="173"/>
      <c r="AR65" s="190">
        <v>9</v>
      </c>
      <c r="AS65" s="191">
        <f t="shared" si="40"/>
        <v>0.00113781941828255</v>
      </c>
      <c r="AT65" s="191">
        <f t="shared" si="40"/>
        <v>0.00117901872576177</v>
      </c>
      <c r="AU65" s="191">
        <f t="shared" si="40"/>
        <v>0.000592538088642659</v>
      </c>
      <c r="AV65" s="191">
        <f t="shared" si="40"/>
        <v>0.000489573850415512</v>
      </c>
      <c r="AW65" s="191">
        <f t="shared" si="40"/>
        <v>3.51836288088642e-5</v>
      </c>
      <c r="AX65" s="191">
        <f t="shared" si="40"/>
        <v>1.95922714681441e-5</v>
      </c>
      <c r="AY65" s="191">
        <f t="shared" si="40"/>
        <v>0.000914266620498614</v>
      </c>
      <c r="AZ65" s="191">
        <f t="shared" si="40"/>
        <v>0.000682584376731302</v>
      </c>
      <c r="BA65" s="191">
        <f t="shared" si="40"/>
        <v>6.44217451523546e-5</v>
      </c>
      <c r="BB65" s="191">
        <f t="shared" si="40"/>
        <v>7.79038504155125e-5</v>
      </c>
      <c r="BC65" s="191">
        <f t="shared" si="40"/>
        <v>3.03493074792243e-6</v>
      </c>
      <c r="BD65" s="191">
        <f t="shared" si="40"/>
        <v>4.65267590027701e-5</v>
      </c>
      <c r="BE65" s="191">
        <f t="shared" si="40"/>
        <v>0.000126858725761773</v>
      </c>
      <c r="BF65" s="191">
        <f t="shared" si="40"/>
        <v>0.000120652880886426</v>
      </c>
      <c r="BG65" s="191">
        <f t="shared" si="40"/>
        <v>0.000264832797783934</v>
      </c>
      <c r="BH65" s="191">
        <f t="shared" si="40"/>
        <v>0.000239434903047091</v>
      </c>
      <c r="BR65" s="209" t="s">
        <v>340</v>
      </c>
      <c r="BS65" s="91">
        <f>0.5*第十一期!AL37+0.5*第十一期!DV23</f>
        <v>265000</v>
      </c>
      <c r="BT65" s="130"/>
      <c r="BU65" s="130">
        <f>BU63+BS65</f>
        <v>2038548.0125</v>
      </c>
      <c r="BV65" s="130"/>
      <c r="BW65" s="126"/>
      <c r="CB65" s="196" t="s">
        <v>341</v>
      </c>
      <c r="CC65" s="108">
        <f>(CC60-CC61)*CC63</f>
        <v>59000</v>
      </c>
      <c r="CD65" s="108">
        <f>(CD60-CD61)*CD63</f>
        <v>36984.6153846154</v>
      </c>
      <c r="CE65" s="108">
        <f>(CE60-CE61)*CE63</f>
        <v>-67230.7692307692</v>
      </c>
      <c r="CF65" s="108">
        <f>(CF60-CF61)*CF63</f>
        <v>-63000</v>
      </c>
      <c r="CG65" s="108">
        <f>SUM(CC65:CF65)</f>
        <v>-34246.1538461538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CX59/第十一期!CQ59</f>
        <v>8.89149508394148</v>
      </c>
      <c r="CY65" s="242">
        <f>CY59/第十一期!CR59</f>
        <v>9.15687969932609</v>
      </c>
      <c r="CZ65" s="242">
        <f>CZ59/第十一期!CS59</f>
        <v>9.2645720070184</v>
      </c>
      <c r="DA65" s="242">
        <f>DA59/第十一期!CT59</f>
        <v>9.45687969932609</v>
      </c>
      <c r="DB65" s="242">
        <f>AVERAGE(CX65:DA65)</f>
        <v>9.19245662240301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>
        <v>3588</v>
      </c>
      <c r="E66" s="26">
        <v>3588</v>
      </c>
      <c r="F66" s="26">
        <v>3988</v>
      </c>
      <c r="G66" s="26">
        <v>3988</v>
      </c>
      <c r="H66" s="26">
        <v>6800</v>
      </c>
      <c r="I66" s="26">
        <v>6500</v>
      </c>
      <c r="J66" s="26">
        <v>6800</v>
      </c>
      <c r="K66" s="26">
        <v>6800</v>
      </c>
      <c r="L66" s="26">
        <v>8700</v>
      </c>
      <c r="M66" s="26">
        <v>8700</v>
      </c>
      <c r="N66" s="26">
        <v>8700</v>
      </c>
      <c r="O66" s="26">
        <v>8700</v>
      </c>
      <c r="P66" s="26">
        <v>10700</v>
      </c>
      <c r="Q66" s="26">
        <v>10700</v>
      </c>
      <c r="R66" s="26">
        <v>11800</v>
      </c>
      <c r="S66" s="26">
        <v>11800</v>
      </c>
      <c r="T66" s="10"/>
      <c r="V66" s="277"/>
      <c r="X66" s="11" t="s">
        <v>57</v>
      </c>
      <c r="Y66" s="108">
        <f t="shared" si="42"/>
        <v>50</v>
      </c>
      <c r="Z66" s="108">
        <f t="shared" si="42"/>
        <v>61</v>
      </c>
      <c r="AA66" s="108">
        <f t="shared" si="42"/>
        <v>-1</v>
      </c>
      <c r="AB66" s="108">
        <f t="shared" si="42"/>
        <v>-10</v>
      </c>
      <c r="AC66" s="126"/>
      <c r="AE66" s="11" t="s">
        <v>57</v>
      </c>
      <c r="AF66" s="131">
        <f t="shared" si="43"/>
        <v>129</v>
      </c>
      <c r="AG66" s="131">
        <f t="shared" si="43"/>
        <v>118</v>
      </c>
      <c r="AH66" s="131">
        <f t="shared" si="43"/>
        <v>38</v>
      </c>
      <c r="AI66" s="131">
        <f t="shared" si="43"/>
        <v>42</v>
      </c>
      <c r="AJ66" s="126"/>
      <c r="AL66" s="48"/>
      <c r="AR66" s="190">
        <v>10</v>
      </c>
      <c r="AS66" s="191">
        <f t="shared" si="40"/>
        <v>0.00157859836565097</v>
      </c>
      <c r="AT66" s="191">
        <f t="shared" si="40"/>
        <v>0.00167582504155125</v>
      </c>
      <c r="AU66" s="191">
        <f t="shared" si="40"/>
        <v>0.00166807756232687</v>
      </c>
      <c r="AV66" s="191">
        <f t="shared" si="40"/>
        <v>0.00149199227146814</v>
      </c>
      <c r="AW66" s="191">
        <f t="shared" si="40"/>
        <v>2.238783933518e-5</v>
      </c>
      <c r="AX66" s="191">
        <f t="shared" si="40"/>
        <v>9.77385041551247e-6</v>
      </c>
      <c r="AY66" s="191">
        <f t="shared" si="40"/>
        <v>0.000100738199445983</v>
      </c>
      <c r="AZ66" s="191">
        <f t="shared" si="40"/>
        <v>3.33542936288091e-6</v>
      </c>
      <c r="BA66" s="191">
        <f t="shared" si="40"/>
        <v>6.44217451523546e-5</v>
      </c>
      <c r="BB66" s="191">
        <f t="shared" si="40"/>
        <v>4.79738504155125e-5</v>
      </c>
      <c r="BC66" s="191">
        <f t="shared" si="40"/>
        <v>5.41386149584487e-5</v>
      </c>
      <c r="BD66" s="191">
        <f t="shared" si="40"/>
        <v>0.000184387811634349</v>
      </c>
      <c r="BE66" s="191">
        <f t="shared" si="40"/>
        <v>1.62960941828255e-5</v>
      </c>
      <c r="BF66" s="191">
        <f t="shared" si="40"/>
        <v>1.86260387811635e-5</v>
      </c>
      <c r="BG66" s="191">
        <f t="shared" si="40"/>
        <v>0.000743853850415513</v>
      </c>
      <c r="BH66" s="191">
        <f t="shared" si="40"/>
        <v>0.000541664376731302</v>
      </c>
      <c r="BR66" s="209" t="s">
        <v>236</v>
      </c>
      <c r="BS66" s="130">
        <f>第十一期!AC18</f>
        <v>1529828</v>
      </c>
      <c r="BT66" s="130"/>
      <c r="BU66" s="130"/>
      <c r="BV66" s="130">
        <f>BV64-BS66</f>
        <v>1651336.8175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>
        <v>3688</v>
      </c>
      <c r="E67" s="26">
        <v>3688</v>
      </c>
      <c r="F67" s="26">
        <v>4099</v>
      </c>
      <c r="G67" s="26">
        <v>4099</v>
      </c>
      <c r="H67" s="26">
        <v>7599</v>
      </c>
      <c r="I67" s="26">
        <v>7599</v>
      </c>
      <c r="J67" s="26">
        <v>7899</v>
      </c>
      <c r="K67" s="26">
        <v>7899</v>
      </c>
      <c r="L67" s="26">
        <v>10199</v>
      </c>
      <c r="M67" s="26">
        <v>10199</v>
      </c>
      <c r="N67" s="26">
        <v>10799</v>
      </c>
      <c r="O67" s="26">
        <v>10799</v>
      </c>
      <c r="P67" s="26">
        <v>12299</v>
      </c>
      <c r="Q67" s="26">
        <v>12299</v>
      </c>
      <c r="R67" s="26">
        <v>13099</v>
      </c>
      <c r="S67" s="26">
        <v>13099</v>
      </c>
      <c r="T67" s="10"/>
      <c r="X67" s="11" t="s">
        <v>58</v>
      </c>
      <c r="Y67" s="108">
        <f t="shared" si="42"/>
        <v>50</v>
      </c>
      <c r="Z67" s="108">
        <f t="shared" si="42"/>
        <v>54</v>
      </c>
      <c r="AA67" s="108">
        <f t="shared" si="42"/>
        <v>-1</v>
      </c>
      <c r="AB67" s="108">
        <f t="shared" si="42"/>
        <v>-9</v>
      </c>
      <c r="AC67" s="126"/>
      <c r="AE67" s="11" t="s">
        <v>58</v>
      </c>
      <c r="AF67" s="131">
        <f t="shared" si="43"/>
        <v>130</v>
      </c>
      <c r="AG67" s="131">
        <f t="shared" si="43"/>
        <v>110</v>
      </c>
      <c r="AH67" s="131">
        <f t="shared" si="43"/>
        <v>41</v>
      </c>
      <c r="AI67" s="131">
        <f t="shared" si="43"/>
        <v>40</v>
      </c>
      <c r="AJ67" s="126"/>
      <c r="AL67" s="48"/>
      <c r="AR67" s="190">
        <v>11</v>
      </c>
      <c r="AS67" s="191">
        <f t="shared" si="40"/>
        <v>3.73099722991688e-6</v>
      </c>
      <c r="AT67" s="191">
        <f t="shared" si="40"/>
        <v>8.04767313019391e-6</v>
      </c>
      <c r="AU67" s="191">
        <f t="shared" si="40"/>
        <v>3.77254570637119e-5</v>
      </c>
      <c r="AV67" s="191">
        <f t="shared" si="40"/>
        <v>1.04091135734072e-5</v>
      </c>
      <c r="AW67" s="191">
        <f t="shared" si="40"/>
        <v>3.51836288088642e-5</v>
      </c>
      <c r="AX67" s="191">
        <f t="shared" si="40"/>
        <v>9.77385041551247e-6</v>
      </c>
      <c r="AY67" s="191">
        <f t="shared" si="40"/>
        <v>6.50145152354572e-5</v>
      </c>
      <c r="AZ67" s="191">
        <f t="shared" si="40"/>
        <v>4.45380609418282e-5</v>
      </c>
      <c r="BA67" s="191">
        <f t="shared" si="40"/>
        <v>6.44217451523546e-5</v>
      </c>
      <c r="BB67" s="191">
        <f t="shared" si="40"/>
        <v>1.50385041551247e-6</v>
      </c>
      <c r="BC67" s="191">
        <f t="shared" si="40"/>
        <v>0.000333350720221607</v>
      </c>
      <c r="BD67" s="191">
        <f t="shared" si="40"/>
        <v>0.000348903074792244</v>
      </c>
      <c r="BE67" s="191">
        <f t="shared" si="40"/>
        <v>7.67929362880887e-5</v>
      </c>
      <c r="BF67" s="191">
        <f t="shared" si="40"/>
        <v>7.19818282548475e-5</v>
      </c>
      <c r="BG67" s="191">
        <f t="shared" si="40"/>
        <v>0.00242789595567867</v>
      </c>
      <c r="BH67" s="191">
        <f t="shared" si="40"/>
        <v>0.00298921174515236</v>
      </c>
      <c r="BR67" s="209" t="s">
        <v>342</v>
      </c>
      <c r="BS67" s="130">
        <f>IF(第十一期!AC18&gt;=比赛参数!D33,(1-比赛参数!E33)*第十一期!AC18,0)+IF(AND(第十一期!AC18&gt;=比赛参数!D34,第十一期!AC18&lt;比赛参数!D33),(1-比赛参数!E34)*第十一期!AC18,0)+IF(AND(第十一期!AC18&gt;=比赛参数!D35,第十一期!AC18&lt;比赛参数!D34),(1-比赛参数!E35)*第十一期!AC18,0)+IF(AND(第十一期!AC18&gt;=比赛参数!D36,第十一期!AC18&lt;比赛参数!D35),(1-比赛参数!E36)*第十一期!AC18,0)</f>
        <v>76491.4000000001</v>
      </c>
      <c r="BT67" s="130">
        <f>BS67</f>
        <v>76491.4000000001</v>
      </c>
      <c r="BU67" s="130"/>
      <c r="BV67" s="130">
        <f>BV66+BS67</f>
        <v>1727828.2175</v>
      </c>
      <c r="BW67" s="126"/>
      <c r="CB67" s="196" t="s">
        <v>343</v>
      </c>
      <c r="CC67" s="108">
        <f>(CC60+CC61)/2*CC62</f>
        <v>4840</v>
      </c>
      <c r="CD67" s="108">
        <f>(CD60+CD61)/2*CD62</f>
        <v>6120</v>
      </c>
      <c r="CE67" s="108">
        <f>(CE60+CE61)/2*CE62</f>
        <v>3720</v>
      </c>
      <c r="CF67" s="108">
        <f>(CF60+CF61)/2*CF62</f>
        <v>5110</v>
      </c>
      <c r="CG67" s="108">
        <f>SUM(CC67:CF67)</f>
        <v>19790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>
        <v>3050</v>
      </c>
      <c r="E68" s="26">
        <v>3050</v>
      </c>
      <c r="F68" s="26">
        <v>3150</v>
      </c>
      <c r="G68" s="26">
        <v>3350</v>
      </c>
      <c r="H68" s="26">
        <v>6000</v>
      </c>
      <c r="I68" s="26">
        <v>6000</v>
      </c>
      <c r="J68" s="26">
        <v>7000</v>
      </c>
      <c r="K68" s="26">
        <v>7000</v>
      </c>
      <c r="L68" s="26">
        <v>8700</v>
      </c>
      <c r="M68" s="26">
        <v>9000</v>
      </c>
      <c r="N68" s="26">
        <v>9100</v>
      </c>
      <c r="O68" s="26">
        <v>9500</v>
      </c>
      <c r="P68" s="26">
        <v>12000</v>
      </c>
      <c r="Q68" s="26">
        <v>10500</v>
      </c>
      <c r="R68" s="26">
        <v>11500</v>
      </c>
      <c r="S68" s="26">
        <v>12000</v>
      </c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435</v>
      </c>
      <c r="AG68" s="48">
        <f>SUM(AG64:AG67)</f>
        <v>380</v>
      </c>
      <c r="AH68" s="48">
        <f>SUM(AH64:AH67)</f>
        <v>128</v>
      </c>
      <c r="AI68" s="48">
        <f>SUM(AI64:AI67)</f>
        <v>136</v>
      </c>
      <c r="AJ68" s="48">
        <f>AF68/4</f>
        <v>108.75</v>
      </c>
      <c r="AK68" s="48">
        <f>AG68/4</f>
        <v>95</v>
      </c>
      <c r="AL68" s="48">
        <f>AH68/4</f>
        <v>32</v>
      </c>
      <c r="AM68" s="48">
        <f>AI68/4</f>
        <v>34</v>
      </c>
      <c r="AR68" s="190">
        <v>12</v>
      </c>
      <c r="AS68" s="191">
        <f t="shared" si="40"/>
        <v>1.17757340720221e-5</v>
      </c>
      <c r="AT68" s="191">
        <f t="shared" si="40"/>
        <v>7.8555567867036e-5</v>
      </c>
      <c r="AU68" s="191">
        <f t="shared" si="40"/>
        <v>2.07966759002769e-6</v>
      </c>
      <c r="AV68" s="191">
        <f t="shared" si="40"/>
        <v>9.16554293628809e-5</v>
      </c>
      <c r="AW68" s="191">
        <f t="shared" si="40"/>
        <v>0.000301662049861496</v>
      </c>
      <c r="AX68" s="191">
        <f t="shared" si="40"/>
        <v>0.000387053850415512</v>
      </c>
      <c r="AY68" s="191">
        <f t="shared" si="40"/>
        <v>0.00195922714681441</v>
      </c>
      <c r="AZ68" s="191">
        <f t="shared" si="40"/>
        <v>0.00191613542936288</v>
      </c>
      <c r="BA68" s="191">
        <f t="shared" si="40"/>
        <v>1.62227146814404e-6</v>
      </c>
      <c r="BB68" s="191">
        <f t="shared" si="40"/>
        <v>6.62385041551244e-6</v>
      </c>
      <c r="BC68" s="191">
        <f t="shared" si="40"/>
        <v>0.000653205983379502</v>
      </c>
      <c r="BD68" s="191">
        <f t="shared" si="40"/>
        <v>0.000487479916897507</v>
      </c>
      <c r="BE68" s="191">
        <f t="shared" si="40"/>
        <v>0.0027706371468144</v>
      </c>
      <c r="BF68" s="191">
        <f t="shared" si="40"/>
        <v>0.00276842130193906</v>
      </c>
      <c r="BG68" s="191">
        <f t="shared" si="40"/>
        <v>0.00276952911357341</v>
      </c>
      <c r="BH68" s="191">
        <f t="shared" si="40"/>
        <v>0.00276952911357341</v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0.708338949435044</v>
      </c>
      <c r="CY68" s="242">
        <f t="shared" si="44"/>
        <v>0.746205052943208</v>
      </c>
      <c r="CZ68" s="242">
        <f t="shared" si="44"/>
        <v>0.733304684604352</v>
      </c>
      <c r="DA68" s="242">
        <f t="shared" si="44"/>
        <v>0.73978502701357</v>
      </c>
      <c r="DB68" s="242">
        <f t="shared" si="44"/>
        <v>0.732022776887978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>
        <f t="shared" si="40"/>
        <v>0.000290074681440443</v>
      </c>
      <c r="AT69" s="191">
        <f t="shared" si="40"/>
        <v>0.000211319778393352</v>
      </c>
      <c r="AU69" s="191">
        <f t="shared" si="40"/>
        <v>0.000385812299168975</v>
      </c>
      <c r="AV69" s="191">
        <f t="shared" si="40"/>
        <v>4.0022271468144e-5</v>
      </c>
      <c r="AW69" s="191">
        <f t="shared" si="40"/>
        <v>0.00042979836565097</v>
      </c>
      <c r="AX69" s="191">
        <f t="shared" si="40"/>
        <v>0.000385192271468144</v>
      </c>
      <c r="AY69" s="191">
        <f t="shared" si="40"/>
        <v>3.29113573407201e-5</v>
      </c>
      <c r="AZ69" s="191">
        <f t="shared" si="40"/>
        <v>1.8870083102493e-6</v>
      </c>
      <c r="BA69" s="191">
        <f t="shared" si="40"/>
        <v>0.000203738060941828</v>
      </c>
      <c r="BB69" s="191">
        <f t="shared" si="40"/>
        <v>0.000255158587257617</v>
      </c>
      <c r="BC69" s="191">
        <f t="shared" si="40"/>
        <v>0.000165325457063712</v>
      </c>
      <c r="BD69" s="191">
        <f t="shared" si="40"/>
        <v>0.000233446232686981</v>
      </c>
      <c r="BE69" s="191">
        <f t="shared" si="40"/>
        <v>3.79845152354571e-5</v>
      </c>
      <c r="BF69" s="191">
        <f t="shared" si="40"/>
        <v>3.46239335180055e-5</v>
      </c>
      <c r="BG69" s="191">
        <f t="shared" si="40"/>
        <v>0.00146487490304709</v>
      </c>
      <c r="BH69" s="191">
        <f t="shared" si="40"/>
        <v>0.000971798587257617</v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0.676696256606497</v>
      </c>
      <c r="CY69" s="242">
        <f t="shared" si="44"/>
        <v>0.712426993509801</v>
      </c>
      <c r="CZ69" s="242">
        <f t="shared" si="44"/>
        <v>0.683188409974113</v>
      </c>
      <c r="DA69" s="242">
        <f t="shared" si="44"/>
        <v>0.686952114069577</v>
      </c>
      <c r="DB69" s="242">
        <f t="shared" si="44"/>
        <v>0.689613626329906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0.0507</v>
      </c>
      <c r="Z70" s="283">
        <f>DW37</f>
        <v>0.0467</v>
      </c>
      <c r="AA70" s="283">
        <f>EA37</f>
        <v>0.0446</v>
      </c>
      <c r="AB70" s="283">
        <f>EE37</f>
        <v>0.0614</v>
      </c>
      <c r="AE70" s="64" t="s">
        <v>55</v>
      </c>
      <c r="AF70" s="131">
        <f>第十一期!DV6</f>
        <v>67</v>
      </c>
      <c r="AG70" s="131">
        <f>第十一期!DV10</f>
        <v>38</v>
      </c>
      <c r="AH70" s="131">
        <f>第十一期!DV14</f>
        <v>24</v>
      </c>
      <c r="AI70" s="131">
        <f>第十一期!DV18</f>
        <v>28</v>
      </c>
      <c r="AJ70" s="126">
        <f>AF70-Y57+AF57</f>
        <v>54</v>
      </c>
      <c r="AK70" s="126">
        <f t="shared" ref="AK70:AM73" si="45">AG70-Z57+AG57</f>
        <v>26</v>
      </c>
      <c r="AL70" s="126">
        <f t="shared" si="45"/>
        <v>21</v>
      </c>
      <c r="AM70" s="126">
        <f t="shared" si="45"/>
        <v>30</v>
      </c>
      <c r="AR70" s="190">
        <v>14</v>
      </c>
      <c r="AS70" s="191">
        <f t="shared" si="40"/>
        <v>0.00170004310249307</v>
      </c>
      <c r="AT70" s="191">
        <f t="shared" si="40"/>
        <v>0.00150054293628809</v>
      </c>
      <c r="AU70" s="191">
        <f t="shared" si="40"/>
        <v>0.00161942703601108</v>
      </c>
      <c r="AV70" s="191">
        <f t="shared" si="40"/>
        <v>0.00140072911357341</v>
      </c>
      <c r="AW70" s="191">
        <f t="shared" si="40"/>
        <v>0.0012553967867036</v>
      </c>
      <c r="AX70" s="191">
        <f t="shared" si="40"/>
        <v>0.00140072911357341</v>
      </c>
      <c r="AY70" s="191">
        <f t="shared" si="40"/>
        <v>0.00073099083102493</v>
      </c>
      <c r="AZ70" s="191">
        <f t="shared" si="40"/>
        <v>0.000631331745152355</v>
      </c>
      <c r="BA70" s="191">
        <f t="shared" si="40"/>
        <v>1.62227146814404e-6</v>
      </c>
      <c r="BB70" s="191">
        <f t="shared" si="40"/>
        <v>0.000269823850415512</v>
      </c>
      <c r="BC70" s="191">
        <f t="shared" si="40"/>
        <v>0.000642222299168975</v>
      </c>
      <c r="BD70" s="191">
        <f t="shared" si="40"/>
        <v>0.000346743601108033</v>
      </c>
      <c r="BE70" s="191">
        <f t="shared" si="40"/>
        <v>1.34187257617729e-5</v>
      </c>
      <c r="BF70" s="191">
        <f t="shared" si="40"/>
        <v>1.86260387811635e-5</v>
      </c>
      <c r="BG70" s="191">
        <f t="shared" si="40"/>
        <v>2.67670083102493e-5</v>
      </c>
      <c r="BH70" s="191">
        <f t="shared" si="40"/>
        <v>5.12188365650976e-8</v>
      </c>
      <c r="BR70" s="209" t="s">
        <v>344</v>
      </c>
      <c r="BS70" s="130">
        <f>IF(第十一期!AC18&gt;0,第十一期!AC18*比赛参数!E40+比赛参数!E39,0)</f>
        <v>25298.28</v>
      </c>
      <c r="BT70" s="130"/>
      <c r="BU70" s="130">
        <f>BU65+BS70</f>
        <v>2063846.2925</v>
      </c>
      <c r="BV70" s="130">
        <f>BV67-BS70</f>
        <v>1702529.9375</v>
      </c>
      <c r="BW70" s="126"/>
      <c r="CB70" s="196" t="s">
        <v>304</v>
      </c>
      <c r="CC70" s="108">
        <f>CC79-CC86</f>
        <v>1441.69979575047</v>
      </c>
      <c r="CD70" s="108">
        <f>CD79-CD86</f>
        <v>2825.03664305951</v>
      </c>
      <c r="CE70" s="108">
        <f>CE79-CE86</f>
        <v>4298.28375689776</v>
      </c>
      <c r="CF70" s="108">
        <f>CF79-CF86</f>
        <v>4797.35685541427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0.715624516120231</v>
      </c>
      <c r="CY70" s="242">
        <f t="shared" si="44"/>
        <v>0.748564373932836</v>
      </c>
      <c r="CZ70" s="242">
        <f t="shared" si="44"/>
        <v>0.691475836135387</v>
      </c>
      <c r="DA70" s="242">
        <f t="shared" si="44"/>
        <v>0.710276862150497</v>
      </c>
      <c r="DB70" s="242">
        <f t="shared" si="44"/>
        <v>0.716135560436451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0.0498</v>
      </c>
      <c r="Z71" s="283">
        <f>DX37</f>
        <v>0.0495</v>
      </c>
      <c r="AA71" s="283">
        <f>EB37</f>
        <v>0.0514</v>
      </c>
      <c r="AB71" s="283">
        <f>EF37</f>
        <v>0.0611</v>
      </c>
      <c r="AE71" s="11" t="s">
        <v>56</v>
      </c>
      <c r="AF71" s="131">
        <f>第十一期!DV7</f>
        <v>68</v>
      </c>
      <c r="AG71" s="131">
        <f>第十一期!DV11</f>
        <v>39</v>
      </c>
      <c r="AH71" s="131">
        <f>第十一期!DV15</f>
        <v>27</v>
      </c>
      <c r="AI71" s="131">
        <f>第十一期!DV19</f>
        <v>28</v>
      </c>
      <c r="AJ71" s="126">
        <f>AF71-Y58+AF58</f>
        <v>56</v>
      </c>
      <c r="AK71" s="126">
        <f t="shared" si="45"/>
        <v>27</v>
      </c>
      <c r="AL71" s="126">
        <f t="shared" si="45"/>
        <v>26</v>
      </c>
      <c r="AM71" s="126">
        <f t="shared" si="45"/>
        <v>30</v>
      </c>
      <c r="AR71" s="190">
        <v>15</v>
      </c>
      <c r="AS71" s="191">
        <f t="shared" si="40"/>
        <v>0.000535069944598338</v>
      </c>
      <c r="AT71" s="191">
        <f t="shared" si="40"/>
        <v>4.56609418282546e-6</v>
      </c>
      <c r="AU71" s="191">
        <f t="shared" si="40"/>
        <v>0.000107285983379501</v>
      </c>
      <c r="AV71" s="191">
        <f t="shared" si="40"/>
        <v>7.87422714681441e-5</v>
      </c>
      <c r="AW71" s="191">
        <f t="shared" si="40"/>
        <v>0.00829345731301939</v>
      </c>
      <c r="AX71" s="191">
        <f t="shared" si="40"/>
        <v>0.00104805542936288</v>
      </c>
      <c r="AY71" s="191">
        <f t="shared" si="40"/>
        <v>0.0027706371468144</v>
      </c>
      <c r="AZ71" s="191">
        <f t="shared" si="40"/>
        <v>0.00276952911357341</v>
      </c>
      <c r="BA71" s="191">
        <f t="shared" si="40"/>
        <v>0.000203738060941828</v>
      </c>
      <c r="BB71" s="191">
        <f t="shared" si="40"/>
        <v>0.000159423850415513</v>
      </c>
      <c r="BC71" s="191">
        <f t="shared" si="40"/>
        <v>0.0027711912465374</v>
      </c>
      <c r="BD71" s="191">
        <f t="shared" si="40"/>
        <v>0.0027689751800554</v>
      </c>
      <c r="BE71" s="191">
        <f t="shared" si="40"/>
        <v>0.000730990831024931</v>
      </c>
      <c r="BF71" s="191">
        <f t="shared" si="40"/>
        <v>0.00159327024930748</v>
      </c>
      <c r="BG71" s="191">
        <f t="shared" si="40"/>
        <v>0.00276952911357341</v>
      </c>
      <c r="BH71" s="191">
        <f t="shared" si="40"/>
        <v>0.00276952911357341</v>
      </c>
      <c r="BR71" s="209" t="s">
        <v>345</v>
      </c>
      <c r="BS71" s="130">
        <f>(第十一期!Z13*比赛参数!E65*260+第十一期!AA13*(比赛参数!F65-比赛参数!D65)*520+第十一期!AB13*比赛参数!G65*260)*第十一期!AH18</f>
        <v>446640</v>
      </c>
      <c r="BT71" s="130"/>
      <c r="BU71" s="130">
        <f t="shared" ref="BU71:BU76" si="46">BU70+BS71</f>
        <v>2510486.2925</v>
      </c>
      <c r="BV71" s="130">
        <f>BV70-BS71</f>
        <v>1255889.9375</v>
      </c>
      <c r="BW71" s="126"/>
      <c r="CB71" s="196" t="s">
        <v>305</v>
      </c>
      <c r="CC71" s="108">
        <f>CC70/比赛参数!D26</f>
        <v>14.4169979575047</v>
      </c>
      <c r="CD71" s="108">
        <f>CD70/比赛参数!E26</f>
        <v>11.300146572238</v>
      </c>
      <c r="CE71" s="108">
        <f>CE70/比赛参数!F26</f>
        <v>11.3112730444678</v>
      </c>
      <c r="CF71" s="108">
        <f>CF70/比赛参数!G26</f>
        <v>9.22568626041207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0.545463302815837</v>
      </c>
      <c r="CY71" s="242">
        <f t="shared" si="44"/>
        <v>0.571040554909659</v>
      </c>
      <c r="CZ71" s="242">
        <f t="shared" si="44"/>
        <v>0.55486558185606</v>
      </c>
      <c r="DA71" s="242">
        <f t="shared" si="44"/>
        <v>0.563140115118843</v>
      </c>
      <c r="DB71" s="242">
        <f t="shared" si="44"/>
        <v>0.558588454896654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0.0465</v>
      </c>
      <c r="Z72" s="283">
        <f>DY37</f>
        <v>0.0607</v>
      </c>
      <c r="AA72" s="283">
        <f>EC37</f>
        <v>0.0709</v>
      </c>
      <c r="AB72" s="283">
        <f>EG37</f>
        <v>0.1019</v>
      </c>
      <c r="AE72" s="11" t="s">
        <v>57</v>
      </c>
      <c r="AF72" s="131">
        <f>第十一期!DV8</f>
        <v>79</v>
      </c>
      <c r="AG72" s="131">
        <f>第十一期!DV12</f>
        <v>57</v>
      </c>
      <c r="AH72" s="131">
        <f>第十一期!DV16</f>
        <v>39</v>
      </c>
      <c r="AI72" s="131">
        <f>第十一期!DV20</f>
        <v>52</v>
      </c>
      <c r="AJ72" s="126">
        <f>AF72-Y59+AF59</f>
        <v>64</v>
      </c>
      <c r="AK72" s="126">
        <f t="shared" si="45"/>
        <v>45</v>
      </c>
      <c r="AL72" s="126">
        <f t="shared" si="45"/>
        <v>39</v>
      </c>
      <c r="AM72" s="126">
        <f t="shared" si="45"/>
        <v>57</v>
      </c>
      <c r="AR72" s="190">
        <v>16</v>
      </c>
      <c r="AS72" s="191">
        <f t="shared" si="40"/>
        <v>3.21309972299169e-5</v>
      </c>
      <c r="AT72" s="191">
        <f t="shared" si="40"/>
        <v>8.04767313019391e-6</v>
      </c>
      <c r="AU72" s="191">
        <f t="shared" si="40"/>
        <v>1.4883351800554e-5</v>
      </c>
      <c r="AV72" s="191">
        <f t="shared" si="40"/>
        <v>5.12188365650944e-8</v>
      </c>
      <c r="AW72" s="191">
        <f t="shared" si="40"/>
        <v>2.836565096953e-8</v>
      </c>
      <c r="AX72" s="191">
        <f t="shared" si="40"/>
        <v>3.33354293628809e-5</v>
      </c>
      <c r="AY72" s="191">
        <f t="shared" si="40"/>
        <v>0.00120153451523546</v>
      </c>
      <c r="AZ72" s="191">
        <f t="shared" si="40"/>
        <v>0.000839474376731302</v>
      </c>
      <c r="BA72" s="191">
        <f t="shared" si="40"/>
        <v>0.00018567648199446</v>
      </c>
      <c r="BB72" s="191">
        <f t="shared" si="40"/>
        <v>0.000159423850415513</v>
      </c>
      <c r="BC72" s="191">
        <f t="shared" si="40"/>
        <v>3.35180055401647e-9</v>
      </c>
      <c r="BD72" s="191">
        <f t="shared" si="40"/>
        <v>0.000141109390581717</v>
      </c>
      <c r="BE72" s="191">
        <f t="shared" si="40"/>
        <v>1.13030470914127e-6</v>
      </c>
      <c r="BF72" s="191">
        <f t="shared" si="40"/>
        <v>0.000345372880886426</v>
      </c>
      <c r="BG72" s="191">
        <f t="shared" si="40"/>
        <v>1.06481994459832e-7</v>
      </c>
      <c r="BH72" s="191">
        <f>IF(BH48="","",(BH48-BH$54)^2)</f>
        <v>0.00359684279778393</v>
      </c>
      <c r="BR72" s="209" t="s">
        <v>77</v>
      </c>
      <c r="BS72" s="130">
        <f>第十一期!DM60</f>
        <v>102000</v>
      </c>
      <c r="BT72" s="130"/>
      <c r="BU72" s="130">
        <f t="shared" si="46"/>
        <v>2612486.2925</v>
      </c>
      <c r="BV72" s="130">
        <f>BV71-BS72</f>
        <v>1153889.9375</v>
      </c>
      <c r="BW72" s="126"/>
      <c r="CB72" s="196" t="s">
        <v>307</v>
      </c>
      <c r="CC72" s="108">
        <f>IF(CC79&gt;0,CC70/CC79,0)</f>
        <v>0.422942683538882</v>
      </c>
      <c r="CD72" s="108">
        <f>IF(CD79&gt;0,CD70/CD79,0)</f>
        <v>0.407715125090245</v>
      </c>
      <c r="CE72" s="108">
        <f>IF(CE79&gt;0,CE70/CE79,0)</f>
        <v>0.416267171735578</v>
      </c>
      <c r="CF72" s="108">
        <f>IF(CF79&gt;0,CF70/CF79,0)</f>
        <v>0.35840503863785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>
        <v>0.1166</v>
      </c>
      <c r="E73" s="19">
        <v>0.1135</v>
      </c>
      <c r="F73" s="19">
        <v>0.1218</v>
      </c>
      <c r="G73" s="19">
        <v>0.1304</v>
      </c>
      <c r="H73" s="19">
        <v>0.0946</v>
      </c>
      <c r="I73" s="19">
        <v>0.0977</v>
      </c>
      <c r="J73" s="19">
        <v>0.0927</v>
      </c>
      <c r="K73" s="19">
        <v>0.0953</v>
      </c>
      <c r="L73" s="19">
        <v>0.0911</v>
      </c>
      <c r="M73" s="19">
        <v>0.0895</v>
      </c>
      <c r="N73" s="19">
        <v>0.1345</v>
      </c>
      <c r="O73" s="19">
        <v>0.1256</v>
      </c>
      <c r="P73" s="19">
        <v>0.0256</v>
      </c>
      <c r="Q73" s="19">
        <v>0.0356</v>
      </c>
      <c r="R73" s="19">
        <v>0.0661</v>
      </c>
      <c r="S73" s="19">
        <v>0.0628</v>
      </c>
      <c r="T73" s="10"/>
      <c r="X73" s="11" t="s">
        <v>58</v>
      </c>
      <c r="Y73" s="283">
        <f>DV37</f>
        <v>0.0494</v>
      </c>
      <c r="Z73" s="283">
        <f>DZ37</f>
        <v>0.0593</v>
      </c>
      <c r="AA73" s="283">
        <f>ED37</f>
        <v>0.0713</v>
      </c>
      <c r="AB73" s="283">
        <f>EH37</f>
        <v>0.1073</v>
      </c>
      <c r="AE73" s="11" t="s">
        <v>58</v>
      </c>
      <c r="AF73" s="131">
        <f>第十一期!DV9</f>
        <v>80</v>
      </c>
      <c r="AG73" s="131">
        <f>第十一期!DV13</f>
        <v>56</v>
      </c>
      <c r="AH73" s="131">
        <f>第十一期!DV17</f>
        <v>42</v>
      </c>
      <c r="AI73" s="131">
        <f>第十一期!DV21</f>
        <v>49</v>
      </c>
      <c r="AJ73" s="126">
        <f>AF73-Y60+AF60</f>
        <v>75</v>
      </c>
      <c r="AK73" s="126">
        <f t="shared" si="45"/>
        <v>45</v>
      </c>
      <c r="AL73" s="126">
        <f t="shared" si="45"/>
        <v>42</v>
      </c>
      <c r="AM73" s="126">
        <f t="shared" si="45"/>
        <v>51</v>
      </c>
      <c r="AR73" s="190">
        <v>17</v>
      </c>
      <c r="AS73" s="191">
        <f t="shared" ref="AS73:BH76" si="47">IF(AS49="","",(AS49-AS$54)^2)</f>
        <v>0.000567944155124654</v>
      </c>
      <c r="AT73" s="191">
        <f t="shared" si="47"/>
        <v>0.000652130304709141</v>
      </c>
      <c r="AU73" s="191">
        <f t="shared" si="47"/>
        <v>0.000814651772853186</v>
      </c>
      <c r="AV73" s="191">
        <f t="shared" si="47"/>
        <v>0.000577263850415512</v>
      </c>
      <c r="AW73" s="191">
        <f t="shared" si="47"/>
        <v>0.000348509944598338</v>
      </c>
      <c r="AX73" s="191">
        <f t="shared" si="47"/>
        <v>0.000743853850415512</v>
      </c>
      <c r="AY73" s="191">
        <f t="shared" si="47"/>
        <v>0.00160505662049862</v>
      </c>
      <c r="AZ73" s="191">
        <f t="shared" si="47"/>
        <v>0.00156607648199446</v>
      </c>
      <c r="BA73" s="191">
        <f t="shared" si="47"/>
        <v>6.44217451523546e-5</v>
      </c>
      <c r="BB73" s="191">
        <f t="shared" si="47"/>
        <v>4.79738504155125e-5</v>
      </c>
      <c r="BC73" s="191">
        <f t="shared" si="47"/>
        <v>3.03493074792243e-6</v>
      </c>
      <c r="BD73" s="191">
        <f t="shared" si="47"/>
        <v>2.62251800554017e-5</v>
      </c>
      <c r="BE73" s="191">
        <f t="shared" si="47"/>
        <v>8.34818836565097e-5</v>
      </c>
      <c r="BF73" s="191">
        <f t="shared" si="47"/>
        <v>8.67839335180057e-5</v>
      </c>
      <c r="BG73" s="191">
        <f t="shared" si="47"/>
        <v>0.000196737534626039</v>
      </c>
      <c r="BH73" s="191">
        <f t="shared" si="47"/>
        <v>0.000256842797783934</v>
      </c>
      <c r="BR73" s="209" t="s">
        <v>346</v>
      </c>
      <c r="BS73" s="130">
        <f>第十一期!AC21</f>
        <v>1424600</v>
      </c>
      <c r="BT73" s="130"/>
      <c r="BU73" s="130">
        <f t="shared" si="46"/>
        <v>4037086.2925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>
        <v>0.0931</v>
      </c>
      <c r="E74" s="19">
        <v>0.0842</v>
      </c>
      <c r="F74" s="19">
        <v>0.0806</v>
      </c>
      <c r="G74" s="19">
        <v>0.0701</v>
      </c>
      <c r="H74" s="19">
        <v>0.0283</v>
      </c>
      <c r="I74" s="19">
        <v>0.0266</v>
      </c>
      <c r="J74" s="19">
        <v>0.0202</v>
      </c>
      <c r="K74" s="19">
        <v>0.0222</v>
      </c>
      <c r="L74" s="19">
        <v>0.0818</v>
      </c>
      <c r="M74" s="19">
        <v>0.0895</v>
      </c>
      <c r="N74" s="19">
        <v>0.0564</v>
      </c>
      <c r="O74" s="19">
        <v>0.0407</v>
      </c>
      <c r="P74" s="19">
        <v>0.0972</v>
      </c>
      <c r="Q74" s="19">
        <v>0.0738</v>
      </c>
      <c r="R74" s="19">
        <v>0.1047</v>
      </c>
      <c r="S74" s="19">
        <v>0.0524</v>
      </c>
      <c r="T74" s="10"/>
      <c r="AE74" s="48"/>
      <c r="AF74" s="2">
        <f>AVERAGE(AF70:AF73)</f>
        <v>73.5</v>
      </c>
      <c r="AG74" s="2">
        <f>AVERAGE(AG70:AG73)</f>
        <v>47.5</v>
      </c>
      <c r="AH74" s="2">
        <f>AVERAGE(AH70:AH73)</f>
        <v>33</v>
      </c>
      <c r="AI74" s="2">
        <f>AVERAGE(AI70:AI73)</f>
        <v>39.25</v>
      </c>
      <c r="AJ74" s="48"/>
      <c r="AL74" s="48"/>
      <c r="AR74" s="190">
        <v>18</v>
      </c>
      <c r="AS74" s="191">
        <f t="shared" si="47"/>
        <v>0.00103887468144044</v>
      </c>
      <c r="AT74" s="191">
        <f t="shared" si="47"/>
        <v>0.00107825819944598</v>
      </c>
      <c r="AU74" s="191">
        <f t="shared" si="47"/>
        <v>0.00134998229916898</v>
      </c>
      <c r="AV74" s="191">
        <f t="shared" si="47"/>
        <v>0.000981338060941828</v>
      </c>
      <c r="AW74" s="191">
        <f t="shared" si="47"/>
        <v>0.00108448889196676</v>
      </c>
      <c r="AX74" s="191">
        <f t="shared" si="47"/>
        <v>0.00104499069252078</v>
      </c>
      <c r="AY74" s="191">
        <f t="shared" si="47"/>
        <v>0.000677917146814404</v>
      </c>
      <c r="AZ74" s="191">
        <f t="shared" si="47"/>
        <v>0.000480763324099723</v>
      </c>
      <c r="BA74" s="191">
        <f t="shared" si="47"/>
        <v>1.87170083102493e-5</v>
      </c>
      <c r="BB74" s="191">
        <f t="shared" si="47"/>
        <v>4.06238504155124e-5</v>
      </c>
      <c r="BC74" s="191">
        <f t="shared" si="47"/>
        <v>0.0027711912465374</v>
      </c>
      <c r="BD74" s="191">
        <f t="shared" si="47"/>
        <v>0.0027689751800554</v>
      </c>
      <c r="BE74" s="191">
        <f t="shared" si="47"/>
        <v>0.0101532139889197</v>
      </c>
      <c r="BF74" s="191">
        <f t="shared" si="47"/>
        <v>0.0144923581440443</v>
      </c>
      <c r="BG74" s="191">
        <f t="shared" si="47"/>
        <v>0.00276952911357341</v>
      </c>
      <c r="BH74" s="191">
        <f t="shared" si="47"/>
        <v>0.00276952911357341</v>
      </c>
      <c r="BR74" s="209" t="s">
        <v>347</v>
      </c>
      <c r="BS74" s="130">
        <f>第十一期!CG42</f>
        <v>671689</v>
      </c>
      <c r="BT74" s="130"/>
      <c r="BU74" s="130">
        <f t="shared" si="46"/>
        <v>4708775.2925</v>
      </c>
      <c r="BV74" s="130">
        <f>BV72-BS74</f>
        <v>482200.9375</v>
      </c>
      <c r="BW74" s="126"/>
      <c r="CB74" s="219"/>
      <c r="CC74" s="219">
        <f t="shared" ref="CC74:CF77" si="48">AF64*AF76</f>
        <v>284240</v>
      </c>
      <c r="CD74" s="219">
        <f t="shared" si="48"/>
        <v>533250</v>
      </c>
      <c r="CE74" s="219">
        <f t="shared" si="48"/>
        <v>234600</v>
      </c>
      <c r="CF74" s="219">
        <f t="shared" si="48"/>
        <v>353700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>
        <v>0.0356</v>
      </c>
      <c r="E75" s="19">
        <v>0.0388</v>
      </c>
      <c r="F75" s="19">
        <v>0.0536</v>
      </c>
      <c r="G75" s="19">
        <v>0.0664</v>
      </c>
      <c r="H75" s="19">
        <v>0.0307</v>
      </c>
      <c r="I75" s="19">
        <v>0.0343</v>
      </c>
      <c r="J75" s="19">
        <v>0.0575</v>
      </c>
      <c r="K75" s="19">
        <v>0.0487</v>
      </c>
      <c r="L75" s="19">
        <v>0.0019</v>
      </c>
      <c r="M75" s="19">
        <v>0.0019</v>
      </c>
      <c r="N75" s="19">
        <v>0.0364</v>
      </c>
      <c r="O75" s="19">
        <v>0.0424</v>
      </c>
      <c r="P75" s="19">
        <v>0.0026</v>
      </c>
      <c r="Q75" s="19">
        <v>0.0025</v>
      </c>
      <c r="R75" s="19">
        <v>0.0523</v>
      </c>
      <c r="S75" s="19">
        <v>0.0628</v>
      </c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>
        <f t="shared" si="47"/>
        <v>0.000495882576177285</v>
      </c>
      <c r="AT75" s="191">
        <f t="shared" si="47"/>
        <v>0.000422843462603878</v>
      </c>
      <c r="AU75" s="191">
        <f t="shared" si="47"/>
        <v>0.000464742825484765</v>
      </c>
      <c r="AV75" s="191">
        <f t="shared" si="47"/>
        <v>0.00105796121883656</v>
      </c>
      <c r="AW75" s="191">
        <f t="shared" si="47"/>
        <v>0.000290074681440443</v>
      </c>
      <c r="AX75" s="191">
        <f t="shared" si="47"/>
        <v>0.000115053850415513</v>
      </c>
      <c r="AY75" s="191">
        <f t="shared" si="47"/>
        <v>2.36188365650967e-6</v>
      </c>
      <c r="AZ75" s="191">
        <f t="shared" si="47"/>
        <v>3.33542936288091e-6</v>
      </c>
      <c r="BA75" s="191">
        <f t="shared" si="47"/>
        <v>0.00142327490304709</v>
      </c>
      <c r="BB75" s="191">
        <f t="shared" si="47"/>
        <v>0.000672173850415513</v>
      </c>
      <c r="BC75" s="191">
        <f t="shared" si="47"/>
        <v>0.000472719141274238</v>
      </c>
      <c r="BD75" s="191">
        <f t="shared" si="47"/>
        <v>0.00048492675900277</v>
      </c>
      <c r="BE75" s="191">
        <f t="shared" si="47"/>
        <v>0.000730990831024931</v>
      </c>
      <c r="BF75" s="191">
        <f t="shared" si="47"/>
        <v>0.000740699196675901</v>
      </c>
      <c r="BG75" s="191">
        <f t="shared" si="47"/>
        <v>1.06481994459832e-7</v>
      </c>
      <c r="BH75" s="191">
        <f t="shared" si="47"/>
        <v>8.56332409972301e-6</v>
      </c>
      <c r="BR75" s="209" t="s">
        <v>351</v>
      </c>
      <c r="BS75" s="130">
        <f>SUM(第十一期!AF80:AI80)</f>
        <v>242870</v>
      </c>
      <c r="BT75" s="130"/>
      <c r="BU75" s="130">
        <f t="shared" si="46"/>
        <v>4951645.2925</v>
      </c>
      <c r="BV75" s="130">
        <f>BV74-BS75</f>
        <v>239330.9375</v>
      </c>
      <c r="BW75" s="126"/>
      <c r="CB75" s="219"/>
      <c r="CC75" s="219">
        <f t="shared" si="48"/>
        <v>284240</v>
      </c>
      <c r="CD75" s="219">
        <f t="shared" si="48"/>
        <v>492750</v>
      </c>
      <c r="CE75" s="219">
        <f t="shared" si="48"/>
        <v>265200</v>
      </c>
      <c r="CF75" s="219">
        <f t="shared" si="48"/>
        <v>353700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>
        <v>0.1484</v>
      </c>
      <c r="E76" s="19">
        <v>0.1464</v>
      </c>
      <c r="F76" s="19">
        <v>0.1142</v>
      </c>
      <c r="G76" s="19">
        <v>0.1383</v>
      </c>
      <c r="H76" s="19">
        <v>0.043</v>
      </c>
      <c r="I76" s="19">
        <v>0.0444</v>
      </c>
      <c r="J76" s="19">
        <v>0.0511</v>
      </c>
      <c r="K76" s="19">
        <v>0.053</v>
      </c>
      <c r="L76" s="19">
        <v>0.0836</v>
      </c>
      <c r="M76" s="19">
        <v>0.0838</v>
      </c>
      <c r="N76" s="19">
        <v>0.0855</v>
      </c>
      <c r="O76" s="19">
        <v>0.0883</v>
      </c>
      <c r="P76" s="19">
        <v>0.0742</v>
      </c>
      <c r="Q76" s="19">
        <v>0.0738</v>
      </c>
      <c r="R76" s="19">
        <v>0.0882</v>
      </c>
      <c r="S76" s="19">
        <v>0.0942</v>
      </c>
      <c r="T76" s="10"/>
      <c r="X76" s="64" t="s">
        <v>55</v>
      </c>
      <c r="Y76" s="283">
        <f>AB130/Y232</f>
        <v>0.0666161998485996</v>
      </c>
      <c r="Z76" s="283">
        <f>AL130/AC232</f>
        <v>0.097051597051597</v>
      </c>
      <c r="AA76" s="283">
        <f>AB153/AG232</f>
        <v>0.0427509293680297</v>
      </c>
      <c r="AB76" s="283">
        <f>AL153/AK232</f>
        <v>0.0690537084398977</v>
      </c>
      <c r="AC76" s="126"/>
      <c r="AE76" s="47" t="s">
        <v>55</v>
      </c>
      <c r="AF76" s="101">
        <v>3230</v>
      </c>
      <c r="AG76" s="101">
        <v>6750</v>
      </c>
      <c r="AH76" s="101">
        <v>10200</v>
      </c>
      <c r="AI76" s="101">
        <v>13100</v>
      </c>
      <c r="AJ76" s="300">
        <v>46350</v>
      </c>
      <c r="AK76" s="301">
        <f>AJ76/SUM(AF64:AI64)</f>
        <v>213.594470046083</v>
      </c>
      <c r="AL76" s="114">
        <f>AJ76/SUMPRODUCT(AF76:AI76,AF64:AI64)</f>
        <v>0.0329707851101516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SUM(第十一期!AJ76:AJ79)</f>
        <v>239330</v>
      </c>
      <c r="BT76" s="327"/>
      <c r="BU76" s="327">
        <f t="shared" si="46"/>
        <v>5190975.2925</v>
      </c>
      <c r="BV76" s="327">
        <f>BV75-BS76</f>
        <v>0.9375</v>
      </c>
      <c r="BW76" s="331" t="str">
        <f>IF(BV76&gt;=0,"YES","NO")</f>
        <v>YES</v>
      </c>
      <c r="CB76" s="219"/>
      <c r="CC76" s="219">
        <f t="shared" si="48"/>
        <v>448920</v>
      </c>
      <c r="CD76" s="219">
        <f t="shared" si="48"/>
        <v>826000</v>
      </c>
      <c r="CE76" s="219">
        <f t="shared" si="48"/>
        <v>391400</v>
      </c>
      <c r="CF76" s="219">
        <f t="shared" si="48"/>
        <v>567000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>
        <v>0.0696</v>
      </c>
      <c r="E77" s="19">
        <v>0.0673</v>
      </c>
      <c r="F77" s="19">
        <v>0.0742</v>
      </c>
      <c r="G77" s="19">
        <v>0.0829</v>
      </c>
      <c r="H77" s="19">
        <v>0.0627</v>
      </c>
      <c r="I77" s="19">
        <v>0.0622</v>
      </c>
      <c r="J77" s="19">
        <v>0.0809</v>
      </c>
      <c r="K77" s="19">
        <v>0.0689</v>
      </c>
      <c r="L77" s="19">
        <v>0.0335</v>
      </c>
      <c r="M77" s="19">
        <v>0.0362</v>
      </c>
      <c r="N77" s="19">
        <v>0.0364</v>
      </c>
      <c r="O77" s="19">
        <v>0.0458</v>
      </c>
      <c r="P77" s="19">
        <v>0.0767</v>
      </c>
      <c r="Q77" s="19">
        <v>0.0763</v>
      </c>
      <c r="R77" s="19">
        <v>0.0799</v>
      </c>
      <c r="S77" s="19">
        <v>0.0759</v>
      </c>
      <c r="T77" s="10"/>
      <c r="X77" s="11" t="s">
        <v>56</v>
      </c>
      <c r="Y77" s="283">
        <f>AC130/Z232</f>
        <v>0.0644688644688645</v>
      </c>
      <c r="Z77" s="283">
        <f>AM130/AD232</f>
        <v>0.0926395939086294</v>
      </c>
      <c r="AA77" s="283">
        <f>AC153/AH232</f>
        <v>0.0495238095238095</v>
      </c>
      <c r="AB77" s="283">
        <f>AM153/AL232</f>
        <v>0.0687022900763359</v>
      </c>
      <c r="AC77" s="126"/>
      <c r="AE77" s="11" t="s">
        <v>56</v>
      </c>
      <c r="AF77" s="101">
        <v>3230</v>
      </c>
      <c r="AG77" s="101">
        <v>6750</v>
      </c>
      <c r="AH77" s="101">
        <v>10200</v>
      </c>
      <c r="AI77" s="101">
        <v>13100</v>
      </c>
      <c r="AJ77" s="300">
        <v>46000</v>
      </c>
      <c r="AK77" s="301">
        <f>AJ77/SUM(AF65:AI65)</f>
        <v>214.953271028037</v>
      </c>
      <c r="AL77" s="114">
        <f>AJ77/SUMPRODUCT(AF77:AI77,AF65:AI65)</f>
        <v>0.0329538860511931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第十一期!CG53</f>
        <v>7400000</v>
      </c>
      <c r="BT77" s="328">
        <f>BT67+BS77</f>
        <v>7476491.4</v>
      </c>
      <c r="BU77" s="328"/>
      <c r="BV77" s="328">
        <f>BV76+BS77</f>
        <v>7400000.9375</v>
      </c>
      <c r="BW77" s="126"/>
      <c r="CB77" s="219"/>
      <c r="CC77" s="219">
        <f t="shared" si="48"/>
        <v>465400</v>
      </c>
      <c r="CD77" s="219">
        <f t="shared" si="48"/>
        <v>781000</v>
      </c>
      <c r="CE77" s="219">
        <f t="shared" si="48"/>
        <v>430500</v>
      </c>
      <c r="CF77" s="219">
        <f t="shared" si="48"/>
        <v>546000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>
        <v>0.0106</v>
      </c>
      <c r="E78" s="19">
        <v>0.0095</v>
      </c>
      <c r="F78" s="19">
        <v>0.0118</v>
      </c>
      <c r="G78" s="19">
        <v>0.0146</v>
      </c>
      <c r="H78" s="19">
        <v>0.0356</v>
      </c>
      <c r="I78" s="19">
        <v>0.0241</v>
      </c>
      <c r="J78" s="19">
        <v>0</v>
      </c>
      <c r="K78" s="19">
        <v>0</v>
      </c>
      <c r="L78" s="19">
        <v>0</v>
      </c>
      <c r="M78" s="19">
        <v>0.0019</v>
      </c>
      <c r="N78" s="19">
        <v>0.0055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0"/>
      <c r="X78" s="11" t="s">
        <v>57</v>
      </c>
      <c r="Y78" s="283">
        <f>AD130/AA232</f>
        <v>0.075927015891701</v>
      </c>
      <c r="Z78" s="283">
        <f>AN130/AE232</f>
        <v>0.12566560170394</v>
      </c>
      <c r="AA78" s="283">
        <f>AD153/AI232</f>
        <v>0.0690909090909091</v>
      </c>
      <c r="AB78" s="283">
        <f>AN153/AM232</f>
        <v>0.115702479338843</v>
      </c>
      <c r="AC78" s="126"/>
      <c r="AE78" s="11" t="s">
        <v>57</v>
      </c>
      <c r="AF78" s="101">
        <v>3480</v>
      </c>
      <c r="AG78" s="101">
        <v>7000</v>
      </c>
      <c r="AH78" s="101">
        <v>10300</v>
      </c>
      <c r="AI78" s="101">
        <v>13500</v>
      </c>
      <c r="AJ78" s="300">
        <v>73730</v>
      </c>
      <c r="AK78" s="301">
        <f>AJ78/SUM(AF66:AI66)</f>
        <v>225.474006116208</v>
      </c>
      <c r="AL78" s="114">
        <f>AJ78/SUMPRODUCT(AF78:AI78,AF66:AI66)</f>
        <v>0.033013629932119</v>
      </c>
      <c r="AM78" s="2">
        <v>8500</v>
      </c>
      <c r="AN78" s="2">
        <v>12300</v>
      </c>
      <c r="AO78" s="2">
        <v>14000</v>
      </c>
      <c r="AR78" s="65" t="s">
        <v>353</v>
      </c>
      <c r="AS78" s="307">
        <f>AVERAGE(AS57:AS76)^0.5</f>
        <v>0.036723075387663</v>
      </c>
      <c r="AT78" s="307">
        <f t="shared" ref="AT78:BH78" si="49">AVERAGE(AT57:AT76)^0.5</f>
        <v>0.0349249151078547</v>
      </c>
      <c r="AU78" s="307">
        <f t="shared" si="49"/>
        <v>0.0319586791735083</v>
      </c>
      <c r="AV78" s="307">
        <f t="shared" si="49"/>
        <v>0.0344328154695987</v>
      </c>
      <c r="AW78" s="307">
        <f t="shared" si="49"/>
        <v>0.0294445965489082</v>
      </c>
      <c r="AX78" s="307">
        <f t="shared" si="49"/>
        <v>0.0237204518041924</v>
      </c>
      <c r="AY78" s="307">
        <f t="shared" si="49"/>
        <v>0.0300005650916308</v>
      </c>
      <c r="AZ78" s="307">
        <f t="shared" si="49"/>
        <v>0.0284798144972016</v>
      </c>
      <c r="BA78" s="307">
        <f t="shared" si="49"/>
        <v>0.0279823410875928</v>
      </c>
      <c r="BB78" s="307">
        <f t="shared" si="49"/>
        <v>0.0276583068725866</v>
      </c>
      <c r="BC78" s="307">
        <f t="shared" si="49"/>
        <v>0.0334096159462082</v>
      </c>
      <c r="BD78" s="307">
        <f t="shared" si="49"/>
        <v>0.0319119772754496</v>
      </c>
      <c r="BE78" s="307">
        <f t="shared" si="49"/>
        <v>0.036807167644736</v>
      </c>
      <c r="BF78" s="307">
        <f t="shared" si="49"/>
        <v>0.0390554297479593</v>
      </c>
      <c r="BG78" s="307">
        <f t="shared" si="49"/>
        <v>0.0355831249493835</v>
      </c>
      <c r="BH78" s="307">
        <f t="shared" si="49"/>
        <v>0.0363407244678425</v>
      </c>
      <c r="BR78" s="209" t="s">
        <v>259</v>
      </c>
      <c r="BS78" s="130">
        <f>第十一期!CN53</f>
        <v>132912</v>
      </c>
      <c r="BT78" s="130"/>
      <c r="BU78" s="130">
        <f>BU76+BS78</f>
        <v>5323887.2925</v>
      </c>
      <c r="BV78" s="130">
        <f>BV77-BS78</f>
        <v>7267088.9375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>
        <v>0.0515</v>
      </c>
      <c r="E79" s="19">
        <v>0.0498</v>
      </c>
      <c r="F79" s="19">
        <v>0.0812</v>
      </c>
      <c r="G79" s="19">
        <v>0.0451</v>
      </c>
      <c r="H79" s="19">
        <v>0.0393</v>
      </c>
      <c r="I79" s="19">
        <v>0.0711</v>
      </c>
      <c r="J79" s="19">
        <v>0.0735</v>
      </c>
      <c r="K79" s="19">
        <v>0.071</v>
      </c>
      <c r="L79" s="19">
        <v>0.0799</v>
      </c>
      <c r="M79" s="19">
        <v>0.0762</v>
      </c>
      <c r="N79" s="19">
        <v>0.0527</v>
      </c>
      <c r="O79" s="19">
        <v>0.0594</v>
      </c>
      <c r="P79" s="19">
        <v>0.0946</v>
      </c>
      <c r="Q79" s="19">
        <v>0.0916</v>
      </c>
      <c r="R79" s="19">
        <v>0.0661</v>
      </c>
      <c r="S79" s="19">
        <v>0.0654</v>
      </c>
      <c r="T79" s="10"/>
      <c r="X79" s="11" t="s">
        <v>58</v>
      </c>
      <c r="Y79" s="283">
        <f>AE130/AB232</f>
        <v>0.0792682926829268</v>
      </c>
      <c r="Z79" s="283">
        <f>AO130/AF232</f>
        <v>0.116525423728814</v>
      </c>
      <c r="AA79" s="283">
        <f>AE153/AJ232</f>
        <v>0.0696095076400679</v>
      </c>
      <c r="AB79" s="283">
        <f>AO153/AN232</f>
        <v>0.104712041884817</v>
      </c>
      <c r="AC79" s="126"/>
      <c r="AE79" s="11" t="s">
        <v>58</v>
      </c>
      <c r="AF79" s="101">
        <v>3580</v>
      </c>
      <c r="AG79" s="101">
        <v>7100</v>
      </c>
      <c r="AH79" s="101">
        <v>10500</v>
      </c>
      <c r="AI79" s="101">
        <v>13650</v>
      </c>
      <c r="AJ79" s="300">
        <v>73250</v>
      </c>
      <c r="AK79" s="301">
        <f>AJ79/SUM(AF67:AI67)</f>
        <v>228.193146417445</v>
      </c>
      <c r="AL79" s="114">
        <f>AJ79/SUMPRODUCT(AF79:AI79,AF67:AI67)</f>
        <v>0.0329524495029016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第十一期!K9*比赛参数!D30*比赛参数!F30</f>
        <v>856000</v>
      </c>
      <c r="BT79" s="130"/>
      <c r="BU79" s="130">
        <f>BU78+BS79</f>
        <v>6179887.2925</v>
      </c>
      <c r="BV79" s="130"/>
      <c r="BW79" s="126"/>
      <c r="CB79" s="196" t="s">
        <v>355</v>
      </c>
      <c r="CC79" s="108">
        <f>IF(SUM(AF64:AF67)&gt;0,SUM(CC74:CC77)/SUM(AF64:AF67),0)</f>
        <v>3408.73563218391</v>
      </c>
      <c r="CD79" s="108">
        <f>IF(SUM(AG64:AG67)&gt;0,SUM(CD74:CD77)/SUM(AG64:AG67),0)</f>
        <v>6928.94736842105</v>
      </c>
      <c r="CE79" s="108">
        <f>IF(SUM(AH64:AH67)&gt;0,SUM(CE74:CE77)/SUM(AH64:AH67),0)</f>
        <v>10325.78125</v>
      </c>
      <c r="CF79" s="108">
        <f>IF(SUM(AI64:AI67)&gt;0,SUM(CF74:CF77)/SUM(AI64:AI67),0)</f>
        <v>13385.2941176471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>
        <v>0.084</v>
      </c>
      <c r="E80" s="19">
        <v>0.0769</v>
      </c>
      <c r="F80" s="19">
        <v>0.0459</v>
      </c>
      <c r="G80" s="19">
        <v>0.0506</v>
      </c>
      <c r="H80" s="19">
        <v>0.0823</v>
      </c>
      <c r="I80" s="19">
        <v>0.0863</v>
      </c>
      <c r="J80" s="19">
        <v>0.0714</v>
      </c>
      <c r="K80" s="19">
        <v>0.071</v>
      </c>
      <c r="L80" s="19">
        <v>0.1059</v>
      </c>
      <c r="M80" s="19">
        <v>0.1086</v>
      </c>
      <c r="N80" s="19">
        <v>0.1055</v>
      </c>
      <c r="O80" s="19">
        <v>0.0951</v>
      </c>
      <c r="P80" s="19">
        <v>0.0384</v>
      </c>
      <c r="Q80" s="19">
        <v>0.0407</v>
      </c>
      <c r="R80" s="19">
        <v>0</v>
      </c>
      <c r="S80" s="19">
        <v>0</v>
      </c>
      <c r="T80" s="10"/>
      <c r="AC80" s="48"/>
      <c r="AE80" s="42" t="s">
        <v>165</v>
      </c>
      <c r="AF80" s="284">
        <v>48880</v>
      </c>
      <c r="AG80" s="284">
        <v>86800</v>
      </c>
      <c r="AH80" s="284">
        <v>43560</v>
      </c>
      <c r="AI80" s="284">
        <v>63630</v>
      </c>
      <c r="AJ80" s="42" t="s">
        <v>357</v>
      </c>
      <c r="AK80" s="302">
        <f>BS75/BS77</f>
        <v>0.0328202702702703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第十一期!CG65</f>
        <v>-34246.1538461538</v>
      </c>
      <c r="BT80" s="130"/>
      <c r="BU80" s="130">
        <f>BU79+BS80</f>
        <v>6145641.13865385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第十一期!Y9*第十一期!CQ56</f>
        <v>43000</v>
      </c>
      <c r="CR80" s="65">
        <f>第十一期!Z9*第十一期!CR56</f>
        <v>0</v>
      </c>
      <c r="CS80" s="65">
        <f>第十一期!AA9*第十一期!CS56</f>
        <v>0</v>
      </c>
      <c r="CT80" s="65">
        <f>第十一期!AB9*第十一期!CT56</f>
        <v>0</v>
      </c>
      <c r="CU80" s="65">
        <f>SUM(CQ80:CT80)</f>
        <v>43000</v>
      </c>
    </row>
    <row r="81" customHeight="1" spans="2:99">
      <c r="B81" s="7"/>
      <c r="C81" s="25">
        <v>9</v>
      </c>
      <c r="D81" s="19">
        <v>0.0189</v>
      </c>
      <c r="E81" s="19">
        <v>0.0183</v>
      </c>
      <c r="F81" s="19">
        <v>0.0283</v>
      </c>
      <c r="G81" s="19">
        <v>0.0305</v>
      </c>
      <c r="H81" s="19">
        <v>0.0467</v>
      </c>
      <c r="I81" s="19">
        <v>0.0482</v>
      </c>
      <c r="J81" s="19">
        <v>0.0224</v>
      </c>
      <c r="K81" s="19">
        <v>0.0265</v>
      </c>
      <c r="L81" s="19">
        <v>0.0446</v>
      </c>
      <c r="M81" s="19">
        <v>0.0438</v>
      </c>
      <c r="N81" s="19">
        <v>0.0509</v>
      </c>
      <c r="O81" s="19">
        <v>0.0458</v>
      </c>
      <c r="P81" s="19">
        <v>0.0639</v>
      </c>
      <c r="Q81" s="19">
        <v>0.0636</v>
      </c>
      <c r="R81" s="19">
        <v>0.0689</v>
      </c>
      <c r="S81" s="19">
        <v>0.0681</v>
      </c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112.367816091954</v>
      </c>
      <c r="AG81" s="285">
        <f>IF(SUM(AG64:AG67)&gt;0,AG80/SUM(AG64:AG67),0)</f>
        <v>228.421052631579</v>
      </c>
      <c r="AH81" s="285">
        <f>IF(SUM(AH64:AH67)&gt;0,AH80/SUM(AH64:AH67),0)</f>
        <v>340.3125</v>
      </c>
      <c r="AI81" s="303">
        <f>IF(SUM(AI64:AI67)&gt;0,AI80/SUM(AI64:AI67),0)</f>
        <v>467.867647058824</v>
      </c>
      <c r="AJ81" s="42" t="s">
        <v>361</v>
      </c>
      <c r="AK81" s="302">
        <f>BS76/BS77</f>
        <v>0.0323418918918919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(第十一期!K10+(第十一期!AC18+第十一期!K10-第十一期!AC21))/2*比赛参数!D16</f>
        <v>7600.56</v>
      </c>
      <c r="BT81" s="130"/>
      <c r="BU81" s="130">
        <f>BU80+BS81</f>
        <v>6153241.69865385</v>
      </c>
      <c r="BV81" s="130">
        <f>BV78-BS81</f>
        <v>7259488.3775</v>
      </c>
      <c r="BW81" s="126"/>
      <c r="CB81" s="219"/>
      <c r="CC81" s="219">
        <f t="shared" ref="CC81:CF84" si="50">CJ19*AF64</f>
        <v>166383.843261315</v>
      </c>
      <c r="CD81" s="219">
        <f t="shared" si="50"/>
        <v>318036.136777246</v>
      </c>
      <c r="CE81" s="219">
        <f t="shared" si="50"/>
        <v>136743.207966352</v>
      </c>
      <c r="CF81" s="219">
        <f t="shared" si="50"/>
        <v>228863.409021462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第十一期!Y10*第十一期!CQ57</f>
        <v>68250</v>
      </c>
      <c r="CR81" s="65">
        <f>第十一期!Z10*第十一期!CR57</f>
        <v>0</v>
      </c>
      <c r="CS81" s="65">
        <f>第十一期!AA10*第十一期!CS57</f>
        <v>29000</v>
      </c>
      <c r="CT81" s="65">
        <f>第十一期!AB10*第十一期!CT57</f>
        <v>0</v>
      </c>
      <c r="CU81" s="65">
        <f>SUM(CQ81:CT81)</f>
        <v>97250</v>
      </c>
    </row>
    <row r="82" ht="18.75" customHeight="1" spans="2:99">
      <c r="B82" s="7"/>
      <c r="C82" s="25">
        <v>10</v>
      </c>
      <c r="D82" s="19">
        <v>0.0129</v>
      </c>
      <c r="E82" s="19">
        <v>0.0117</v>
      </c>
      <c r="F82" s="19">
        <v>0.0118</v>
      </c>
      <c r="G82" s="19">
        <v>0.014</v>
      </c>
      <c r="H82" s="19">
        <v>0.0479</v>
      </c>
      <c r="I82" s="19">
        <v>0.0495</v>
      </c>
      <c r="J82" s="19">
        <v>0.0426</v>
      </c>
      <c r="K82" s="19">
        <v>0.0508</v>
      </c>
      <c r="L82" s="19">
        <v>0.0446</v>
      </c>
      <c r="M82" s="19">
        <v>0.0457</v>
      </c>
      <c r="N82" s="19">
        <v>0.06</v>
      </c>
      <c r="O82" s="19">
        <v>0.0662</v>
      </c>
      <c r="P82" s="19">
        <v>0.0486</v>
      </c>
      <c r="Q82" s="19">
        <v>0.0483</v>
      </c>
      <c r="R82" s="19">
        <v>0.0799</v>
      </c>
      <c r="S82" s="19">
        <v>0.0759</v>
      </c>
      <c r="T82" s="10"/>
      <c r="X82" s="64" t="s">
        <v>55</v>
      </c>
      <c r="Y82" s="286">
        <f>(Y76-AS54)/AS78</f>
        <v>0.380812901795508</v>
      </c>
      <c r="Z82" s="286">
        <f>(Z76-AW54)/AW78</f>
        <v>1.50859659531914</v>
      </c>
      <c r="AA82" s="286">
        <f>(AA76-BA54)/BA78</f>
        <v>-0.352914946984999</v>
      </c>
      <c r="AB82" s="286">
        <f>(AB76-BE54)/BE78</f>
        <v>0.446023624884443</v>
      </c>
      <c r="AF82" s="48">
        <f>SUMPRODUCT(AF70:AF73,AF86:AF89)/SUM(AF70:AF73)</f>
        <v>3574.55782312925</v>
      </c>
      <c r="AG82" s="48">
        <f>SUMPRODUCT(AG70:AG73,AG86:AG89)/SUM(AG70:AG73)</f>
        <v>7187.63157894737</v>
      </c>
      <c r="AH82" s="48">
        <f>SUMPRODUCT(AH70:AH73,AH86:AH89)/SUM(AH70:AH73)</f>
        <v>10244.3181818182</v>
      </c>
      <c r="AI82" s="48">
        <f>SUMPRODUCT(AI70:AI73,AI86:AI89)/SUM(AI70:AI73)</f>
        <v>12939.8089171975</v>
      </c>
      <c r="AJ82" s="42" t="s">
        <v>100</v>
      </c>
      <c r="AK82" s="84">
        <f>AF14</f>
        <v>1296675.99634615</v>
      </c>
      <c r="AR82" s="185">
        <v>1</v>
      </c>
      <c r="AS82" s="308">
        <f t="shared" ref="AS82:BH97" si="51">IF(AS33="","",(AS33-AS$54)/AS$78)</f>
        <v>1.74191350744338</v>
      </c>
      <c r="AT82" s="309">
        <f t="shared" si="51"/>
        <v>1.74268592226438</v>
      </c>
      <c r="AU82" s="309">
        <f t="shared" si="51"/>
        <v>2.16397850366011</v>
      </c>
      <c r="AV82" s="310">
        <f t="shared" si="51"/>
        <v>2.25870824531308</v>
      </c>
      <c r="AW82" s="308">
        <f t="shared" si="51"/>
        <v>1.42533523877364</v>
      </c>
      <c r="AX82" s="309">
        <f t="shared" si="51"/>
        <v>1.90020344395632</v>
      </c>
      <c r="AY82" s="309">
        <f t="shared" si="51"/>
        <v>1.3354134421259</v>
      </c>
      <c r="AZ82" s="310">
        <f t="shared" si="51"/>
        <v>1.49838350297961</v>
      </c>
      <c r="BA82" s="308">
        <f t="shared" si="51"/>
        <v>1.37492728324955</v>
      </c>
      <c r="BB82" s="309">
        <f t="shared" si="51"/>
        <v>1.33318660395201</v>
      </c>
      <c r="BC82" s="309">
        <f t="shared" si="51"/>
        <v>2.45012977307608</v>
      </c>
      <c r="BD82" s="310">
        <f t="shared" si="51"/>
        <v>2.28688265658064</v>
      </c>
      <c r="BE82" s="308">
        <f t="shared" si="51"/>
        <v>-0.734553725139181</v>
      </c>
      <c r="BF82" s="309">
        <f t="shared" si="51"/>
        <v>-0.43568306848738</v>
      </c>
      <c r="BG82" s="309">
        <f t="shared" si="51"/>
        <v>0.378653764381079</v>
      </c>
      <c r="BH82" s="310">
        <f t="shared" si="51"/>
        <v>0.27995270758922</v>
      </c>
      <c r="BI82" s="319">
        <f>IF(AS82="","",AVERAGE(AS82:BH82))</f>
        <v>1.3125073626074</v>
      </c>
      <c r="BR82" s="209" t="s">
        <v>364</v>
      </c>
      <c r="BS82" s="130">
        <f>第十一期!CG67</f>
        <v>19790</v>
      </c>
      <c r="BT82" s="130"/>
      <c r="BU82" s="91">
        <f>BU81+BS82</f>
        <v>6173031.69865385</v>
      </c>
      <c r="BV82" s="130">
        <f>BV81-BS82</f>
        <v>7239698.3775</v>
      </c>
      <c r="BW82" s="126"/>
      <c r="CB82" s="219"/>
      <c r="CC82" s="219">
        <f t="shared" si="50"/>
        <v>162775.843261315</v>
      </c>
      <c r="CD82" s="219">
        <f t="shared" si="50"/>
        <v>287749.493477708</v>
      </c>
      <c r="CE82" s="219">
        <f t="shared" si="50"/>
        <v>151667.278570658</v>
      </c>
      <c r="CF82" s="219">
        <f t="shared" si="50"/>
        <v>225137.409021462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第十一期!Y11*第十一期!CQ58</f>
        <v>0</v>
      </c>
      <c r="CR82" s="65">
        <f>第十一期!Z11*第十一期!CR58</f>
        <v>0</v>
      </c>
      <c r="CS82" s="65">
        <f>第十一期!AA11*第十一期!CS58</f>
        <v>54720</v>
      </c>
      <c r="CT82" s="65">
        <f>第十一期!AB11*第十一期!CT58</f>
        <v>0</v>
      </c>
      <c r="CU82" s="65">
        <f>SUM(CQ82:CT82)</f>
        <v>54720</v>
      </c>
    </row>
    <row r="83" ht="18.75" customHeight="1" spans="2:99">
      <c r="B83" s="7"/>
      <c r="C83" s="25">
        <v>11</v>
      </c>
      <c r="D83" s="19">
        <v>0.0507</v>
      </c>
      <c r="E83" s="19">
        <v>0.0498</v>
      </c>
      <c r="F83" s="19">
        <v>0.0465</v>
      </c>
      <c r="G83" s="19">
        <v>0.0494</v>
      </c>
      <c r="H83" s="19">
        <v>0.0467</v>
      </c>
      <c r="I83" s="19">
        <v>0.0495</v>
      </c>
      <c r="J83" s="19">
        <v>0.0607</v>
      </c>
      <c r="K83" s="19">
        <v>0.0593</v>
      </c>
      <c r="L83" s="19">
        <v>0.0446</v>
      </c>
      <c r="M83" s="19">
        <v>0.0514</v>
      </c>
      <c r="N83" s="19">
        <v>0.0709</v>
      </c>
      <c r="O83" s="19">
        <v>0.0713</v>
      </c>
      <c r="P83" s="19">
        <v>0.0614</v>
      </c>
      <c r="Q83" s="19">
        <v>0.0611</v>
      </c>
      <c r="R83" s="19">
        <v>0.1019</v>
      </c>
      <c r="S83" s="19">
        <v>0.1073</v>
      </c>
      <c r="T83" s="10"/>
      <c r="X83" s="11" t="s">
        <v>56</v>
      </c>
      <c r="Y83" s="286">
        <f>(Y77-AT54)/AT78</f>
        <v>0.338784570472449</v>
      </c>
      <c r="Z83" s="286">
        <f>(Z77-AX54)/AX78</f>
        <v>1.68686829616305</v>
      </c>
      <c r="AA83" s="286">
        <f>(AA77-BB54)/BB78</f>
        <v>-0.112172674920286</v>
      </c>
      <c r="AB83" s="286">
        <f>(AB77-BF54)/BF78</f>
        <v>0.41188896669335</v>
      </c>
      <c r="AE83" s="42" t="s">
        <v>365</v>
      </c>
      <c r="AF83" s="285">
        <f>SUMPRODUCT(Y96:Y99,AF64:AF67)/SUM(AF64:AF67)</f>
        <v>14.4169979575047</v>
      </c>
      <c r="AG83" s="285">
        <f>SUMPRODUCT(Z96:Z99,AG64:AG67)/SUM(AG64:AG67)</f>
        <v>11.3001465722381</v>
      </c>
      <c r="AH83" s="285">
        <f>SUMPRODUCT(AA96:AA99,AH64:AH67)/SUM(AH64:AH67)</f>
        <v>11.3112730444678</v>
      </c>
      <c r="AI83" s="285">
        <f>SUMPRODUCT(AB96:AB99,AI64:AI67)/SUM(AI64:AI67)</f>
        <v>9.22568626041206</v>
      </c>
      <c r="AR83" s="185">
        <v>2</v>
      </c>
      <c r="AS83" s="308">
        <f t="shared" si="51"/>
        <v>1.10198888915025</v>
      </c>
      <c r="AT83" s="309">
        <f t="shared" si="51"/>
        <v>0.903743296075706</v>
      </c>
      <c r="AU83" s="309">
        <f t="shared" si="51"/>
        <v>0.874813836487254</v>
      </c>
      <c r="AV83" s="310">
        <f t="shared" si="51"/>
        <v>0.507471839645356</v>
      </c>
      <c r="AW83" s="308">
        <f t="shared" si="51"/>
        <v>-0.826351242644913</v>
      </c>
      <c r="AX83" s="309">
        <f t="shared" si="51"/>
        <v>-1.09720995216768</v>
      </c>
      <c r="AY83" s="309">
        <f t="shared" si="51"/>
        <v>-1.08120770412795</v>
      </c>
      <c r="AZ83" s="310">
        <f t="shared" si="51"/>
        <v>-1.06834669841208</v>
      </c>
      <c r="BA83" s="308">
        <f t="shared" si="51"/>
        <v>1.0425748195694</v>
      </c>
      <c r="BB83" s="309">
        <f t="shared" si="51"/>
        <v>1.33318660395201</v>
      </c>
      <c r="BC83" s="309">
        <f t="shared" si="51"/>
        <v>0.112479435348571</v>
      </c>
      <c r="BD83" s="310">
        <f t="shared" si="51"/>
        <v>-0.373560451258845</v>
      </c>
      <c r="BE83" s="308">
        <f t="shared" si="51"/>
        <v>1.21071956214784</v>
      </c>
      <c r="BF83" s="309">
        <f t="shared" si="51"/>
        <v>0.542413965561925</v>
      </c>
      <c r="BG83" s="309">
        <f t="shared" si="51"/>
        <v>1.46343763468218</v>
      </c>
      <c r="BH83" s="310">
        <f t="shared" si="51"/>
        <v>-0.00622760808398165</v>
      </c>
      <c r="BI83" s="319">
        <f t="shared" ref="BI83:BI101" si="52">IF(AS83="","",AVERAGE(AS83:BH83))</f>
        <v>0.289995389120315</v>
      </c>
      <c r="BR83" s="209" t="s">
        <v>366</v>
      </c>
      <c r="BS83" s="130">
        <f>第十一期!K13</f>
        <v>0</v>
      </c>
      <c r="BT83" s="130"/>
      <c r="BU83" s="130"/>
      <c r="BV83" s="130">
        <f>BV82+BS83</f>
        <v>7239698.3775</v>
      </c>
      <c r="BW83" s="126"/>
      <c r="CB83" s="219"/>
      <c r="CC83" s="219">
        <f t="shared" si="50"/>
        <v>258996.588417155</v>
      </c>
      <c r="CD83" s="219">
        <f t="shared" si="50"/>
        <v>490735.318224241</v>
      </c>
      <c r="CE83" s="219">
        <f t="shared" si="50"/>
        <v>231395.560987885</v>
      </c>
      <c r="CF83" s="219">
        <f t="shared" si="50"/>
        <v>364661.747366718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第十一期!Y12*第十一期!CQ59</f>
        <v>0</v>
      </c>
      <c r="CR83" s="65">
        <f>第十一期!Z12*第十一期!CR59</f>
        <v>0</v>
      </c>
      <c r="CS83" s="65">
        <f>第十一期!AA12*第十一期!CS59</f>
        <v>27560</v>
      </c>
      <c r="CT83" s="65">
        <f>第十一期!AB12*第十一期!CT59</f>
        <v>55640</v>
      </c>
      <c r="CU83" s="65">
        <f>SUM(CQ83:CT83)</f>
        <v>83200</v>
      </c>
    </row>
    <row r="84" ht="18.75" customHeight="1" spans="2:99">
      <c r="B84" s="7"/>
      <c r="C84" s="25">
        <v>12</v>
      </c>
      <c r="D84" s="19">
        <v>0.0492</v>
      </c>
      <c r="E84" s="19">
        <v>0.0615</v>
      </c>
      <c r="F84" s="19">
        <v>0.0512</v>
      </c>
      <c r="G84" s="19">
        <v>0.0622</v>
      </c>
      <c r="H84" s="19">
        <v>0.07</v>
      </c>
      <c r="I84" s="19">
        <v>0.0723</v>
      </c>
      <c r="J84" s="19">
        <v>0.0969</v>
      </c>
      <c r="K84" s="19">
        <v>0.0964</v>
      </c>
      <c r="L84" s="19">
        <v>0.0539</v>
      </c>
      <c r="M84" s="19">
        <v>0.0552</v>
      </c>
      <c r="N84" s="19">
        <v>0.0782</v>
      </c>
      <c r="O84" s="19">
        <v>0.0747</v>
      </c>
      <c r="P84" s="19">
        <v>0</v>
      </c>
      <c r="Q84" s="19">
        <v>0</v>
      </c>
      <c r="R84" s="19">
        <v>0</v>
      </c>
      <c r="S84" s="19">
        <v>0</v>
      </c>
      <c r="T84" s="10"/>
      <c r="X84" s="11" t="s">
        <v>57</v>
      </c>
      <c r="Y84" s="286">
        <f>(Y78-AU54)/AU78</f>
        <v>0.728594273315425</v>
      </c>
      <c r="Z84" s="286">
        <f>(Z78-AY54)/AY78</f>
        <v>2.43424613421865</v>
      </c>
      <c r="AA84" s="286">
        <f>(AA78-BC54)/BC78</f>
        <v>0.492337411308017</v>
      </c>
      <c r="AB84" s="286">
        <f>(AB78-BG54)/BG78</f>
        <v>1.7726426118868</v>
      </c>
      <c r="AF84" s="114">
        <f>AF80/SUMPRODUCT(AF76:AF79,AF64:AF67)</f>
        <v>0.0329646614513083</v>
      </c>
      <c r="AG84" s="114">
        <f>AG80/SUMPRODUCT(AG76:AG79,AG64:AG67)</f>
        <v>0.0329661982529434</v>
      </c>
      <c r="AH84" s="114">
        <f>AH80/SUMPRODUCT(AH76:AH79,AH64:AH67)</f>
        <v>0.0329575546644473</v>
      </c>
      <c r="AI84" s="114">
        <f>AI80/SUMPRODUCT(AI76:AI79,AI64:AI67)</f>
        <v>0.0349538562953197</v>
      </c>
      <c r="AJ84" s="48"/>
      <c r="AK84" s="2" t="s">
        <v>367</v>
      </c>
      <c r="AL84" s="48"/>
      <c r="AR84" s="185">
        <v>3</v>
      </c>
      <c r="AS84" s="308">
        <f t="shared" si="51"/>
        <v>-0.463784113056341</v>
      </c>
      <c r="AT84" s="309">
        <f t="shared" si="51"/>
        <v>-0.396188281704691</v>
      </c>
      <c r="AU84" s="309">
        <f t="shared" si="51"/>
        <v>0.0299729138254294</v>
      </c>
      <c r="AV84" s="310">
        <f t="shared" si="51"/>
        <v>0.400016206130089</v>
      </c>
      <c r="AW84" s="308">
        <f t="shared" si="51"/>
        <v>-0.744842229742884</v>
      </c>
      <c r="AX84" s="309">
        <f t="shared" si="51"/>
        <v>-0.772595561870144</v>
      </c>
      <c r="AY84" s="309">
        <f t="shared" si="51"/>
        <v>0.162102209737827</v>
      </c>
      <c r="AZ84" s="310">
        <f t="shared" si="51"/>
        <v>-0.137863109672273</v>
      </c>
      <c r="BA84" s="308">
        <f t="shared" si="51"/>
        <v>-1.81279742215584</v>
      </c>
      <c r="BB84" s="309">
        <f t="shared" si="51"/>
        <v>-1.83403546801163</v>
      </c>
      <c r="BC84" s="309">
        <f t="shared" si="51"/>
        <v>-0.486150612725055</v>
      </c>
      <c r="BD84" s="310">
        <f t="shared" si="51"/>
        <v>-0.320288916708467</v>
      </c>
      <c r="BE84" s="308">
        <f t="shared" si="51"/>
        <v>-1.35943201574814</v>
      </c>
      <c r="BF84" s="309">
        <f t="shared" si="51"/>
        <v>-1.28319646710078</v>
      </c>
      <c r="BG84" s="309">
        <f t="shared" si="51"/>
        <v>-0.00917052085610417</v>
      </c>
      <c r="BH84" s="310">
        <f t="shared" si="51"/>
        <v>0.27995270758922</v>
      </c>
      <c r="BI84" s="319">
        <f t="shared" si="52"/>
        <v>-0.546768792629362</v>
      </c>
      <c r="BR84" s="209" t="s">
        <v>258</v>
      </c>
      <c r="BS84" s="130">
        <f>第十一期!K13*比赛参数!D70/4</f>
        <v>0</v>
      </c>
      <c r="BT84" s="329">
        <f>BT77+BS84</f>
        <v>7476491.4</v>
      </c>
      <c r="BU84" s="130"/>
      <c r="BV84" s="130">
        <f>BV83+BS84</f>
        <v>7239698.3775</v>
      </c>
      <c r="BW84" s="126"/>
      <c r="CB84" s="219"/>
      <c r="CC84" s="219">
        <f t="shared" si="50"/>
        <v>267504.313908761</v>
      </c>
      <c r="CD84" s="219">
        <f t="shared" si="50"/>
        <v>462965.12715819</v>
      </c>
      <c r="CE84" s="219">
        <f t="shared" si="50"/>
        <v>251713.631592192</v>
      </c>
      <c r="CF84" s="219">
        <f t="shared" si="50"/>
        <v>349296.902254017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111250</v>
      </c>
      <c r="CR84" s="65">
        <f>SUM(CR80:CR83)</f>
        <v>0</v>
      </c>
      <c r="CS84" s="65">
        <f>SUM(CS80:CS83)</f>
        <v>111280</v>
      </c>
      <c r="CT84" s="65">
        <f>SUM(CT80:CT83)</f>
        <v>55640</v>
      </c>
      <c r="CU84" s="65">
        <f>SUM(CU80:CU83)</f>
        <v>278170</v>
      </c>
    </row>
    <row r="85" ht="18.75" customHeight="1" spans="2:99">
      <c r="B85" s="7"/>
      <c r="C85" s="25">
        <v>13</v>
      </c>
      <c r="D85" s="19">
        <v>0.0356</v>
      </c>
      <c r="E85" s="19">
        <v>0.0381</v>
      </c>
      <c r="F85" s="19">
        <v>0.033</v>
      </c>
      <c r="G85" s="19">
        <v>0.0463</v>
      </c>
      <c r="H85" s="19">
        <v>0.0319</v>
      </c>
      <c r="I85" s="19">
        <v>0.033</v>
      </c>
      <c r="J85" s="19">
        <v>0.0469</v>
      </c>
      <c r="K85" s="19">
        <v>0.054</v>
      </c>
      <c r="L85" s="19">
        <v>0.0669</v>
      </c>
      <c r="M85" s="19">
        <v>0.0686</v>
      </c>
      <c r="N85" s="19">
        <v>0.0655</v>
      </c>
      <c r="O85" s="19">
        <v>0.0679</v>
      </c>
      <c r="P85" s="19">
        <v>0.0588</v>
      </c>
      <c r="Q85" s="19">
        <v>0.0585</v>
      </c>
      <c r="R85" s="19">
        <v>0.0909</v>
      </c>
      <c r="S85" s="19">
        <v>0.0838</v>
      </c>
      <c r="T85" s="10"/>
      <c r="X85" s="11" t="s">
        <v>58</v>
      </c>
      <c r="Y85" s="286">
        <f>(Y79-AV54)/AV78</f>
        <v>0.773737974374352</v>
      </c>
      <c r="Z85" s="286">
        <f>(Z79-AZ54)/AZ78</f>
        <v>2.24366306689317</v>
      </c>
      <c r="AA85" s="286">
        <f>(AA79-BD54)/BD78</f>
        <v>0.532353569377805</v>
      </c>
      <c r="AB85" s="286">
        <f>(AB79-BH54)/BH78</f>
        <v>1.43326053231088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>
        <f t="shared" si="51"/>
        <v>2.60785405475067</v>
      </c>
      <c r="AT85" s="309">
        <f t="shared" si="51"/>
        <v>2.68470682334312</v>
      </c>
      <c r="AU85" s="309">
        <f t="shared" si="51"/>
        <v>1.92617142913308</v>
      </c>
      <c r="AV85" s="310">
        <f t="shared" si="51"/>
        <v>2.48814054389973</v>
      </c>
      <c r="AW85" s="308">
        <f t="shared" si="51"/>
        <v>-0.327108538619985</v>
      </c>
      <c r="AX85" s="309">
        <f t="shared" si="51"/>
        <v>-0.346802660311038</v>
      </c>
      <c r="AY85" s="309">
        <f t="shared" si="51"/>
        <v>-0.0512271052418236</v>
      </c>
      <c r="AZ85" s="310">
        <f t="shared" si="51"/>
        <v>0.0131210198213555</v>
      </c>
      <c r="BA85" s="308">
        <f t="shared" si="51"/>
        <v>1.10690110286233</v>
      </c>
      <c r="BB85" s="309">
        <f t="shared" si="51"/>
        <v>1.12710023625575</v>
      </c>
      <c r="BC85" s="309">
        <f t="shared" si="51"/>
        <v>0.983486155295696</v>
      </c>
      <c r="BD85" s="310">
        <f t="shared" si="51"/>
        <v>1.11804251615175</v>
      </c>
      <c r="BE85" s="308">
        <f t="shared" si="51"/>
        <v>0.58584127153888</v>
      </c>
      <c r="BF85" s="309">
        <f t="shared" si="51"/>
        <v>0.542413965561925</v>
      </c>
      <c r="BG85" s="309">
        <f t="shared" si="51"/>
        <v>0.999734684942074</v>
      </c>
      <c r="BH85" s="310">
        <f t="shared" si="51"/>
        <v>1.14399712221792</v>
      </c>
      <c r="BI85" s="319">
        <f t="shared" si="52"/>
        <v>1.03764828885009</v>
      </c>
      <c r="BR85" s="209" t="s">
        <v>370</v>
      </c>
      <c r="BS85" s="130">
        <f>第十一期!AH14</f>
        <v>301498</v>
      </c>
      <c r="BT85" s="130"/>
      <c r="BU85" s="130"/>
      <c r="BV85" s="130">
        <f t="shared" ref="BV85:BV90" si="53">BV84-BS85</f>
        <v>6938200.3775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>
        <v>0.0114</v>
      </c>
      <c r="E86" s="19">
        <v>0.0139</v>
      </c>
      <c r="F86" s="19">
        <v>0.0124</v>
      </c>
      <c r="G86" s="19">
        <v>0.0152</v>
      </c>
      <c r="H86" s="19">
        <v>0.0172</v>
      </c>
      <c r="I86" s="19">
        <v>0.0152</v>
      </c>
      <c r="J86" s="19">
        <v>0.0256</v>
      </c>
      <c r="K86" s="19">
        <v>0.0275</v>
      </c>
      <c r="L86" s="19">
        <v>0.0539</v>
      </c>
      <c r="M86" s="19">
        <v>0.0362</v>
      </c>
      <c r="N86" s="19">
        <v>0.0273</v>
      </c>
      <c r="O86" s="19">
        <v>0.034</v>
      </c>
      <c r="P86" s="19">
        <v>0.0563</v>
      </c>
      <c r="Q86" s="19">
        <v>0.0483</v>
      </c>
      <c r="R86" s="19">
        <v>0.0578</v>
      </c>
      <c r="S86" s="19">
        <v>0.0524</v>
      </c>
      <c r="T86" s="10"/>
      <c r="Y86" s="2">
        <f>AVERAGE(Y82:Y85)</f>
        <v>0.555482429989434</v>
      </c>
      <c r="Z86" s="2">
        <f>AVERAGE(Z82:Z85)</f>
        <v>1.9683435231485</v>
      </c>
      <c r="AA86" s="2">
        <f>AVERAGE(AA82:AA85)</f>
        <v>0.139900839695134</v>
      </c>
      <c r="AB86" s="2">
        <f>AVERAGE(AB82:AB85)</f>
        <v>1.01595393394387</v>
      </c>
      <c r="AE86" s="47" t="s">
        <v>55</v>
      </c>
      <c r="AF86" s="131">
        <f>第十一期!DS33</f>
        <v>3350</v>
      </c>
      <c r="AG86" s="131">
        <f>第十一期!DW33</f>
        <v>6950</v>
      </c>
      <c r="AH86" s="131">
        <f>第十一期!EA33</f>
        <v>10150</v>
      </c>
      <c r="AI86" s="131">
        <f>第十一期!EE33</f>
        <v>12700</v>
      </c>
      <c r="AJ86" s="64" t="s">
        <v>55</v>
      </c>
      <c r="AK86" s="108">
        <f t="shared" ref="AK86:AN89" si="54">AF76-AF86</f>
        <v>-120</v>
      </c>
      <c r="AL86" s="108">
        <f t="shared" si="54"/>
        <v>-200</v>
      </c>
      <c r="AM86" s="108">
        <f t="shared" si="54"/>
        <v>50</v>
      </c>
      <c r="AN86" s="108">
        <f t="shared" si="54"/>
        <v>400</v>
      </c>
      <c r="AR86" s="185">
        <v>5</v>
      </c>
      <c r="AS86" s="308">
        <f t="shared" si="51"/>
        <v>0.462064270857121</v>
      </c>
      <c r="AT86" s="309">
        <f t="shared" si="51"/>
        <v>0.419848061175074</v>
      </c>
      <c r="AU86" s="309">
        <f t="shared" si="51"/>
        <v>0.674555247411858</v>
      </c>
      <c r="AV86" s="310">
        <f t="shared" si="51"/>
        <v>0.879210247481954</v>
      </c>
      <c r="AW86" s="308">
        <f t="shared" si="51"/>
        <v>0.341944608950837</v>
      </c>
      <c r="AX86" s="309">
        <f t="shared" si="51"/>
        <v>0.403604631545603</v>
      </c>
      <c r="AY86" s="309">
        <f t="shared" si="51"/>
        <v>0.942087517632173</v>
      </c>
      <c r="AZ86" s="310">
        <f t="shared" si="51"/>
        <v>0.571411173065237</v>
      </c>
      <c r="BA86" s="308">
        <f t="shared" si="51"/>
        <v>-0.683513782124334</v>
      </c>
      <c r="BB86" s="309">
        <f t="shared" si="51"/>
        <v>-0.593901711523584</v>
      </c>
      <c r="BC86" s="309">
        <f t="shared" si="51"/>
        <v>-0.486150612725055</v>
      </c>
      <c r="BD86" s="310">
        <f t="shared" si="51"/>
        <v>-0.21374584760771</v>
      </c>
      <c r="BE86" s="308">
        <f t="shared" si="51"/>
        <v>0.65376282486594</v>
      </c>
      <c r="BF86" s="309">
        <f t="shared" si="51"/>
        <v>0.606425551559917</v>
      </c>
      <c r="BG86" s="309">
        <f t="shared" si="51"/>
        <v>0.766478049618261</v>
      </c>
      <c r="BH86" s="310">
        <f t="shared" si="51"/>
        <v>0.640429835985272</v>
      </c>
      <c r="BI86" s="319">
        <f t="shared" si="52"/>
        <v>0.336531879135535</v>
      </c>
      <c r="BR86" s="209" t="s">
        <v>371</v>
      </c>
      <c r="BS86" s="130">
        <f>第十一期!AH14*比赛参数!D69/4</f>
        <v>6783.705</v>
      </c>
      <c r="BT86" s="130"/>
      <c r="BU86" s="329">
        <f>BU82+BS86</f>
        <v>6179815.40365385</v>
      </c>
      <c r="BV86" s="130">
        <f t="shared" si="53"/>
        <v>6931416.6725</v>
      </c>
      <c r="BW86" s="126"/>
      <c r="CB86" s="196" t="s">
        <v>372</v>
      </c>
      <c r="CC86" s="108">
        <f>IF(SUM(AF64:AF67)&gt;0,SUM(CC81:CC84)/SUM(AF64:AF67),0)</f>
        <v>1967.03583643344</v>
      </c>
      <c r="CD86" s="108">
        <f>IF(SUM(AG64:AG67)&gt;0,SUM(CD81:CD84)/SUM(AG64:AG67),0)</f>
        <v>4103.91072536154</v>
      </c>
      <c r="CE86" s="108">
        <f>IF(SUM(AH64:AH67)&gt;0,SUM(CE81:CE84)/SUM(AH64:AH67),0)</f>
        <v>6027.49749310224</v>
      </c>
      <c r="CF86" s="108">
        <f>IF(SUM(AI64:AI67)&gt;0,SUM(CF81:CF84)/SUM(AI64:AI67),0)</f>
        <v>8587.93726223278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>
        <v>0.0295</v>
      </c>
      <c r="E87" s="19">
        <v>0.0505</v>
      </c>
      <c r="F87" s="19">
        <v>0.063</v>
      </c>
      <c r="G87" s="19">
        <v>0.0615</v>
      </c>
      <c r="H87" s="19">
        <v>0.1437</v>
      </c>
      <c r="I87" s="19">
        <v>0.085</v>
      </c>
      <c r="J87" s="19">
        <v>0</v>
      </c>
      <c r="K87" s="19">
        <v>0</v>
      </c>
      <c r="L87" s="19">
        <v>0.0669</v>
      </c>
      <c r="M87" s="19">
        <v>0.04</v>
      </c>
      <c r="N87" s="19">
        <v>0</v>
      </c>
      <c r="O87" s="19">
        <v>0</v>
      </c>
      <c r="P87" s="19">
        <v>0.0256</v>
      </c>
      <c r="Q87" s="19">
        <v>0.0127</v>
      </c>
      <c r="R87" s="19">
        <v>0</v>
      </c>
      <c r="S87" s="19">
        <v>0</v>
      </c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第十一期!DT33</f>
        <v>3350</v>
      </c>
      <c r="AG87" s="131">
        <f>第十一期!DX33</f>
        <v>6950</v>
      </c>
      <c r="AH87" s="131">
        <f>第十一期!EB33</f>
        <v>10150</v>
      </c>
      <c r="AI87" s="131">
        <f>第十一期!EF33</f>
        <v>12700</v>
      </c>
      <c r="AJ87" s="11" t="s">
        <v>56</v>
      </c>
      <c r="AK87" s="108">
        <f t="shared" si="54"/>
        <v>-120</v>
      </c>
      <c r="AL87" s="108">
        <f t="shared" si="54"/>
        <v>-200</v>
      </c>
      <c r="AM87" s="108">
        <f t="shared" si="54"/>
        <v>50</v>
      </c>
      <c r="AN87" s="108">
        <f t="shared" si="54"/>
        <v>400</v>
      </c>
      <c r="AR87" s="185">
        <v>6</v>
      </c>
      <c r="AS87" s="308">
        <f t="shared" si="51"/>
        <v>-1.14455498358095</v>
      </c>
      <c r="AT87" s="309">
        <f t="shared" si="51"/>
        <v>-1.23513090789336</v>
      </c>
      <c r="AU87" s="309">
        <f t="shared" si="51"/>
        <v>-1.27796599607325</v>
      </c>
      <c r="AV87" s="310">
        <f t="shared" si="51"/>
        <v>-1.10436266308364</v>
      </c>
      <c r="AW87" s="308">
        <f t="shared" si="51"/>
        <v>-0.578427995067908</v>
      </c>
      <c r="AX87" s="309">
        <f t="shared" si="51"/>
        <v>-1.20260423473182</v>
      </c>
      <c r="AY87" s="309">
        <f t="shared" si="51"/>
        <v>-1.75452835453247</v>
      </c>
      <c r="AZ87" s="310">
        <f t="shared" si="51"/>
        <v>-1.84784615765825</v>
      </c>
      <c r="BA87" s="308">
        <f t="shared" si="51"/>
        <v>-1.88069738785394</v>
      </c>
      <c r="BB87" s="309">
        <f t="shared" si="51"/>
        <v>-1.83403546801163</v>
      </c>
      <c r="BC87" s="309">
        <f t="shared" si="51"/>
        <v>-1.41103403699881</v>
      </c>
      <c r="BD87" s="310">
        <f t="shared" si="51"/>
        <v>-1.64894366078849</v>
      </c>
      <c r="BE87" s="308">
        <f t="shared" si="51"/>
        <v>-1.43007043120828</v>
      </c>
      <c r="BF87" s="309">
        <f t="shared" si="51"/>
        <v>-1.34720805309877</v>
      </c>
      <c r="BG87" s="309">
        <f t="shared" si="51"/>
        <v>-1.47896835548688</v>
      </c>
      <c r="BH87" s="310">
        <f t="shared" si="51"/>
        <v>-1.44813612166819</v>
      </c>
      <c r="BI87" s="319">
        <f t="shared" si="52"/>
        <v>-1.41403217548354</v>
      </c>
      <c r="BR87" s="209" t="s">
        <v>376</v>
      </c>
      <c r="BS87" s="130">
        <f>IF(第十一期!BW92&gt;0,IF((第十一期!K15+第十一期!BW92*比赛参数!D72)&gt;0,第十一期!K15+第十一期!BW92*比赛参数!D72,0))</f>
        <v>389002.798903846</v>
      </c>
      <c r="BT87" s="130"/>
      <c r="BU87" s="130"/>
      <c r="BV87" s="130">
        <f t="shared" si="53"/>
        <v>6542413.87359615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0.386516853932584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0.154581730596398</v>
      </c>
    </row>
    <row r="88" ht="18.75" customHeight="1" spans="2:99">
      <c r="B88" s="7"/>
      <c r="C88" s="25">
        <v>16</v>
      </c>
      <c r="D88" s="19">
        <v>0.0583</v>
      </c>
      <c r="E88" s="19">
        <v>0.0498</v>
      </c>
      <c r="F88" s="19">
        <v>0.0565</v>
      </c>
      <c r="G88" s="19">
        <v>0.0524</v>
      </c>
      <c r="H88" s="19">
        <v>0.0528</v>
      </c>
      <c r="I88" s="19">
        <v>0.0584</v>
      </c>
      <c r="J88" s="19">
        <v>0.0873</v>
      </c>
      <c r="K88" s="19">
        <v>0.0816</v>
      </c>
      <c r="L88" s="19">
        <v>0.039</v>
      </c>
      <c r="M88" s="19">
        <v>0.04</v>
      </c>
      <c r="N88" s="19">
        <v>0.0527</v>
      </c>
      <c r="O88" s="19">
        <v>0.0645</v>
      </c>
      <c r="P88" s="19">
        <v>0.0537</v>
      </c>
      <c r="Q88" s="19">
        <v>0.0712</v>
      </c>
      <c r="R88" s="19">
        <v>0.0523</v>
      </c>
      <c r="S88" s="19">
        <v>0.1126</v>
      </c>
      <c r="T88" s="10"/>
      <c r="X88" s="64" t="s">
        <v>55</v>
      </c>
      <c r="Y88" s="101">
        <v>79</v>
      </c>
      <c r="Z88" s="101">
        <v>70</v>
      </c>
      <c r="AA88" s="101">
        <v>21</v>
      </c>
      <c r="AB88" s="101">
        <v>30</v>
      </c>
      <c r="AC88" s="288" t="s">
        <v>377</v>
      </c>
      <c r="AE88" s="11" t="s">
        <v>57</v>
      </c>
      <c r="AF88" s="131">
        <f>第十一期!DU33</f>
        <v>3730</v>
      </c>
      <c r="AG88" s="131">
        <f>第十一期!DY33</f>
        <v>7300</v>
      </c>
      <c r="AH88" s="131">
        <f>第十一期!EC33</f>
        <v>10200</v>
      </c>
      <c r="AI88" s="131">
        <f>第十一期!EG33</f>
        <v>13000</v>
      </c>
      <c r="AJ88" s="11" t="s">
        <v>57</v>
      </c>
      <c r="AK88" s="108">
        <f t="shared" si="54"/>
        <v>-250</v>
      </c>
      <c r="AL88" s="108">
        <f t="shared" si="54"/>
        <v>-300</v>
      </c>
      <c r="AM88" s="108">
        <f t="shared" si="54"/>
        <v>100</v>
      </c>
      <c r="AN88" s="108">
        <f t="shared" si="54"/>
        <v>500</v>
      </c>
      <c r="AR88" s="185">
        <v>7</v>
      </c>
      <c r="AS88" s="308">
        <f t="shared" si="51"/>
        <v>-0.0308138394026926</v>
      </c>
      <c r="AT88" s="309">
        <f t="shared" si="51"/>
        <v>-0.0812268862072379</v>
      </c>
      <c r="AU88" s="309">
        <f t="shared" si="51"/>
        <v>0.893588079213072</v>
      </c>
      <c r="AV88" s="310">
        <f t="shared" si="51"/>
        <v>-0.2185797381605</v>
      </c>
      <c r="AW88" s="308">
        <f t="shared" si="51"/>
        <v>-0.452768266843946</v>
      </c>
      <c r="AX88" s="309">
        <f t="shared" si="51"/>
        <v>0.778808277473924</v>
      </c>
      <c r="AY88" s="309">
        <f t="shared" si="51"/>
        <v>0.695425497186952</v>
      </c>
      <c r="AZ88" s="310">
        <f t="shared" si="51"/>
        <v>0.645147608399335</v>
      </c>
      <c r="BA88" s="308">
        <f t="shared" si="51"/>
        <v>0.974674853871298</v>
      </c>
      <c r="BB88" s="309">
        <f t="shared" si="51"/>
        <v>0.852318412660728</v>
      </c>
      <c r="BC88" s="309">
        <f t="shared" si="51"/>
        <v>0.00173287645494993</v>
      </c>
      <c r="BD88" s="310">
        <f t="shared" si="51"/>
        <v>0.212426428795317</v>
      </c>
      <c r="BE88" s="308">
        <f t="shared" si="51"/>
        <v>1.1400811466877</v>
      </c>
      <c r="BF88" s="309">
        <f t="shared" si="51"/>
        <v>0.998176457867623</v>
      </c>
      <c r="BG88" s="309">
        <f t="shared" si="51"/>
        <v>0.378653764381079</v>
      </c>
      <c r="BH88" s="310">
        <f t="shared" si="51"/>
        <v>0.35149778650752</v>
      </c>
      <c r="BI88" s="319">
        <f t="shared" si="52"/>
        <v>0.44619640368032</v>
      </c>
      <c r="BR88" s="209" t="s">
        <v>282</v>
      </c>
      <c r="BS88" s="130">
        <f>第十一期!AF18*比赛参数!D30</f>
        <v>3120000</v>
      </c>
      <c r="BT88" s="130"/>
      <c r="BU88" s="130"/>
      <c r="BV88" s="130">
        <f t="shared" si="53"/>
        <v>3422413.87359615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0.613483146067416</v>
      </c>
      <c r="CR88" s="65" t="e">
        <f>CR81/$CR$84</f>
        <v>#DIV/0!</v>
      </c>
      <c r="CS88" s="65">
        <f>CS81/$CS$84</f>
        <v>0.260603882099209</v>
      </c>
      <c r="CT88" s="65">
        <f>CT81/$CT$84</f>
        <v>0</v>
      </c>
      <c r="CU88" s="65">
        <f>CU81/$CU$84</f>
        <v>0.349606355825574</v>
      </c>
    </row>
    <row r="89" ht="18.75" customHeight="1" spans="2:99">
      <c r="B89" s="7"/>
      <c r="C89" s="25">
        <v>17</v>
      </c>
      <c r="D89" s="19">
        <v>0.0288</v>
      </c>
      <c r="E89" s="19">
        <v>0.0271</v>
      </c>
      <c r="F89" s="19">
        <v>0.0241</v>
      </c>
      <c r="G89" s="19">
        <v>0.0286</v>
      </c>
      <c r="H89" s="19">
        <v>0.0713</v>
      </c>
      <c r="I89" s="19">
        <v>0.0799</v>
      </c>
      <c r="J89" s="19">
        <v>0.0927</v>
      </c>
      <c r="K89" s="19">
        <v>0.0922</v>
      </c>
      <c r="L89" s="19">
        <v>0.0446</v>
      </c>
      <c r="M89" s="19">
        <v>0.0457</v>
      </c>
      <c r="N89" s="19">
        <v>0.0509</v>
      </c>
      <c r="O89" s="19">
        <v>0.0475</v>
      </c>
      <c r="P89" s="19">
        <v>0.0435</v>
      </c>
      <c r="Q89" s="19">
        <v>0.0433</v>
      </c>
      <c r="R89" s="19">
        <v>0.0386</v>
      </c>
      <c r="S89" s="19">
        <v>0.0366</v>
      </c>
      <c r="T89" s="10"/>
      <c r="X89" s="11" t="s">
        <v>56</v>
      </c>
      <c r="Y89" s="101">
        <v>80</v>
      </c>
      <c r="Z89" s="101">
        <v>64</v>
      </c>
      <c r="AA89" s="101">
        <v>26</v>
      </c>
      <c r="AB89" s="101">
        <v>30</v>
      </c>
      <c r="AC89" s="288" t="s">
        <v>378</v>
      </c>
      <c r="AE89" s="11" t="s">
        <v>58</v>
      </c>
      <c r="AF89" s="131">
        <f>第十一期!DV33</f>
        <v>3800</v>
      </c>
      <c r="AG89" s="131">
        <f>第十一期!DZ33</f>
        <v>7400</v>
      </c>
      <c r="AH89" s="131">
        <f>第十一期!ED33</f>
        <v>10400</v>
      </c>
      <c r="AI89" s="131">
        <f>第十一期!EH33</f>
        <v>13150</v>
      </c>
      <c r="AJ89" s="11" t="s">
        <v>58</v>
      </c>
      <c r="AK89" s="108">
        <f t="shared" si="54"/>
        <v>-220</v>
      </c>
      <c r="AL89" s="108">
        <f t="shared" si="54"/>
        <v>-300</v>
      </c>
      <c r="AM89" s="108">
        <f t="shared" si="54"/>
        <v>100</v>
      </c>
      <c r="AN89" s="108">
        <f t="shared" si="54"/>
        <v>500</v>
      </c>
      <c r="AR89" s="185">
        <v>8</v>
      </c>
      <c r="AS89" s="308">
        <f t="shared" si="51"/>
        <v>0.854188292279293</v>
      </c>
      <c r="AT89" s="309">
        <f t="shared" si="51"/>
        <v>0.694723460881942</v>
      </c>
      <c r="AU89" s="309">
        <f t="shared" si="51"/>
        <v>-0.210963201155906</v>
      </c>
      <c r="AV89" s="310">
        <f t="shared" si="51"/>
        <v>-0.0588483910432114</v>
      </c>
      <c r="AW89" s="308">
        <f t="shared" si="51"/>
        <v>1.00760154765074</v>
      </c>
      <c r="AX89" s="309">
        <f t="shared" si="51"/>
        <v>1.41960551546387</v>
      </c>
      <c r="AY89" s="309">
        <f t="shared" si="51"/>
        <v>0.625426815709255</v>
      </c>
      <c r="AZ89" s="310">
        <f t="shared" si="51"/>
        <v>0.645147608399335</v>
      </c>
      <c r="BA89" s="308">
        <f t="shared" si="51"/>
        <v>1.90383227921368</v>
      </c>
      <c r="BB89" s="309">
        <f t="shared" si="51"/>
        <v>2.02375671325002</v>
      </c>
      <c r="BC89" s="309">
        <f t="shared" si="51"/>
        <v>1.58211620336932</v>
      </c>
      <c r="BD89" s="310">
        <f t="shared" si="51"/>
        <v>1.33112865435326</v>
      </c>
      <c r="BE89" s="308">
        <f t="shared" si="51"/>
        <v>-0.38679537210463</v>
      </c>
      <c r="BF89" s="309">
        <f t="shared" si="51"/>
        <v>-0.305099433051478</v>
      </c>
      <c r="BG89" s="309">
        <f t="shared" si="51"/>
        <v>-1.47896835548688</v>
      </c>
      <c r="BH89" s="310">
        <f t="shared" si="51"/>
        <v>-1.44813612166819</v>
      </c>
      <c r="BI89" s="319">
        <f t="shared" si="52"/>
        <v>0.512419763503777</v>
      </c>
      <c r="BR89" s="209" t="s">
        <v>238</v>
      </c>
      <c r="BS89" s="130">
        <f>第十一期!AJ18</f>
        <v>0</v>
      </c>
      <c r="BT89" s="130"/>
      <c r="BU89" s="130"/>
      <c r="BV89" s="130">
        <f t="shared" si="53"/>
        <v>3422413.87359615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</v>
      </c>
      <c r="CR89" s="65" t="e">
        <f>CR82/$CR$84</f>
        <v>#DIV/0!</v>
      </c>
      <c r="CS89" s="65">
        <f>CS82/$CS$84</f>
        <v>0.491732566498922</v>
      </c>
      <c r="CT89" s="65">
        <f>CT82/$CT$84</f>
        <v>0</v>
      </c>
      <c r="CU89" s="65">
        <f>CU82/$CU$84</f>
        <v>0.196714239493835</v>
      </c>
    </row>
    <row r="90" ht="18.75" customHeight="1" spans="2:99">
      <c r="B90" s="7"/>
      <c r="C90" s="25">
        <v>18</v>
      </c>
      <c r="D90" s="19">
        <v>0.0204</v>
      </c>
      <c r="E90" s="19">
        <v>0.0198</v>
      </c>
      <c r="F90" s="19">
        <v>0.0159</v>
      </c>
      <c r="G90" s="19">
        <v>0.0213</v>
      </c>
      <c r="H90" s="19">
        <v>0.0197</v>
      </c>
      <c r="I90" s="19">
        <v>0.0203</v>
      </c>
      <c r="J90" s="19">
        <v>0.0266</v>
      </c>
      <c r="K90" s="19">
        <v>0.0307</v>
      </c>
      <c r="L90" s="19">
        <v>0.0483</v>
      </c>
      <c r="M90" s="19">
        <v>0.059</v>
      </c>
      <c r="N90" s="19">
        <v>0</v>
      </c>
      <c r="O90" s="19">
        <v>0</v>
      </c>
      <c r="P90" s="19">
        <v>0.1534</v>
      </c>
      <c r="Q90" s="19">
        <v>0.173</v>
      </c>
      <c r="R90" s="19">
        <v>0</v>
      </c>
      <c r="S90" s="19">
        <v>0</v>
      </c>
      <c r="T90" s="10"/>
      <c r="X90" s="11" t="s">
        <v>57</v>
      </c>
      <c r="Y90" s="101">
        <v>120</v>
      </c>
      <c r="Z90" s="101">
        <v>112</v>
      </c>
      <c r="AA90" s="101">
        <v>40</v>
      </c>
      <c r="AB90" s="101">
        <v>49</v>
      </c>
      <c r="AC90" s="288" t="s">
        <v>379</v>
      </c>
      <c r="AF90" s="48">
        <f>SUMPRODUCT(AF64:AF67,AF76:AF79)/SUM(AF64:AF67)</f>
        <v>3408.73563218391</v>
      </c>
      <c r="AG90" s="48">
        <f>SUMPRODUCT(AG64:AG67,AG76:AG79)/SUM(AG64:AG67)</f>
        <v>6928.94736842105</v>
      </c>
      <c r="AH90" s="48">
        <f>SUMPRODUCT(AH64:AH67,AH76:AH79)/SUM(AH64:AH67)</f>
        <v>10325.78125</v>
      </c>
      <c r="AI90" s="48">
        <f>SUMPRODUCT(AI64:AI67,AI76:AI79)/SUM(AI64:AI67)</f>
        <v>13385.2941176471</v>
      </c>
      <c r="AR90" s="185">
        <v>9</v>
      </c>
      <c r="AS90" s="308">
        <f t="shared" si="51"/>
        <v>-0.918539054566777</v>
      </c>
      <c r="AT90" s="309">
        <f t="shared" si="51"/>
        <v>-0.983161791495398</v>
      </c>
      <c r="AU90" s="309">
        <f t="shared" si="51"/>
        <v>-0.761674321113243</v>
      </c>
      <c r="AV90" s="310">
        <f t="shared" si="51"/>
        <v>-0.642593859599119</v>
      </c>
      <c r="AW90" s="308">
        <f t="shared" si="51"/>
        <v>-0.201448810396023</v>
      </c>
      <c r="AX90" s="309">
        <f t="shared" si="51"/>
        <v>-0.186603350813553</v>
      </c>
      <c r="AY90" s="309">
        <f t="shared" si="51"/>
        <v>-1.00787575210369</v>
      </c>
      <c r="AZ90" s="310">
        <f t="shared" si="51"/>
        <v>-0.917362568918447</v>
      </c>
      <c r="BA90" s="308">
        <f t="shared" si="51"/>
        <v>-0.286835035151241</v>
      </c>
      <c r="BB90" s="309">
        <f t="shared" si="51"/>
        <v>-0.319119887928565</v>
      </c>
      <c r="BC90" s="309">
        <f t="shared" si="51"/>
        <v>-0.0521438278716763</v>
      </c>
      <c r="BD90" s="310">
        <f t="shared" si="51"/>
        <v>-0.21374584760771</v>
      </c>
      <c r="BE90" s="308">
        <f t="shared" si="51"/>
        <v>0.306004471831389</v>
      </c>
      <c r="BF90" s="309">
        <f t="shared" si="51"/>
        <v>0.281246694690121</v>
      </c>
      <c r="BG90" s="309">
        <f t="shared" si="51"/>
        <v>0.457342749791521</v>
      </c>
      <c r="BH90" s="310">
        <f t="shared" si="51"/>
        <v>0.42579459923037</v>
      </c>
      <c r="BI90" s="319">
        <f t="shared" si="52"/>
        <v>-0.313794724501378</v>
      </c>
      <c r="BR90" s="209" t="s">
        <v>251</v>
      </c>
      <c r="BS90" s="130">
        <f>第十一期!AF20</f>
        <v>0</v>
      </c>
      <c r="BT90" s="130"/>
      <c r="BU90" s="130"/>
      <c r="BV90" s="329">
        <f t="shared" si="53"/>
        <v>3422413.87359615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0.247663551401869</v>
      </c>
      <c r="CT90" s="65">
        <f>CT83/$CT$84</f>
        <v>1</v>
      </c>
      <c r="CU90" s="65">
        <f>CU83/$CU$84</f>
        <v>0.299097674084193</v>
      </c>
    </row>
    <row r="91" ht="18.75" customHeight="1" spans="2:99">
      <c r="B91" s="7"/>
      <c r="C91" s="25">
        <v>19</v>
      </c>
      <c r="D91" s="19">
        <v>0.0749</v>
      </c>
      <c r="E91" s="19">
        <v>0.0732</v>
      </c>
      <c r="F91" s="19">
        <v>0.0742</v>
      </c>
      <c r="G91" s="19">
        <v>0.0201</v>
      </c>
      <c r="H91" s="19">
        <v>0.0356</v>
      </c>
      <c r="I91" s="19">
        <v>0.0419</v>
      </c>
      <c r="J91" s="19">
        <v>0.0511</v>
      </c>
      <c r="K91" s="19">
        <v>0.0508</v>
      </c>
      <c r="L91" s="19">
        <v>0.0149</v>
      </c>
      <c r="M91" s="19">
        <v>0.0267</v>
      </c>
      <c r="N91" s="19">
        <v>0.0309</v>
      </c>
      <c r="O91" s="19">
        <v>0.0306</v>
      </c>
      <c r="P91" s="19">
        <v>0.0256</v>
      </c>
      <c r="Q91" s="19">
        <v>0.0254</v>
      </c>
      <c r="R91" s="19">
        <v>0.0523</v>
      </c>
      <c r="S91" s="19">
        <v>0.0497</v>
      </c>
      <c r="T91" s="10"/>
      <c r="X91" s="11" t="s">
        <v>58</v>
      </c>
      <c r="Y91" s="101">
        <v>132</v>
      </c>
      <c r="Z91" s="101">
        <v>104</v>
      </c>
      <c r="AA91" s="101">
        <v>43</v>
      </c>
      <c r="AB91" s="101">
        <v>44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>
        <f t="shared" si="51"/>
        <v>-1.08192406349268</v>
      </c>
      <c r="AT91" s="309">
        <f t="shared" si="51"/>
        <v>-1.17213862879387</v>
      </c>
      <c r="AU91" s="309">
        <f t="shared" si="51"/>
        <v>-1.27796599607325</v>
      </c>
      <c r="AV91" s="310">
        <f t="shared" si="51"/>
        <v>-1.12178790095098</v>
      </c>
      <c r="AW91" s="308">
        <f t="shared" si="51"/>
        <v>-0.160694303945009</v>
      </c>
      <c r="AX91" s="309">
        <f t="shared" si="51"/>
        <v>-0.131798323880203</v>
      </c>
      <c r="AY91" s="309">
        <f t="shared" si="51"/>
        <v>-0.334555101699172</v>
      </c>
      <c r="AZ91" s="310">
        <f t="shared" si="51"/>
        <v>-0.0641266743381753</v>
      </c>
      <c r="BA91" s="308">
        <f t="shared" si="51"/>
        <v>-0.286835035151241</v>
      </c>
      <c r="BB91" s="309">
        <f t="shared" si="51"/>
        <v>-0.25042443202981</v>
      </c>
      <c r="BC91" s="309">
        <f t="shared" si="51"/>
        <v>0.220232844001823</v>
      </c>
      <c r="BD91" s="310">
        <f t="shared" si="51"/>
        <v>0.42551256699683</v>
      </c>
      <c r="BE91" s="308">
        <f t="shared" si="51"/>
        <v>-0.109675434530222</v>
      </c>
      <c r="BF91" s="309">
        <f t="shared" si="51"/>
        <v>-0.110504211617585</v>
      </c>
      <c r="BG91" s="309">
        <f t="shared" si="51"/>
        <v>0.766478049618261</v>
      </c>
      <c r="BH91" s="310">
        <f t="shared" si="51"/>
        <v>0.640429835985272</v>
      </c>
      <c r="BI91" s="319">
        <f t="shared" si="52"/>
        <v>-0.253111050618751</v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411</v>
      </c>
      <c r="Z92" s="76">
        <f>SUM(Z88:Z91)</f>
        <v>350</v>
      </c>
      <c r="AA92" s="76">
        <f>SUM(AA88:AA91)</f>
        <v>130</v>
      </c>
      <c r="AB92" s="289">
        <f>SUM(AB88:AB91)</f>
        <v>153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160.4891</v>
      </c>
      <c r="AL92" s="304">
        <f t="shared" si="55"/>
        <v>326.305299999998</v>
      </c>
      <c r="AM92" s="304">
        <f t="shared" si="55"/>
        <v>792.367900000003</v>
      </c>
      <c r="AN92" s="304">
        <f t="shared" si="55"/>
        <v>384.022300000001</v>
      </c>
      <c r="AR92" s="185">
        <v>11</v>
      </c>
      <c r="AS92" s="308">
        <f t="shared" si="51"/>
        <v>-0.0525985072594798</v>
      </c>
      <c r="AT92" s="309">
        <f t="shared" si="51"/>
        <v>-0.0812268862072379</v>
      </c>
      <c r="AU92" s="309">
        <f t="shared" si="51"/>
        <v>-0.192188958430087</v>
      </c>
      <c r="AV92" s="310">
        <f t="shared" si="51"/>
        <v>-0.0936988667778925</v>
      </c>
      <c r="AW92" s="308">
        <f t="shared" si="51"/>
        <v>-0.201448810396023</v>
      </c>
      <c r="AX92" s="309">
        <f t="shared" si="51"/>
        <v>-0.131798323880203</v>
      </c>
      <c r="AY92" s="309">
        <f t="shared" si="51"/>
        <v>0.268766867227652</v>
      </c>
      <c r="AZ92" s="310">
        <f t="shared" si="51"/>
        <v>0.234330325823648</v>
      </c>
      <c r="BA92" s="308">
        <f t="shared" si="51"/>
        <v>-0.286835035151241</v>
      </c>
      <c r="BB92" s="309">
        <f t="shared" si="51"/>
        <v>-0.0443380643335454</v>
      </c>
      <c r="BC92" s="309">
        <f t="shared" si="51"/>
        <v>0.54648622020195</v>
      </c>
      <c r="BD92" s="310">
        <f t="shared" si="51"/>
        <v>0.585327170647965</v>
      </c>
      <c r="BE92" s="308">
        <f t="shared" si="51"/>
        <v>0.238082918504329</v>
      </c>
      <c r="BF92" s="309">
        <f t="shared" si="51"/>
        <v>0.21723510869213</v>
      </c>
      <c r="BG92" s="309">
        <f t="shared" si="51"/>
        <v>1.38474864927174</v>
      </c>
      <c r="BH92" s="310">
        <f t="shared" si="51"/>
        <v>1.50447425061398</v>
      </c>
      <c r="BI92" s="319">
        <f t="shared" si="52"/>
        <v>0.24345737865923</v>
      </c>
      <c r="BR92" s="330" t="s">
        <v>322</v>
      </c>
      <c r="BS92" s="130">
        <f>第十一期!BT84</f>
        <v>7476491.4</v>
      </c>
      <c r="BT92" s="330" t="s">
        <v>178</v>
      </c>
      <c r="BU92" s="130">
        <f>第十一期!BU86</f>
        <v>6179815.40365385</v>
      </c>
      <c r="BV92" s="332" t="s">
        <v>100</v>
      </c>
      <c r="BW92" s="333">
        <f>第十一期!BT84-第十一期!BU86</f>
        <v>1296675.99634615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AC9*比赛参数!D6+第十一期!DU26</f>
        <v>411.5</v>
      </c>
      <c r="Z93" s="37">
        <f>AC10*比赛参数!D6+第十一期!DU27</f>
        <v>350.75</v>
      </c>
      <c r="AA93" s="37">
        <f>AC11*比赛参数!D6+第十一期!DU28</f>
        <v>130</v>
      </c>
      <c r="AB93" s="37">
        <f>AC12*比赛参数!D6+第十一期!DU29</f>
        <v>153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172.2321</v>
      </c>
      <c r="AL93" s="304">
        <f t="shared" si="55"/>
        <v>353.5616</v>
      </c>
      <c r="AM93" s="304">
        <f t="shared" si="55"/>
        <v>772.1163</v>
      </c>
      <c r="AN93" s="304">
        <f t="shared" si="55"/>
        <v>461.799199999998</v>
      </c>
      <c r="AR93" s="185">
        <v>12</v>
      </c>
      <c r="AS93" s="308">
        <f t="shared" si="51"/>
        <v>-0.0934447594909561</v>
      </c>
      <c r="AT93" s="309">
        <f t="shared" si="51"/>
        <v>0.253777507185508</v>
      </c>
      <c r="AU93" s="309">
        <f t="shared" si="51"/>
        <v>-0.0451240570778439</v>
      </c>
      <c r="AV93" s="310">
        <f t="shared" si="51"/>
        <v>0.278039541058706</v>
      </c>
      <c r="AW93" s="308">
        <f t="shared" si="51"/>
        <v>0.589867856527842</v>
      </c>
      <c r="AX93" s="309">
        <f t="shared" si="51"/>
        <v>0.829397533104709</v>
      </c>
      <c r="AY93" s="309">
        <f t="shared" si="51"/>
        <v>1.4754108050813</v>
      </c>
      <c r="AZ93" s="310">
        <f t="shared" si="51"/>
        <v>1.53700735005937</v>
      </c>
      <c r="BA93" s="308">
        <f t="shared" si="51"/>
        <v>0.0455174285289182</v>
      </c>
      <c r="BB93" s="309">
        <f t="shared" si="51"/>
        <v>0.0930528474639641</v>
      </c>
      <c r="BC93" s="309">
        <f t="shared" si="51"/>
        <v>0.764986187748823</v>
      </c>
      <c r="BD93" s="310">
        <f t="shared" si="51"/>
        <v>0.691870239748722</v>
      </c>
      <c r="BE93" s="308">
        <f t="shared" si="51"/>
        <v>-1.43007043120828</v>
      </c>
      <c r="BF93" s="309">
        <f t="shared" si="51"/>
        <v>-1.34720805309877</v>
      </c>
      <c r="BG93" s="309">
        <f t="shared" si="51"/>
        <v>-1.47896835548688</v>
      </c>
      <c r="BH93" s="310">
        <f t="shared" si="51"/>
        <v>-1.44813612166819</v>
      </c>
      <c r="BI93" s="319">
        <f t="shared" si="52"/>
        <v>0.0447484699048087</v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IF(第十一期!$AC$9&gt;0,第十一期!$K$9*比赛参数!$D$30*比赛参数!$F$30*$CU$87/第十一期!$AC$9,0)</f>
        <v>307.725491605852</v>
      </c>
      <c r="CR93" s="65">
        <f>IF(第十一期!$AC$9&gt;0,第十一期!$K$9*比赛参数!$D$30*比赛参数!$F$30*$CU$87/第十一期!$AC$9,0)</f>
        <v>307.725491605852</v>
      </c>
      <c r="CS93" s="65">
        <f>IF(第十一期!$AC$9&gt;0,第十一期!$K$9*比赛参数!$D$30*比赛参数!$F$30*$CU$87/第十一期!$AC$9,0)</f>
        <v>307.725491605852</v>
      </c>
      <c r="CT93" s="65">
        <f>IF(第十一期!$AC$9&gt;0,第十一期!$K$9*比赛参数!$D$30*比赛参数!$F$30*$CU$87/第十一期!$AC$9,0)</f>
        <v>307.725491605852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291.4088</v>
      </c>
      <c r="AL94" s="304">
        <f t="shared" si="55"/>
        <v>263.442099999999</v>
      </c>
      <c r="AM94" s="304">
        <f t="shared" si="55"/>
        <v>400.4113</v>
      </c>
      <c r="AN94" s="304">
        <f t="shared" si="55"/>
        <v>-364.419099999999</v>
      </c>
      <c r="AR94" s="185">
        <v>13</v>
      </c>
      <c r="AS94" s="308">
        <f t="shared" si="51"/>
        <v>-0.463784113056341</v>
      </c>
      <c r="AT94" s="309">
        <f t="shared" si="51"/>
        <v>-0.416231279599983</v>
      </c>
      <c r="AU94" s="309">
        <f t="shared" si="51"/>
        <v>-0.614609419760999</v>
      </c>
      <c r="AV94" s="310">
        <f t="shared" si="51"/>
        <v>-0.183729262425818</v>
      </c>
      <c r="AW94" s="308">
        <f t="shared" si="51"/>
        <v>-0.704087723291869</v>
      </c>
      <c r="AX94" s="309">
        <f t="shared" si="51"/>
        <v>-0.827400588803494</v>
      </c>
      <c r="AY94" s="309">
        <f t="shared" si="51"/>
        <v>-0.191224468197219</v>
      </c>
      <c r="AZ94" s="310">
        <f t="shared" si="51"/>
        <v>0.0482336080756877</v>
      </c>
      <c r="BA94" s="308">
        <f t="shared" si="51"/>
        <v>0.510096141200108</v>
      </c>
      <c r="BB94" s="309">
        <f t="shared" si="51"/>
        <v>0.577536589065708</v>
      </c>
      <c r="BC94" s="309">
        <f t="shared" si="51"/>
        <v>0.384856107222071</v>
      </c>
      <c r="BD94" s="310">
        <f t="shared" si="51"/>
        <v>0.478784101547209</v>
      </c>
      <c r="BE94" s="308">
        <f t="shared" si="51"/>
        <v>0.167444503044185</v>
      </c>
      <c r="BF94" s="309">
        <f t="shared" si="51"/>
        <v>0.150663059254219</v>
      </c>
      <c r="BG94" s="309">
        <f t="shared" si="51"/>
        <v>1.075613349445</v>
      </c>
      <c r="BH94" s="310">
        <f t="shared" si="51"/>
        <v>0.857816806544723</v>
      </c>
      <c r="BI94" s="319">
        <f t="shared" si="52"/>
        <v>0.0531235881414492</v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IF(第十一期!$AC$10&gt;0,第十一期!$K$9*比赛参数!$D$30*比赛参数!$F$30*$CU$88/第十一期!$AC$10,0)</f>
        <v>769.313729014631</v>
      </c>
      <c r="CR94" s="65">
        <f>IF(第十一期!$AC$10&gt;0,第十一期!$K$9*比赛参数!$D$30*比赛参数!$F$30*$CU$88/第十一期!$AC$10,0)</f>
        <v>769.313729014631</v>
      </c>
      <c r="CS94" s="65">
        <f>IF(第十一期!$AC$10&gt;0,第十一期!$K$9*比赛参数!$D$30*比赛参数!$F$30*$CU$88/第十一期!$AC$10,0)</f>
        <v>769.313729014631</v>
      </c>
      <c r="CT94" s="65">
        <f>IF(第十一期!$AC$10&gt;0,第十一期!$K$9*比赛参数!$D$30*比赛参数!$F$30*$CU$88/第十一期!$AC$10,0)</f>
        <v>769.313729014631</v>
      </c>
      <c r="CU94" s="48"/>
    </row>
    <row r="95" ht="18.75" customHeight="1" spans="2:99">
      <c r="B95" s="7"/>
      <c r="C95" s="25">
        <v>1</v>
      </c>
      <c r="D95" s="14">
        <v>7780076</v>
      </c>
      <c r="E95" s="14">
        <v>7308303</v>
      </c>
      <c r="F95" s="14">
        <v>471773</v>
      </c>
      <c r="G95" s="14">
        <v>96796.94</v>
      </c>
      <c r="H95" s="9">
        <v>0</v>
      </c>
      <c r="I95" s="14">
        <v>3810119.25</v>
      </c>
      <c r="J95" s="14">
        <v>14981185.25</v>
      </c>
      <c r="K95" s="9">
        <v>0.171</v>
      </c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291.275000000001</v>
      </c>
      <c r="AL95" s="304">
        <f t="shared" si="55"/>
        <v>267.211999999999</v>
      </c>
      <c r="AM95" s="304">
        <f t="shared" si="55"/>
        <v>521.637699999999</v>
      </c>
      <c r="AN95" s="304">
        <f t="shared" si="55"/>
        <v>-233.072500000002</v>
      </c>
      <c r="AR95" s="185">
        <v>14</v>
      </c>
      <c r="AS95" s="308">
        <f t="shared" si="51"/>
        <v>-1.12277031572416</v>
      </c>
      <c r="AT95" s="309">
        <f t="shared" si="51"/>
        <v>-1.10914634969438</v>
      </c>
      <c r="AU95" s="309">
        <f t="shared" si="51"/>
        <v>-1.25919175334743</v>
      </c>
      <c r="AV95" s="310">
        <f t="shared" si="51"/>
        <v>-1.0869374252163</v>
      </c>
      <c r="AW95" s="308">
        <f t="shared" si="51"/>
        <v>-1.2033304273168</v>
      </c>
      <c r="AX95" s="309">
        <f t="shared" si="51"/>
        <v>-1.57780788066014</v>
      </c>
      <c r="AY95" s="309">
        <f t="shared" si="51"/>
        <v>-0.901211094613868</v>
      </c>
      <c r="AZ95" s="310">
        <f t="shared" si="51"/>
        <v>-0.882249980664115</v>
      </c>
      <c r="BA95" s="308">
        <f t="shared" si="51"/>
        <v>0.0455174285289182</v>
      </c>
      <c r="BB95" s="309">
        <f t="shared" si="51"/>
        <v>-0.593901711523584</v>
      </c>
      <c r="BC95" s="309">
        <f t="shared" si="51"/>
        <v>-0.758527284598555</v>
      </c>
      <c r="BD95" s="310">
        <f t="shared" si="51"/>
        <v>-0.583512969780925</v>
      </c>
      <c r="BE95" s="308">
        <f t="shared" si="51"/>
        <v>0.0995229497171249</v>
      </c>
      <c r="BF95" s="309">
        <f t="shared" si="51"/>
        <v>-0.110504211617585</v>
      </c>
      <c r="BG95" s="309">
        <f t="shared" si="51"/>
        <v>0.145397129057266</v>
      </c>
      <c r="BH95" s="310">
        <f t="shared" si="51"/>
        <v>-0.00622760808398165</v>
      </c>
      <c r="BI95" s="319">
        <f t="shared" si="52"/>
        <v>-0.681555094096157</v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IF(第十一期!$AC$11&gt;0,第十一期!$K$9*比赛参数!$D$30*比赛参数!$F$30*$CU$89/第十一期!$AC$11,0)</f>
        <v>1169.35686810224</v>
      </c>
      <c r="CR95" s="65">
        <f>IF(第十一期!$AC$11&gt;0,第十一期!$K$9*比赛参数!$D$30*比赛参数!$F$30*$CU$89/第十一期!$AC$11,0)</f>
        <v>1169.35686810224</v>
      </c>
      <c r="CS95" s="65">
        <f>IF(第十一期!$AC$11&gt;0,第十一期!$K$9*比赛参数!$D$30*比赛参数!$F$30*$CU$89/第十一期!$AC$11,0)</f>
        <v>1169.35686810224</v>
      </c>
      <c r="CT95" s="65">
        <f>IF(第十一期!$AC$11&gt;0,第十一期!$K$9*比赛参数!$D$30*比赛参数!$F$30*$CU$89/第十一期!$AC$11,0)</f>
        <v>1169.35686810224</v>
      </c>
      <c r="CU95" s="48"/>
    </row>
    <row r="96" ht="18.75" customHeight="1" spans="2:99">
      <c r="B96" s="7"/>
      <c r="C96" s="25">
        <v>2</v>
      </c>
      <c r="D96" s="14">
        <v>4636555</v>
      </c>
      <c r="E96" s="14">
        <v>5076860.41</v>
      </c>
      <c r="F96" s="14">
        <v>-440305.41</v>
      </c>
      <c r="G96" s="14">
        <v>20878.53</v>
      </c>
      <c r="H96" s="9">
        <v>0</v>
      </c>
      <c r="I96" s="14">
        <v>2470140.33</v>
      </c>
      <c r="J96" s="14">
        <v>14312151.76</v>
      </c>
      <c r="K96" s="9">
        <v>-0.317</v>
      </c>
      <c r="L96" s="10"/>
      <c r="X96" s="64" t="s">
        <v>55</v>
      </c>
      <c r="Y96" s="94">
        <f>第十一期!CX62</f>
        <v>13.3927450839415</v>
      </c>
      <c r="Z96" s="94">
        <f>第十一期!CX63</f>
        <v>10.8969044669749</v>
      </c>
      <c r="AA96" s="94">
        <f>第十一期!CX64</f>
        <v>11.1964292944678</v>
      </c>
      <c r="AB96" s="94">
        <f>第十一期!CX65</f>
        <v>8.89149508394148</v>
      </c>
      <c r="AC96" s="48"/>
      <c r="AR96" s="185">
        <v>15</v>
      </c>
      <c r="AS96" s="308">
        <f t="shared" si="51"/>
        <v>-0.629892205464345</v>
      </c>
      <c r="AT96" s="309">
        <f t="shared" si="51"/>
        <v>-0.0611838883119452</v>
      </c>
      <c r="AU96" s="309">
        <f t="shared" si="51"/>
        <v>0.324102716529916</v>
      </c>
      <c r="AV96" s="310">
        <f t="shared" si="51"/>
        <v>0.257710096880142</v>
      </c>
      <c r="AW96" s="308">
        <f t="shared" si="51"/>
        <v>3.09287379439432</v>
      </c>
      <c r="AX96" s="309">
        <f t="shared" si="51"/>
        <v>1.36480048853052</v>
      </c>
      <c r="AY96" s="309">
        <f t="shared" si="51"/>
        <v>-1.75452835453247</v>
      </c>
      <c r="AZ96" s="310">
        <f t="shared" si="51"/>
        <v>-1.84784615765825</v>
      </c>
      <c r="BA96" s="308">
        <f t="shared" si="51"/>
        <v>0.510096141200108</v>
      </c>
      <c r="BB96" s="309">
        <f t="shared" si="51"/>
        <v>-0.456510799726074</v>
      </c>
      <c r="BC96" s="309">
        <f t="shared" si="51"/>
        <v>-1.57565730021905</v>
      </c>
      <c r="BD96" s="310">
        <f t="shared" si="51"/>
        <v>-1.64894366078849</v>
      </c>
      <c r="BE96" s="308">
        <f t="shared" si="51"/>
        <v>-0.734553725139181</v>
      </c>
      <c r="BF96" s="309">
        <f t="shared" si="51"/>
        <v>-1.02202919622898</v>
      </c>
      <c r="BG96" s="309">
        <f t="shared" si="51"/>
        <v>-1.47896835548688</v>
      </c>
      <c r="BH96" s="310">
        <f t="shared" si="51"/>
        <v>-1.44813612166819</v>
      </c>
      <c r="BI96" s="319">
        <f t="shared" si="52"/>
        <v>-0.444291657980553</v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IF(第十一期!$AC$12&gt;0,第十一期!$K$9*比赛参数!$D$30*比赛参数!$F$30*$CU$90/第十一期!$AC$12,0)</f>
        <v>1600.17255635043</v>
      </c>
      <c r="CR96" s="65">
        <f>IF(第十一期!$AC$12&gt;0,第十一期!$K$9*比赛参数!$D$30*比赛参数!$F$30*$CU$90/第十一期!$AC$12,0)</f>
        <v>1600.17255635043</v>
      </c>
      <c r="CS96" s="65">
        <f>IF(第十一期!$AC$12&gt;0,第十一期!$K$9*比赛参数!$D$30*比赛参数!$F$30*$CU$90/第十一期!$AC$12,0)</f>
        <v>1600.17255635043</v>
      </c>
      <c r="CT96" s="65">
        <f>IF(第十一期!$AC$12&gt;0,第十一期!$K$9*比赛参数!$D$30*比赛参数!$F$30*$CU$90/第十一期!$AC$12,0)</f>
        <v>1600.17255635043</v>
      </c>
      <c r="CU96" s="48"/>
    </row>
    <row r="97" ht="18.75" customHeight="1" spans="2:93">
      <c r="B97" s="7"/>
      <c r="C97" s="25">
        <v>3</v>
      </c>
      <c r="D97" s="14">
        <v>3135150</v>
      </c>
      <c r="E97" s="14">
        <v>3267598.6</v>
      </c>
      <c r="F97" s="14">
        <v>-132448.6</v>
      </c>
      <c r="G97" s="14">
        <v>6343.05</v>
      </c>
      <c r="H97" s="14">
        <v>6008.82</v>
      </c>
      <c r="I97" s="14">
        <v>3118019.98</v>
      </c>
      <c r="J97" s="14">
        <v>14571366.13</v>
      </c>
      <c r="K97" s="9">
        <v>-0.229</v>
      </c>
      <c r="L97" s="10"/>
      <c r="X97" s="11" t="s">
        <v>56</v>
      </c>
      <c r="Y97" s="94">
        <f>第十一期!CY62</f>
        <v>13.8027450839415</v>
      </c>
      <c r="Z97" s="94">
        <f>第十一期!CY63</f>
        <v>11.2329044669749</v>
      </c>
      <c r="AA97" s="94">
        <f>第十一期!CY64</f>
        <v>11.4911661365731</v>
      </c>
      <c r="AB97" s="94">
        <f>第十一期!CY65</f>
        <v>9.15687969932609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>
        <f t="shared" si="51"/>
        <v>0.15435583738</v>
      </c>
      <c r="AT97" s="309">
        <f t="shared" si="51"/>
        <v>-0.0812268862072379</v>
      </c>
      <c r="AU97" s="309">
        <f t="shared" si="51"/>
        <v>0.120715087000218</v>
      </c>
      <c r="AV97" s="310">
        <f t="shared" si="51"/>
        <v>-0.00657267744118969</v>
      </c>
      <c r="AW97" s="308">
        <f t="shared" si="51"/>
        <v>0.00571993072996704</v>
      </c>
      <c r="AX97" s="309">
        <f t="shared" si="51"/>
        <v>0.243405322048118</v>
      </c>
      <c r="AY97" s="309">
        <f t="shared" si="51"/>
        <v>1.15541683261182</v>
      </c>
      <c r="AZ97" s="310">
        <f t="shared" si="51"/>
        <v>1.01734104389526</v>
      </c>
      <c r="BA97" s="308">
        <f t="shared" si="51"/>
        <v>-0.486961249840369</v>
      </c>
      <c r="BB97" s="309">
        <f t="shared" si="51"/>
        <v>-0.456510799726074</v>
      </c>
      <c r="BC97" s="309">
        <f t="shared" si="51"/>
        <v>0.00173287645494993</v>
      </c>
      <c r="BD97" s="310">
        <f t="shared" si="51"/>
        <v>0.372241032446452</v>
      </c>
      <c r="BE97" s="308">
        <f t="shared" si="51"/>
        <v>0.0288845342569816</v>
      </c>
      <c r="BF97" s="309">
        <f t="shared" si="51"/>
        <v>0.475841916124014</v>
      </c>
      <c r="BG97" s="309">
        <f t="shared" si="51"/>
        <v>-0.00917052085610417</v>
      </c>
      <c r="BH97" s="310">
        <f>IF(BH48="","",(BH48-BH$54)/BH$78)</f>
        <v>1.65031614225513</v>
      </c>
      <c r="BI97" s="319">
        <f t="shared" si="52"/>
        <v>0.261595526320746</v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>
        <v>7116030</v>
      </c>
      <c r="E98" s="14">
        <v>6804205.04</v>
      </c>
      <c r="F98" s="14">
        <v>311824.96</v>
      </c>
      <c r="G98" s="14">
        <v>40966.66</v>
      </c>
      <c r="H98" s="9">
        <v>0</v>
      </c>
      <c r="I98" s="14">
        <v>2641371.33</v>
      </c>
      <c r="J98" s="14">
        <v>14813694.41</v>
      </c>
      <c r="K98" s="9">
        <v>0.007</v>
      </c>
      <c r="L98" s="10"/>
      <c r="X98" s="11" t="s">
        <v>57</v>
      </c>
      <c r="Y98" s="94">
        <f>第十一期!CZ62</f>
        <v>14.7227450839415</v>
      </c>
      <c r="Z98" s="94">
        <f>第十一期!CZ63</f>
        <v>11.3649044669749</v>
      </c>
      <c r="AA98" s="94">
        <f>第十一期!CZ64</f>
        <v>11.0806398207836</v>
      </c>
      <c r="AB98" s="94">
        <f>第十一期!CZ65</f>
        <v>9.2645720070184</v>
      </c>
      <c r="AC98" s="126" t="s">
        <v>367</v>
      </c>
      <c r="AE98" s="47" t="s">
        <v>55</v>
      </c>
      <c r="AF98" s="292">
        <f>Y234</f>
        <v>3189.5109</v>
      </c>
      <c r="AG98" s="292">
        <f>AC234</f>
        <v>6623.6947</v>
      </c>
      <c r="AH98" s="292">
        <f>AG234</f>
        <v>9357.6321</v>
      </c>
      <c r="AI98" s="292">
        <f>AK234</f>
        <v>12315.9777</v>
      </c>
      <c r="AJ98" s="47" t="s">
        <v>55</v>
      </c>
      <c r="AK98" s="304">
        <f t="shared" ref="AK98:AN101" si="56">AF76-AF98</f>
        <v>40.4890999999998</v>
      </c>
      <c r="AL98" s="304">
        <f t="shared" si="56"/>
        <v>126.305299999998</v>
      </c>
      <c r="AM98" s="304">
        <f t="shared" si="56"/>
        <v>842.367900000003</v>
      </c>
      <c r="AN98" s="304">
        <f t="shared" si="56"/>
        <v>784.022300000001</v>
      </c>
      <c r="AR98" s="185">
        <v>17</v>
      </c>
      <c r="AS98" s="308">
        <f t="shared" ref="AS98:BH101" si="57">IF(AS49="","",(AS49-AS$54)/AS$78)</f>
        <v>-0.648953789839034</v>
      </c>
      <c r="AT98" s="309">
        <f t="shared" si="57"/>
        <v>-0.731192675097436</v>
      </c>
      <c r="AU98" s="309">
        <f t="shared" si="57"/>
        <v>-0.893094020193971</v>
      </c>
      <c r="AV98" s="310">
        <f t="shared" si="57"/>
        <v>-0.697773779512364</v>
      </c>
      <c r="AW98" s="308">
        <f t="shared" si="57"/>
        <v>0.634018571849774</v>
      </c>
      <c r="AX98" s="309">
        <f t="shared" si="57"/>
        <v>1.14979615209968</v>
      </c>
      <c r="AY98" s="309">
        <f t="shared" si="57"/>
        <v>1.3354134421259</v>
      </c>
      <c r="AZ98" s="310">
        <f t="shared" si="57"/>
        <v>1.38953447939118</v>
      </c>
      <c r="BA98" s="308">
        <f t="shared" si="57"/>
        <v>-0.286835035151241</v>
      </c>
      <c r="BB98" s="309">
        <f t="shared" si="57"/>
        <v>-0.25042443202981</v>
      </c>
      <c r="BC98" s="309">
        <f t="shared" si="57"/>
        <v>-0.0521438278716763</v>
      </c>
      <c r="BD98" s="310">
        <f t="shared" si="57"/>
        <v>-0.160474313057332</v>
      </c>
      <c r="BE98" s="308">
        <f t="shared" si="57"/>
        <v>-0.248235403317426</v>
      </c>
      <c r="BF98" s="309">
        <f t="shared" si="57"/>
        <v>-0.238527383613567</v>
      </c>
      <c r="BG98" s="309">
        <f t="shared" si="57"/>
        <v>-0.394184485185771</v>
      </c>
      <c r="BH98" s="310">
        <f t="shared" si="57"/>
        <v>-0.441001549202884</v>
      </c>
      <c r="BI98" s="319">
        <f t="shared" si="52"/>
        <v>-0.0333798780378736</v>
      </c>
    </row>
    <row r="99" ht="18.75" customHeight="1" spans="2:61">
      <c r="B99" s="7"/>
      <c r="C99" s="25">
        <v>5</v>
      </c>
      <c r="D99" s="14">
        <v>5757620</v>
      </c>
      <c r="E99" s="14">
        <v>5462082.09</v>
      </c>
      <c r="F99" s="14">
        <v>295537.91</v>
      </c>
      <c r="G99" s="14">
        <v>181180.78</v>
      </c>
      <c r="H99" s="9">
        <v>0</v>
      </c>
      <c r="I99" s="14">
        <v>2432957.44</v>
      </c>
      <c r="J99" s="14">
        <v>15228280.52</v>
      </c>
      <c r="K99" s="9">
        <v>0.399</v>
      </c>
      <c r="L99" s="10"/>
      <c r="X99" s="11" t="s">
        <v>58</v>
      </c>
      <c r="Y99" s="94">
        <f>第十一期!DA62</f>
        <v>15.2227450839415</v>
      </c>
      <c r="Z99" s="94">
        <f>第十一期!DA63</f>
        <v>11.5649044669749</v>
      </c>
      <c r="AA99" s="94">
        <f>第十一期!DA64</f>
        <v>11.4753766628888</v>
      </c>
      <c r="AB99" s="94">
        <f>第十一期!DA65</f>
        <v>9.45687969932609</v>
      </c>
      <c r="AC99" s="126"/>
      <c r="AE99" s="11" t="s">
        <v>56</v>
      </c>
      <c r="AF99" s="292">
        <f>Z234</f>
        <v>3177.7679</v>
      </c>
      <c r="AG99" s="292">
        <f>AD234</f>
        <v>6596.4384</v>
      </c>
      <c r="AH99" s="292">
        <f>AH234</f>
        <v>9377.8837</v>
      </c>
      <c r="AI99" s="292">
        <f>AL234</f>
        <v>12238.2008</v>
      </c>
      <c r="AJ99" s="11" t="s">
        <v>56</v>
      </c>
      <c r="AK99" s="304">
        <f t="shared" si="56"/>
        <v>52.2321000000002</v>
      </c>
      <c r="AL99" s="304">
        <f t="shared" si="56"/>
        <v>153.5616</v>
      </c>
      <c r="AM99" s="304">
        <f t="shared" si="56"/>
        <v>822.1163</v>
      </c>
      <c r="AN99" s="304">
        <f t="shared" si="56"/>
        <v>861.799199999998</v>
      </c>
      <c r="AR99" s="185">
        <v>18</v>
      </c>
      <c r="AS99" s="308">
        <f t="shared" si="57"/>
        <v>-0.877692802335301</v>
      </c>
      <c r="AT99" s="309">
        <f t="shared" si="57"/>
        <v>-0.9402125102912</v>
      </c>
      <c r="AU99" s="309">
        <f t="shared" si="57"/>
        <v>-1.14967533744682</v>
      </c>
      <c r="AV99" s="310">
        <f t="shared" si="57"/>
        <v>-0.909780840231674</v>
      </c>
      <c r="AW99" s="308">
        <f t="shared" si="57"/>
        <v>-1.11842520554385</v>
      </c>
      <c r="AX99" s="309">
        <f t="shared" si="57"/>
        <v>-1.3628035442293</v>
      </c>
      <c r="AY99" s="309">
        <f t="shared" si="57"/>
        <v>-0.867878389148297</v>
      </c>
      <c r="AZ99" s="310">
        <f t="shared" si="57"/>
        <v>-0.769889698250252</v>
      </c>
      <c r="BA99" s="308">
        <f t="shared" si="57"/>
        <v>-0.15460878616021</v>
      </c>
      <c r="BB99" s="309">
        <f t="shared" si="57"/>
        <v>0.230443759261474</v>
      </c>
      <c r="BC99" s="309">
        <f t="shared" si="57"/>
        <v>-1.57565730021905</v>
      </c>
      <c r="BD99" s="310">
        <f t="shared" si="57"/>
        <v>-1.64894366078849</v>
      </c>
      <c r="BE99" s="308">
        <f t="shared" si="57"/>
        <v>2.73759608094016</v>
      </c>
      <c r="BF99" s="309">
        <f t="shared" si="57"/>
        <v>3.08239369796222</v>
      </c>
      <c r="BG99" s="309">
        <f t="shared" si="57"/>
        <v>-1.47896835548688</v>
      </c>
      <c r="BH99" s="310">
        <f t="shared" si="57"/>
        <v>-1.44813612166819</v>
      </c>
      <c r="BI99" s="319">
        <f t="shared" si="52"/>
        <v>-0.515764938352229</v>
      </c>
    </row>
    <row r="100" ht="18.75" customHeight="1" spans="2:61">
      <c r="B100" s="7"/>
      <c r="C100" s="25">
        <v>6</v>
      </c>
      <c r="D100" s="14">
        <v>645990</v>
      </c>
      <c r="E100" s="14">
        <v>2385950.14</v>
      </c>
      <c r="F100" s="14">
        <v>-1739960.14</v>
      </c>
      <c r="G100" s="14">
        <v>4339.91</v>
      </c>
      <c r="H100" s="9">
        <v>0</v>
      </c>
      <c r="I100" s="14">
        <v>-500797.7</v>
      </c>
      <c r="J100" s="14">
        <v>11677300.68</v>
      </c>
      <c r="K100" s="9">
        <v>-1.752</v>
      </c>
      <c r="L100" s="10"/>
      <c r="AE100" s="11" t="s">
        <v>57</v>
      </c>
      <c r="AF100" s="292">
        <f>AA234</f>
        <v>3438.5912</v>
      </c>
      <c r="AG100" s="292">
        <f>AE234</f>
        <v>7036.5579</v>
      </c>
      <c r="AH100" s="292">
        <f>AI234</f>
        <v>9799.5887</v>
      </c>
      <c r="AI100" s="292">
        <f>AM234</f>
        <v>13364.4191</v>
      </c>
      <c r="AJ100" s="11" t="s">
        <v>57</v>
      </c>
      <c r="AK100" s="304">
        <f t="shared" si="56"/>
        <v>41.4088000000002</v>
      </c>
      <c r="AL100" s="304">
        <f t="shared" si="56"/>
        <v>-36.5579000000007</v>
      </c>
      <c r="AM100" s="304">
        <f t="shared" si="56"/>
        <v>500.4113</v>
      </c>
      <c r="AN100" s="304">
        <f t="shared" si="56"/>
        <v>135.580900000001</v>
      </c>
      <c r="AR100" s="185">
        <v>19</v>
      </c>
      <c r="AS100" s="308">
        <f t="shared" si="57"/>
        <v>0.606387695408337</v>
      </c>
      <c r="AT100" s="309">
        <f t="shared" si="57"/>
        <v>0.588781900578253</v>
      </c>
      <c r="AU100" s="309">
        <f t="shared" si="57"/>
        <v>0.674555247411858</v>
      </c>
      <c r="AV100" s="310">
        <f t="shared" si="57"/>
        <v>-0.944631315966355</v>
      </c>
      <c r="AW100" s="308">
        <f t="shared" si="57"/>
        <v>-0.578427995067908</v>
      </c>
      <c r="AX100" s="309">
        <f t="shared" si="57"/>
        <v>-0.452196942875173</v>
      </c>
      <c r="AY100" s="309">
        <f t="shared" si="57"/>
        <v>-0.0512271052418236</v>
      </c>
      <c r="AZ100" s="310">
        <f t="shared" si="57"/>
        <v>-0.0641266743381753</v>
      </c>
      <c r="BA100" s="308">
        <f t="shared" si="57"/>
        <v>-1.34821870948465</v>
      </c>
      <c r="BB100" s="309">
        <f t="shared" si="57"/>
        <v>-0.937378991017358</v>
      </c>
      <c r="BC100" s="309">
        <f t="shared" si="57"/>
        <v>-0.650773875945302</v>
      </c>
      <c r="BD100" s="310">
        <f t="shared" si="57"/>
        <v>-0.690056038881681</v>
      </c>
      <c r="BE100" s="308">
        <f t="shared" si="57"/>
        <v>-0.734553725139181</v>
      </c>
      <c r="BF100" s="309">
        <f t="shared" si="57"/>
        <v>-0.696850339359184</v>
      </c>
      <c r="BG100" s="309">
        <f t="shared" si="57"/>
        <v>-0.00917052085610417</v>
      </c>
      <c r="BH100" s="310">
        <f t="shared" si="57"/>
        <v>-0.0805244208068321</v>
      </c>
      <c r="BI100" s="319">
        <f t="shared" si="52"/>
        <v>-0.33552573822383</v>
      </c>
    </row>
    <row r="101" ht="18.75" customHeight="1" spans="2:61">
      <c r="B101" s="7"/>
      <c r="C101" s="25">
        <v>7</v>
      </c>
      <c r="D101" s="14">
        <v>5368592</v>
      </c>
      <c r="E101" s="14">
        <v>5543847.39</v>
      </c>
      <c r="F101" s="14">
        <v>-175255.39</v>
      </c>
      <c r="G101" s="14">
        <v>4339.91</v>
      </c>
      <c r="H101" s="9">
        <v>0</v>
      </c>
      <c r="I101" s="14">
        <v>6514926.88</v>
      </c>
      <c r="J101" s="14">
        <v>14457596.11</v>
      </c>
      <c r="K101" s="9">
        <v>-0.128</v>
      </c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3508.725</v>
      </c>
      <c r="AG101" s="292">
        <f>AF234</f>
        <v>7132.788</v>
      </c>
      <c r="AH101" s="292">
        <f>AJ234</f>
        <v>9878.3623</v>
      </c>
      <c r="AI101" s="292">
        <f>AN234</f>
        <v>13383.0725</v>
      </c>
      <c r="AJ101" s="11" t="s">
        <v>58</v>
      </c>
      <c r="AK101" s="304">
        <f t="shared" si="56"/>
        <v>71.2750000000005</v>
      </c>
      <c r="AL101" s="304">
        <f t="shared" si="56"/>
        <v>-32.7880000000014</v>
      </c>
      <c r="AM101" s="304">
        <f t="shared" si="56"/>
        <v>621.637699999999</v>
      </c>
      <c r="AN101" s="304">
        <f t="shared" si="56"/>
        <v>266.927499999998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>
        <v>5797100</v>
      </c>
      <c r="E102" s="14">
        <v>5560914.77</v>
      </c>
      <c r="F102" s="14">
        <v>236185.23</v>
      </c>
      <c r="G102" s="14">
        <v>115854.64</v>
      </c>
      <c r="H102" s="14">
        <v>162208</v>
      </c>
      <c r="I102" s="14">
        <v>3436171.67</v>
      </c>
      <c r="J102" s="14">
        <v>14873063.98</v>
      </c>
      <c r="K102" s="9">
        <v>0.335</v>
      </c>
      <c r="L102" s="10"/>
      <c r="X102" s="280" t="s">
        <v>55</v>
      </c>
      <c r="Y102" s="94">
        <f t="shared" ref="Y102:AB105" si="58">(AF76-CJ19)/AF76</f>
        <v>0.414636070710262</v>
      </c>
      <c r="Z102" s="94">
        <f t="shared" si="58"/>
        <v>0.403589054332403</v>
      </c>
      <c r="AA102" s="94">
        <f t="shared" si="58"/>
        <v>0.417121875676251</v>
      </c>
      <c r="AB102" s="94">
        <f t="shared" si="58"/>
        <v>0.352944843026684</v>
      </c>
    </row>
    <row r="103" ht="18.75" customHeight="1" spans="2:36">
      <c r="B103" s="7"/>
      <c r="C103" s="25">
        <v>9</v>
      </c>
      <c r="D103" s="14">
        <v>3735027</v>
      </c>
      <c r="E103" s="14">
        <v>4149618.94</v>
      </c>
      <c r="F103" s="14">
        <v>-414591.94</v>
      </c>
      <c r="G103" s="14">
        <v>79347.44</v>
      </c>
      <c r="H103" s="9">
        <v>0</v>
      </c>
      <c r="I103" s="14">
        <v>1035086.9</v>
      </c>
      <c r="J103" s="14">
        <v>14509832.6</v>
      </c>
      <c r="K103" s="9">
        <v>-0.116</v>
      </c>
      <c r="L103" s="10"/>
      <c r="X103" s="281" t="s">
        <v>56</v>
      </c>
      <c r="Y103" s="94">
        <f t="shared" si="58"/>
        <v>0.427329569162275</v>
      </c>
      <c r="Z103" s="94">
        <f t="shared" si="58"/>
        <v>0.416033498776848</v>
      </c>
      <c r="AA103" s="94">
        <f t="shared" si="58"/>
        <v>0.428102267833114</v>
      </c>
      <c r="AB103" s="94">
        <f t="shared" si="58"/>
        <v>0.363479194171723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>
        <v>3899050</v>
      </c>
      <c r="E104" s="14">
        <v>4278560.08</v>
      </c>
      <c r="F104" s="14">
        <v>-379510.08</v>
      </c>
      <c r="G104" s="14">
        <v>115037.63</v>
      </c>
      <c r="H104" s="9">
        <v>0</v>
      </c>
      <c r="I104" s="14">
        <v>945685.62</v>
      </c>
      <c r="J104" s="14">
        <v>14649885.62</v>
      </c>
      <c r="K104" s="9">
        <v>0.02</v>
      </c>
      <c r="L104" s="10"/>
      <c r="X104" s="281" t="s">
        <v>57</v>
      </c>
      <c r="Y104" s="94">
        <f t="shared" si="58"/>
        <v>0.423067387469583</v>
      </c>
      <c r="Z104" s="94">
        <f t="shared" si="58"/>
        <v>0.405889445249103</v>
      </c>
      <c r="AA104" s="94">
        <f t="shared" si="58"/>
        <v>0.408800304067744</v>
      </c>
      <c r="AB104" s="94">
        <f t="shared" si="58"/>
        <v>0.356857588418486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1296675.99634615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>
        <v>5424430.64</v>
      </c>
      <c r="E105" s="14">
        <v>5214799.55</v>
      </c>
      <c r="F105" s="14">
        <v>209631.09</v>
      </c>
      <c r="G105" s="14">
        <v>160449.95</v>
      </c>
      <c r="H105" s="14">
        <v>314200</v>
      </c>
      <c r="I105" s="14">
        <v>2938168.08</v>
      </c>
      <c r="J105" s="14">
        <v>14856044.16</v>
      </c>
      <c r="K105" s="9">
        <v>0.599</v>
      </c>
      <c r="L105" s="10"/>
      <c r="X105" s="281" t="s">
        <v>58</v>
      </c>
      <c r="Y105" s="94">
        <f t="shared" si="58"/>
        <v>0.425216343126857</v>
      </c>
      <c r="Z105" s="94">
        <f t="shared" si="58"/>
        <v>0.407214946020243</v>
      </c>
      <c r="AA105" s="94">
        <f t="shared" si="58"/>
        <v>0.415299345895025</v>
      </c>
      <c r="AB105" s="94">
        <f t="shared" si="58"/>
        <v>0.360262083783851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>
        <v>4254730</v>
      </c>
      <c r="E106" s="14">
        <v>3960672.23</v>
      </c>
      <c r="F106" s="14">
        <v>294057.77</v>
      </c>
      <c r="G106" s="14">
        <v>114329.51</v>
      </c>
      <c r="H106" s="9">
        <v>0</v>
      </c>
      <c r="I106" s="14">
        <v>4917391.22</v>
      </c>
      <c r="J106" s="14">
        <v>15031637.37</v>
      </c>
      <c r="K106" s="9">
        <v>0.243</v>
      </c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3422413.87359615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>
        <v>4767665</v>
      </c>
      <c r="E107" s="14">
        <v>4976398.81</v>
      </c>
      <c r="F107" s="14">
        <v>-208733.81</v>
      </c>
      <c r="G107" s="14">
        <v>92133.94</v>
      </c>
      <c r="H107" s="14">
        <v>1020</v>
      </c>
      <c r="I107" s="14">
        <v>4286236.54</v>
      </c>
      <c r="J107" s="14">
        <v>14752298.08</v>
      </c>
      <c r="K107" s="9">
        <v>0.078</v>
      </c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>
        <f>IF(AS82="","",AVERAGE(AS82:AV82)*$AR$130)</f>
        <v>0.296523231700535</v>
      </c>
      <c r="AU107" s="314">
        <f>IF(AW82="","",AVERAGE(AW82:AZ82)*$AR$130)</f>
        <v>0.23097508604383</v>
      </c>
      <c r="AV107" s="314">
        <f>IF(BA82="","",AVERAGE(BA82:BD82)*$AR$130)</f>
        <v>0.279192236882186</v>
      </c>
      <c r="AW107" s="314">
        <f>IF(BE82="","",AVERAGE(BE82:BH82)*$AR$130)</f>
        <v>-0.0191861370621098</v>
      </c>
      <c r="AX107" s="190">
        <v>1</v>
      </c>
      <c r="AY107" s="314">
        <f>IF(BI82="","",BI82*$AR$130)</f>
        <v>0.19687610439111</v>
      </c>
      <c r="AZ107" s="314">
        <f t="shared" ref="AZ107:BC126" si="59">AS183</f>
        <v>0.245175259851483</v>
      </c>
      <c r="BA107" s="314">
        <f t="shared" si="59"/>
        <v>0.0510442260691699</v>
      </c>
      <c r="BB107" s="314">
        <f t="shared" si="59"/>
        <v>-0.0429268219113163</v>
      </c>
      <c r="BC107" s="314">
        <f t="shared" si="59"/>
        <v>0.101916458715787</v>
      </c>
      <c r="BD107" s="318"/>
      <c r="BE107" s="318"/>
      <c r="BF107" s="314">
        <f t="shared" ref="BF107:BF126" si="60">(BJ107-BL107-BI107)/0.607</f>
        <v>-0.105627237000913</v>
      </c>
      <c r="BG107" s="314">
        <f t="shared" ref="BG107:BG126" si="61">SUM(AY107:BC107)</f>
        <v>0.552085227116234</v>
      </c>
      <c r="BH107" s="101"/>
      <c r="BI107" s="314">
        <f t="shared" ref="BI107:BI126" si="62">(BG107+0.5*BH107)*0.607</f>
        <v>0.335115732859554</v>
      </c>
      <c r="BJ107" s="323">
        <f t="shared" ref="BJ107:BJ126" si="63">K95</f>
        <v>0.171</v>
      </c>
      <c r="BK107" s="324"/>
      <c r="BL107" s="2">
        <f t="shared" ref="BL107:BL126" si="64">IF(I95&lt;E95,-0.1,0)</f>
        <v>-0.1</v>
      </c>
    </row>
    <row r="108" ht="18.75" customHeight="1" spans="2:64">
      <c r="B108" s="7"/>
      <c r="C108" s="25">
        <v>14</v>
      </c>
      <c r="D108" s="14">
        <v>2366600</v>
      </c>
      <c r="E108" s="14">
        <v>3086360.5</v>
      </c>
      <c r="F108" s="14">
        <v>-719760.5</v>
      </c>
      <c r="G108" s="14">
        <v>49485.84</v>
      </c>
      <c r="H108" s="9">
        <v>0</v>
      </c>
      <c r="I108" s="14">
        <v>502205.04</v>
      </c>
      <c r="J108" s="14">
        <v>14116835.81</v>
      </c>
      <c r="K108" s="9">
        <v>-0.429</v>
      </c>
      <c r="L108" s="10"/>
      <c r="X108" s="47" t="s">
        <v>55</v>
      </c>
      <c r="Y108" s="65">
        <f>IF(Y88*$Y$113-INT(Y88*$Y$113)&lt;0.5,INT(Y88*$Y$113),INT(Y88*$Y$113)+1)</f>
        <v>4</v>
      </c>
      <c r="Z108" s="65">
        <f>IF(Z88*$Z$113-INT(Z88*$Z$113)&lt;0.5,INT(Z88*$Z$113),INT(Z88*$Z$113)+1)</f>
        <v>3</v>
      </c>
      <c r="AA108" s="65">
        <f>IF(AA88*$AA$113-INT(AA88*$AA$113)&lt;0.5,INT(AA88*$AA$113),INT(AA88*$AA$113)+1)</f>
        <v>1</v>
      </c>
      <c r="AB108" s="65">
        <f>IF(AB88*$AB$113-INT(AB88*$AB$113)&lt;0.5,INT(AB88*$AB$113),INT(AB88*$AB$113)+1)</f>
        <v>1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>
        <f t="shared" ref="AT108:AT126" si="65">IF(AS83="","",AVERAGE(AS83:AV83)*$AR$130)</f>
        <v>0.127050669800946</v>
      </c>
      <c r="AU108" s="314">
        <f t="shared" ref="AU108:AU126" si="66">IF(AW83="","",AVERAGE(AW83:AZ83)*$AR$130)</f>
        <v>-0.152741834900723</v>
      </c>
      <c r="AV108" s="314">
        <f t="shared" ref="AV108:AV126" si="67">IF(BA83="","",AVERAGE(BA83:BD83)*$AR$130)</f>
        <v>0.0793005152854174</v>
      </c>
      <c r="AW108" s="314">
        <f t="shared" ref="AW108:AW126" si="68">IF(BE83="","",AVERAGE(BE83:BH83)*$AR$130)</f>
        <v>0.120387883286549</v>
      </c>
      <c r="AX108" s="190">
        <v>2</v>
      </c>
      <c r="AY108" s="314">
        <f t="shared" ref="AY108:AY126" si="69">IF(BI83="","",BI83*$AR$130)</f>
        <v>0.0434993083680473</v>
      </c>
      <c r="AZ108" s="314">
        <f t="shared" si="59"/>
        <v>-0.0928230215746237</v>
      </c>
      <c r="BA108" s="314">
        <f t="shared" si="59"/>
        <v>-0.0966044857417082</v>
      </c>
      <c r="BB108" s="314">
        <f t="shared" si="59"/>
        <v>-0.0429268219113163</v>
      </c>
      <c r="BC108" s="314">
        <f t="shared" si="59"/>
        <v>-0.0211165701982165</v>
      </c>
      <c r="BD108" s="318"/>
      <c r="BE108" s="318"/>
      <c r="BF108" s="314">
        <f t="shared" si="60"/>
        <v>-0.147524290326038</v>
      </c>
      <c r="BG108" s="314">
        <f t="shared" si="61"/>
        <v>-0.209971591057817</v>
      </c>
      <c r="BH108" s="101"/>
      <c r="BI108" s="314">
        <f t="shared" si="62"/>
        <v>-0.127452755772095</v>
      </c>
      <c r="BJ108" s="323">
        <f t="shared" si="63"/>
        <v>-0.317</v>
      </c>
      <c r="BK108" s="324"/>
      <c r="BL108" s="2">
        <f t="shared" si="64"/>
        <v>-0.1</v>
      </c>
    </row>
    <row r="109" ht="18.75" customHeight="1" spans="2:64">
      <c r="B109" s="7"/>
      <c r="C109" s="25">
        <v>15</v>
      </c>
      <c r="D109" s="14">
        <v>2749790</v>
      </c>
      <c r="E109" s="14">
        <v>3815120.13</v>
      </c>
      <c r="F109" s="14">
        <v>-1065330.13</v>
      </c>
      <c r="G109" s="14">
        <v>4339.91</v>
      </c>
      <c r="H109" s="9">
        <v>0</v>
      </c>
      <c r="I109" s="14">
        <v>-729045.19</v>
      </c>
      <c r="J109" s="14">
        <v>12451547.12</v>
      </c>
      <c r="K109" s="9">
        <v>-1.269</v>
      </c>
      <c r="L109" s="10"/>
      <c r="X109" s="11" t="s">
        <v>56</v>
      </c>
      <c r="Y109" s="65">
        <f>IF(Y89*$Y$113-INT(Y89*$Y$113)&lt;0.5,INT(Y89*$Y$113),INT(Y89*$Y$113)+1)</f>
        <v>4</v>
      </c>
      <c r="Z109" s="65">
        <f>IF(Z89*$Z$113-INT(Z89*$Z$113)&lt;0.5,INT(Z89*$Z$113),INT(Z89*$Z$113)+1)</f>
        <v>3</v>
      </c>
      <c r="AA109" s="65">
        <f>IF(AA89*$AA$113-INT(AA89*$AA$113)&lt;0.5,INT(AA89*$AA$113),INT(AA89*$AA$113)+1)</f>
        <v>1</v>
      </c>
      <c r="AB109" s="65">
        <f>IF(AB89*$AB$113-INT(AB89*$AB$113)&lt;0.5,INT(AB89*$AB$113),INT(AB89*$AB$113)+1)</f>
        <v>1</v>
      </c>
      <c r="AC109" s="48"/>
      <c r="AK109" s="42" t="s">
        <v>239</v>
      </c>
      <c r="AL109" s="145">
        <f>AA20</f>
        <v>214</v>
      </c>
      <c r="AR109" s="313"/>
      <c r="AS109" s="190">
        <v>3</v>
      </c>
      <c r="AT109" s="314">
        <f t="shared" si="65"/>
        <v>-0.0161243728052067</v>
      </c>
      <c r="AU109" s="314">
        <f t="shared" si="66"/>
        <v>-0.0559949509330303</v>
      </c>
      <c r="AV109" s="314">
        <f t="shared" si="67"/>
        <v>-0.166997715735037</v>
      </c>
      <c r="AW109" s="314">
        <f t="shared" si="68"/>
        <v>-0.0889442361043428</v>
      </c>
      <c r="AX109" s="190">
        <v>3</v>
      </c>
      <c r="AY109" s="314">
        <f t="shared" si="69"/>
        <v>-0.0820153188944043</v>
      </c>
      <c r="AZ109" s="314">
        <f t="shared" si="59"/>
        <v>0.0212626442677718</v>
      </c>
      <c r="BA109" s="314">
        <f t="shared" si="59"/>
        <v>-0.124873582757212</v>
      </c>
      <c r="BB109" s="314">
        <f t="shared" si="59"/>
        <v>-0.0335446335803597</v>
      </c>
      <c r="BC109" s="314">
        <f t="shared" si="59"/>
        <v>0.0265520884800439</v>
      </c>
      <c r="BD109" s="318"/>
      <c r="BE109" s="318"/>
      <c r="BF109" s="314">
        <f t="shared" si="60"/>
        <v>-0.0199017905965648</v>
      </c>
      <c r="BG109" s="314">
        <f t="shared" si="61"/>
        <v>-0.19261880248416</v>
      </c>
      <c r="BH109" s="101"/>
      <c r="BI109" s="314">
        <f t="shared" si="62"/>
        <v>-0.116919613107885</v>
      </c>
      <c r="BJ109" s="323">
        <f t="shared" si="63"/>
        <v>-0.229</v>
      </c>
      <c r="BK109" s="324"/>
      <c r="BL109" s="2">
        <f t="shared" si="64"/>
        <v>-0.1</v>
      </c>
    </row>
    <row r="110" ht="18.75" customHeight="1" spans="2:64">
      <c r="B110" s="7"/>
      <c r="C110" s="25">
        <v>16</v>
      </c>
      <c r="D110" s="14">
        <v>5298050</v>
      </c>
      <c r="E110" s="14">
        <v>4843413.12</v>
      </c>
      <c r="F110" s="14">
        <v>454636.88</v>
      </c>
      <c r="G110" s="14">
        <v>195024.96</v>
      </c>
      <c r="H110" s="9">
        <v>0</v>
      </c>
      <c r="I110" s="14">
        <v>3155984.54</v>
      </c>
      <c r="J110" s="14">
        <v>15271338.38</v>
      </c>
      <c r="K110" s="9">
        <v>0.457</v>
      </c>
      <c r="L110" s="10"/>
      <c r="X110" s="11" t="s">
        <v>57</v>
      </c>
      <c r="Y110" s="65">
        <f>IF(Y90*$Y$113-INT(Y90*$Y$113)&lt;0.5,INT(Y90*$Y$113),INT(Y90*$Y$113)+1)</f>
        <v>6</v>
      </c>
      <c r="Z110" s="65">
        <f>IF(Z90*$Z$113-INT(Z90*$Z$113)&lt;0.5,INT(Z90*$Z$113),INT(Z90*$Z$113)+1)</f>
        <v>6</v>
      </c>
      <c r="AA110" s="65">
        <f>IF(AA90*$AA$113-INT(AA90*$AA$113)&lt;0.5,INT(AA90*$AA$113),INT(AA90*$AA$113)+1)</f>
        <v>2</v>
      </c>
      <c r="AB110" s="65">
        <f>IF(AB90*$AB$113-INT(AB90*$AB$113)&lt;0.5,INT(AB90*$AB$113),INT(AB90*$AB$113)+1)</f>
        <v>2</v>
      </c>
      <c r="AC110" s="48"/>
      <c r="AE110" s="42" t="s">
        <v>246</v>
      </c>
      <c r="AF110" s="65">
        <f>SUM(AF64:AF67)*比赛参数!D26/1300</f>
        <v>33.4615384615385</v>
      </c>
      <c r="AG110" s="65">
        <f>SUM(AG64:AG67)*比赛参数!E26/1300</f>
        <v>73.0769230769231</v>
      </c>
      <c r="AH110" s="65">
        <f>SUM(AH64:AH67)*比赛参数!F26/1300</f>
        <v>37.4153846153846</v>
      </c>
      <c r="AI110" s="65">
        <f>SUM(AI64:AI67)*比赛参数!G26/1300</f>
        <v>54.4</v>
      </c>
      <c r="AJ110" s="65">
        <f>SUM(AF110:AI110)</f>
        <v>198.353846153846</v>
      </c>
      <c r="AK110" s="42" t="s">
        <v>246</v>
      </c>
      <c r="AL110" s="145">
        <f>SUM(AF110:AI110)</f>
        <v>198.353846153846</v>
      </c>
      <c r="AR110" s="313"/>
      <c r="AS110" s="190">
        <v>4</v>
      </c>
      <c r="AT110" s="314">
        <f t="shared" si="65"/>
        <v>0.364007731917248</v>
      </c>
      <c r="AU110" s="314">
        <f t="shared" si="66"/>
        <v>-0.0267006481631809</v>
      </c>
      <c r="AV110" s="314">
        <f t="shared" si="67"/>
        <v>0.162582375396207</v>
      </c>
      <c r="AW110" s="314">
        <f t="shared" si="68"/>
        <v>0.12269951415978</v>
      </c>
      <c r="AX110" s="190">
        <v>4</v>
      </c>
      <c r="AY110" s="314">
        <f t="shared" si="69"/>
        <v>0.155647243327513</v>
      </c>
      <c r="AZ110" s="314">
        <f t="shared" si="59"/>
        <v>0.18590166884797</v>
      </c>
      <c r="BA110" s="314">
        <f t="shared" si="59"/>
        <v>-0.0575364057175157</v>
      </c>
      <c r="BB110" s="314">
        <f t="shared" si="59"/>
        <v>-0.0429268219113163</v>
      </c>
      <c r="BC110" s="314">
        <f t="shared" si="59"/>
        <v>0.0711154514888534</v>
      </c>
      <c r="BD110" s="318"/>
      <c r="BE110" s="318"/>
      <c r="BF110" s="314">
        <f t="shared" si="60"/>
        <v>-0.135924365030563</v>
      </c>
      <c r="BG110" s="314">
        <f t="shared" si="61"/>
        <v>0.312201136035505</v>
      </c>
      <c r="BH110" s="101"/>
      <c r="BI110" s="314">
        <f t="shared" si="62"/>
        <v>0.189506089573552</v>
      </c>
      <c r="BJ110" s="323">
        <f t="shared" si="63"/>
        <v>0.007</v>
      </c>
      <c r="BK110" s="324"/>
      <c r="BL110" s="2">
        <f t="shared" si="64"/>
        <v>-0.1</v>
      </c>
    </row>
    <row r="111" ht="18.75" customHeight="1" spans="2:64">
      <c r="B111" s="7"/>
      <c r="C111" s="25">
        <v>17</v>
      </c>
      <c r="D111" s="14">
        <v>4166044</v>
      </c>
      <c r="E111" s="14">
        <v>4289238.52</v>
      </c>
      <c r="F111" s="14">
        <v>-123194.52</v>
      </c>
      <c r="G111" s="14">
        <v>37963.98</v>
      </c>
      <c r="H111" s="9">
        <v>0</v>
      </c>
      <c r="I111" s="14">
        <v>1009450.51</v>
      </c>
      <c r="J111" s="14">
        <v>14679513.97</v>
      </c>
      <c r="K111" s="9">
        <v>-0.081</v>
      </c>
      <c r="L111" s="10"/>
      <c r="X111" s="11" t="s">
        <v>58</v>
      </c>
      <c r="Y111" s="65">
        <f>IF(Y91*$Y$113-INT(Y91*$Y$113)&lt;0.5,INT(Y91*$Y$113),INT(Y91*$Y$113)+1)</f>
        <v>7</v>
      </c>
      <c r="Z111" s="65">
        <f>IF(Z91*$Z$113-INT(Z91*$Z$113)&lt;0.5,INT(Z91*$Z$113),INT(Z91*$Z$113)+1)</f>
        <v>5</v>
      </c>
      <c r="AA111" s="65">
        <f>IF(AA91*$AA$113-INT(AA91*$AA$113)&lt;0.5,INT(AA91*$AA$113),INT(AA91*$AA$113)+1)</f>
        <v>2</v>
      </c>
      <c r="AB111" s="65">
        <f>IF(AB91*$AB$113-INT(AB91*$AB$113)&lt;0.5,INT(AB91*$AB$113),INT(AB91*$AB$113)+1)</f>
        <v>2</v>
      </c>
      <c r="AC111" s="48"/>
      <c r="AE111" s="148" t="s">
        <v>253</v>
      </c>
      <c r="AF111" s="65">
        <f>(SUM(AF64:AF67)-SUM(AF104:AF107))*比赛参数!D26/1300</f>
        <v>33.4615384615385</v>
      </c>
      <c r="AG111" s="65">
        <f>(SUM(AG64:AG67)-SUM(AG104:AG107))*比赛参数!E26/1300</f>
        <v>73.0769230769231</v>
      </c>
      <c r="AH111" s="65">
        <f>(SUM(AH64:AH67)-SUM(AH104:AH107))*比赛参数!F26/1300</f>
        <v>37.4153846153846</v>
      </c>
      <c r="AI111" s="65">
        <f>(SUM(AI64:AI67)-SUM(AI104:AI107))*比赛参数!G26/1300</f>
        <v>54.4</v>
      </c>
      <c r="AJ111" s="65">
        <f>SUM(AF111:AI111)</f>
        <v>198.353846153846</v>
      </c>
      <c r="AK111" s="148" t="s">
        <v>253</v>
      </c>
      <c r="AL111" s="145">
        <f>AJ111</f>
        <v>198.353846153846</v>
      </c>
      <c r="AR111" s="313"/>
      <c r="AS111" s="190">
        <v>5</v>
      </c>
      <c r="AT111" s="314">
        <f t="shared" si="65"/>
        <v>0.0913379185097253</v>
      </c>
      <c r="AU111" s="314">
        <f t="shared" si="66"/>
        <v>0.0847142974197694</v>
      </c>
      <c r="AV111" s="314">
        <f t="shared" si="67"/>
        <v>-0.0741491982742756</v>
      </c>
      <c r="AW111" s="314">
        <f t="shared" si="68"/>
        <v>0.100016109826102</v>
      </c>
      <c r="AX111" s="190">
        <v>5</v>
      </c>
      <c r="AY111" s="314">
        <f t="shared" si="69"/>
        <v>0.0504797818703303</v>
      </c>
      <c r="AZ111" s="314">
        <f t="shared" si="59"/>
        <v>0.179866009140269</v>
      </c>
      <c r="BA111" s="314">
        <f t="shared" si="59"/>
        <v>0.215156794728804</v>
      </c>
      <c r="BB111" s="314">
        <f t="shared" si="59"/>
        <v>-0.0429268219113163</v>
      </c>
      <c r="BC111" s="314">
        <f t="shared" si="59"/>
        <v>0.147356455297159</v>
      </c>
      <c r="BD111" s="318"/>
      <c r="BE111" s="318"/>
      <c r="BF111" s="314">
        <f t="shared" si="60"/>
        <v>0.272143563411821</v>
      </c>
      <c r="BG111" s="314">
        <f t="shared" si="61"/>
        <v>0.549932219125246</v>
      </c>
      <c r="BH111" s="101"/>
      <c r="BI111" s="314">
        <f t="shared" si="62"/>
        <v>0.333808857009025</v>
      </c>
      <c r="BJ111" s="323">
        <f t="shared" si="63"/>
        <v>0.399</v>
      </c>
      <c r="BK111" s="324"/>
      <c r="BL111" s="2">
        <f t="shared" si="64"/>
        <v>-0.1</v>
      </c>
    </row>
    <row r="112" ht="18.75" customHeight="1" spans="2:64">
      <c r="B112" s="7"/>
      <c r="C112" s="25">
        <v>18</v>
      </c>
      <c r="D112" s="14">
        <v>3327346</v>
      </c>
      <c r="E112" s="14">
        <v>3621337.4</v>
      </c>
      <c r="F112" s="14">
        <v>-293991.4</v>
      </c>
      <c r="G112" s="14">
        <v>17313.29</v>
      </c>
      <c r="H112" s="14">
        <v>38920.14</v>
      </c>
      <c r="I112" s="14">
        <v>4159691.99</v>
      </c>
      <c r="J112" s="14">
        <v>14409822.76</v>
      </c>
      <c r="K112" s="9">
        <v>-0.199</v>
      </c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>
        <f t="shared" si="65"/>
        <v>-0.17857554564867</v>
      </c>
      <c r="AU112" s="314">
        <f t="shared" si="66"/>
        <v>-0.201877752824642</v>
      </c>
      <c r="AV112" s="314">
        <f t="shared" si="67"/>
        <v>-0.254051645761983</v>
      </c>
      <c r="AW112" s="314">
        <f t="shared" si="68"/>
        <v>-0.21391436105483</v>
      </c>
      <c r="AX112" s="190">
        <v>6</v>
      </c>
      <c r="AY112" s="314">
        <f t="shared" si="69"/>
        <v>-0.212104826322531</v>
      </c>
      <c r="AZ112" s="314">
        <f t="shared" si="59"/>
        <v>-0.574449447955346</v>
      </c>
      <c r="BA112" s="314">
        <f t="shared" si="59"/>
        <v>-0.12876935771584</v>
      </c>
      <c r="BB112" s="314">
        <f t="shared" si="59"/>
        <v>-0.0429268219113163</v>
      </c>
      <c r="BC112" s="314">
        <f t="shared" si="59"/>
        <v>-0.505656901818586</v>
      </c>
      <c r="BD112" s="318"/>
      <c r="BE112" s="318"/>
      <c r="BF112" s="314">
        <f t="shared" si="60"/>
        <v>-1.25767419287605</v>
      </c>
      <c r="BG112" s="314">
        <f t="shared" si="61"/>
        <v>-1.46390735572362</v>
      </c>
      <c r="BH112" s="101"/>
      <c r="BI112" s="314">
        <f t="shared" si="62"/>
        <v>-0.888591764924237</v>
      </c>
      <c r="BJ112" s="323">
        <f t="shared" si="63"/>
        <v>-1.752</v>
      </c>
      <c r="BK112" s="324"/>
      <c r="BL112" s="2">
        <f t="shared" si="64"/>
        <v>-0.1</v>
      </c>
    </row>
    <row r="113" ht="18.75" customHeight="1" spans="2:64">
      <c r="B113" s="7"/>
      <c r="C113" s="25">
        <v>19</v>
      </c>
      <c r="D113" s="14">
        <v>3219700</v>
      </c>
      <c r="E113" s="14">
        <v>3406944.09</v>
      </c>
      <c r="F113" s="14">
        <v>-187244.09</v>
      </c>
      <c r="G113" s="14">
        <v>4339.91</v>
      </c>
      <c r="H113" s="9">
        <v>0</v>
      </c>
      <c r="I113" s="14">
        <v>4405283.23</v>
      </c>
      <c r="J113" s="14">
        <v>14469229.38</v>
      </c>
      <c r="K113" s="9">
        <v>-0.261</v>
      </c>
      <c r="L113" s="10"/>
      <c r="X113" s="63" t="s">
        <v>110</v>
      </c>
      <c r="Y113" s="295">
        <f>Y122</f>
        <v>0.0497000000000001</v>
      </c>
      <c r="Z113" s="295">
        <f>Z122</f>
        <v>0.0497000000000001</v>
      </c>
      <c r="AA113" s="295">
        <f>AA122</f>
        <v>0.0497000000000001</v>
      </c>
      <c r="AB113" s="295">
        <f>AB122</f>
        <v>0.0497000000000001</v>
      </c>
      <c r="AC113" s="48"/>
      <c r="AR113" s="313"/>
      <c r="AS113" s="190">
        <v>7</v>
      </c>
      <c r="AT113" s="314">
        <f t="shared" si="65"/>
        <v>0.0211112855790991</v>
      </c>
      <c r="AU113" s="314">
        <f t="shared" si="66"/>
        <v>0.0624979918581099</v>
      </c>
      <c r="AV113" s="314">
        <f t="shared" si="67"/>
        <v>0.076543221441836</v>
      </c>
      <c r="AW113" s="314">
        <f t="shared" si="68"/>
        <v>0.107565343329147</v>
      </c>
      <c r="AX113" s="190">
        <v>7</v>
      </c>
      <c r="AY113" s="314">
        <f t="shared" si="69"/>
        <v>0.066929460552048</v>
      </c>
      <c r="AZ113" s="314">
        <f t="shared" si="59"/>
        <v>0.00539929162754406</v>
      </c>
      <c r="BA113" s="314">
        <f t="shared" si="59"/>
        <v>-0.12876935771584</v>
      </c>
      <c r="BB113" s="314">
        <f t="shared" si="59"/>
        <v>-0.0429268219113163</v>
      </c>
      <c r="BC113" s="314">
        <f t="shared" si="59"/>
        <v>0.0056301609989444</v>
      </c>
      <c r="BD113" s="318"/>
      <c r="BE113" s="318"/>
      <c r="BF113" s="314">
        <f t="shared" si="60"/>
        <v>-0.117135880174115</v>
      </c>
      <c r="BG113" s="314">
        <f t="shared" si="61"/>
        <v>-0.0937372664486196</v>
      </c>
      <c r="BH113" s="101"/>
      <c r="BI113" s="314">
        <f t="shared" si="62"/>
        <v>-0.0568985207343121</v>
      </c>
      <c r="BJ113" s="323">
        <f t="shared" si="63"/>
        <v>-0.128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>
        <f t="shared" si="65"/>
        <v>0.0479662560360794</v>
      </c>
      <c r="AU114" s="314">
        <f t="shared" si="66"/>
        <v>0.13866680577087</v>
      </c>
      <c r="AV114" s="314">
        <f t="shared" si="67"/>
        <v>0.256531269381986</v>
      </c>
      <c r="AW114" s="314">
        <f t="shared" si="68"/>
        <v>-0.135712473086669</v>
      </c>
      <c r="AX114" s="190">
        <v>8</v>
      </c>
      <c r="AY114" s="314">
        <f t="shared" si="69"/>
        <v>0.0768629645255665</v>
      </c>
      <c r="AZ114" s="314">
        <f t="shared" si="59"/>
        <v>0.157871075790149</v>
      </c>
      <c r="BA114" s="314">
        <f t="shared" si="59"/>
        <v>0.088108290702217</v>
      </c>
      <c r="BB114" s="314">
        <f t="shared" si="59"/>
        <v>0.210345202344329</v>
      </c>
      <c r="BC114" s="314">
        <f t="shared" si="59"/>
        <v>0.0820333175323335</v>
      </c>
      <c r="BD114" s="318"/>
      <c r="BE114" s="318"/>
      <c r="BF114" s="314">
        <f t="shared" si="60"/>
        <v>0.101418358331106</v>
      </c>
      <c r="BG114" s="314">
        <f t="shared" si="61"/>
        <v>0.615220850894595</v>
      </c>
      <c r="BH114" s="101"/>
      <c r="BI114" s="314">
        <f t="shared" si="62"/>
        <v>0.373439056493019</v>
      </c>
      <c r="BJ114" s="323">
        <f t="shared" si="63"/>
        <v>0.335</v>
      </c>
      <c r="BK114" s="324"/>
      <c r="BL114" s="2">
        <f t="shared" si="64"/>
        <v>-0.1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>
        <f t="shared" si="65"/>
        <v>-0.123973838504045</v>
      </c>
      <c r="AU115" s="314">
        <f t="shared" si="66"/>
        <v>-0.0867483930836894</v>
      </c>
      <c r="AV115" s="314">
        <f t="shared" si="67"/>
        <v>-0.0326941724459697</v>
      </c>
      <c r="AW115" s="314">
        <f t="shared" si="68"/>
        <v>0.0551395693328776</v>
      </c>
      <c r="AX115" s="190">
        <v>9</v>
      </c>
      <c r="AY115" s="314">
        <f t="shared" si="69"/>
        <v>-0.0470692086752067</v>
      </c>
      <c r="AZ115" s="314">
        <f t="shared" si="59"/>
        <v>-0.0832941164122905</v>
      </c>
      <c r="BA115" s="314">
        <f t="shared" si="59"/>
        <v>0.0171078436193278</v>
      </c>
      <c r="BB115" s="314">
        <f t="shared" si="59"/>
        <v>-0.0429268219113163</v>
      </c>
      <c r="BC115" s="314">
        <f t="shared" si="59"/>
        <v>0.0152362774050694</v>
      </c>
      <c r="BD115" s="318"/>
      <c r="BE115" s="318"/>
      <c r="BF115" s="314">
        <f t="shared" si="60"/>
        <v>0.114586882646574</v>
      </c>
      <c r="BG115" s="314">
        <f t="shared" si="61"/>
        <v>-0.140946025974416</v>
      </c>
      <c r="BH115" s="101"/>
      <c r="BI115" s="314">
        <f t="shared" si="62"/>
        <v>-0.0855542377664706</v>
      </c>
      <c r="BJ115" s="323">
        <f t="shared" si="63"/>
        <v>-0.116</v>
      </c>
      <c r="BK115" s="324"/>
      <c r="BL115" s="2">
        <f t="shared" si="64"/>
        <v>-0.1</v>
      </c>
    </row>
    <row r="116" ht="20.1" customHeight="1" spans="24:64">
      <c r="X116" s="47" t="s">
        <v>55</v>
      </c>
      <c r="Y116" s="296">
        <f>(AF76-CJ27-$AF$81-AK76)/(CJ27+$AF$81+AK76)</f>
        <v>0.389161587743996</v>
      </c>
      <c r="Z116" s="296">
        <f>(AG76-CK27-$AG$81-AK76)/(CK27+$AG$81+AK76)</f>
        <v>0.331063685549505</v>
      </c>
      <c r="AA116" s="296">
        <f>(AH76-CL27-$AH$81-AK76)/(CL27+$AH$81+AK76)</f>
        <v>0.310231656618501</v>
      </c>
      <c r="AB116" s="296">
        <f>(AI76-CM27-$AI$81-AK76)/(CM27+$AI$81+AK76)</f>
        <v>0.251367030105937</v>
      </c>
      <c r="AC116" s="48"/>
      <c r="AR116" s="313"/>
      <c r="AS116" s="190">
        <v>10</v>
      </c>
      <c r="AT116" s="314">
        <f t="shared" si="65"/>
        <v>-0.174518122099154</v>
      </c>
      <c r="AU116" s="314">
        <f t="shared" si="66"/>
        <v>-0.0259190401448459</v>
      </c>
      <c r="AV116" s="314">
        <f t="shared" si="67"/>
        <v>0.00406822289316009</v>
      </c>
      <c r="AW116" s="314">
        <f t="shared" si="68"/>
        <v>0.0445023089795897</v>
      </c>
      <c r="AX116" s="190">
        <v>10</v>
      </c>
      <c r="AY116" s="314">
        <f t="shared" si="69"/>
        <v>-0.0379666575928126</v>
      </c>
      <c r="AZ116" s="314">
        <f t="shared" si="59"/>
        <v>-0.0702934705695374</v>
      </c>
      <c r="BA116" s="314">
        <f t="shared" si="59"/>
        <v>0.0865193418025153</v>
      </c>
      <c r="BB116" s="314">
        <f t="shared" si="59"/>
        <v>-0.0429268219113163</v>
      </c>
      <c r="BC116" s="314">
        <f t="shared" si="59"/>
        <v>0.0409915609846006</v>
      </c>
      <c r="BD116" s="318"/>
      <c r="BE116" s="318"/>
      <c r="BF116" s="314">
        <f t="shared" si="60"/>
        <v>0.221369622245364</v>
      </c>
      <c r="BG116" s="314">
        <f t="shared" si="61"/>
        <v>-0.0236760472865504</v>
      </c>
      <c r="BH116" s="101"/>
      <c r="BI116" s="314">
        <f t="shared" si="62"/>
        <v>-0.0143713607029361</v>
      </c>
      <c r="BJ116" s="323">
        <f t="shared" si="63"/>
        <v>0.02</v>
      </c>
      <c r="BK116" s="324"/>
      <c r="BL116" s="2">
        <f t="shared" si="64"/>
        <v>-0.1</v>
      </c>
    </row>
    <row r="117" ht="20.1" customHeight="1" spans="24:64">
      <c r="X117" s="11" t="s">
        <v>56</v>
      </c>
      <c r="Y117" s="296">
        <f>(AF77-CJ28-$AF$81-AK77)/(CJ28+$AF$81+AK77)</f>
        <v>0.445087300829285</v>
      </c>
      <c r="Z117" s="296">
        <f>(AG77-CK28-$AG$81-AK77)/(CK28+$AG$81+AK77)</f>
        <v>0.383207858709576</v>
      </c>
      <c r="AA117" s="296">
        <f>(AH77-CL28-$AH$81-AK77)/(CL28+$AH$81+AK77)</f>
        <v>0.384667036474011</v>
      </c>
      <c r="AB117" s="296">
        <f>(AI77-CM28-$AI$81-AK77)/(CM28+$AI$81+AK77)</f>
        <v>0.295672863088465</v>
      </c>
      <c r="AC117" s="48"/>
      <c r="AR117" s="313"/>
      <c r="AS117" s="190">
        <v>11</v>
      </c>
      <c r="AT117" s="314">
        <f t="shared" si="65"/>
        <v>-0.0157392457003012</v>
      </c>
      <c r="AU117" s="314">
        <f t="shared" si="66"/>
        <v>0.00636937720406527</v>
      </c>
      <c r="AV117" s="314">
        <f t="shared" si="67"/>
        <v>0.0300240109261923</v>
      </c>
      <c r="AW117" s="314">
        <f t="shared" si="68"/>
        <v>0.125420284765582</v>
      </c>
      <c r="AX117" s="190">
        <v>11</v>
      </c>
      <c r="AY117" s="314">
        <f t="shared" si="69"/>
        <v>0.0365186067988845</v>
      </c>
      <c r="AZ117" s="314">
        <f t="shared" si="59"/>
        <v>0.148030634895656</v>
      </c>
      <c r="BA117" s="314">
        <f t="shared" si="59"/>
        <v>0.174838769835102</v>
      </c>
      <c r="BB117" s="314">
        <f t="shared" si="59"/>
        <v>0.447665935666138</v>
      </c>
      <c r="BC117" s="314">
        <f t="shared" si="59"/>
        <v>0.0789034293616065</v>
      </c>
      <c r="BD117" s="318"/>
      <c r="BE117" s="318"/>
      <c r="BF117" s="314">
        <f t="shared" si="60"/>
        <v>0.265607697577704</v>
      </c>
      <c r="BG117" s="314">
        <f t="shared" si="61"/>
        <v>0.885957376557386</v>
      </c>
      <c r="BH117" s="101"/>
      <c r="BI117" s="314">
        <f t="shared" si="62"/>
        <v>0.537776127570334</v>
      </c>
      <c r="BJ117" s="323">
        <f t="shared" si="63"/>
        <v>0.599</v>
      </c>
      <c r="BK117" s="324"/>
      <c r="BL117" s="2">
        <f t="shared" si="64"/>
        <v>-0.1</v>
      </c>
    </row>
    <row r="118" ht="20.1" customHeight="1" spans="24:64">
      <c r="X118" s="11" t="s">
        <v>57</v>
      </c>
      <c r="Y118" s="296">
        <f>(AF78-CJ29-$AF$81-AK78)/(CJ29+$AF$81+AK78)</f>
        <v>0.348976300010427</v>
      </c>
      <c r="Z118" s="296">
        <f>(AG78-CK29-$AG$81-AK78)/(CK29+$AG$81+AK78)</f>
        <v>0.315836022831205</v>
      </c>
      <c r="AA118" s="296">
        <f>(AH78-CL29-$AH$81-AK78)/(CL29+$AH$81+AK78)</f>
        <v>0.311242775505012</v>
      </c>
      <c r="AB118" s="296">
        <f>(AI78-CM29-$AI$81-AK78)/(CM29+$AI$81+AK78)</f>
        <v>0.256619224509748</v>
      </c>
      <c r="AC118" s="48"/>
      <c r="AR118" s="313"/>
      <c r="AS118" s="190">
        <v>12</v>
      </c>
      <c r="AT118" s="314">
        <f t="shared" si="65"/>
        <v>0.014746808687828</v>
      </c>
      <c r="AU118" s="314">
        <f t="shared" si="66"/>
        <v>0.166188132928996</v>
      </c>
      <c r="AV118" s="314">
        <f t="shared" si="67"/>
        <v>0.059828501380891</v>
      </c>
      <c r="AW118" s="314">
        <f t="shared" si="68"/>
        <v>-0.21391436105483</v>
      </c>
      <c r="AX118" s="190">
        <v>12</v>
      </c>
      <c r="AY118" s="314">
        <f t="shared" si="69"/>
        <v>0.00671227048572131</v>
      </c>
      <c r="AZ118" s="314">
        <f t="shared" si="59"/>
        <v>0.179317498430242</v>
      </c>
      <c r="BA118" s="314">
        <f t="shared" si="59"/>
        <v>0.0851421658868511</v>
      </c>
      <c r="BB118" s="314">
        <f t="shared" si="59"/>
        <v>-0.0429268219113163</v>
      </c>
      <c r="BC118" s="314">
        <f t="shared" si="59"/>
        <v>0.11119443542624</v>
      </c>
      <c r="BD118" s="318"/>
      <c r="BE118" s="318"/>
      <c r="BF118" s="314">
        <f t="shared" si="60"/>
        <v>0.0608899409738609</v>
      </c>
      <c r="BG118" s="314">
        <f t="shared" si="61"/>
        <v>0.339439548317737</v>
      </c>
      <c r="BH118" s="101"/>
      <c r="BI118" s="314">
        <f t="shared" si="62"/>
        <v>0.206039805828866</v>
      </c>
      <c r="BJ118" s="323">
        <f t="shared" si="63"/>
        <v>0.243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>
        <f>(AF79-CJ30-$AF$81-AK79)/(CJ30+$AF$81+AK79)</f>
        <v>0.33275494151746</v>
      </c>
      <c r="Z119" s="296">
        <f>(AG79-CK30-$AG$81-AK79)/(CK30+$AG$81+AK79)</f>
        <v>0.305053958024159</v>
      </c>
      <c r="AA119" s="296">
        <f>(AH79-CL30-$AH$81-AK79)/(CL30+$AH$81+AK79)</f>
        <v>0.320221421969046</v>
      </c>
      <c r="AB119" s="296">
        <f>(AI79-CM30-$AI$81-AK79)/(CM30+$AI$81+AK79)</f>
        <v>0.249809419170188</v>
      </c>
      <c r="AC119" s="297"/>
      <c r="AR119" s="313"/>
      <c r="AS119" s="190">
        <v>13</v>
      </c>
      <c r="AT119" s="314">
        <f t="shared" si="65"/>
        <v>-0.0629382778066178</v>
      </c>
      <c r="AU119" s="314">
        <f t="shared" si="66"/>
        <v>-0.0627929689581335</v>
      </c>
      <c r="AV119" s="314">
        <f t="shared" si="67"/>
        <v>0.0731727352138161</v>
      </c>
      <c r="AW119" s="314">
        <f t="shared" si="68"/>
        <v>0.0844326644358048</v>
      </c>
      <c r="AX119" s="190">
        <v>13</v>
      </c>
      <c r="AY119" s="314">
        <f t="shared" si="69"/>
        <v>0.00796853822121737</v>
      </c>
      <c r="AZ119" s="314">
        <f t="shared" si="59"/>
        <v>-0.00700715095545864</v>
      </c>
      <c r="BA119" s="314">
        <f t="shared" si="59"/>
        <v>0.0419754647084653</v>
      </c>
      <c r="BB119" s="314">
        <f t="shared" si="59"/>
        <v>-0.0413341910624016</v>
      </c>
      <c r="BC119" s="314">
        <f t="shared" si="59"/>
        <v>0.0598248710365897</v>
      </c>
      <c r="BD119" s="318"/>
      <c r="BE119" s="318"/>
      <c r="BF119" s="314">
        <f t="shared" si="60"/>
        <v>0.231817937573828</v>
      </c>
      <c r="BG119" s="314">
        <f t="shared" si="61"/>
        <v>0.0614275319484122</v>
      </c>
      <c r="BH119" s="101"/>
      <c r="BI119" s="314">
        <f t="shared" si="62"/>
        <v>0.0372865118926862</v>
      </c>
      <c r="BJ119" s="323">
        <f t="shared" si="63"/>
        <v>0.078</v>
      </c>
      <c r="BK119" s="324"/>
      <c r="BL119" s="2">
        <f t="shared" si="64"/>
        <v>-0.1</v>
      </c>
    </row>
    <row r="120" ht="20.1" customHeight="1" spans="44:64">
      <c r="AR120" s="313"/>
      <c r="AS120" s="190">
        <v>14</v>
      </c>
      <c r="AT120" s="314">
        <f t="shared" si="65"/>
        <v>-0.171676719149335</v>
      </c>
      <c r="AU120" s="314">
        <f t="shared" si="66"/>
        <v>-0.171172476872059</v>
      </c>
      <c r="AV120" s="314">
        <f t="shared" si="67"/>
        <v>-0.0708909201515304</v>
      </c>
      <c r="AW120" s="314">
        <f t="shared" si="68"/>
        <v>0.0048070597152309</v>
      </c>
      <c r="AX120" s="190">
        <v>14</v>
      </c>
      <c r="AY120" s="314">
        <f t="shared" si="69"/>
        <v>-0.102233264114424</v>
      </c>
      <c r="AZ120" s="314">
        <f t="shared" si="59"/>
        <v>-0.196383569790843</v>
      </c>
      <c r="BA120" s="314">
        <f t="shared" si="59"/>
        <v>-0.0409680140364334</v>
      </c>
      <c r="BB120" s="314">
        <f t="shared" si="59"/>
        <v>-0.0429268219113163</v>
      </c>
      <c r="BC120" s="314">
        <f t="shared" si="59"/>
        <v>-0.0570345224127102</v>
      </c>
      <c r="BD120" s="318"/>
      <c r="BE120" s="318"/>
      <c r="BF120" s="314">
        <f t="shared" si="60"/>
        <v>-0.102463692413021</v>
      </c>
      <c r="BG120" s="314">
        <f t="shared" si="61"/>
        <v>-0.439546192265727</v>
      </c>
      <c r="BH120" s="101"/>
      <c r="BI120" s="314">
        <f t="shared" si="62"/>
        <v>-0.266804538705296</v>
      </c>
      <c r="BJ120" s="323">
        <f t="shared" si="63"/>
        <v>-0.429</v>
      </c>
      <c r="BK120" s="324"/>
      <c r="BL120" s="2">
        <f t="shared" si="64"/>
        <v>-0.1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>
        <f t="shared" si="65"/>
        <v>-0.00409737301373369</v>
      </c>
      <c r="AU121" s="314">
        <f t="shared" si="66"/>
        <v>0.0320737414025293</v>
      </c>
      <c r="AV121" s="314">
        <f t="shared" si="67"/>
        <v>-0.118913085732507</v>
      </c>
      <c r="AW121" s="314">
        <f t="shared" si="68"/>
        <v>-0.175638277444621</v>
      </c>
      <c r="AX121" s="190">
        <v>15</v>
      </c>
      <c r="AY121" s="314">
        <f t="shared" si="69"/>
        <v>-0.066643748697083</v>
      </c>
      <c r="AZ121" s="314">
        <f t="shared" si="59"/>
        <v>-0.324444863395037</v>
      </c>
      <c r="BA121" s="314">
        <f t="shared" si="59"/>
        <v>-0.12876935771584</v>
      </c>
      <c r="BB121" s="314">
        <f t="shared" si="59"/>
        <v>-0.0429268219113163</v>
      </c>
      <c r="BC121" s="314">
        <f t="shared" si="59"/>
        <v>-0.363275562075662</v>
      </c>
      <c r="BD121" s="318"/>
      <c r="BE121" s="318"/>
      <c r="BF121" s="314">
        <f t="shared" si="60"/>
        <v>-0.999804555595507</v>
      </c>
      <c r="BG121" s="314">
        <f t="shared" si="61"/>
        <v>-0.926060353794938</v>
      </c>
      <c r="BH121" s="101"/>
      <c r="BI121" s="314">
        <f t="shared" si="62"/>
        <v>-0.562118634753527</v>
      </c>
      <c r="BJ121" s="323">
        <f t="shared" si="63"/>
        <v>-1.269</v>
      </c>
      <c r="BK121" s="324"/>
      <c r="BL121" s="2">
        <f t="shared" si="64"/>
        <v>-0.1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0.0497000000000001</v>
      </c>
      <c r="Z122" s="299">
        <f>IF(1-(($AH$18-1)*Z125/10+0.95+(H43-0.95)*Z124)&gt;0,1-(($AH$18-1)*Z125/10+0.95+(H43-0.95)*Z124),0)</f>
        <v>0.0497000000000001</v>
      </c>
      <c r="AA122" s="299">
        <f>1-(($AH$18-1)*AA125/10+0.95+(H44-0.95)*AA124)</f>
        <v>0.0497000000000001</v>
      </c>
      <c r="AB122" s="299">
        <f>1-(($AH$18-1)*AB125/10+0.95+(H45-0.95)*AB124)</f>
        <v>0.0497000000000001</v>
      </c>
      <c r="AR122" s="313"/>
      <c r="AS122" s="190">
        <v>16</v>
      </c>
      <c r="AT122" s="314">
        <f t="shared" si="65"/>
        <v>0.00702267602744213</v>
      </c>
      <c r="AU122" s="314">
        <f t="shared" si="66"/>
        <v>0.0908206173481937</v>
      </c>
      <c r="AV122" s="314">
        <f t="shared" si="67"/>
        <v>-0.0213561802749391</v>
      </c>
      <c r="AW122" s="314">
        <f t="shared" si="68"/>
        <v>0.0804702026917507</v>
      </c>
      <c r="AX122" s="190">
        <v>16</v>
      </c>
      <c r="AY122" s="314">
        <f t="shared" si="69"/>
        <v>0.0392393289481119</v>
      </c>
      <c r="AZ122" s="314">
        <f t="shared" si="59"/>
        <v>0.238824951537188</v>
      </c>
      <c r="BA122" s="314">
        <f t="shared" si="59"/>
        <v>0.242081427938034</v>
      </c>
      <c r="BB122" s="314">
        <f t="shared" si="59"/>
        <v>-0.0429268219113163</v>
      </c>
      <c r="BC122" s="314">
        <f t="shared" si="59"/>
        <v>0.155274652238773</v>
      </c>
      <c r="BD122" s="318"/>
      <c r="BE122" s="318"/>
      <c r="BF122" s="314">
        <f t="shared" si="60"/>
        <v>0.285134138349703</v>
      </c>
      <c r="BG122" s="314">
        <f t="shared" si="61"/>
        <v>0.632493538750791</v>
      </c>
      <c r="BH122" s="101"/>
      <c r="BI122" s="314">
        <f t="shared" si="62"/>
        <v>0.38392357802173</v>
      </c>
      <c r="BJ122" s="323">
        <f t="shared" si="63"/>
        <v>0.457</v>
      </c>
      <c r="BK122" s="324"/>
      <c r="BL122" s="2">
        <f t="shared" si="64"/>
        <v>-0.1</v>
      </c>
    </row>
    <row r="123" ht="20.1" customHeight="1" spans="24:64">
      <c r="X123" s="282" t="s">
        <v>113</v>
      </c>
      <c r="Y123" s="299">
        <f>1-Y122</f>
        <v>0.9503</v>
      </c>
      <c r="Z123" s="299">
        <f>1-Z122</f>
        <v>0.9503</v>
      </c>
      <c r="AA123" s="299">
        <f>1-AA122</f>
        <v>0.9503</v>
      </c>
      <c r="AB123" s="299">
        <f>1-AB122</f>
        <v>0.9503</v>
      </c>
      <c r="AR123" s="313"/>
      <c r="AS123" s="190">
        <v>17</v>
      </c>
      <c r="AT123" s="314">
        <f t="shared" si="65"/>
        <v>-0.111413034924105</v>
      </c>
      <c r="AU123" s="314">
        <f t="shared" si="66"/>
        <v>0.169078599204995</v>
      </c>
      <c r="AV123" s="314">
        <f t="shared" si="67"/>
        <v>-0.0281204103041272</v>
      </c>
      <c r="AW123" s="314">
        <f t="shared" si="68"/>
        <v>-0.0495730807994868</v>
      </c>
      <c r="AX123" s="190">
        <v>17</v>
      </c>
      <c r="AY123" s="314">
        <f t="shared" si="69"/>
        <v>-0.00500698170568104</v>
      </c>
      <c r="AZ123" s="314">
        <f t="shared" si="59"/>
        <v>0.0246920239152735</v>
      </c>
      <c r="BA123" s="314">
        <f t="shared" si="59"/>
        <v>-0.0633761201422552</v>
      </c>
      <c r="BB123" s="314">
        <f t="shared" si="59"/>
        <v>-0.0429268219113163</v>
      </c>
      <c r="BC123" s="314">
        <f t="shared" si="59"/>
        <v>0.0464401157979395</v>
      </c>
      <c r="BD123" s="318"/>
      <c r="BE123" s="318"/>
      <c r="BF123" s="314">
        <f t="shared" si="60"/>
        <v>0.0714792667478517</v>
      </c>
      <c r="BG123" s="314">
        <f t="shared" si="61"/>
        <v>-0.0401777840460395</v>
      </c>
      <c r="BH123" s="101"/>
      <c r="BI123" s="314">
        <f t="shared" si="62"/>
        <v>-0.024387914915946</v>
      </c>
      <c r="BJ123" s="323">
        <f t="shared" si="63"/>
        <v>-0.081</v>
      </c>
      <c r="BK123" s="324"/>
      <c r="BL123" s="2">
        <f t="shared" si="64"/>
        <v>-0.1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>
        <f t="shared" si="65"/>
        <v>-0.145401055886437</v>
      </c>
      <c r="AU124" s="314">
        <f t="shared" si="66"/>
        <v>-0.154462381393939</v>
      </c>
      <c r="AV124" s="314">
        <f t="shared" si="67"/>
        <v>-0.118078724546486</v>
      </c>
      <c r="AW124" s="314">
        <f t="shared" si="68"/>
        <v>0.108483198815524</v>
      </c>
      <c r="AX124" s="190">
        <v>18</v>
      </c>
      <c r="AY124" s="314">
        <f t="shared" si="69"/>
        <v>-0.0773647407528344</v>
      </c>
      <c r="AZ124" s="314">
        <f t="shared" si="59"/>
        <v>-0.0386019333585764</v>
      </c>
      <c r="BA124" s="314">
        <f t="shared" si="59"/>
        <v>-0.103538286032002</v>
      </c>
      <c r="BB124" s="314">
        <f t="shared" si="59"/>
        <v>0.0178431933907225</v>
      </c>
      <c r="BC124" s="314">
        <f t="shared" si="59"/>
        <v>-0.003155198836882</v>
      </c>
      <c r="BD124" s="318"/>
      <c r="BE124" s="318"/>
      <c r="BF124" s="314">
        <f t="shared" si="60"/>
        <v>-0.123024879550461</v>
      </c>
      <c r="BG124" s="314">
        <f t="shared" si="61"/>
        <v>-0.204816965589572</v>
      </c>
      <c r="BH124" s="101"/>
      <c r="BI124" s="314">
        <f t="shared" si="62"/>
        <v>-0.12432389811287</v>
      </c>
      <c r="BJ124" s="323">
        <f t="shared" si="63"/>
        <v>-0.199</v>
      </c>
      <c r="BK124" s="324"/>
      <c r="BL124" s="2">
        <f t="shared" si="64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>
        <f t="shared" si="65"/>
        <v>0.0346910072787035</v>
      </c>
      <c r="AU125" s="314">
        <f t="shared" si="66"/>
        <v>-0.0429742019071155</v>
      </c>
      <c r="AV125" s="314">
        <f t="shared" si="67"/>
        <v>-0.135991035574837</v>
      </c>
      <c r="AW125" s="314">
        <f t="shared" si="68"/>
        <v>-0.0570412127310488</v>
      </c>
      <c r="AX125" s="190">
        <v>19</v>
      </c>
      <c r="AY125" s="314">
        <f t="shared" si="69"/>
        <v>-0.0503288607335745</v>
      </c>
      <c r="AZ125" s="314">
        <f t="shared" si="59"/>
        <v>0.000956515708165414</v>
      </c>
      <c r="BA125" s="314">
        <f t="shared" si="59"/>
        <v>-0.12876935771584</v>
      </c>
      <c r="BB125" s="314">
        <f t="shared" si="59"/>
        <v>-0.0429268219113163</v>
      </c>
      <c r="BC125" s="314">
        <f t="shared" si="59"/>
        <v>0.00776948057811014</v>
      </c>
      <c r="BD125" s="318"/>
      <c r="BE125" s="318"/>
      <c r="BF125" s="314">
        <f t="shared" si="60"/>
        <v>-0.216684481460965</v>
      </c>
      <c r="BG125" s="314">
        <f t="shared" si="61"/>
        <v>-0.213299044074455</v>
      </c>
      <c r="BH125" s="101"/>
      <c r="BI125" s="314">
        <f t="shared" si="62"/>
        <v>-0.129472519753194</v>
      </c>
      <c r="BJ125" s="323">
        <f t="shared" si="63"/>
        <v>-0.261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-0.1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88</v>
      </c>
      <c r="AC130" s="338">
        <f>AF65</f>
        <v>88</v>
      </c>
      <c r="AD130" s="338">
        <f>AF66</f>
        <v>129</v>
      </c>
      <c r="AE130" s="338">
        <f>AF67</f>
        <v>130</v>
      </c>
      <c r="AH130" s="101"/>
      <c r="AI130" s="101"/>
      <c r="AJ130" s="101"/>
      <c r="AK130" s="101"/>
      <c r="AL130" s="338">
        <f>AG64</f>
        <v>79</v>
      </c>
      <c r="AM130" s="338">
        <f>AG65</f>
        <v>73</v>
      </c>
      <c r="AN130" s="338">
        <f>AG66</f>
        <v>118</v>
      </c>
      <c r="AO130" s="338">
        <f>AG67</f>
        <v>110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3088</v>
      </c>
      <c r="Y131" s="335">
        <f t="shared" si="70"/>
        <v>3088</v>
      </c>
      <c r="Z131" s="335">
        <f t="shared" si="70"/>
        <v>3288</v>
      </c>
      <c r="AA131" s="335">
        <f t="shared" si="70"/>
        <v>3288</v>
      </c>
      <c r="AB131" s="339">
        <f t="shared" ref="AB131:AE150" si="71">INT(Y$232*D73+0.5)</f>
        <v>154</v>
      </c>
      <c r="AC131" s="339">
        <f t="shared" si="71"/>
        <v>155</v>
      </c>
      <c r="AD131" s="339">
        <f t="shared" si="71"/>
        <v>207</v>
      </c>
      <c r="AE131" s="339">
        <f t="shared" si="71"/>
        <v>214</v>
      </c>
      <c r="AF131" s="334" t="s">
        <v>403</v>
      </c>
      <c r="AG131" s="11">
        <v>1</v>
      </c>
      <c r="AH131" s="340">
        <f t="shared" ref="AH131:AK150" si="72">H50</f>
        <v>6388</v>
      </c>
      <c r="AI131" s="340">
        <f t="shared" si="72"/>
        <v>6388</v>
      </c>
      <c r="AJ131" s="340">
        <f t="shared" si="72"/>
        <v>6988</v>
      </c>
      <c r="AK131" s="340">
        <f t="shared" si="72"/>
        <v>6988</v>
      </c>
      <c r="AL131" s="341">
        <f t="shared" ref="AL131:AO150" si="73">INT(AC$232*H73+0.5)</f>
        <v>77</v>
      </c>
      <c r="AM131" s="341">
        <f t="shared" si="73"/>
        <v>77</v>
      </c>
      <c r="AN131" s="341">
        <f t="shared" si="73"/>
        <v>87</v>
      </c>
      <c r="AO131" s="341">
        <f t="shared" si="73"/>
        <v>90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2799</v>
      </c>
      <c r="Y132" s="335">
        <f t="shared" si="70"/>
        <v>2799</v>
      </c>
      <c r="Z132" s="335">
        <f t="shared" si="70"/>
        <v>2899</v>
      </c>
      <c r="AA132" s="335">
        <f t="shared" si="70"/>
        <v>2899</v>
      </c>
      <c r="AB132" s="339">
        <f t="shared" si="71"/>
        <v>123</v>
      </c>
      <c r="AC132" s="339">
        <f t="shared" si="71"/>
        <v>115</v>
      </c>
      <c r="AD132" s="339">
        <f t="shared" si="71"/>
        <v>137</v>
      </c>
      <c r="AE132" s="339">
        <f t="shared" si="71"/>
        <v>115</v>
      </c>
      <c r="AF132" s="336"/>
      <c r="AG132" s="11">
        <v>2</v>
      </c>
      <c r="AH132" s="340">
        <f t="shared" si="72"/>
        <v>6999</v>
      </c>
      <c r="AI132" s="340">
        <f t="shared" si="72"/>
        <v>6999</v>
      </c>
      <c r="AJ132" s="340">
        <f t="shared" si="72"/>
        <v>7699</v>
      </c>
      <c r="AK132" s="340">
        <f t="shared" si="72"/>
        <v>7699</v>
      </c>
      <c r="AL132" s="341">
        <f t="shared" si="73"/>
        <v>23</v>
      </c>
      <c r="AM132" s="341">
        <f t="shared" si="73"/>
        <v>21</v>
      </c>
      <c r="AN132" s="341">
        <f t="shared" si="73"/>
        <v>19</v>
      </c>
      <c r="AO132" s="341">
        <f t="shared" si="73"/>
        <v>21</v>
      </c>
      <c r="AR132" s="190">
        <v>1</v>
      </c>
      <c r="AS132" s="345">
        <f>IF(F95="","",F95)</f>
        <v>471773</v>
      </c>
      <c r="AT132" s="346">
        <f>IF(G95="","",G95)</f>
        <v>96796.94</v>
      </c>
      <c r="AU132" s="346">
        <f>IF(H95="","",H95)</f>
        <v>0</v>
      </c>
      <c r="AV132" s="346">
        <f>IF(J95="","",J95)</f>
        <v>14981185.25</v>
      </c>
      <c r="AW132" s="350"/>
      <c r="AX132" s="155"/>
      <c r="AY132" s="346">
        <f>IF(AU132="","",AU132+AX132)</f>
        <v>0</v>
      </c>
      <c r="AZ132" s="346">
        <f>IF(AV132="","",AV132-AX132)</f>
        <v>14981185.25</v>
      </c>
      <c r="BA132" s="190">
        <v>1</v>
      </c>
      <c r="BB132" s="351">
        <f t="shared" ref="BB132:BC151" si="74">(AY132-AY$153)/AY$178*BB$130</f>
        <v>-0.0429268219113163</v>
      </c>
      <c r="BC132" s="318">
        <f t="shared" si="74"/>
        <v>0.101916458715787</v>
      </c>
      <c r="BD132" s="352">
        <f t="shared" ref="BD132:BD151" si="75">BB132+BC132</f>
        <v>0.0589896368044708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3300</v>
      </c>
      <c r="Y133" s="335">
        <f t="shared" si="70"/>
        <v>3250</v>
      </c>
      <c r="Z133" s="335">
        <f t="shared" si="70"/>
        <v>3450</v>
      </c>
      <c r="AA133" s="335">
        <f t="shared" si="70"/>
        <v>3450</v>
      </c>
      <c r="AB133" s="339">
        <f t="shared" si="71"/>
        <v>47</v>
      </c>
      <c r="AC133" s="339">
        <f t="shared" si="71"/>
        <v>53</v>
      </c>
      <c r="AD133" s="339">
        <f t="shared" si="71"/>
        <v>91</v>
      </c>
      <c r="AE133" s="339">
        <f t="shared" si="71"/>
        <v>109</v>
      </c>
      <c r="AF133" s="336"/>
      <c r="AG133" s="11">
        <v>3</v>
      </c>
      <c r="AH133" s="340">
        <f t="shared" si="72"/>
        <v>6500</v>
      </c>
      <c r="AI133" s="340">
        <f t="shared" si="72"/>
        <v>6500</v>
      </c>
      <c r="AJ133" s="340">
        <f t="shared" si="72"/>
        <v>6900</v>
      </c>
      <c r="AK133" s="340">
        <f t="shared" si="72"/>
        <v>7200</v>
      </c>
      <c r="AL133" s="341">
        <f t="shared" si="73"/>
        <v>25</v>
      </c>
      <c r="AM133" s="341">
        <f t="shared" si="73"/>
        <v>27</v>
      </c>
      <c r="AN133" s="341">
        <f t="shared" si="73"/>
        <v>54</v>
      </c>
      <c r="AO133" s="341">
        <f t="shared" si="73"/>
        <v>46</v>
      </c>
      <c r="AR133" s="190">
        <v>2</v>
      </c>
      <c r="AS133" s="346">
        <f t="shared" ref="AS133:AU148" si="76">IF(F96="","",F96)</f>
        <v>-440305.41</v>
      </c>
      <c r="AT133" s="346">
        <f t="shared" si="76"/>
        <v>20878.53</v>
      </c>
      <c r="AU133" s="346">
        <f t="shared" si="76"/>
        <v>0</v>
      </c>
      <c r="AV133" s="346">
        <f t="shared" ref="AV133:AV151" si="77">IF(J96="","",J96)</f>
        <v>14312151.76</v>
      </c>
      <c r="AX133" s="155"/>
      <c r="AY133" s="346">
        <f t="shared" ref="AY133:AY151" si="78">IF(AU133="","",AU133+AX133)</f>
        <v>0</v>
      </c>
      <c r="AZ133" s="346">
        <f t="shared" ref="AZ133:AZ151" si="79">IF(AV133="","",AV133-AX133)</f>
        <v>14312151.76</v>
      </c>
      <c r="BA133" s="190">
        <v>2</v>
      </c>
      <c r="BB133" s="351">
        <f t="shared" si="74"/>
        <v>-0.0429268219113163</v>
      </c>
      <c r="BC133" s="318">
        <f t="shared" si="74"/>
        <v>-0.0211165701982165</v>
      </c>
      <c r="BD133" s="352">
        <f t="shared" si="75"/>
        <v>-0.0640433921095327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2990</v>
      </c>
      <c r="Y134" s="335">
        <f t="shared" si="70"/>
        <v>2990</v>
      </c>
      <c r="Z134" s="335">
        <f t="shared" si="70"/>
        <v>3290</v>
      </c>
      <c r="AA134" s="335">
        <f t="shared" si="70"/>
        <v>3290</v>
      </c>
      <c r="AB134" s="339">
        <f t="shared" si="71"/>
        <v>196</v>
      </c>
      <c r="AC134" s="339">
        <f t="shared" si="71"/>
        <v>200</v>
      </c>
      <c r="AD134" s="339">
        <f t="shared" si="71"/>
        <v>194</v>
      </c>
      <c r="AE134" s="339">
        <f t="shared" si="71"/>
        <v>227</v>
      </c>
      <c r="AF134" s="336"/>
      <c r="AG134" s="11">
        <v>4</v>
      </c>
      <c r="AH134" s="340">
        <f t="shared" si="72"/>
        <v>6500</v>
      </c>
      <c r="AI134" s="340">
        <f t="shared" si="72"/>
        <v>6500</v>
      </c>
      <c r="AJ134" s="340">
        <f t="shared" si="72"/>
        <v>6900</v>
      </c>
      <c r="AK134" s="340">
        <f t="shared" si="72"/>
        <v>6900</v>
      </c>
      <c r="AL134" s="341">
        <f t="shared" si="73"/>
        <v>35</v>
      </c>
      <c r="AM134" s="341">
        <f t="shared" si="73"/>
        <v>35</v>
      </c>
      <c r="AN134" s="341">
        <f t="shared" si="73"/>
        <v>48</v>
      </c>
      <c r="AO134" s="341">
        <f t="shared" si="73"/>
        <v>50</v>
      </c>
      <c r="AR134" s="190">
        <v>3</v>
      </c>
      <c r="AS134" s="346">
        <f t="shared" si="76"/>
        <v>-132448.6</v>
      </c>
      <c r="AT134" s="346">
        <f t="shared" si="76"/>
        <v>6343.05</v>
      </c>
      <c r="AU134" s="346">
        <f t="shared" si="76"/>
        <v>6008.82</v>
      </c>
      <c r="AV134" s="346">
        <f t="shared" si="77"/>
        <v>14571366.13</v>
      </c>
      <c r="AX134" s="155"/>
      <c r="AY134" s="346">
        <f t="shared" si="78"/>
        <v>6008.82</v>
      </c>
      <c r="AZ134" s="346">
        <f t="shared" si="79"/>
        <v>14571366.13</v>
      </c>
      <c r="BA134" s="190">
        <v>3</v>
      </c>
      <c r="BB134" s="351">
        <f t="shared" si="74"/>
        <v>-0.0335446335803597</v>
      </c>
      <c r="BC134" s="318">
        <f t="shared" si="74"/>
        <v>0.0265520884800439</v>
      </c>
      <c r="BD134" s="352">
        <f t="shared" si="75"/>
        <v>-0.00699254510031577</v>
      </c>
    </row>
    <row r="135" ht="20.1" customHeight="1" spans="22:56">
      <c r="V135" s="336"/>
      <c r="W135" s="11">
        <v>5</v>
      </c>
      <c r="X135" s="335">
        <f t="shared" si="70"/>
        <v>3200</v>
      </c>
      <c r="Y135" s="335">
        <f t="shared" si="70"/>
        <v>3200</v>
      </c>
      <c r="Z135" s="335">
        <f t="shared" si="70"/>
        <v>3510</v>
      </c>
      <c r="AA135" s="335">
        <f t="shared" si="70"/>
        <v>3560</v>
      </c>
      <c r="AB135" s="339">
        <f t="shared" si="71"/>
        <v>92</v>
      </c>
      <c r="AC135" s="339">
        <f t="shared" si="71"/>
        <v>92</v>
      </c>
      <c r="AD135" s="339">
        <f t="shared" si="71"/>
        <v>126</v>
      </c>
      <c r="AE135" s="339">
        <f t="shared" si="71"/>
        <v>136</v>
      </c>
      <c r="AF135" s="336"/>
      <c r="AG135" s="11">
        <v>5</v>
      </c>
      <c r="AH135" s="340">
        <f t="shared" si="72"/>
        <v>6550</v>
      </c>
      <c r="AI135" s="340">
        <f t="shared" si="72"/>
        <v>6550</v>
      </c>
      <c r="AJ135" s="340">
        <f t="shared" si="72"/>
        <v>6900</v>
      </c>
      <c r="AK135" s="340">
        <f t="shared" si="72"/>
        <v>7300</v>
      </c>
      <c r="AL135" s="341">
        <f t="shared" si="73"/>
        <v>51</v>
      </c>
      <c r="AM135" s="341">
        <f t="shared" si="73"/>
        <v>49</v>
      </c>
      <c r="AN135" s="341">
        <f t="shared" si="73"/>
        <v>76</v>
      </c>
      <c r="AO135" s="341">
        <f t="shared" si="73"/>
        <v>65</v>
      </c>
      <c r="AR135" s="190">
        <v>4</v>
      </c>
      <c r="AS135" s="346">
        <f t="shared" si="76"/>
        <v>311824.96</v>
      </c>
      <c r="AT135" s="346">
        <f t="shared" si="76"/>
        <v>40966.66</v>
      </c>
      <c r="AU135" s="346">
        <f t="shared" si="76"/>
        <v>0</v>
      </c>
      <c r="AV135" s="346">
        <f t="shared" si="77"/>
        <v>14813694.41</v>
      </c>
      <c r="AX135" s="155"/>
      <c r="AY135" s="346">
        <f t="shared" si="78"/>
        <v>0</v>
      </c>
      <c r="AZ135" s="346">
        <f t="shared" si="79"/>
        <v>14813694.41</v>
      </c>
      <c r="BA135" s="190">
        <v>4</v>
      </c>
      <c r="BB135" s="351">
        <f t="shared" si="74"/>
        <v>-0.0429268219113163</v>
      </c>
      <c r="BC135" s="318">
        <f t="shared" si="74"/>
        <v>0.0711154514888534</v>
      </c>
      <c r="BD135" s="352">
        <f t="shared" si="75"/>
        <v>0.0281886295775371</v>
      </c>
    </row>
    <row r="136" ht="20.1" customHeight="1" spans="22:56">
      <c r="V136" s="336"/>
      <c r="W136" s="11">
        <v>6</v>
      </c>
      <c r="X136" s="335">
        <f t="shared" si="70"/>
        <v>3700</v>
      </c>
      <c r="Y136" s="335">
        <f t="shared" si="70"/>
        <v>3700</v>
      </c>
      <c r="Z136" s="335">
        <f t="shared" si="70"/>
        <v>4000</v>
      </c>
      <c r="AA136" s="335">
        <f t="shared" si="70"/>
        <v>4000</v>
      </c>
      <c r="AB136" s="339">
        <f t="shared" si="71"/>
        <v>14</v>
      </c>
      <c r="AC136" s="339">
        <f t="shared" si="71"/>
        <v>13</v>
      </c>
      <c r="AD136" s="339">
        <f t="shared" si="71"/>
        <v>20</v>
      </c>
      <c r="AE136" s="339">
        <f t="shared" si="71"/>
        <v>24</v>
      </c>
      <c r="AF136" s="336"/>
      <c r="AG136" s="11">
        <v>6</v>
      </c>
      <c r="AH136" s="340">
        <f t="shared" si="72"/>
        <v>6521</v>
      </c>
      <c r="AI136" s="340">
        <f t="shared" si="72"/>
        <v>6999</v>
      </c>
      <c r="AJ136" s="340">
        <f t="shared" si="72"/>
        <v>6999</v>
      </c>
      <c r="AK136" s="340">
        <f t="shared" si="72"/>
        <v>6521</v>
      </c>
      <c r="AL136" s="341">
        <f t="shared" si="73"/>
        <v>29</v>
      </c>
      <c r="AM136" s="341">
        <f t="shared" si="73"/>
        <v>19</v>
      </c>
      <c r="AN136" s="341">
        <f t="shared" si="73"/>
        <v>0</v>
      </c>
      <c r="AO136" s="341">
        <f t="shared" si="73"/>
        <v>0</v>
      </c>
      <c r="AR136" s="190">
        <v>5</v>
      </c>
      <c r="AS136" s="346">
        <f t="shared" si="76"/>
        <v>295537.91</v>
      </c>
      <c r="AT136" s="346">
        <f t="shared" si="76"/>
        <v>181180.78</v>
      </c>
      <c r="AU136" s="346">
        <f t="shared" si="76"/>
        <v>0</v>
      </c>
      <c r="AV136" s="346">
        <f t="shared" si="77"/>
        <v>15228280.52</v>
      </c>
      <c r="AX136" s="155"/>
      <c r="AY136" s="346">
        <f t="shared" si="78"/>
        <v>0</v>
      </c>
      <c r="AZ136" s="346">
        <f t="shared" si="79"/>
        <v>15228280.52</v>
      </c>
      <c r="BA136" s="190">
        <v>5</v>
      </c>
      <c r="BB136" s="351">
        <f t="shared" si="74"/>
        <v>-0.0429268219113163</v>
      </c>
      <c r="BC136" s="318">
        <f t="shared" si="74"/>
        <v>0.147356455297159</v>
      </c>
      <c r="BD136" s="352">
        <f t="shared" si="75"/>
        <v>0.104429633385843</v>
      </c>
    </row>
    <row r="137" ht="20.1" customHeight="1" spans="22:56">
      <c r="V137" s="336"/>
      <c r="W137" s="11">
        <v>7</v>
      </c>
      <c r="X137" s="335">
        <f t="shared" si="70"/>
        <v>3199</v>
      </c>
      <c r="Y137" s="335">
        <f t="shared" si="70"/>
        <v>3199</v>
      </c>
      <c r="Z137" s="335">
        <f t="shared" si="70"/>
        <v>3259</v>
      </c>
      <c r="AA137" s="335">
        <f t="shared" si="70"/>
        <v>3259</v>
      </c>
      <c r="AB137" s="339">
        <f t="shared" si="71"/>
        <v>68</v>
      </c>
      <c r="AC137" s="339">
        <f t="shared" si="71"/>
        <v>68</v>
      </c>
      <c r="AD137" s="339">
        <f t="shared" si="71"/>
        <v>138</v>
      </c>
      <c r="AE137" s="339">
        <f t="shared" si="71"/>
        <v>74</v>
      </c>
      <c r="AF137" s="336"/>
      <c r="AG137" s="11">
        <v>7</v>
      </c>
      <c r="AH137" s="340">
        <f t="shared" si="72"/>
        <v>6250</v>
      </c>
      <c r="AI137" s="340">
        <f t="shared" si="72"/>
        <v>6250</v>
      </c>
      <c r="AJ137" s="340">
        <f t="shared" si="72"/>
        <v>6899</v>
      </c>
      <c r="AK137" s="340">
        <f t="shared" si="72"/>
        <v>6999</v>
      </c>
      <c r="AL137" s="341">
        <f t="shared" si="73"/>
        <v>32</v>
      </c>
      <c r="AM137" s="341">
        <f t="shared" si="73"/>
        <v>56</v>
      </c>
      <c r="AN137" s="341">
        <f t="shared" si="73"/>
        <v>69</v>
      </c>
      <c r="AO137" s="341">
        <f t="shared" si="73"/>
        <v>67</v>
      </c>
      <c r="AR137" s="190">
        <v>6</v>
      </c>
      <c r="AS137" s="346">
        <f t="shared" si="76"/>
        <v>-1739960.14</v>
      </c>
      <c r="AT137" s="346">
        <f t="shared" si="76"/>
        <v>4339.91</v>
      </c>
      <c r="AU137" s="346">
        <f t="shared" si="76"/>
        <v>0</v>
      </c>
      <c r="AV137" s="346">
        <f t="shared" si="77"/>
        <v>11677300.68</v>
      </c>
      <c r="AX137" s="155"/>
      <c r="AY137" s="346">
        <f t="shared" si="78"/>
        <v>0</v>
      </c>
      <c r="AZ137" s="346">
        <f t="shared" si="79"/>
        <v>11677300.68</v>
      </c>
      <c r="BA137" s="190">
        <v>6</v>
      </c>
      <c r="BB137" s="351">
        <f t="shared" si="74"/>
        <v>-0.0429268219113163</v>
      </c>
      <c r="BC137" s="318">
        <f t="shared" si="74"/>
        <v>-0.505656901818586</v>
      </c>
      <c r="BD137" s="352">
        <f t="shared" si="75"/>
        <v>-0.548583723729903</v>
      </c>
    </row>
    <row r="138" ht="20.1" customHeight="1" spans="22:56">
      <c r="V138" s="336"/>
      <c r="W138" s="11">
        <v>8</v>
      </c>
      <c r="X138" s="335">
        <f t="shared" si="70"/>
        <v>3200</v>
      </c>
      <c r="Y138" s="335">
        <f t="shared" si="70"/>
        <v>3200</v>
      </c>
      <c r="Z138" s="335">
        <f t="shared" si="70"/>
        <v>3700</v>
      </c>
      <c r="AA138" s="335">
        <f t="shared" si="70"/>
        <v>3700</v>
      </c>
      <c r="AB138" s="339">
        <f t="shared" si="71"/>
        <v>111</v>
      </c>
      <c r="AC138" s="339">
        <f t="shared" si="71"/>
        <v>105</v>
      </c>
      <c r="AD138" s="339">
        <f t="shared" si="71"/>
        <v>78</v>
      </c>
      <c r="AE138" s="339">
        <f t="shared" si="71"/>
        <v>83</v>
      </c>
      <c r="AF138" s="336"/>
      <c r="AG138" s="11">
        <v>8</v>
      </c>
      <c r="AH138" s="340">
        <f t="shared" si="72"/>
        <v>6600</v>
      </c>
      <c r="AI138" s="340">
        <f t="shared" si="72"/>
        <v>6600</v>
      </c>
      <c r="AJ138" s="340">
        <f t="shared" si="72"/>
        <v>7000</v>
      </c>
      <c r="AK138" s="340">
        <f t="shared" si="72"/>
        <v>7000</v>
      </c>
      <c r="AL138" s="341">
        <f t="shared" si="73"/>
        <v>67</v>
      </c>
      <c r="AM138" s="341">
        <f t="shared" si="73"/>
        <v>68</v>
      </c>
      <c r="AN138" s="341">
        <f t="shared" si="73"/>
        <v>67</v>
      </c>
      <c r="AO138" s="341">
        <f t="shared" si="73"/>
        <v>67</v>
      </c>
      <c r="AR138" s="190">
        <v>7</v>
      </c>
      <c r="AS138" s="346">
        <f t="shared" si="76"/>
        <v>-175255.39</v>
      </c>
      <c r="AT138" s="346">
        <f t="shared" si="76"/>
        <v>4339.91</v>
      </c>
      <c r="AU138" s="346">
        <f t="shared" si="76"/>
        <v>0</v>
      </c>
      <c r="AV138" s="346">
        <f t="shared" si="77"/>
        <v>14457596.11</v>
      </c>
      <c r="AX138" s="155"/>
      <c r="AY138" s="346">
        <f t="shared" si="78"/>
        <v>0</v>
      </c>
      <c r="AZ138" s="346">
        <f t="shared" si="79"/>
        <v>14457596.11</v>
      </c>
      <c r="BA138" s="190">
        <v>7</v>
      </c>
      <c r="BB138" s="351">
        <f t="shared" si="74"/>
        <v>-0.0429268219113163</v>
      </c>
      <c r="BC138" s="318">
        <f t="shared" si="74"/>
        <v>0.0056301609989444</v>
      </c>
      <c r="BD138" s="352">
        <f t="shared" si="75"/>
        <v>-0.0372966609123719</v>
      </c>
    </row>
    <row r="139" ht="20.1" customHeight="1" spans="22:56">
      <c r="V139" s="336"/>
      <c r="W139" s="11">
        <v>9</v>
      </c>
      <c r="X139" s="335">
        <f t="shared" si="70"/>
        <v>3699</v>
      </c>
      <c r="Y139" s="335">
        <f t="shared" si="70"/>
        <v>3699</v>
      </c>
      <c r="Z139" s="335">
        <f t="shared" si="70"/>
        <v>3999</v>
      </c>
      <c r="AA139" s="335">
        <f t="shared" si="70"/>
        <v>3999</v>
      </c>
      <c r="AB139" s="339">
        <f t="shared" si="71"/>
        <v>25</v>
      </c>
      <c r="AC139" s="339">
        <f t="shared" si="71"/>
        <v>25</v>
      </c>
      <c r="AD139" s="339">
        <f t="shared" si="71"/>
        <v>48</v>
      </c>
      <c r="AE139" s="339">
        <f t="shared" si="71"/>
        <v>50</v>
      </c>
      <c r="AF139" s="336"/>
      <c r="AG139" s="11">
        <v>9</v>
      </c>
      <c r="AH139" s="340">
        <f t="shared" si="72"/>
        <v>6999</v>
      </c>
      <c r="AI139" s="340">
        <f t="shared" si="72"/>
        <v>6999</v>
      </c>
      <c r="AJ139" s="340">
        <f t="shared" si="72"/>
        <v>7999</v>
      </c>
      <c r="AK139" s="340">
        <f t="shared" si="72"/>
        <v>7999</v>
      </c>
      <c r="AL139" s="341">
        <f t="shared" si="73"/>
        <v>38</v>
      </c>
      <c r="AM139" s="341">
        <f t="shared" si="73"/>
        <v>38</v>
      </c>
      <c r="AN139" s="341">
        <f t="shared" si="73"/>
        <v>21</v>
      </c>
      <c r="AO139" s="341">
        <f t="shared" si="73"/>
        <v>25</v>
      </c>
      <c r="AR139" s="190">
        <v>8</v>
      </c>
      <c r="AS139" s="346">
        <f t="shared" si="76"/>
        <v>236185.23</v>
      </c>
      <c r="AT139" s="346">
        <f t="shared" si="76"/>
        <v>115854.64</v>
      </c>
      <c r="AU139" s="346">
        <f t="shared" si="76"/>
        <v>162208</v>
      </c>
      <c r="AV139" s="346">
        <f t="shared" si="77"/>
        <v>14873063.98</v>
      </c>
      <c r="AX139" s="155"/>
      <c r="AY139" s="346">
        <f t="shared" si="78"/>
        <v>162208</v>
      </c>
      <c r="AZ139" s="346">
        <f t="shared" si="79"/>
        <v>14873063.98</v>
      </c>
      <c r="BA139" s="190">
        <v>8</v>
      </c>
      <c r="BB139" s="351">
        <f t="shared" si="74"/>
        <v>0.210345202344329</v>
      </c>
      <c r="BC139" s="318">
        <f t="shared" si="74"/>
        <v>0.0820333175323335</v>
      </c>
      <c r="BD139" s="352">
        <f t="shared" si="75"/>
        <v>0.292378519876662</v>
      </c>
    </row>
    <row r="140" ht="20.1" customHeight="1" spans="22:56">
      <c r="V140" s="336"/>
      <c r="W140" s="11">
        <v>10</v>
      </c>
      <c r="X140" s="335">
        <f t="shared" si="70"/>
        <v>3850</v>
      </c>
      <c r="Y140" s="335">
        <f t="shared" si="70"/>
        <v>3850</v>
      </c>
      <c r="Z140" s="335">
        <f t="shared" si="70"/>
        <v>4250</v>
      </c>
      <c r="AA140" s="335">
        <f t="shared" si="70"/>
        <v>4300</v>
      </c>
      <c r="AB140" s="339">
        <f t="shared" si="71"/>
        <v>17</v>
      </c>
      <c r="AC140" s="339">
        <f t="shared" si="71"/>
        <v>16</v>
      </c>
      <c r="AD140" s="339">
        <f t="shared" si="71"/>
        <v>20</v>
      </c>
      <c r="AE140" s="339">
        <f t="shared" si="71"/>
        <v>23</v>
      </c>
      <c r="AF140" s="336"/>
      <c r="AG140" s="11">
        <v>10</v>
      </c>
      <c r="AH140" s="340">
        <f t="shared" si="72"/>
        <v>7000</v>
      </c>
      <c r="AI140" s="340">
        <f t="shared" si="72"/>
        <v>7000</v>
      </c>
      <c r="AJ140" s="340">
        <f t="shared" si="72"/>
        <v>7600</v>
      </c>
      <c r="AK140" s="340">
        <f t="shared" si="72"/>
        <v>7600</v>
      </c>
      <c r="AL140" s="341">
        <f t="shared" si="73"/>
        <v>39</v>
      </c>
      <c r="AM140" s="341">
        <f t="shared" si="73"/>
        <v>39</v>
      </c>
      <c r="AN140" s="341">
        <f t="shared" si="73"/>
        <v>40</v>
      </c>
      <c r="AO140" s="341">
        <f t="shared" si="73"/>
        <v>48</v>
      </c>
      <c r="AR140" s="190">
        <v>9</v>
      </c>
      <c r="AS140" s="346">
        <f t="shared" si="76"/>
        <v>-414591.94</v>
      </c>
      <c r="AT140" s="346">
        <f t="shared" si="76"/>
        <v>79347.44</v>
      </c>
      <c r="AU140" s="346">
        <f t="shared" si="76"/>
        <v>0</v>
      </c>
      <c r="AV140" s="346">
        <f t="shared" si="77"/>
        <v>14509832.6</v>
      </c>
      <c r="AX140" s="155"/>
      <c r="AY140" s="346">
        <f t="shared" si="78"/>
        <v>0</v>
      </c>
      <c r="AZ140" s="346">
        <f t="shared" si="79"/>
        <v>14509832.6</v>
      </c>
      <c r="BA140" s="190">
        <v>9</v>
      </c>
      <c r="BB140" s="351">
        <f t="shared" si="74"/>
        <v>-0.0429268219113163</v>
      </c>
      <c r="BC140" s="318">
        <f t="shared" si="74"/>
        <v>0.0152362774050694</v>
      </c>
      <c r="BD140" s="352">
        <f t="shared" si="75"/>
        <v>-0.0276905445062469</v>
      </c>
    </row>
    <row r="141" ht="20.1" customHeight="1" spans="22:56">
      <c r="V141" s="336"/>
      <c r="W141" s="11">
        <v>11</v>
      </c>
      <c r="X141" s="335">
        <f t="shared" si="70"/>
        <v>3350</v>
      </c>
      <c r="Y141" s="335">
        <f t="shared" si="70"/>
        <v>3350</v>
      </c>
      <c r="Z141" s="335">
        <f t="shared" si="70"/>
        <v>3730</v>
      </c>
      <c r="AA141" s="335">
        <f t="shared" si="70"/>
        <v>3800</v>
      </c>
      <c r="AB141" s="339">
        <f t="shared" si="71"/>
        <v>67</v>
      </c>
      <c r="AC141" s="339">
        <f t="shared" si="71"/>
        <v>68</v>
      </c>
      <c r="AD141" s="339">
        <f t="shared" si="71"/>
        <v>79</v>
      </c>
      <c r="AE141" s="339">
        <f t="shared" si="71"/>
        <v>81</v>
      </c>
      <c r="AF141" s="336"/>
      <c r="AG141" s="11">
        <v>11</v>
      </c>
      <c r="AH141" s="340">
        <f t="shared" si="72"/>
        <v>6950</v>
      </c>
      <c r="AI141" s="340">
        <f t="shared" si="72"/>
        <v>6950</v>
      </c>
      <c r="AJ141" s="340">
        <f t="shared" si="72"/>
        <v>7300</v>
      </c>
      <c r="AK141" s="340">
        <f t="shared" si="72"/>
        <v>7400</v>
      </c>
      <c r="AL141" s="341">
        <f t="shared" si="73"/>
        <v>38</v>
      </c>
      <c r="AM141" s="341">
        <f t="shared" si="73"/>
        <v>39</v>
      </c>
      <c r="AN141" s="341">
        <f t="shared" si="73"/>
        <v>57</v>
      </c>
      <c r="AO141" s="341">
        <f t="shared" si="73"/>
        <v>56</v>
      </c>
      <c r="AR141" s="190">
        <v>10</v>
      </c>
      <c r="AS141" s="346">
        <f t="shared" si="76"/>
        <v>-379510.08</v>
      </c>
      <c r="AT141" s="346">
        <f t="shared" si="76"/>
        <v>115037.63</v>
      </c>
      <c r="AU141" s="346">
        <f t="shared" si="76"/>
        <v>0</v>
      </c>
      <c r="AV141" s="346">
        <f t="shared" si="77"/>
        <v>14649885.62</v>
      </c>
      <c r="AX141" s="155"/>
      <c r="AY141" s="346">
        <f t="shared" si="78"/>
        <v>0</v>
      </c>
      <c r="AZ141" s="346">
        <f t="shared" si="79"/>
        <v>14649885.62</v>
      </c>
      <c r="BA141" s="190">
        <v>10</v>
      </c>
      <c r="BB141" s="351">
        <f t="shared" si="74"/>
        <v>-0.0429268219113163</v>
      </c>
      <c r="BC141" s="318">
        <f t="shared" si="74"/>
        <v>0.0409915609846006</v>
      </c>
      <c r="BD141" s="352">
        <f t="shared" si="75"/>
        <v>-0.00193526092671564</v>
      </c>
    </row>
    <row r="142" ht="20.1" customHeight="1" spans="22:56">
      <c r="V142" s="336"/>
      <c r="W142" s="11">
        <v>12</v>
      </c>
      <c r="X142" s="335">
        <f t="shared" si="70"/>
        <v>3250</v>
      </c>
      <c r="Y142" s="335">
        <f t="shared" si="70"/>
        <v>3150</v>
      </c>
      <c r="Z142" s="335">
        <f t="shared" si="70"/>
        <v>3480</v>
      </c>
      <c r="AA142" s="335">
        <f t="shared" si="70"/>
        <v>3500</v>
      </c>
      <c r="AB142" s="339">
        <f t="shared" si="71"/>
        <v>65</v>
      </c>
      <c r="AC142" s="339">
        <f t="shared" si="71"/>
        <v>84</v>
      </c>
      <c r="AD142" s="339">
        <f t="shared" si="71"/>
        <v>87</v>
      </c>
      <c r="AE142" s="339">
        <f t="shared" si="71"/>
        <v>102</v>
      </c>
      <c r="AF142" s="336"/>
      <c r="AG142" s="11">
        <v>12</v>
      </c>
      <c r="AH142" s="340">
        <f t="shared" si="72"/>
        <v>6140</v>
      </c>
      <c r="AI142" s="340">
        <f t="shared" si="72"/>
        <v>6200</v>
      </c>
      <c r="AJ142" s="340">
        <f t="shared" si="72"/>
        <v>6420</v>
      </c>
      <c r="AK142" s="340">
        <f t="shared" si="72"/>
        <v>6480</v>
      </c>
      <c r="AL142" s="341">
        <f t="shared" si="73"/>
        <v>57</v>
      </c>
      <c r="AM142" s="341">
        <f t="shared" si="73"/>
        <v>57</v>
      </c>
      <c r="AN142" s="341">
        <f t="shared" si="73"/>
        <v>91</v>
      </c>
      <c r="AO142" s="341">
        <f t="shared" si="73"/>
        <v>91</v>
      </c>
      <c r="AR142" s="190">
        <v>11</v>
      </c>
      <c r="AS142" s="346">
        <f t="shared" si="76"/>
        <v>209631.09</v>
      </c>
      <c r="AT142" s="346">
        <f t="shared" si="76"/>
        <v>160449.95</v>
      </c>
      <c r="AU142" s="346">
        <f t="shared" si="76"/>
        <v>314200</v>
      </c>
      <c r="AV142" s="346">
        <f t="shared" si="77"/>
        <v>14856044.16</v>
      </c>
      <c r="AX142" s="155"/>
      <c r="AY142" s="346">
        <f t="shared" si="78"/>
        <v>314200</v>
      </c>
      <c r="AZ142" s="346">
        <f t="shared" si="79"/>
        <v>14856044.16</v>
      </c>
      <c r="BA142" s="190">
        <v>11</v>
      </c>
      <c r="BB142" s="351">
        <f t="shared" si="74"/>
        <v>0.447665935666138</v>
      </c>
      <c r="BC142" s="318">
        <f t="shared" si="74"/>
        <v>0.0789034293616065</v>
      </c>
      <c r="BD142" s="352">
        <f t="shared" si="75"/>
        <v>0.526569365027745</v>
      </c>
    </row>
    <row r="143" ht="20.1" customHeight="1" spans="22:56">
      <c r="V143" s="336"/>
      <c r="W143" s="11">
        <v>13</v>
      </c>
      <c r="X143" s="335">
        <f t="shared" si="70"/>
        <v>3480</v>
      </c>
      <c r="Y143" s="335">
        <f t="shared" si="70"/>
        <v>3440</v>
      </c>
      <c r="Z143" s="335">
        <f t="shared" si="70"/>
        <v>3860</v>
      </c>
      <c r="AA143" s="335">
        <f t="shared" si="70"/>
        <v>3860</v>
      </c>
      <c r="AB143" s="339">
        <f t="shared" si="71"/>
        <v>47</v>
      </c>
      <c r="AC143" s="339">
        <f t="shared" si="71"/>
        <v>52</v>
      </c>
      <c r="AD143" s="339">
        <f t="shared" si="71"/>
        <v>56</v>
      </c>
      <c r="AE143" s="339">
        <f t="shared" si="71"/>
        <v>76</v>
      </c>
      <c r="AF143" s="336"/>
      <c r="AG143" s="11">
        <v>13</v>
      </c>
      <c r="AH143" s="340">
        <f t="shared" si="72"/>
        <v>7180</v>
      </c>
      <c r="AI143" s="340">
        <f t="shared" si="72"/>
        <v>7200</v>
      </c>
      <c r="AJ143" s="340">
        <f t="shared" si="72"/>
        <v>7450</v>
      </c>
      <c r="AK143" s="340">
        <f t="shared" si="72"/>
        <v>7450</v>
      </c>
      <c r="AL143" s="341">
        <f t="shared" si="73"/>
        <v>26</v>
      </c>
      <c r="AM143" s="341">
        <f t="shared" si="73"/>
        <v>26</v>
      </c>
      <c r="AN143" s="341">
        <f t="shared" si="73"/>
        <v>44</v>
      </c>
      <c r="AO143" s="341">
        <f t="shared" si="73"/>
        <v>51</v>
      </c>
      <c r="AR143" s="190">
        <v>12</v>
      </c>
      <c r="AS143" s="346">
        <f t="shared" si="76"/>
        <v>294057.77</v>
      </c>
      <c r="AT143" s="346">
        <f t="shared" si="76"/>
        <v>114329.51</v>
      </c>
      <c r="AU143" s="346">
        <f t="shared" si="76"/>
        <v>0</v>
      </c>
      <c r="AV143" s="346">
        <f t="shared" si="77"/>
        <v>15031637.37</v>
      </c>
      <c r="AX143" s="155"/>
      <c r="AY143" s="346">
        <f t="shared" si="78"/>
        <v>0</v>
      </c>
      <c r="AZ143" s="346">
        <f t="shared" si="79"/>
        <v>15031637.37</v>
      </c>
      <c r="BA143" s="190">
        <v>12</v>
      </c>
      <c r="BB143" s="351">
        <f t="shared" si="74"/>
        <v>-0.0429268219113163</v>
      </c>
      <c r="BC143" s="318">
        <f t="shared" si="74"/>
        <v>0.11119443542624</v>
      </c>
      <c r="BD143" s="352">
        <f t="shared" si="75"/>
        <v>0.0682676135149232</v>
      </c>
    </row>
    <row r="144" ht="20.1" customHeight="1" spans="22:56">
      <c r="V144" s="336"/>
      <c r="W144" s="11">
        <v>14</v>
      </c>
      <c r="X144" s="335">
        <f t="shared" si="70"/>
        <v>3700</v>
      </c>
      <c r="Y144" s="335">
        <f t="shared" si="70"/>
        <v>3600</v>
      </c>
      <c r="Z144" s="335">
        <f t="shared" si="70"/>
        <v>4000</v>
      </c>
      <c r="AA144" s="335">
        <f t="shared" si="70"/>
        <v>4000</v>
      </c>
      <c r="AB144" s="339">
        <f t="shared" si="71"/>
        <v>15</v>
      </c>
      <c r="AC144" s="339">
        <f t="shared" si="71"/>
        <v>19</v>
      </c>
      <c r="AD144" s="339">
        <f t="shared" si="71"/>
        <v>21</v>
      </c>
      <c r="AE144" s="339">
        <f t="shared" si="71"/>
        <v>25</v>
      </c>
      <c r="AF144" s="336"/>
      <c r="AG144" s="11">
        <v>14</v>
      </c>
      <c r="AH144" s="340">
        <f t="shared" si="72"/>
        <v>7200</v>
      </c>
      <c r="AI144" s="340">
        <f t="shared" si="72"/>
        <v>7000</v>
      </c>
      <c r="AJ144" s="340">
        <f t="shared" si="72"/>
        <v>7500</v>
      </c>
      <c r="AK144" s="340">
        <f t="shared" si="72"/>
        <v>7500</v>
      </c>
      <c r="AL144" s="341">
        <f t="shared" si="73"/>
        <v>14</v>
      </c>
      <c r="AM144" s="341">
        <f t="shared" si="73"/>
        <v>12</v>
      </c>
      <c r="AN144" s="341">
        <f t="shared" si="73"/>
        <v>24</v>
      </c>
      <c r="AO144" s="341">
        <f t="shared" si="73"/>
        <v>26</v>
      </c>
      <c r="AR144" s="190">
        <v>13</v>
      </c>
      <c r="AS144" s="346">
        <f t="shared" si="76"/>
        <v>-208733.81</v>
      </c>
      <c r="AT144" s="346">
        <f t="shared" si="76"/>
        <v>92133.94</v>
      </c>
      <c r="AU144" s="346">
        <f t="shared" si="76"/>
        <v>1020</v>
      </c>
      <c r="AV144" s="346">
        <f t="shared" si="77"/>
        <v>14752298.08</v>
      </c>
      <c r="AX144" s="155"/>
      <c r="AY144" s="346">
        <f t="shared" si="78"/>
        <v>1020</v>
      </c>
      <c r="AZ144" s="346">
        <f t="shared" si="79"/>
        <v>14752298.08</v>
      </c>
      <c r="BA144" s="190">
        <v>13</v>
      </c>
      <c r="BB144" s="351">
        <f t="shared" si="74"/>
        <v>-0.0413341910624016</v>
      </c>
      <c r="BC144" s="318">
        <f t="shared" si="74"/>
        <v>0.0598248710365897</v>
      </c>
      <c r="BD144" s="352">
        <f t="shared" si="75"/>
        <v>0.0184906799741882</v>
      </c>
    </row>
    <row r="145" ht="20.1" customHeight="1" spans="22:56">
      <c r="V145" s="336"/>
      <c r="W145" s="11">
        <v>15</v>
      </c>
      <c r="X145" s="335">
        <f t="shared" si="70"/>
        <v>3400</v>
      </c>
      <c r="Y145" s="335">
        <f t="shared" si="70"/>
        <v>3210</v>
      </c>
      <c r="Z145" s="335">
        <f t="shared" si="70"/>
        <v>3400</v>
      </c>
      <c r="AA145" s="335">
        <f t="shared" si="70"/>
        <v>3500</v>
      </c>
      <c r="AB145" s="339">
        <f t="shared" si="71"/>
        <v>39</v>
      </c>
      <c r="AC145" s="339">
        <f t="shared" si="71"/>
        <v>69</v>
      </c>
      <c r="AD145" s="339">
        <f t="shared" si="71"/>
        <v>107</v>
      </c>
      <c r="AE145" s="339">
        <f t="shared" si="71"/>
        <v>101</v>
      </c>
      <c r="AF145" s="336"/>
      <c r="AG145" s="11">
        <v>15</v>
      </c>
      <c r="AH145" s="340">
        <f t="shared" si="72"/>
        <v>6500</v>
      </c>
      <c r="AI145" s="340">
        <f t="shared" si="72"/>
        <v>6380</v>
      </c>
      <c r="AJ145" s="340">
        <f t="shared" si="72"/>
        <v>6700</v>
      </c>
      <c r="AK145" s="340">
        <f t="shared" si="72"/>
        <v>6800</v>
      </c>
      <c r="AL145" s="341">
        <f t="shared" si="73"/>
        <v>117</v>
      </c>
      <c r="AM145" s="341">
        <f t="shared" si="73"/>
        <v>67</v>
      </c>
      <c r="AN145" s="341">
        <f t="shared" si="73"/>
        <v>0</v>
      </c>
      <c r="AO145" s="341">
        <f t="shared" si="73"/>
        <v>0</v>
      </c>
      <c r="AR145" s="190">
        <v>14</v>
      </c>
      <c r="AS145" s="346">
        <f t="shared" si="76"/>
        <v>-719760.5</v>
      </c>
      <c r="AT145" s="346">
        <f t="shared" si="76"/>
        <v>49485.84</v>
      </c>
      <c r="AU145" s="346">
        <f t="shared" si="76"/>
        <v>0</v>
      </c>
      <c r="AV145" s="346">
        <f t="shared" si="77"/>
        <v>14116835.81</v>
      </c>
      <c r="AX145" s="155"/>
      <c r="AY145" s="346">
        <f t="shared" si="78"/>
        <v>0</v>
      </c>
      <c r="AZ145" s="346">
        <f t="shared" si="79"/>
        <v>14116835.81</v>
      </c>
      <c r="BA145" s="190">
        <v>14</v>
      </c>
      <c r="BB145" s="351">
        <f t="shared" si="74"/>
        <v>-0.0429268219113163</v>
      </c>
      <c r="BC145" s="318">
        <f t="shared" si="74"/>
        <v>-0.0570345224127102</v>
      </c>
      <c r="BD145" s="352">
        <f t="shared" si="75"/>
        <v>-0.0999613443240265</v>
      </c>
    </row>
    <row r="146" ht="20.1" customHeight="1" spans="22:56">
      <c r="V146" s="336"/>
      <c r="W146" s="11">
        <v>16</v>
      </c>
      <c r="X146" s="335">
        <f t="shared" si="70"/>
        <v>3250</v>
      </c>
      <c r="Y146" s="335">
        <f t="shared" si="70"/>
        <v>3250</v>
      </c>
      <c r="Z146" s="335">
        <f t="shared" si="70"/>
        <v>3550</v>
      </c>
      <c r="AA146" s="335">
        <f t="shared" si="70"/>
        <v>3700</v>
      </c>
      <c r="AB146" s="339">
        <f t="shared" si="71"/>
        <v>77</v>
      </c>
      <c r="AC146" s="339">
        <f t="shared" si="71"/>
        <v>68</v>
      </c>
      <c r="AD146" s="339">
        <f t="shared" si="71"/>
        <v>96</v>
      </c>
      <c r="AE146" s="339">
        <f t="shared" si="71"/>
        <v>86</v>
      </c>
      <c r="AF146" s="336"/>
      <c r="AG146" s="11">
        <v>16</v>
      </c>
      <c r="AH146" s="340">
        <f t="shared" si="72"/>
        <v>6800</v>
      </c>
      <c r="AI146" s="340">
        <f t="shared" si="72"/>
        <v>6800</v>
      </c>
      <c r="AJ146" s="340">
        <f t="shared" si="72"/>
        <v>7000</v>
      </c>
      <c r="AK146" s="340">
        <f t="shared" si="72"/>
        <v>7200</v>
      </c>
      <c r="AL146" s="341">
        <f t="shared" si="73"/>
        <v>43</v>
      </c>
      <c r="AM146" s="341">
        <f t="shared" si="73"/>
        <v>46</v>
      </c>
      <c r="AN146" s="341">
        <f t="shared" si="73"/>
        <v>82</v>
      </c>
      <c r="AO146" s="341">
        <f t="shared" si="73"/>
        <v>77</v>
      </c>
      <c r="AR146" s="190">
        <v>15</v>
      </c>
      <c r="AS146" s="346">
        <f t="shared" si="76"/>
        <v>-1065330.13</v>
      </c>
      <c r="AT146" s="346">
        <f t="shared" si="76"/>
        <v>4339.91</v>
      </c>
      <c r="AU146" s="346">
        <f t="shared" si="76"/>
        <v>0</v>
      </c>
      <c r="AV146" s="346">
        <f t="shared" si="77"/>
        <v>12451547.12</v>
      </c>
      <c r="AX146" s="155"/>
      <c r="AY146" s="346">
        <f t="shared" si="78"/>
        <v>0</v>
      </c>
      <c r="AZ146" s="346">
        <f t="shared" si="79"/>
        <v>12451547.12</v>
      </c>
      <c r="BA146" s="190">
        <v>15</v>
      </c>
      <c r="BB146" s="351">
        <f t="shared" si="74"/>
        <v>-0.0429268219113163</v>
      </c>
      <c r="BC146" s="318">
        <f t="shared" si="74"/>
        <v>-0.363275562075662</v>
      </c>
      <c r="BD146" s="352">
        <f t="shared" si="75"/>
        <v>-0.406202383986979</v>
      </c>
    </row>
    <row r="147" ht="20.1" customHeight="1" spans="22:56">
      <c r="V147" s="336"/>
      <c r="W147" s="11">
        <v>17</v>
      </c>
      <c r="X147" s="335">
        <f t="shared" si="70"/>
        <v>3588</v>
      </c>
      <c r="Y147" s="335">
        <f t="shared" si="70"/>
        <v>3588</v>
      </c>
      <c r="Z147" s="335">
        <f t="shared" si="70"/>
        <v>3988</v>
      </c>
      <c r="AA147" s="335">
        <f t="shared" si="70"/>
        <v>3988</v>
      </c>
      <c r="AB147" s="339">
        <f t="shared" si="71"/>
        <v>38</v>
      </c>
      <c r="AC147" s="339">
        <f t="shared" si="71"/>
        <v>37</v>
      </c>
      <c r="AD147" s="339">
        <f t="shared" si="71"/>
        <v>41</v>
      </c>
      <c r="AE147" s="339">
        <f t="shared" si="71"/>
        <v>47</v>
      </c>
      <c r="AF147" s="336"/>
      <c r="AG147" s="11">
        <v>17</v>
      </c>
      <c r="AH147" s="340">
        <f t="shared" si="72"/>
        <v>6800</v>
      </c>
      <c r="AI147" s="340">
        <f t="shared" si="72"/>
        <v>6500</v>
      </c>
      <c r="AJ147" s="340">
        <f t="shared" si="72"/>
        <v>6800</v>
      </c>
      <c r="AK147" s="340">
        <f t="shared" si="72"/>
        <v>6800</v>
      </c>
      <c r="AL147" s="341">
        <f t="shared" si="73"/>
        <v>58</v>
      </c>
      <c r="AM147" s="341">
        <f t="shared" si="73"/>
        <v>63</v>
      </c>
      <c r="AN147" s="341">
        <f t="shared" si="73"/>
        <v>87</v>
      </c>
      <c r="AO147" s="341">
        <f t="shared" si="73"/>
        <v>87</v>
      </c>
      <c r="AR147" s="190">
        <v>16</v>
      </c>
      <c r="AS147" s="346">
        <f t="shared" si="76"/>
        <v>454636.88</v>
      </c>
      <c r="AT147" s="346">
        <f t="shared" si="76"/>
        <v>195024.96</v>
      </c>
      <c r="AU147" s="346">
        <f t="shared" si="76"/>
        <v>0</v>
      </c>
      <c r="AV147" s="346">
        <f t="shared" si="77"/>
        <v>15271338.38</v>
      </c>
      <c r="AX147" s="155"/>
      <c r="AY147" s="346">
        <f t="shared" si="78"/>
        <v>0</v>
      </c>
      <c r="AZ147" s="346">
        <f t="shared" si="79"/>
        <v>15271338.38</v>
      </c>
      <c r="BA147" s="190">
        <v>16</v>
      </c>
      <c r="BB147" s="351">
        <f t="shared" si="74"/>
        <v>-0.0429268219113163</v>
      </c>
      <c r="BC147" s="318">
        <f t="shared" si="74"/>
        <v>0.155274652238773</v>
      </c>
      <c r="BD147" s="352">
        <f t="shared" si="75"/>
        <v>0.112347830327457</v>
      </c>
    </row>
    <row r="148" ht="20.1" customHeight="1" spans="22:56">
      <c r="V148" s="336"/>
      <c r="W148" s="11">
        <v>18</v>
      </c>
      <c r="X148" s="335">
        <f t="shared" si="70"/>
        <v>3688</v>
      </c>
      <c r="Y148" s="335">
        <f t="shared" si="70"/>
        <v>3688</v>
      </c>
      <c r="Z148" s="335">
        <f t="shared" si="70"/>
        <v>4099</v>
      </c>
      <c r="AA148" s="335">
        <f t="shared" si="70"/>
        <v>4099</v>
      </c>
      <c r="AB148" s="339">
        <f t="shared" si="71"/>
        <v>27</v>
      </c>
      <c r="AC148" s="339">
        <f t="shared" si="71"/>
        <v>27</v>
      </c>
      <c r="AD148" s="339">
        <f t="shared" si="71"/>
        <v>27</v>
      </c>
      <c r="AE148" s="339">
        <f t="shared" si="71"/>
        <v>35</v>
      </c>
      <c r="AF148" s="336"/>
      <c r="AG148" s="11">
        <v>18</v>
      </c>
      <c r="AH148" s="340">
        <f t="shared" si="72"/>
        <v>7599</v>
      </c>
      <c r="AI148" s="340">
        <f t="shared" si="72"/>
        <v>7599</v>
      </c>
      <c r="AJ148" s="340">
        <f t="shared" si="72"/>
        <v>7899</v>
      </c>
      <c r="AK148" s="340">
        <f t="shared" si="72"/>
        <v>7899</v>
      </c>
      <c r="AL148" s="341">
        <f t="shared" si="73"/>
        <v>16</v>
      </c>
      <c r="AM148" s="341">
        <f t="shared" si="73"/>
        <v>16</v>
      </c>
      <c r="AN148" s="341">
        <f t="shared" si="73"/>
        <v>25</v>
      </c>
      <c r="AO148" s="341">
        <f t="shared" si="73"/>
        <v>29</v>
      </c>
      <c r="AR148" s="190">
        <v>17</v>
      </c>
      <c r="AS148" s="346">
        <f t="shared" si="76"/>
        <v>-123194.52</v>
      </c>
      <c r="AT148" s="346">
        <f t="shared" si="76"/>
        <v>37963.98</v>
      </c>
      <c r="AU148" s="346">
        <f t="shared" si="76"/>
        <v>0</v>
      </c>
      <c r="AV148" s="346">
        <f t="shared" si="77"/>
        <v>14679513.97</v>
      </c>
      <c r="AX148" s="155"/>
      <c r="AY148" s="346">
        <f t="shared" si="78"/>
        <v>0</v>
      </c>
      <c r="AZ148" s="346">
        <f t="shared" si="79"/>
        <v>14679513.97</v>
      </c>
      <c r="BA148" s="190">
        <v>17</v>
      </c>
      <c r="BB148" s="351">
        <f t="shared" si="74"/>
        <v>-0.0429268219113163</v>
      </c>
      <c r="BC148" s="318">
        <f t="shared" si="74"/>
        <v>0.0464401157979395</v>
      </c>
      <c r="BD148" s="352">
        <f t="shared" si="75"/>
        <v>0.00351329388662323</v>
      </c>
    </row>
    <row r="149" ht="20.1" customHeight="1" spans="22:56">
      <c r="V149" s="336"/>
      <c r="W149" s="11">
        <v>19</v>
      </c>
      <c r="X149" s="335">
        <f t="shared" si="70"/>
        <v>3050</v>
      </c>
      <c r="Y149" s="335">
        <f t="shared" si="70"/>
        <v>3050</v>
      </c>
      <c r="Z149" s="335">
        <f t="shared" si="70"/>
        <v>3150</v>
      </c>
      <c r="AA149" s="335">
        <f t="shared" si="70"/>
        <v>3350</v>
      </c>
      <c r="AB149" s="339">
        <f t="shared" si="71"/>
        <v>99</v>
      </c>
      <c r="AC149" s="339">
        <f t="shared" si="71"/>
        <v>100</v>
      </c>
      <c r="AD149" s="339">
        <f t="shared" si="71"/>
        <v>126</v>
      </c>
      <c r="AE149" s="339">
        <f t="shared" si="71"/>
        <v>33</v>
      </c>
      <c r="AF149" s="336"/>
      <c r="AG149" s="11">
        <v>19</v>
      </c>
      <c r="AH149" s="340">
        <f t="shared" si="72"/>
        <v>6000</v>
      </c>
      <c r="AI149" s="340">
        <f t="shared" si="72"/>
        <v>6000</v>
      </c>
      <c r="AJ149" s="340">
        <f t="shared" si="72"/>
        <v>7000</v>
      </c>
      <c r="AK149" s="340">
        <f t="shared" si="72"/>
        <v>7000</v>
      </c>
      <c r="AL149" s="341">
        <f t="shared" si="73"/>
        <v>29</v>
      </c>
      <c r="AM149" s="341">
        <f t="shared" si="73"/>
        <v>33</v>
      </c>
      <c r="AN149" s="341">
        <f t="shared" si="73"/>
        <v>48</v>
      </c>
      <c r="AO149" s="341">
        <f t="shared" si="73"/>
        <v>48</v>
      </c>
      <c r="AR149" s="190">
        <v>18</v>
      </c>
      <c r="AS149" s="346">
        <f t="shared" ref="AS149:AU151" si="80">IF(F112="","",F112)</f>
        <v>-293991.4</v>
      </c>
      <c r="AT149" s="346">
        <f t="shared" si="80"/>
        <v>17313.29</v>
      </c>
      <c r="AU149" s="346">
        <f t="shared" si="80"/>
        <v>38920.14</v>
      </c>
      <c r="AV149" s="346">
        <f t="shared" si="77"/>
        <v>14409822.76</v>
      </c>
      <c r="AX149" s="155"/>
      <c r="AY149" s="346">
        <f t="shared" si="78"/>
        <v>38920.14</v>
      </c>
      <c r="AZ149" s="346">
        <f t="shared" si="79"/>
        <v>14409822.76</v>
      </c>
      <c r="BA149" s="190">
        <v>18</v>
      </c>
      <c r="BB149" s="351">
        <f t="shared" si="74"/>
        <v>0.0178431933907225</v>
      </c>
      <c r="BC149" s="318">
        <f t="shared" si="74"/>
        <v>-0.003155198836882</v>
      </c>
      <c r="BD149" s="352">
        <f t="shared" si="75"/>
        <v>0.0146879945538405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>
        <f t="shared" si="71"/>
        <v>0</v>
      </c>
      <c r="AC150" s="339">
        <f t="shared" si="71"/>
        <v>0</v>
      </c>
      <c r="AD150" s="339">
        <f t="shared" si="71"/>
        <v>0</v>
      </c>
      <c r="AE150" s="339">
        <f t="shared" si="71"/>
        <v>0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>
        <f t="shared" si="73"/>
        <v>0</v>
      </c>
      <c r="AM150" s="341">
        <f t="shared" si="73"/>
        <v>0</v>
      </c>
      <c r="AN150" s="341">
        <f t="shared" si="73"/>
        <v>0</v>
      </c>
      <c r="AO150" s="341">
        <f t="shared" si="73"/>
        <v>0</v>
      </c>
      <c r="AR150" s="190">
        <v>19</v>
      </c>
      <c r="AS150" s="346">
        <f t="shared" si="80"/>
        <v>-187244.09</v>
      </c>
      <c r="AT150" s="346">
        <f t="shared" si="80"/>
        <v>4339.91</v>
      </c>
      <c r="AU150" s="346">
        <f t="shared" si="80"/>
        <v>0</v>
      </c>
      <c r="AV150" s="346">
        <f t="shared" si="77"/>
        <v>14469229.38</v>
      </c>
      <c r="AX150" s="155"/>
      <c r="AY150" s="346">
        <f t="shared" si="78"/>
        <v>0</v>
      </c>
      <c r="AZ150" s="346">
        <f t="shared" si="79"/>
        <v>14469229.38</v>
      </c>
      <c r="BA150" s="190">
        <v>19</v>
      </c>
      <c r="BB150" s="351">
        <f t="shared" si="74"/>
        <v>-0.0429268219113163</v>
      </c>
      <c r="BC150" s="318">
        <f t="shared" si="74"/>
        <v>0.00776948057811014</v>
      </c>
      <c r="BD150" s="352">
        <f t="shared" si="75"/>
        <v>-0.0351573413332062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23</v>
      </c>
      <c r="AC153" s="338">
        <f>AH65</f>
        <v>26</v>
      </c>
      <c r="AD153" s="338">
        <f>AH66</f>
        <v>38</v>
      </c>
      <c r="AE153" s="338">
        <f>AH67</f>
        <v>41</v>
      </c>
      <c r="AH153" s="101"/>
      <c r="AI153" s="101"/>
      <c r="AJ153" s="101"/>
      <c r="AK153" s="101"/>
      <c r="AL153" s="338">
        <f>AI64</f>
        <v>27</v>
      </c>
      <c r="AM153" s="338">
        <f>AI65</f>
        <v>27</v>
      </c>
      <c r="AN153" s="338">
        <f>AI66</f>
        <v>42</v>
      </c>
      <c r="AO153" s="338">
        <f>AI67</f>
        <v>40</v>
      </c>
      <c r="AR153" s="2" t="s">
        <v>25</v>
      </c>
      <c r="AS153" s="2">
        <f>SUM(AS132:AS151)/比赛参数!$G$4</f>
        <v>-189825.219473684</v>
      </c>
      <c r="AT153" s="2">
        <f>SUM(AT132:AT151)/比赛参数!$G$4</f>
        <v>70550.8831578947</v>
      </c>
      <c r="AU153" s="2">
        <f>SUM(AU132:AU151)/比赛参数!$G$4</f>
        <v>27492.4715789474</v>
      </c>
      <c r="AV153" s="2">
        <f>SUM(AV132:AV151)/比赛参数!$G$4</f>
        <v>14426980.2152632</v>
      </c>
      <c r="AY153" s="2">
        <f>SUM(AY132:AY151)/比赛参数!$G$4</f>
        <v>27492.4715789474</v>
      </c>
      <c r="AZ153" s="2">
        <f>SUM(AZ132:AZ151)/比赛参数!$G$4</f>
        <v>14426980.2152632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9288</v>
      </c>
      <c r="Y154" s="335">
        <f t="shared" si="81"/>
        <v>9288</v>
      </c>
      <c r="Z154" s="335">
        <f t="shared" si="81"/>
        <v>9688</v>
      </c>
      <c r="AA154" s="335">
        <f t="shared" si="81"/>
        <v>9688</v>
      </c>
      <c r="AB154" s="339">
        <f t="shared" ref="AB154:AE173" si="82">INT(AG$232*L73+0.5)</f>
        <v>49</v>
      </c>
      <c r="AC154" s="339">
        <f t="shared" si="82"/>
        <v>47</v>
      </c>
      <c r="AD154" s="339">
        <f t="shared" si="82"/>
        <v>74</v>
      </c>
      <c r="AE154" s="339">
        <f t="shared" si="82"/>
        <v>74</v>
      </c>
      <c r="AF154" s="334" t="s">
        <v>24</v>
      </c>
      <c r="AG154" s="11">
        <v>1</v>
      </c>
      <c r="AH154" s="340">
        <f t="shared" ref="AH154:AK173" si="83">P50</f>
        <v>11888</v>
      </c>
      <c r="AI154" s="340">
        <f t="shared" si="83"/>
        <v>11888</v>
      </c>
      <c r="AJ154" s="340">
        <f t="shared" si="83"/>
        <v>12088</v>
      </c>
      <c r="AK154" s="340">
        <f t="shared" si="83"/>
        <v>12088</v>
      </c>
      <c r="AL154" s="341">
        <f t="shared" ref="AL154:AO173" si="84">INT(AK$232*P73+0.5)</f>
        <v>10</v>
      </c>
      <c r="AM154" s="341">
        <f t="shared" si="84"/>
        <v>14</v>
      </c>
      <c r="AN154" s="341">
        <f t="shared" si="84"/>
        <v>24</v>
      </c>
      <c r="AO154" s="341">
        <f t="shared" si="84"/>
        <v>24</v>
      </c>
    </row>
    <row r="155" ht="20.1" customHeight="1" spans="22:41">
      <c r="V155" s="336"/>
      <c r="W155" s="11">
        <v>2</v>
      </c>
      <c r="X155" s="335">
        <f t="shared" si="81"/>
        <v>8399</v>
      </c>
      <c r="Y155" s="335">
        <f t="shared" si="81"/>
        <v>8399</v>
      </c>
      <c r="Z155" s="335">
        <f t="shared" si="81"/>
        <v>9399</v>
      </c>
      <c r="AA155" s="335">
        <f t="shared" si="81"/>
        <v>9299</v>
      </c>
      <c r="AB155" s="339">
        <f t="shared" si="82"/>
        <v>44</v>
      </c>
      <c r="AC155" s="339">
        <f t="shared" si="82"/>
        <v>47</v>
      </c>
      <c r="AD155" s="339">
        <f t="shared" si="82"/>
        <v>31</v>
      </c>
      <c r="AE155" s="339">
        <f t="shared" si="82"/>
        <v>24</v>
      </c>
      <c r="AF155" s="336"/>
      <c r="AG155" s="11">
        <v>2</v>
      </c>
      <c r="AH155" s="340">
        <f t="shared" si="83"/>
        <v>11999</v>
      </c>
      <c r="AI155" s="340">
        <f t="shared" si="83"/>
        <v>11999</v>
      </c>
      <c r="AJ155" s="340">
        <f t="shared" si="83"/>
        <v>13499</v>
      </c>
      <c r="AK155" s="340">
        <f t="shared" si="83"/>
        <v>13499</v>
      </c>
      <c r="AL155" s="341">
        <f t="shared" si="84"/>
        <v>38</v>
      </c>
      <c r="AM155" s="341">
        <f t="shared" si="84"/>
        <v>29</v>
      </c>
      <c r="AN155" s="341">
        <f t="shared" si="84"/>
        <v>38</v>
      </c>
      <c r="AO155" s="341">
        <f t="shared" si="84"/>
        <v>20</v>
      </c>
    </row>
    <row r="156" ht="20.1" customHeight="1" spans="22:44">
      <c r="V156" s="336"/>
      <c r="W156" s="11">
        <v>3</v>
      </c>
      <c r="X156" s="335">
        <f t="shared" si="81"/>
        <v>9500</v>
      </c>
      <c r="Y156" s="335">
        <f t="shared" si="81"/>
        <v>9500</v>
      </c>
      <c r="Z156" s="335">
        <f t="shared" si="81"/>
        <v>11000</v>
      </c>
      <c r="AA156" s="335">
        <f t="shared" si="81"/>
        <v>11000</v>
      </c>
      <c r="AB156" s="339">
        <f t="shared" si="82"/>
        <v>1</v>
      </c>
      <c r="AC156" s="339">
        <f t="shared" si="82"/>
        <v>1</v>
      </c>
      <c r="AD156" s="339">
        <f t="shared" si="82"/>
        <v>20</v>
      </c>
      <c r="AE156" s="339">
        <f t="shared" si="82"/>
        <v>25</v>
      </c>
      <c r="AF156" s="336"/>
      <c r="AG156" s="11">
        <v>3</v>
      </c>
      <c r="AH156" s="340">
        <f t="shared" si="83"/>
        <v>13000</v>
      </c>
      <c r="AI156" s="340">
        <f t="shared" si="83"/>
        <v>13000</v>
      </c>
      <c r="AJ156" s="340">
        <f t="shared" si="83"/>
        <v>14700</v>
      </c>
      <c r="AK156" s="340">
        <f t="shared" si="83"/>
        <v>14700</v>
      </c>
      <c r="AL156" s="341">
        <f t="shared" si="84"/>
        <v>1</v>
      </c>
      <c r="AM156" s="341">
        <f t="shared" si="84"/>
        <v>1</v>
      </c>
      <c r="AN156" s="341">
        <f t="shared" si="84"/>
        <v>19</v>
      </c>
      <c r="AO156" s="341">
        <f t="shared" si="84"/>
        <v>24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9500</v>
      </c>
      <c r="Y157" s="335">
        <f t="shared" si="81"/>
        <v>9500</v>
      </c>
      <c r="Z157" s="335">
        <f t="shared" si="81"/>
        <v>10000</v>
      </c>
      <c r="AA157" s="335">
        <f t="shared" si="81"/>
        <v>10000</v>
      </c>
      <c r="AB157" s="339">
        <f t="shared" si="82"/>
        <v>45</v>
      </c>
      <c r="AC157" s="339">
        <f t="shared" si="82"/>
        <v>44</v>
      </c>
      <c r="AD157" s="339">
        <f t="shared" si="82"/>
        <v>47</v>
      </c>
      <c r="AE157" s="339">
        <f t="shared" si="82"/>
        <v>52</v>
      </c>
      <c r="AF157" s="336"/>
      <c r="AG157" s="11">
        <v>4</v>
      </c>
      <c r="AH157" s="340">
        <f t="shared" si="83"/>
        <v>11500</v>
      </c>
      <c r="AI157" s="340">
        <f t="shared" si="83"/>
        <v>11500</v>
      </c>
      <c r="AJ157" s="340">
        <f t="shared" si="83"/>
        <v>13000</v>
      </c>
      <c r="AK157" s="340">
        <f t="shared" si="83"/>
        <v>13000</v>
      </c>
      <c r="AL157" s="341">
        <f t="shared" si="84"/>
        <v>29</v>
      </c>
      <c r="AM157" s="341">
        <f t="shared" si="84"/>
        <v>29</v>
      </c>
      <c r="AN157" s="341">
        <f t="shared" si="84"/>
        <v>32</v>
      </c>
      <c r="AO157" s="341">
        <f t="shared" si="84"/>
        <v>36</v>
      </c>
      <c r="AR157" s="2">
        <v>1</v>
      </c>
      <c r="AS157" s="2">
        <f>IF(AS132="","",(AS132-AS$153)^2)</f>
        <v>437712204010.749</v>
      </c>
      <c r="AT157" s="2">
        <f>IF(AT132="","",(AT132-AT$153)^2)</f>
        <v>688855499.759021</v>
      </c>
      <c r="AU157" s="2">
        <f>IF(AU132="","",(AU132-AU$153)^2)</f>
        <v>755835993.519229</v>
      </c>
      <c r="AV157" s="2">
        <f>IF(AV132="","",(AV132-AV$153)^2)</f>
        <v>307143220527.662</v>
      </c>
      <c r="AY157" s="2">
        <f>IF(AY132="","",(AY132-AY$153)^2)</f>
        <v>755835993.519229</v>
      </c>
      <c r="AZ157" s="2">
        <f>IF(AZ132="","",(AZ132-AZ$153)^2)</f>
        <v>307143220527.662</v>
      </c>
    </row>
    <row r="158" ht="20.1" customHeight="1" spans="22:52">
      <c r="V158" s="336"/>
      <c r="W158" s="11">
        <v>5</v>
      </c>
      <c r="X158" s="335">
        <f t="shared" si="81"/>
        <v>10500</v>
      </c>
      <c r="Y158" s="335">
        <f t="shared" si="81"/>
        <v>10550</v>
      </c>
      <c r="Z158" s="335">
        <f t="shared" si="81"/>
        <v>11300</v>
      </c>
      <c r="AA158" s="335">
        <f t="shared" si="81"/>
        <v>11300</v>
      </c>
      <c r="AB158" s="339">
        <f t="shared" si="82"/>
        <v>18</v>
      </c>
      <c r="AC158" s="339">
        <f t="shared" si="82"/>
        <v>19</v>
      </c>
      <c r="AD158" s="339">
        <f t="shared" si="82"/>
        <v>20</v>
      </c>
      <c r="AE158" s="339">
        <f t="shared" si="82"/>
        <v>27</v>
      </c>
      <c r="AF158" s="336"/>
      <c r="AG158" s="11">
        <v>5</v>
      </c>
      <c r="AH158" s="340">
        <f t="shared" si="83"/>
        <v>13500</v>
      </c>
      <c r="AI158" s="340">
        <f t="shared" si="83"/>
        <v>13500</v>
      </c>
      <c r="AJ158" s="340">
        <f t="shared" si="83"/>
        <v>14200</v>
      </c>
      <c r="AK158" s="340">
        <f t="shared" si="83"/>
        <v>14350</v>
      </c>
      <c r="AL158" s="341">
        <f t="shared" si="84"/>
        <v>30</v>
      </c>
      <c r="AM158" s="341">
        <f t="shared" si="84"/>
        <v>30</v>
      </c>
      <c r="AN158" s="341">
        <f t="shared" si="84"/>
        <v>29</v>
      </c>
      <c r="AO158" s="341">
        <f t="shared" si="84"/>
        <v>29</v>
      </c>
      <c r="AR158" s="2">
        <v>2</v>
      </c>
      <c r="AS158" s="2">
        <f t="shared" ref="AS158:AV173" si="85">IF(AS133="","",(AS133-AS$153)^2)</f>
        <v>62740325846.0994</v>
      </c>
      <c r="AT158" s="2">
        <f t="shared" si="85"/>
        <v>2467342668.24261</v>
      </c>
      <c r="AU158" s="2">
        <f t="shared" si="85"/>
        <v>755835993.519229</v>
      </c>
      <c r="AV158" s="2">
        <f t="shared" si="85"/>
        <v>13185574138.1236</v>
      </c>
      <c r="AY158" s="2">
        <f t="shared" ref="AY158:AZ173" si="86">IF(AY133="","",(AY133-AY$153)^2)</f>
        <v>755835993.519229</v>
      </c>
      <c r="AZ158" s="2">
        <f t="shared" si="86"/>
        <v>13185574138.1236</v>
      </c>
    </row>
    <row r="159" ht="20.1" customHeight="1" spans="22:52">
      <c r="V159" s="336"/>
      <c r="W159" s="11">
        <v>6</v>
      </c>
      <c r="X159" s="335">
        <f t="shared" si="81"/>
        <v>11000</v>
      </c>
      <c r="Y159" s="335">
        <f t="shared" si="81"/>
        <v>12000</v>
      </c>
      <c r="Z159" s="335">
        <f t="shared" si="81"/>
        <v>12000</v>
      </c>
      <c r="AA159" s="335">
        <f t="shared" si="81"/>
        <v>11000</v>
      </c>
      <c r="AB159" s="339">
        <f t="shared" si="82"/>
        <v>0</v>
      </c>
      <c r="AC159" s="339">
        <f t="shared" si="82"/>
        <v>1</v>
      </c>
      <c r="AD159" s="339">
        <f t="shared" si="82"/>
        <v>3</v>
      </c>
      <c r="AE159" s="339">
        <f t="shared" si="82"/>
        <v>0</v>
      </c>
      <c r="AF159" s="336"/>
      <c r="AG159" s="11">
        <v>6</v>
      </c>
      <c r="AH159" s="340">
        <f t="shared" si="83"/>
        <v>9999</v>
      </c>
      <c r="AI159" s="340">
        <f t="shared" si="83"/>
        <v>9999</v>
      </c>
      <c r="AJ159" s="340">
        <f t="shared" si="83"/>
        <v>11999</v>
      </c>
      <c r="AK159" s="340">
        <f t="shared" si="83"/>
        <v>11999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>
        <f t="shared" si="85"/>
        <v>3292076462.22796</v>
      </c>
      <c r="AT159" s="2">
        <f t="shared" si="85"/>
        <v>4122645838.83205</v>
      </c>
      <c r="AU159" s="2">
        <f t="shared" si="85"/>
        <v>461547285.165608</v>
      </c>
      <c r="AV159" s="2">
        <f t="shared" si="85"/>
        <v>20847292374.3943</v>
      </c>
      <c r="AY159" s="2">
        <f t="shared" si="86"/>
        <v>461547285.165608</v>
      </c>
      <c r="AZ159" s="2">
        <f t="shared" si="86"/>
        <v>20847292374.3943</v>
      </c>
    </row>
    <row r="160" ht="20.1" customHeight="1" spans="22:52">
      <c r="V160" s="336"/>
      <c r="W160" s="11">
        <v>7</v>
      </c>
      <c r="X160" s="335">
        <f t="shared" si="81"/>
        <v>9500</v>
      </c>
      <c r="Y160" s="335">
        <f t="shared" si="81"/>
        <v>9500</v>
      </c>
      <c r="Z160" s="335">
        <f t="shared" si="81"/>
        <v>9700</v>
      </c>
      <c r="AA160" s="335">
        <f t="shared" si="81"/>
        <v>9700</v>
      </c>
      <c r="AB160" s="339">
        <f t="shared" si="82"/>
        <v>43</v>
      </c>
      <c r="AC160" s="339">
        <f t="shared" si="82"/>
        <v>40</v>
      </c>
      <c r="AD160" s="339">
        <f t="shared" si="82"/>
        <v>29</v>
      </c>
      <c r="AE160" s="339">
        <f t="shared" si="82"/>
        <v>35</v>
      </c>
      <c r="AF160" s="336"/>
      <c r="AG160" s="11">
        <v>7</v>
      </c>
      <c r="AH160" s="340">
        <f t="shared" si="83"/>
        <v>11899</v>
      </c>
      <c r="AI160" s="340">
        <f t="shared" si="83"/>
        <v>11899</v>
      </c>
      <c r="AJ160" s="340">
        <f t="shared" si="83"/>
        <v>13199</v>
      </c>
      <c r="AK160" s="340">
        <f t="shared" si="83"/>
        <v>13299</v>
      </c>
      <c r="AL160" s="341">
        <f t="shared" si="84"/>
        <v>37</v>
      </c>
      <c r="AM160" s="341">
        <f t="shared" si="84"/>
        <v>36</v>
      </c>
      <c r="AN160" s="341">
        <f t="shared" si="84"/>
        <v>24</v>
      </c>
      <c r="AO160" s="341">
        <f t="shared" si="84"/>
        <v>25</v>
      </c>
      <c r="AR160" s="2">
        <v>4</v>
      </c>
      <c r="AS160" s="2">
        <f t="shared" si="85"/>
        <v>251652902565.98</v>
      </c>
      <c r="AT160" s="2">
        <f t="shared" si="85"/>
        <v>875226259.856115</v>
      </c>
      <c r="AU160" s="2">
        <f t="shared" si="85"/>
        <v>755835993.519229</v>
      </c>
      <c r="AV160" s="2">
        <f t="shared" si="85"/>
        <v>149547868410.963</v>
      </c>
      <c r="AY160" s="2">
        <f t="shared" si="86"/>
        <v>755835993.519229</v>
      </c>
      <c r="AZ160" s="2">
        <f t="shared" si="86"/>
        <v>149547868410.963</v>
      </c>
    </row>
    <row r="161" ht="20.1" customHeight="1" spans="22:52">
      <c r="V161" s="336"/>
      <c r="W161" s="11">
        <v>8</v>
      </c>
      <c r="X161" s="335">
        <f t="shared" si="81"/>
        <v>9300</v>
      </c>
      <c r="Y161" s="335">
        <f t="shared" si="81"/>
        <v>9300</v>
      </c>
      <c r="Z161" s="335">
        <f t="shared" si="81"/>
        <v>9600</v>
      </c>
      <c r="AA161" s="335">
        <f t="shared" si="81"/>
        <v>9600</v>
      </c>
      <c r="AB161" s="339">
        <f t="shared" si="82"/>
        <v>57</v>
      </c>
      <c r="AC161" s="339">
        <f t="shared" si="82"/>
        <v>57</v>
      </c>
      <c r="AD161" s="339">
        <f t="shared" si="82"/>
        <v>58</v>
      </c>
      <c r="AE161" s="339">
        <f t="shared" si="82"/>
        <v>56</v>
      </c>
      <c r="AF161" s="336"/>
      <c r="AG161" s="11">
        <v>8</v>
      </c>
      <c r="AH161" s="340">
        <f t="shared" si="83"/>
        <v>12000</v>
      </c>
      <c r="AI161" s="340">
        <f t="shared" si="83"/>
        <v>12000</v>
      </c>
      <c r="AJ161" s="340">
        <f t="shared" si="83"/>
        <v>12500</v>
      </c>
      <c r="AK161" s="340">
        <f t="shared" si="83"/>
        <v>12500</v>
      </c>
      <c r="AL161" s="341">
        <f t="shared" si="84"/>
        <v>15</v>
      </c>
      <c r="AM161" s="341">
        <f t="shared" si="84"/>
        <v>16</v>
      </c>
      <c r="AN161" s="341">
        <f t="shared" si="84"/>
        <v>0</v>
      </c>
      <c r="AO161" s="341">
        <f t="shared" si="84"/>
        <v>0</v>
      </c>
      <c r="AR161" s="2">
        <v>5</v>
      </c>
      <c r="AS161" s="2">
        <f t="shared" si="85"/>
        <v>235577367452.488</v>
      </c>
      <c r="AT161" s="2">
        <f t="shared" si="85"/>
        <v>12238974075.2949</v>
      </c>
      <c r="AU161" s="2">
        <f t="shared" si="85"/>
        <v>755835993.519229</v>
      </c>
      <c r="AV161" s="2">
        <f t="shared" si="85"/>
        <v>642082178371.352</v>
      </c>
      <c r="AY161" s="2">
        <f t="shared" si="86"/>
        <v>755835993.519229</v>
      </c>
      <c r="AZ161" s="2">
        <f t="shared" si="86"/>
        <v>642082178371.352</v>
      </c>
    </row>
    <row r="162" ht="20.1" customHeight="1" spans="22:52">
      <c r="V162" s="336"/>
      <c r="W162" s="11">
        <v>9</v>
      </c>
      <c r="X162" s="335">
        <f t="shared" si="81"/>
        <v>9799</v>
      </c>
      <c r="Y162" s="335">
        <f t="shared" si="81"/>
        <v>9799</v>
      </c>
      <c r="Z162" s="335">
        <f t="shared" si="81"/>
        <v>10399</v>
      </c>
      <c r="AA162" s="335">
        <f t="shared" si="81"/>
        <v>10399</v>
      </c>
      <c r="AB162" s="339">
        <f t="shared" si="82"/>
        <v>24</v>
      </c>
      <c r="AC162" s="339">
        <f t="shared" si="82"/>
        <v>23</v>
      </c>
      <c r="AD162" s="339">
        <f t="shared" si="82"/>
        <v>28</v>
      </c>
      <c r="AE162" s="339">
        <f t="shared" si="82"/>
        <v>27</v>
      </c>
      <c r="AF162" s="336"/>
      <c r="AG162" s="11">
        <v>9</v>
      </c>
      <c r="AH162" s="340">
        <f t="shared" si="83"/>
        <v>11999</v>
      </c>
      <c r="AI162" s="340">
        <f t="shared" si="83"/>
        <v>11999</v>
      </c>
      <c r="AJ162" s="340">
        <f t="shared" si="83"/>
        <v>12799</v>
      </c>
      <c r="AK162" s="340">
        <f t="shared" si="83"/>
        <v>13099</v>
      </c>
      <c r="AL162" s="341">
        <f t="shared" si="84"/>
        <v>25</v>
      </c>
      <c r="AM162" s="341">
        <f t="shared" si="84"/>
        <v>25</v>
      </c>
      <c r="AN162" s="341">
        <f t="shared" si="84"/>
        <v>25</v>
      </c>
      <c r="AO162" s="341">
        <f t="shared" si="84"/>
        <v>26</v>
      </c>
      <c r="AR162" s="2">
        <v>6</v>
      </c>
      <c r="AS162" s="2">
        <f t="shared" si="85"/>
        <v>2402918271835.13</v>
      </c>
      <c r="AT162" s="2">
        <f t="shared" si="85"/>
        <v>4383892966.51546</v>
      </c>
      <c r="AU162" s="2">
        <f t="shared" si="85"/>
        <v>755835993.519229</v>
      </c>
      <c r="AV162" s="2">
        <f t="shared" si="85"/>
        <v>7560737546645.03</v>
      </c>
      <c r="AY162" s="2">
        <f t="shared" si="86"/>
        <v>755835993.519229</v>
      </c>
      <c r="AZ162" s="2">
        <f t="shared" si="86"/>
        <v>7560737546645.03</v>
      </c>
    </row>
    <row r="163" ht="20.1" customHeight="1" spans="22:52">
      <c r="V163" s="336"/>
      <c r="W163" s="11">
        <v>10</v>
      </c>
      <c r="X163" s="335">
        <f t="shared" si="81"/>
        <v>9400</v>
      </c>
      <c r="Y163" s="335">
        <f t="shared" si="81"/>
        <v>9400</v>
      </c>
      <c r="Z163" s="335">
        <f t="shared" si="81"/>
        <v>9600</v>
      </c>
      <c r="AA163" s="335">
        <f t="shared" si="81"/>
        <v>9600</v>
      </c>
      <c r="AB163" s="339">
        <f t="shared" si="82"/>
        <v>24</v>
      </c>
      <c r="AC163" s="339">
        <f t="shared" si="82"/>
        <v>24</v>
      </c>
      <c r="AD163" s="339">
        <f t="shared" si="82"/>
        <v>33</v>
      </c>
      <c r="AE163" s="339">
        <f t="shared" si="82"/>
        <v>39</v>
      </c>
      <c r="AF163" s="336"/>
      <c r="AG163" s="11">
        <v>10</v>
      </c>
      <c r="AH163" s="340">
        <f t="shared" si="83"/>
        <v>12300</v>
      </c>
      <c r="AI163" s="340">
        <f t="shared" si="83"/>
        <v>12300</v>
      </c>
      <c r="AJ163" s="340">
        <f t="shared" si="83"/>
        <v>12900</v>
      </c>
      <c r="AK163" s="340">
        <f t="shared" si="83"/>
        <v>12900</v>
      </c>
      <c r="AL163" s="341">
        <f t="shared" si="84"/>
        <v>19</v>
      </c>
      <c r="AM163" s="341">
        <f t="shared" si="84"/>
        <v>19</v>
      </c>
      <c r="AN163" s="341">
        <f t="shared" si="84"/>
        <v>29</v>
      </c>
      <c r="AO163" s="341">
        <f t="shared" si="84"/>
        <v>29</v>
      </c>
      <c r="AR163" s="2">
        <v>7</v>
      </c>
      <c r="AS163" s="2">
        <f t="shared" si="85"/>
        <v>212279930.892237</v>
      </c>
      <c r="AT163" s="2">
        <f t="shared" si="85"/>
        <v>4383892966.51546</v>
      </c>
      <c r="AU163" s="2">
        <f t="shared" si="85"/>
        <v>755835993.519229</v>
      </c>
      <c r="AV163" s="2">
        <f t="shared" si="85"/>
        <v>937333010.537234</v>
      </c>
      <c r="AY163" s="2">
        <f t="shared" si="86"/>
        <v>755835993.519229</v>
      </c>
      <c r="AZ163" s="2">
        <f t="shared" si="86"/>
        <v>937333010.537234</v>
      </c>
    </row>
    <row r="164" ht="20.1" customHeight="1" spans="22:52">
      <c r="V164" s="336"/>
      <c r="W164" s="11">
        <v>11</v>
      </c>
      <c r="X164" s="335">
        <f t="shared" si="81"/>
        <v>10150</v>
      </c>
      <c r="Y164" s="335">
        <f t="shared" si="81"/>
        <v>10150</v>
      </c>
      <c r="Z164" s="335">
        <f t="shared" si="81"/>
        <v>10200</v>
      </c>
      <c r="AA164" s="335">
        <f t="shared" si="81"/>
        <v>10400</v>
      </c>
      <c r="AB164" s="339">
        <f t="shared" si="82"/>
        <v>24</v>
      </c>
      <c r="AC164" s="339">
        <f t="shared" si="82"/>
        <v>27</v>
      </c>
      <c r="AD164" s="339">
        <f t="shared" si="82"/>
        <v>39</v>
      </c>
      <c r="AE164" s="339">
        <f t="shared" si="82"/>
        <v>42</v>
      </c>
      <c r="AF164" s="336"/>
      <c r="AG164" s="11">
        <v>11</v>
      </c>
      <c r="AH164" s="340">
        <f t="shared" si="83"/>
        <v>12700</v>
      </c>
      <c r="AI164" s="340">
        <f t="shared" si="83"/>
        <v>12700</v>
      </c>
      <c r="AJ164" s="340">
        <f t="shared" si="83"/>
        <v>13000</v>
      </c>
      <c r="AK164" s="340">
        <f t="shared" si="83"/>
        <v>13150</v>
      </c>
      <c r="AL164" s="341">
        <f t="shared" si="84"/>
        <v>24</v>
      </c>
      <c r="AM164" s="341">
        <f t="shared" si="84"/>
        <v>24</v>
      </c>
      <c r="AN164" s="341">
        <f t="shared" si="84"/>
        <v>37</v>
      </c>
      <c r="AO164" s="341">
        <f t="shared" si="84"/>
        <v>41</v>
      </c>
      <c r="AR164" s="2">
        <v>8</v>
      </c>
      <c r="AS164" s="2">
        <f t="shared" si="85"/>
        <v>181484903060.77</v>
      </c>
      <c r="AT164" s="2">
        <f t="shared" si="85"/>
        <v>2052430384.0086</v>
      </c>
      <c r="AU164" s="2">
        <f t="shared" si="85"/>
        <v>18148273597.7634</v>
      </c>
      <c r="AV164" s="2">
        <f t="shared" si="85"/>
        <v>198990725161.793</v>
      </c>
      <c r="AY164" s="2">
        <f t="shared" si="86"/>
        <v>18148273597.7634</v>
      </c>
      <c r="AZ164" s="2">
        <f t="shared" si="86"/>
        <v>198990725161.793</v>
      </c>
    </row>
    <row r="165" ht="20.1" customHeight="1" spans="22:52">
      <c r="V165" s="336"/>
      <c r="W165" s="11">
        <v>12</v>
      </c>
      <c r="X165" s="335">
        <f t="shared" si="81"/>
        <v>8600</v>
      </c>
      <c r="Y165" s="335">
        <f t="shared" si="81"/>
        <v>8650</v>
      </c>
      <c r="Z165" s="335">
        <f t="shared" si="81"/>
        <v>8450</v>
      </c>
      <c r="AA165" s="335">
        <f t="shared" si="81"/>
        <v>8660</v>
      </c>
      <c r="AB165" s="339">
        <f t="shared" si="82"/>
        <v>29</v>
      </c>
      <c r="AC165" s="339">
        <f t="shared" si="82"/>
        <v>29</v>
      </c>
      <c r="AD165" s="339">
        <f t="shared" si="82"/>
        <v>43</v>
      </c>
      <c r="AE165" s="339">
        <f t="shared" si="82"/>
        <v>44</v>
      </c>
      <c r="AF165" s="336"/>
      <c r="AG165" s="11">
        <v>12</v>
      </c>
      <c r="AH165" s="340">
        <f t="shared" si="83"/>
        <v>9300</v>
      </c>
      <c r="AI165" s="340">
        <f t="shared" si="83"/>
        <v>9300</v>
      </c>
      <c r="AJ165" s="340">
        <f t="shared" si="83"/>
        <v>9600</v>
      </c>
      <c r="AK165" s="340">
        <f t="shared" si="83"/>
        <v>9600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>
        <f t="shared" si="85"/>
        <v>50520078656.155</v>
      </c>
      <c r="AT165" s="2">
        <f t="shared" si="85"/>
        <v>77379412.2763891</v>
      </c>
      <c r="AU165" s="2">
        <f t="shared" si="85"/>
        <v>755835993.519229</v>
      </c>
      <c r="AV165" s="2">
        <f t="shared" si="85"/>
        <v>6864517656.58131</v>
      </c>
      <c r="AY165" s="2">
        <f t="shared" si="86"/>
        <v>755835993.519229</v>
      </c>
      <c r="AZ165" s="2">
        <f t="shared" si="86"/>
        <v>6864517656.58131</v>
      </c>
    </row>
    <row r="166" ht="20.1" customHeight="1" spans="22:52">
      <c r="V166" s="336"/>
      <c r="W166" s="11">
        <v>13</v>
      </c>
      <c r="X166" s="335">
        <f t="shared" si="81"/>
        <v>9600</v>
      </c>
      <c r="Y166" s="335">
        <f t="shared" si="81"/>
        <v>9600</v>
      </c>
      <c r="Z166" s="335">
        <f t="shared" si="81"/>
        <v>9960</v>
      </c>
      <c r="AA166" s="335">
        <f t="shared" si="81"/>
        <v>9960</v>
      </c>
      <c r="AB166" s="339">
        <f t="shared" si="82"/>
        <v>36</v>
      </c>
      <c r="AC166" s="339">
        <f t="shared" si="82"/>
        <v>36</v>
      </c>
      <c r="AD166" s="339">
        <f t="shared" si="82"/>
        <v>36</v>
      </c>
      <c r="AE166" s="339">
        <f t="shared" si="82"/>
        <v>40</v>
      </c>
      <c r="AF166" s="336"/>
      <c r="AG166" s="11">
        <v>13</v>
      </c>
      <c r="AH166" s="340">
        <f t="shared" si="83"/>
        <v>12680</v>
      </c>
      <c r="AI166" s="340">
        <f t="shared" si="83"/>
        <v>12680</v>
      </c>
      <c r="AJ166" s="340">
        <f t="shared" si="83"/>
        <v>13080</v>
      </c>
      <c r="AK166" s="340">
        <f t="shared" si="83"/>
        <v>13440</v>
      </c>
      <c r="AL166" s="341">
        <f t="shared" si="84"/>
        <v>23</v>
      </c>
      <c r="AM166" s="341">
        <f t="shared" si="84"/>
        <v>23</v>
      </c>
      <c r="AN166" s="341">
        <f t="shared" si="84"/>
        <v>33</v>
      </c>
      <c r="AO166" s="341">
        <f t="shared" si="84"/>
        <v>32</v>
      </c>
      <c r="AR166" s="2">
        <v>10</v>
      </c>
      <c r="AS166" s="2">
        <f t="shared" si="85"/>
        <v>35980346312.8879</v>
      </c>
      <c r="AT166" s="2">
        <f t="shared" si="85"/>
        <v>1979070644.59356</v>
      </c>
      <c r="AU166" s="2">
        <f t="shared" si="85"/>
        <v>755835993.519229</v>
      </c>
      <c r="AV166" s="2">
        <f t="shared" si="85"/>
        <v>49686819460.8941</v>
      </c>
      <c r="AY166" s="2">
        <f t="shared" si="86"/>
        <v>755835993.519229</v>
      </c>
      <c r="AZ166" s="2">
        <f t="shared" si="86"/>
        <v>49686819460.8941</v>
      </c>
    </row>
    <row r="167" ht="19.5" customHeight="1" spans="22:52">
      <c r="V167" s="336"/>
      <c r="W167" s="11">
        <v>14</v>
      </c>
      <c r="X167" s="335">
        <f t="shared" si="81"/>
        <v>10000</v>
      </c>
      <c r="Y167" s="335">
        <f t="shared" si="81"/>
        <v>10000</v>
      </c>
      <c r="Z167" s="335">
        <f t="shared" si="81"/>
        <v>12000</v>
      </c>
      <c r="AA167" s="335">
        <f t="shared" si="81"/>
        <v>12000</v>
      </c>
      <c r="AB167" s="339">
        <f t="shared" si="82"/>
        <v>29</v>
      </c>
      <c r="AC167" s="339">
        <f t="shared" si="82"/>
        <v>19</v>
      </c>
      <c r="AD167" s="339">
        <f t="shared" si="82"/>
        <v>15</v>
      </c>
      <c r="AE167" s="339">
        <f t="shared" si="82"/>
        <v>20</v>
      </c>
      <c r="AF167" s="336"/>
      <c r="AG167" s="11">
        <v>14</v>
      </c>
      <c r="AH167" s="340">
        <f t="shared" si="83"/>
        <v>16000</v>
      </c>
      <c r="AI167" s="340">
        <f t="shared" si="83"/>
        <v>15500</v>
      </c>
      <c r="AJ167" s="340">
        <f t="shared" si="83"/>
        <v>18000</v>
      </c>
      <c r="AK167" s="340">
        <f t="shared" si="83"/>
        <v>18000</v>
      </c>
      <c r="AL167" s="341">
        <f t="shared" si="84"/>
        <v>22</v>
      </c>
      <c r="AM167" s="341">
        <f t="shared" si="84"/>
        <v>19</v>
      </c>
      <c r="AN167" s="341">
        <f t="shared" si="84"/>
        <v>21</v>
      </c>
      <c r="AO167" s="341">
        <f t="shared" si="84"/>
        <v>20</v>
      </c>
      <c r="AR167" s="2">
        <v>11</v>
      </c>
      <c r="AS167" s="2">
        <f t="shared" si="85"/>
        <v>159565343178.336</v>
      </c>
      <c r="AT167" s="2">
        <f t="shared" si="85"/>
        <v>8081842219.08131</v>
      </c>
      <c r="AU167" s="2">
        <f t="shared" si="85"/>
        <v>82201206853.3087</v>
      </c>
      <c r="AV167" s="2">
        <f t="shared" si="85"/>
        <v>184095868673.138</v>
      </c>
      <c r="AY167" s="2">
        <f t="shared" si="86"/>
        <v>82201206853.3087</v>
      </c>
      <c r="AZ167" s="2">
        <f t="shared" si="86"/>
        <v>184095868673.138</v>
      </c>
    </row>
    <row r="168" ht="19.5" customHeight="1" spans="22:52">
      <c r="V168" s="336"/>
      <c r="W168" s="11">
        <v>15</v>
      </c>
      <c r="X168" s="335">
        <f t="shared" si="81"/>
        <v>8700</v>
      </c>
      <c r="Y168" s="335">
        <f t="shared" si="81"/>
        <v>8600</v>
      </c>
      <c r="Z168" s="335">
        <f t="shared" si="81"/>
        <v>9000</v>
      </c>
      <c r="AA168" s="335">
        <f t="shared" si="81"/>
        <v>9200</v>
      </c>
      <c r="AB168" s="339">
        <f t="shared" si="82"/>
        <v>36</v>
      </c>
      <c r="AC168" s="339">
        <f t="shared" si="82"/>
        <v>21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10500</v>
      </c>
      <c r="AI168" s="340">
        <f t="shared" si="83"/>
        <v>11000</v>
      </c>
      <c r="AJ168" s="340">
        <f t="shared" si="83"/>
        <v>12400</v>
      </c>
      <c r="AK168" s="340">
        <f t="shared" si="83"/>
        <v>12200</v>
      </c>
      <c r="AL168" s="341">
        <f t="shared" si="84"/>
        <v>10</v>
      </c>
      <c r="AM168" s="341">
        <f t="shared" si="84"/>
        <v>5</v>
      </c>
      <c r="AN168" s="341">
        <f t="shared" si="84"/>
        <v>0</v>
      </c>
      <c r="AO168" s="341">
        <f t="shared" si="84"/>
        <v>0</v>
      </c>
      <c r="AR168" s="2">
        <v>12</v>
      </c>
      <c r="AS168" s="2">
        <f t="shared" si="85"/>
        <v>234142747501.99</v>
      </c>
      <c r="AT168" s="2">
        <f t="shared" si="85"/>
        <v>1916568168.1803</v>
      </c>
      <c r="AU168" s="2">
        <f t="shared" si="85"/>
        <v>755835993.519229</v>
      </c>
      <c r="AV168" s="2">
        <f t="shared" si="85"/>
        <v>365610274774.45</v>
      </c>
      <c r="AY168" s="2">
        <f t="shared" si="86"/>
        <v>755835993.519229</v>
      </c>
      <c r="AZ168" s="2">
        <f t="shared" si="86"/>
        <v>365610274774.45</v>
      </c>
    </row>
    <row r="169" ht="19.5" customHeight="1" spans="22:52">
      <c r="V169" s="336"/>
      <c r="W169" s="11">
        <v>16</v>
      </c>
      <c r="X169" s="335">
        <f t="shared" si="81"/>
        <v>9500</v>
      </c>
      <c r="Y169" s="335">
        <f t="shared" si="81"/>
        <v>9500</v>
      </c>
      <c r="Z169" s="335">
        <f t="shared" si="81"/>
        <v>9800</v>
      </c>
      <c r="AA169" s="335">
        <f t="shared" si="81"/>
        <v>9900</v>
      </c>
      <c r="AB169" s="339">
        <f t="shared" si="82"/>
        <v>21</v>
      </c>
      <c r="AC169" s="339">
        <f t="shared" si="82"/>
        <v>21</v>
      </c>
      <c r="AD169" s="339">
        <f t="shared" si="82"/>
        <v>29</v>
      </c>
      <c r="AE169" s="339">
        <f t="shared" si="82"/>
        <v>38</v>
      </c>
      <c r="AF169" s="336"/>
      <c r="AG169" s="11">
        <v>16</v>
      </c>
      <c r="AH169" s="340">
        <f t="shared" si="83"/>
        <v>11500</v>
      </c>
      <c r="AI169" s="340">
        <f t="shared" si="83"/>
        <v>11500</v>
      </c>
      <c r="AJ169" s="340">
        <f t="shared" si="83"/>
        <v>13500</v>
      </c>
      <c r="AK169" s="340">
        <f t="shared" si="83"/>
        <v>12700</v>
      </c>
      <c r="AL169" s="341">
        <f t="shared" si="84"/>
        <v>21</v>
      </c>
      <c r="AM169" s="341">
        <f t="shared" si="84"/>
        <v>28</v>
      </c>
      <c r="AN169" s="341">
        <f t="shared" si="84"/>
        <v>19</v>
      </c>
      <c r="AO169" s="341">
        <f t="shared" si="84"/>
        <v>43</v>
      </c>
      <c r="AR169" s="2">
        <v>13</v>
      </c>
      <c r="AS169" s="2">
        <f t="shared" si="85"/>
        <v>357534795.691879</v>
      </c>
      <c r="AT169" s="2">
        <f t="shared" si="85"/>
        <v>465828342.649547</v>
      </c>
      <c r="AU169" s="2">
        <f t="shared" si="85"/>
        <v>700791751.498176</v>
      </c>
      <c r="AV169" s="2">
        <f t="shared" si="85"/>
        <v>105831713116.937</v>
      </c>
      <c r="AY169" s="2">
        <f t="shared" si="86"/>
        <v>700791751.498176</v>
      </c>
      <c r="AZ169" s="2">
        <f t="shared" si="86"/>
        <v>105831713116.937</v>
      </c>
    </row>
    <row r="170" ht="19.5" customHeight="1" spans="22:52">
      <c r="V170" s="336"/>
      <c r="W170" s="11">
        <v>17</v>
      </c>
      <c r="X170" s="335">
        <f t="shared" si="81"/>
        <v>8700</v>
      </c>
      <c r="Y170" s="335">
        <f t="shared" si="81"/>
        <v>8700</v>
      </c>
      <c r="Z170" s="335">
        <f t="shared" si="81"/>
        <v>8700</v>
      </c>
      <c r="AA170" s="335">
        <f t="shared" si="81"/>
        <v>8700</v>
      </c>
      <c r="AB170" s="339">
        <f t="shared" si="82"/>
        <v>24</v>
      </c>
      <c r="AC170" s="339">
        <f t="shared" si="82"/>
        <v>24</v>
      </c>
      <c r="AD170" s="339">
        <f t="shared" si="82"/>
        <v>28</v>
      </c>
      <c r="AE170" s="339">
        <f t="shared" si="82"/>
        <v>28</v>
      </c>
      <c r="AF170" s="336"/>
      <c r="AG170" s="11">
        <v>17</v>
      </c>
      <c r="AH170" s="340">
        <f t="shared" si="83"/>
        <v>10700</v>
      </c>
      <c r="AI170" s="340">
        <f t="shared" si="83"/>
        <v>10700</v>
      </c>
      <c r="AJ170" s="340">
        <f t="shared" si="83"/>
        <v>11800</v>
      </c>
      <c r="AK170" s="340">
        <f t="shared" si="83"/>
        <v>11800</v>
      </c>
      <c r="AL170" s="341">
        <f t="shared" si="84"/>
        <v>17</v>
      </c>
      <c r="AM170" s="341">
        <f t="shared" si="84"/>
        <v>17</v>
      </c>
      <c r="AN170" s="341">
        <f t="shared" si="84"/>
        <v>14</v>
      </c>
      <c r="AO170" s="341">
        <f t="shared" si="84"/>
        <v>14</v>
      </c>
      <c r="AR170" s="2">
        <v>14</v>
      </c>
      <c r="AS170" s="2">
        <f t="shared" si="85"/>
        <v>280831401546.505</v>
      </c>
      <c r="AT170" s="2">
        <f t="shared" si="85"/>
        <v>443736043.243968</v>
      </c>
      <c r="AU170" s="2">
        <f t="shared" si="85"/>
        <v>755835993.519229</v>
      </c>
      <c r="AV170" s="2">
        <f t="shared" si="85"/>
        <v>96189552116.0389</v>
      </c>
      <c r="AY170" s="2">
        <f t="shared" si="86"/>
        <v>755835993.519229</v>
      </c>
      <c r="AZ170" s="2">
        <f t="shared" si="86"/>
        <v>96189552116.0389</v>
      </c>
    </row>
    <row r="171" ht="19.5" customHeight="1" spans="22:52">
      <c r="V171" s="336"/>
      <c r="W171" s="11">
        <v>18</v>
      </c>
      <c r="X171" s="335">
        <f t="shared" si="81"/>
        <v>10199</v>
      </c>
      <c r="Y171" s="335">
        <f t="shared" si="81"/>
        <v>10199</v>
      </c>
      <c r="Z171" s="335">
        <f t="shared" si="81"/>
        <v>10799</v>
      </c>
      <c r="AA171" s="335">
        <f t="shared" si="81"/>
        <v>10799</v>
      </c>
      <c r="AB171" s="339">
        <f t="shared" si="82"/>
        <v>26</v>
      </c>
      <c r="AC171" s="339">
        <f t="shared" si="82"/>
        <v>31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12299</v>
      </c>
      <c r="AI171" s="340">
        <f t="shared" si="83"/>
        <v>12299</v>
      </c>
      <c r="AJ171" s="340">
        <f t="shared" si="83"/>
        <v>13099</v>
      </c>
      <c r="AK171" s="340">
        <f t="shared" si="83"/>
        <v>13099</v>
      </c>
      <c r="AL171" s="341">
        <f t="shared" si="84"/>
        <v>60</v>
      </c>
      <c r="AM171" s="341">
        <f t="shared" si="84"/>
        <v>68</v>
      </c>
      <c r="AN171" s="341">
        <f t="shared" si="84"/>
        <v>0</v>
      </c>
      <c r="AO171" s="341">
        <f t="shared" si="84"/>
        <v>0</v>
      </c>
      <c r="AR171" s="2">
        <v>15</v>
      </c>
      <c r="AS171" s="2">
        <f t="shared" si="85"/>
        <v>766508848355.692</v>
      </c>
      <c r="AT171" s="2">
        <f t="shared" si="85"/>
        <v>4383892966.51546</v>
      </c>
      <c r="AU171" s="2">
        <f t="shared" si="85"/>
        <v>755835993.519229</v>
      </c>
      <c r="AV171" s="2">
        <f t="shared" si="85"/>
        <v>3902335913860.99</v>
      </c>
      <c r="AY171" s="2">
        <f t="shared" si="86"/>
        <v>755835993.519229</v>
      </c>
      <c r="AZ171" s="2">
        <f t="shared" si="86"/>
        <v>3902335913860.99</v>
      </c>
    </row>
    <row r="172" ht="19.5" customHeight="1" spans="22:52">
      <c r="V172" s="336"/>
      <c r="W172" s="11">
        <v>19</v>
      </c>
      <c r="X172" s="335">
        <f t="shared" si="81"/>
        <v>8700</v>
      </c>
      <c r="Y172" s="335">
        <f t="shared" si="81"/>
        <v>9000</v>
      </c>
      <c r="Z172" s="335">
        <f t="shared" si="81"/>
        <v>9100</v>
      </c>
      <c r="AA172" s="335">
        <f t="shared" si="81"/>
        <v>9500</v>
      </c>
      <c r="AB172" s="339">
        <f t="shared" si="82"/>
        <v>8</v>
      </c>
      <c r="AC172" s="339">
        <f t="shared" si="82"/>
        <v>14</v>
      </c>
      <c r="AD172" s="339">
        <f t="shared" si="82"/>
        <v>17</v>
      </c>
      <c r="AE172" s="339">
        <f t="shared" si="82"/>
        <v>18</v>
      </c>
      <c r="AF172" s="336"/>
      <c r="AG172" s="11">
        <v>19</v>
      </c>
      <c r="AH172" s="340">
        <f t="shared" si="83"/>
        <v>12000</v>
      </c>
      <c r="AI172" s="340">
        <f t="shared" si="83"/>
        <v>10500</v>
      </c>
      <c r="AJ172" s="340">
        <f t="shared" si="83"/>
        <v>11500</v>
      </c>
      <c r="AK172" s="340">
        <f t="shared" si="83"/>
        <v>12000</v>
      </c>
      <c r="AL172" s="341">
        <f t="shared" si="84"/>
        <v>10</v>
      </c>
      <c r="AM172" s="341">
        <f t="shared" si="84"/>
        <v>10</v>
      </c>
      <c r="AN172" s="341">
        <f t="shared" si="84"/>
        <v>19</v>
      </c>
      <c r="AO172" s="341">
        <f t="shared" si="84"/>
        <v>19</v>
      </c>
      <c r="AR172" s="2">
        <v>16</v>
      </c>
      <c r="AS172" s="2">
        <f t="shared" si="85"/>
        <v>415331397658.029</v>
      </c>
      <c r="AT172" s="2">
        <f t="shared" si="85"/>
        <v>15493795805.6943</v>
      </c>
      <c r="AU172" s="2">
        <f t="shared" si="85"/>
        <v>755835993.519229</v>
      </c>
      <c r="AV172" s="2">
        <f t="shared" si="85"/>
        <v>712940710357.766</v>
      </c>
      <c r="AY172" s="2">
        <f t="shared" si="86"/>
        <v>755835993.519229</v>
      </c>
      <c r="AZ172" s="2">
        <f t="shared" si="86"/>
        <v>712940710357.766</v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>
        <f t="shared" si="85"/>
        <v>4439650112.35242</v>
      </c>
      <c r="AT173" s="2">
        <f t="shared" si="85"/>
        <v>1061906257.42201</v>
      </c>
      <c r="AU173" s="2">
        <f t="shared" si="85"/>
        <v>755835993.519229</v>
      </c>
      <c r="AV173" s="2">
        <f t="shared" si="85"/>
        <v>63773297281.4868</v>
      </c>
      <c r="AY173" s="2">
        <f t="shared" si="86"/>
        <v>755835993.519229</v>
      </c>
      <c r="AZ173" s="2">
        <f t="shared" si="86"/>
        <v>63773297281.4868</v>
      </c>
    </row>
    <row r="174" ht="19.5" customHeight="1" spans="44:52">
      <c r="AR174" s="2">
        <v>18</v>
      </c>
      <c r="AS174" s="2">
        <f t="shared" ref="AS174:AV176" si="87">IF(AS149="","",(AS149-AS$153)^2)</f>
        <v>10850593165.441</v>
      </c>
      <c r="AT174" s="2">
        <f t="shared" si="87"/>
        <v>2834241325.24552</v>
      </c>
      <c r="AU174" s="2">
        <f t="shared" si="87"/>
        <v>130591605.541523</v>
      </c>
      <c r="AV174" s="2">
        <f t="shared" si="87"/>
        <v>294378271.107343</v>
      </c>
      <c r="AY174" s="2">
        <f t="shared" ref="AY174:AZ176" si="88">IF(AY149="","",(AY149-AY$153)^2)</f>
        <v>130591605.541523</v>
      </c>
      <c r="AZ174" s="2">
        <f t="shared" si="88"/>
        <v>294378271.107343</v>
      </c>
    </row>
    <row r="175" ht="19.5" customHeight="1" spans="44:52">
      <c r="AR175" s="2">
        <v>19</v>
      </c>
      <c r="AS175" s="2">
        <f t="shared" si="87"/>
        <v>6662229.35992133</v>
      </c>
      <c r="AT175" s="2">
        <f t="shared" si="87"/>
        <v>4383892966.51546</v>
      </c>
      <c r="AU175" s="2">
        <f t="shared" si="87"/>
        <v>755835993.519229</v>
      </c>
      <c r="AV175" s="2">
        <f t="shared" si="87"/>
        <v>1784991920.96072</v>
      </c>
      <c r="AY175" s="2">
        <f t="shared" si="88"/>
        <v>755835993.519229</v>
      </c>
      <c r="AZ175" s="2">
        <f t="shared" si="88"/>
        <v>1784991920.96072</v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539694.110959199</v>
      </c>
      <c r="AT178" s="2">
        <f>(SUM(AT157:AT176)/比赛参数!$G$4)^0.5</f>
        <v>61701.9213257288</v>
      </c>
      <c r="AU178" s="2">
        <f>(SUM(AU157:AU176)/比赛参数!$G$4)^0.5</f>
        <v>76853.9678126971</v>
      </c>
      <c r="AV178" s="2">
        <f>(SUM(AV157:AV176)/比赛参数!$G$4)^0.5</f>
        <v>870053.833063165</v>
      </c>
      <c r="AY178" s="2">
        <f>(SUM(AY157:AY176)/比赛参数!$G$4)^0.5</f>
        <v>76853.9678126971</v>
      </c>
      <c r="AZ178" s="2">
        <f>(SUM(AZ157:AZ176)/比赛参数!$G$4)^0.5</f>
        <v>870053.833063165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>
        <f t="shared" ref="AS183:AV198" si="89">IF(AS132="","",(AS132-AS$153)/AS$178*AS$181)</f>
        <v>0.245175259851483</v>
      </c>
      <c r="AT183" s="318">
        <f t="shared" si="89"/>
        <v>0.0510442260691699</v>
      </c>
      <c r="AU183" s="318">
        <f t="shared" si="89"/>
        <v>-0.0429268219113163</v>
      </c>
      <c r="AV183" s="318">
        <f t="shared" si="89"/>
        <v>0.101916458715787</v>
      </c>
    </row>
    <row r="184" customHeight="1" spans="44:48">
      <c r="AR184" s="347">
        <v>2</v>
      </c>
      <c r="AS184" s="318">
        <f t="shared" si="89"/>
        <v>-0.0928230215746237</v>
      </c>
      <c r="AT184" s="318">
        <f t="shared" si="89"/>
        <v>-0.0966044857417082</v>
      </c>
      <c r="AU184" s="318">
        <f t="shared" si="89"/>
        <v>-0.0429268219113163</v>
      </c>
      <c r="AV184" s="318">
        <f t="shared" si="89"/>
        <v>-0.0211165701982165</v>
      </c>
    </row>
    <row r="185" customHeight="1" spans="44:48">
      <c r="AR185" s="347">
        <v>3</v>
      </c>
      <c r="AS185" s="318">
        <f t="shared" si="89"/>
        <v>0.0212626442677718</v>
      </c>
      <c r="AT185" s="318">
        <f t="shared" si="89"/>
        <v>-0.124873582757212</v>
      </c>
      <c r="AU185" s="318">
        <f t="shared" si="89"/>
        <v>-0.0335446335803597</v>
      </c>
      <c r="AV185" s="318">
        <f t="shared" si="89"/>
        <v>0.0265520884800439</v>
      </c>
    </row>
    <row r="186" customHeight="1" spans="44:48">
      <c r="AR186" s="347">
        <v>4</v>
      </c>
      <c r="AS186" s="318">
        <f t="shared" si="89"/>
        <v>0.18590166884797</v>
      </c>
      <c r="AT186" s="318">
        <f t="shared" si="89"/>
        <v>-0.0575364057175157</v>
      </c>
      <c r="AU186" s="318">
        <f t="shared" si="89"/>
        <v>-0.0429268219113163</v>
      </c>
      <c r="AV186" s="318">
        <f t="shared" si="89"/>
        <v>0.0711154514888534</v>
      </c>
    </row>
    <row r="187" customHeight="1" spans="44:48">
      <c r="AR187" s="347">
        <v>5</v>
      </c>
      <c r="AS187" s="318">
        <f t="shared" si="89"/>
        <v>0.179866009140269</v>
      </c>
      <c r="AT187" s="318">
        <f t="shared" si="89"/>
        <v>0.215156794728804</v>
      </c>
      <c r="AU187" s="318">
        <f t="shared" si="89"/>
        <v>-0.0429268219113163</v>
      </c>
      <c r="AV187" s="318">
        <f t="shared" si="89"/>
        <v>0.147356455297159</v>
      </c>
    </row>
    <row r="188" customHeight="1" spans="44:48">
      <c r="AR188" s="347">
        <v>6</v>
      </c>
      <c r="AS188" s="318">
        <f t="shared" si="89"/>
        <v>-0.574449447955346</v>
      </c>
      <c r="AT188" s="318">
        <f t="shared" si="89"/>
        <v>-0.12876935771584</v>
      </c>
      <c r="AU188" s="318">
        <f t="shared" si="89"/>
        <v>-0.0429268219113163</v>
      </c>
      <c r="AV188" s="318">
        <f t="shared" si="89"/>
        <v>-0.505656901818586</v>
      </c>
    </row>
    <row r="189" customHeight="1" spans="44:48">
      <c r="AR189" s="347">
        <v>7</v>
      </c>
      <c r="AS189" s="318">
        <f t="shared" si="89"/>
        <v>0.00539929162754406</v>
      </c>
      <c r="AT189" s="318">
        <f t="shared" si="89"/>
        <v>-0.12876935771584</v>
      </c>
      <c r="AU189" s="318">
        <f t="shared" si="89"/>
        <v>-0.0429268219113163</v>
      </c>
      <c r="AV189" s="318">
        <f t="shared" si="89"/>
        <v>0.0056301609989444</v>
      </c>
    </row>
    <row r="190" customHeight="1" spans="44:48">
      <c r="AR190" s="347">
        <v>8</v>
      </c>
      <c r="AS190" s="318">
        <f t="shared" si="89"/>
        <v>0.157871075790149</v>
      </c>
      <c r="AT190" s="318">
        <f t="shared" si="89"/>
        <v>0.088108290702217</v>
      </c>
      <c r="AU190" s="318">
        <f t="shared" si="89"/>
        <v>0.210345202344329</v>
      </c>
      <c r="AV190" s="318">
        <f t="shared" si="89"/>
        <v>0.0820333175323335</v>
      </c>
    </row>
    <row r="191" customHeight="1" spans="44:48">
      <c r="AR191" s="347">
        <v>9</v>
      </c>
      <c r="AS191" s="318">
        <f t="shared" si="89"/>
        <v>-0.0832941164122905</v>
      </c>
      <c r="AT191" s="318">
        <f t="shared" si="89"/>
        <v>0.0171078436193278</v>
      </c>
      <c r="AU191" s="318">
        <f t="shared" si="89"/>
        <v>-0.0429268219113163</v>
      </c>
      <c r="AV191" s="318">
        <f t="shared" si="89"/>
        <v>0.0152362774050694</v>
      </c>
    </row>
    <row r="192" customHeight="1" spans="44:48">
      <c r="AR192" s="347">
        <v>10</v>
      </c>
      <c r="AS192" s="318">
        <f t="shared" si="89"/>
        <v>-0.0702934705695374</v>
      </c>
      <c r="AT192" s="318">
        <f t="shared" si="89"/>
        <v>0.0865193418025153</v>
      </c>
      <c r="AU192" s="318">
        <f t="shared" si="89"/>
        <v>-0.0429268219113163</v>
      </c>
      <c r="AV192" s="318">
        <f t="shared" si="89"/>
        <v>0.0409915609846006</v>
      </c>
    </row>
    <row r="193" customHeight="1" spans="44:48">
      <c r="AR193" s="347">
        <v>11</v>
      </c>
      <c r="AS193" s="318">
        <f t="shared" si="89"/>
        <v>0.148030634895656</v>
      </c>
      <c r="AT193" s="318">
        <f t="shared" si="89"/>
        <v>0.174838769835102</v>
      </c>
      <c r="AU193" s="318">
        <f t="shared" si="89"/>
        <v>0.447665935666138</v>
      </c>
      <c r="AV193" s="318">
        <f t="shared" si="89"/>
        <v>0.0789034293616065</v>
      </c>
    </row>
    <row r="194" customHeight="1" spans="44:48">
      <c r="AR194" s="347">
        <v>12</v>
      </c>
      <c r="AS194" s="318">
        <f t="shared" si="89"/>
        <v>0.179317498430242</v>
      </c>
      <c r="AT194" s="318">
        <f t="shared" si="89"/>
        <v>0.0851421658868511</v>
      </c>
      <c r="AU194" s="318">
        <f t="shared" si="89"/>
        <v>-0.0429268219113163</v>
      </c>
      <c r="AV194" s="318">
        <f t="shared" si="89"/>
        <v>0.11119443542624</v>
      </c>
    </row>
    <row r="195" customHeight="1" spans="44:48">
      <c r="AR195" s="347">
        <v>13</v>
      </c>
      <c r="AS195" s="318">
        <f t="shared" si="89"/>
        <v>-0.00700715095545864</v>
      </c>
      <c r="AT195" s="318">
        <f t="shared" si="89"/>
        <v>0.0419754647084653</v>
      </c>
      <c r="AU195" s="318">
        <f t="shared" si="89"/>
        <v>-0.0413341910624016</v>
      </c>
      <c r="AV195" s="318">
        <f t="shared" si="89"/>
        <v>0.0598248710365897</v>
      </c>
    </row>
    <row r="196" customHeight="1" spans="44:48">
      <c r="AR196" s="347">
        <v>14</v>
      </c>
      <c r="AS196" s="318">
        <f t="shared" si="89"/>
        <v>-0.196383569790843</v>
      </c>
      <c r="AT196" s="318">
        <f t="shared" si="89"/>
        <v>-0.0409680140364334</v>
      </c>
      <c r="AU196" s="318">
        <f t="shared" si="89"/>
        <v>-0.0429268219113163</v>
      </c>
      <c r="AV196" s="318">
        <f t="shared" si="89"/>
        <v>-0.0570345224127102</v>
      </c>
    </row>
    <row r="197" ht="19.5" customHeight="1" spans="44:48">
      <c r="AR197" s="347">
        <v>15</v>
      </c>
      <c r="AS197" s="318">
        <f t="shared" si="89"/>
        <v>-0.324444863395037</v>
      </c>
      <c r="AT197" s="318">
        <f t="shared" si="89"/>
        <v>-0.12876935771584</v>
      </c>
      <c r="AU197" s="318">
        <f t="shared" si="89"/>
        <v>-0.0429268219113163</v>
      </c>
      <c r="AV197" s="318">
        <f t="shared" si="89"/>
        <v>-0.363275562075662</v>
      </c>
    </row>
    <row r="198" ht="19.5" customHeight="1" spans="44:48">
      <c r="AR198" s="347">
        <v>16</v>
      </c>
      <c r="AS198" s="318">
        <f t="shared" si="89"/>
        <v>0.238824951537188</v>
      </c>
      <c r="AT198" s="318">
        <f t="shared" si="89"/>
        <v>0.242081427938034</v>
      </c>
      <c r="AU198" s="318">
        <f t="shared" si="89"/>
        <v>-0.0429268219113163</v>
      </c>
      <c r="AV198" s="318">
        <f t="shared" si="89"/>
        <v>0.155274652238773</v>
      </c>
    </row>
    <row r="199" ht="19.5" customHeight="1" spans="44:48">
      <c r="AR199" s="347">
        <v>17</v>
      </c>
      <c r="AS199" s="318">
        <f t="shared" ref="AS199:AV202" si="90">IF(AS148="","",(AS148-AS$153)/AS$178*AS$181)</f>
        <v>0.0246920239152735</v>
      </c>
      <c r="AT199" s="318">
        <f>IF(AT148="","",(AT148-AT$153)/AT$178*AT$181)</f>
        <v>-0.0633761201422552</v>
      </c>
      <c r="AU199" s="318">
        <f>IF(AU148="","",(AU148-AU$153)/AU$178*AU$181)</f>
        <v>-0.0429268219113163</v>
      </c>
      <c r="AV199" s="318">
        <f>IF(AV148="","",(AV148-AV$153)/AV$178*AV$181)</f>
        <v>0.0464401157979395</v>
      </c>
    </row>
    <row r="200" ht="19.5" customHeight="1" spans="44:48">
      <c r="AR200" s="347">
        <v>18</v>
      </c>
      <c r="AS200" s="318">
        <f t="shared" si="90"/>
        <v>-0.0386019333585764</v>
      </c>
      <c r="AT200" s="318">
        <f t="shared" si="90"/>
        <v>-0.103538286032002</v>
      </c>
      <c r="AU200" s="318">
        <f t="shared" si="90"/>
        <v>0.0178431933907225</v>
      </c>
      <c r="AV200" s="318">
        <f t="shared" si="90"/>
        <v>-0.003155198836882</v>
      </c>
    </row>
    <row r="201" ht="19.5" customHeight="1" spans="44:48">
      <c r="AR201" s="347">
        <v>19</v>
      </c>
      <c r="AS201" s="318">
        <f t="shared" si="90"/>
        <v>0.000956515708165414</v>
      </c>
      <c r="AT201" s="318">
        <f t="shared" si="90"/>
        <v>-0.12876935771584</v>
      </c>
      <c r="AU201" s="318">
        <f t="shared" si="90"/>
        <v>-0.0429268219113163</v>
      </c>
      <c r="AV201" s="318">
        <f t="shared" si="90"/>
        <v>0.00776948057811014</v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67</v>
      </c>
      <c r="Z231" s="65">
        <f>G25</f>
        <v>68</v>
      </c>
      <c r="AA231" s="65">
        <f>G26</f>
        <v>79</v>
      </c>
      <c r="AB231" s="65">
        <f>G27</f>
        <v>81</v>
      </c>
      <c r="AC231" s="65">
        <f>G28</f>
        <v>38</v>
      </c>
      <c r="AD231" s="65">
        <f>G29</f>
        <v>39</v>
      </c>
      <c r="AE231" s="65">
        <f>G30</f>
        <v>57</v>
      </c>
      <c r="AF231" s="65">
        <f>G31</f>
        <v>56</v>
      </c>
      <c r="AG231" s="65">
        <f>G32</f>
        <v>24</v>
      </c>
      <c r="AH231" s="65">
        <f>G33</f>
        <v>27</v>
      </c>
      <c r="AI231" s="65">
        <f>G34</f>
        <v>39</v>
      </c>
      <c r="AJ231" s="65">
        <f>G35</f>
        <v>42</v>
      </c>
      <c r="AK231" s="65">
        <f>G36</f>
        <v>24</v>
      </c>
      <c r="AL231" s="65">
        <f>G37</f>
        <v>24</v>
      </c>
      <c r="AM231" s="65">
        <f>G38</f>
        <v>37</v>
      </c>
      <c r="AN231" s="65">
        <f>G39</f>
        <v>41</v>
      </c>
    </row>
    <row r="232" customHeight="1" spans="24:40">
      <c r="X232" s="11" t="s">
        <v>406</v>
      </c>
      <c r="Y232" s="65">
        <f t="shared" ref="Y232:AF232" si="91">INT(Y231/DS37+0.5)</f>
        <v>1321</v>
      </c>
      <c r="Z232" s="65">
        <f t="shared" si="91"/>
        <v>1365</v>
      </c>
      <c r="AA232" s="65">
        <f t="shared" si="91"/>
        <v>1699</v>
      </c>
      <c r="AB232" s="65">
        <f t="shared" si="91"/>
        <v>1640</v>
      </c>
      <c r="AC232" s="65">
        <f t="shared" si="91"/>
        <v>814</v>
      </c>
      <c r="AD232" s="65">
        <f t="shared" si="91"/>
        <v>788</v>
      </c>
      <c r="AE232" s="65">
        <f t="shared" si="91"/>
        <v>939</v>
      </c>
      <c r="AF232" s="65">
        <f t="shared" si="91"/>
        <v>944</v>
      </c>
      <c r="AG232" s="65">
        <f t="shared" ref="AG232:AN232" si="92">IF(EA37&gt;0,INT(AG231/EA37+0.5),0)</f>
        <v>538</v>
      </c>
      <c r="AH232" s="65">
        <f t="shared" si="92"/>
        <v>525</v>
      </c>
      <c r="AI232" s="65">
        <f t="shared" si="92"/>
        <v>550</v>
      </c>
      <c r="AJ232" s="65">
        <f t="shared" si="92"/>
        <v>589</v>
      </c>
      <c r="AK232" s="65">
        <f t="shared" si="92"/>
        <v>391</v>
      </c>
      <c r="AL232" s="65">
        <f t="shared" si="92"/>
        <v>393</v>
      </c>
      <c r="AM232" s="65">
        <f t="shared" si="92"/>
        <v>363</v>
      </c>
      <c r="AN232" s="65">
        <f t="shared" si="92"/>
        <v>382</v>
      </c>
    </row>
    <row r="233" customHeight="1" spans="24:40">
      <c r="X233" s="11" t="s">
        <v>407</v>
      </c>
      <c r="Y233" s="113">
        <f>SUM(AB131:AB150)/比赛参数!$G$4</f>
        <v>69.5263157894737</v>
      </c>
      <c r="Z233" s="113">
        <f>SUM(AC131:AC150)/比赛参数!$G$4</f>
        <v>71.8947368421053</v>
      </c>
      <c r="AA233" s="113">
        <f>SUM(AD131:AD150)/比赛参数!$G$4</f>
        <v>89.4210526315789</v>
      </c>
      <c r="AB233" s="113">
        <f>SUM(AE131:AE150)/比赛参数!$G$4</f>
        <v>86.3684210526316</v>
      </c>
      <c r="AC233" s="113">
        <f>SUM(AL131:AL150)/比赛参数!$G$4</f>
        <v>42.8421052631579</v>
      </c>
      <c r="AD233" s="113">
        <f>SUM(AM131:AM150)/比赛参数!$G$4</f>
        <v>41.4736842105263</v>
      </c>
      <c r="AE233" s="113">
        <f>SUM(AN131:AN150)/比赛参数!$G$4</f>
        <v>49.4210526315789</v>
      </c>
      <c r="AF233" s="113">
        <f>SUM(AO131:AO150)/比赛参数!$G$4</f>
        <v>49.6842105263158</v>
      </c>
      <c r="AG233" s="113">
        <f>SUM(AB154:AB173)/比赛参数!$G$4</f>
        <v>28.3157894736842</v>
      </c>
      <c r="AH233" s="113">
        <f>SUM(AC154:AC173)/比赛参数!$G$4</f>
        <v>27.6315789473684</v>
      </c>
      <c r="AI233" s="113">
        <f>SUM(AD154:AD173)/比赛参数!$G$4</f>
        <v>28.9473684210526</v>
      </c>
      <c r="AJ233" s="113">
        <f>SUM(AE154:AE173)/比赛参数!$G$4</f>
        <v>31</v>
      </c>
      <c r="AK233" s="113">
        <f>SUM(AL154:AL173)/比赛参数!$G$4</f>
        <v>20.5789473684211</v>
      </c>
      <c r="AL233" s="113">
        <f>SUM(AM154:AM173)/比赛参数!$G$4</f>
        <v>20.6842105263158</v>
      </c>
      <c r="AM233" s="113">
        <f>SUM(AN154:AN173)/比赛参数!$G$4</f>
        <v>19.1052631578947</v>
      </c>
      <c r="AN233" s="113">
        <f>SUM(AO154:AO173)/比赛参数!$G$4</f>
        <v>20.1052631578947</v>
      </c>
    </row>
    <row r="234" customHeight="1" spans="24:40">
      <c r="X234" s="11" t="s">
        <v>408</v>
      </c>
      <c r="Y234" s="304">
        <f t="shared" ref="Y234:AN234" si="93">SUMPRODUCT(D50:D69,D73:D92)</f>
        <v>3189.5109</v>
      </c>
      <c r="Z234" s="304">
        <f t="shared" si="93"/>
        <v>3177.7679</v>
      </c>
      <c r="AA234" s="304">
        <f t="shared" si="93"/>
        <v>3438.5912</v>
      </c>
      <c r="AB234" s="304">
        <f t="shared" si="93"/>
        <v>3508.725</v>
      </c>
      <c r="AC234" s="304">
        <f t="shared" si="93"/>
        <v>6623.6947</v>
      </c>
      <c r="AD234" s="304">
        <f t="shared" si="93"/>
        <v>6596.4384</v>
      </c>
      <c r="AE234" s="304">
        <f t="shared" si="93"/>
        <v>7036.5579</v>
      </c>
      <c r="AF234" s="304">
        <f t="shared" si="93"/>
        <v>7132.788</v>
      </c>
      <c r="AG234" s="304">
        <f t="shared" si="93"/>
        <v>9357.6321</v>
      </c>
      <c r="AH234" s="304">
        <f t="shared" si="93"/>
        <v>9377.8837</v>
      </c>
      <c r="AI234" s="304">
        <f t="shared" si="93"/>
        <v>9799.5887</v>
      </c>
      <c r="AJ234" s="304">
        <f t="shared" si="93"/>
        <v>9878.3623</v>
      </c>
      <c r="AK234" s="304">
        <f t="shared" si="93"/>
        <v>12315.9777</v>
      </c>
      <c r="AL234" s="304">
        <f t="shared" si="93"/>
        <v>12238.2008</v>
      </c>
      <c r="AM234" s="304">
        <f t="shared" si="93"/>
        <v>13364.4191</v>
      </c>
      <c r="AN234" s="304">
        <f t="shared" si="93"/>
        <v>13383.0725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160.4891</v>
      </c>
      <c r="Z235" s="113">
        <f t="shared" si="94"/>
        <v>172.2321</v>
      </c>
      <c r="AA235" s="113">
        <f t="shared" si="94"/>
        <v>291.4088</v>
      </c>
      <c r="AB235" s="113">
        <f t="shared" si="94"/>
        <v>291.275000000001</v>
      </c>
      <c r="AC235" s="113">
        <f t="shared" si="94"/>
        <v>326.305299999998</v>
      </c>
      <c r="AD235" s="113">
        <f t="shared" si="94"/>
        <v>353.5616</v>
      </c>
      <c r="AE235" s="113">
        <f t="shared" si="94"/>
        <v>263.442099999999</v>
      </c>
      <c r="AF235" s="113">
        <f t="shared" si="94"/>
        <v>267.211999999999</v>
      </c>
      <c r="AG235" s="113">
        <f t="shared" si="94"/>
        <v>792.367900000003</v>
      </c>
      <c r="AH235" s="113">
        <f t="shared" si="94"/>
        <v>772.1163</v>
      </c>
      <c r="AI235" s="113">
        <f t="shared" si="94"/>
        <v>400.4113</v>
      </c>
      <c r="AJ235" s="113">
        <f t="shared" si="94"/>
        <v>521.637699999999</v>
      </c>
      <c r="AK235" s="113">
        <f t="shared" si="94"/>
        <v>384.022300000001</v>
      </c>
      <c r="AL235" s="113">
        <f t="shared" si="94"/>
        <v>461.799199999998</v>
      </c>
      <c r="AM235" s="113">
        <f t="shared" si="94"/>
        <v>-364.419099999999</v>
      </c>
      <c r="AN235" s="113">
        <f t="shared" si="94"/>
        <v>-233.072500000002</v>
      </c>
    </row>
    <row r="236" customHeight="1" spans="24:40">
      <c r="X236" s="2" t="s">
        <v>410</v>
      </c>
      <c r="Y236" s="114">
        <f t="shared" ref="Y236:AN236" si="95">Y235/Y234</f>
        <v>0.0503177775626977</v>
      </c>
      <c r="Z236" s="114">
        <f t="shared" si="95"/>
        <v>0.0541990810593814</v>
      </c>
      <c r="AA236" s="114">
        <f t="shared" si="95"/>
        <v>0.084746567140636</v>
      </c>
      <c r="AB236" s="114">
        <f t="shared" si="95"/>
        <v>0.0830144853187413</v>
      </c>
      <c r="AC236" s="114">
        <f t="shared" si="95"/>
        <v>0.049263336367239</v>
      </c>
      <c r="AD236" s="114">
        <f t="shared" si="95"/>
        <v>0.05359886328962</v>
      </c>
      <c r="AE236" s="114">
        <f t="shared" si="95"/>
        <v>0.0374390580940149</v>
      </c>
      <c r="AF236" s="114">
        <f t="shared" si="95"/>
        <v>0.0374624901230765</v>
      </c>
      <c r="AG236" s="114">
        <f t="shared" si="95"/>
        <v>0.0846761115987882</v>
      </c>
      <c r="AH236" s="114">
        <f t="shared" si="95"/>
        <v>0.0823337465786657</v>
      </c>
      <c r="AI236" s="114">
        <f t="shared" si="95"/>
        <v>0.0408600107880038</v>
      </c>
      <c r="AJ236" s="114">
        <f t="shared" si="95"/>
        <v>0.0528060911473149</v>
      </c>
      <c r="AK236" s="114">
        <f t="shared" si="95"/>
        <v>0.0311808213163621</v>
      </c>
      <c r="AL236" s="114">
        <f t="shared" si="95"/>
        <v>0.0377342394970344</v>
      </c>
      <c r="AM236" s="114">
        <f t="shared" si="95"/>
        <v>-0.0272678593265606</v>
      </c>
      <c r="AN236" s="114">
        <f t="shared" si="95"/>
        <v>-0.0174154701769718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(第十一期!#REF!-$BE$54)&lt;0</formula>
    </cfRule>
  </conditionalFormatting>
  <conditionalFormatting sqref="BF132:BF133">
    <cfRule type="expression" dxfId="6" priority="26" stopIfTrue="1">
      <formula>(第十一期!#REF!-$BF$54)&lt;0</formula>
    </cfRule>
  </conditionalFormatting>
  <conditionalFormatting sqref="BG132:BG133">
    <cfRule type="expression" dxfId="6" priority="25" stopIfTrue="1">
      <formula>(第十一期!#REF!-$BG$54)&lt;0</formula>
    </cfRule>
  </conditionalFormatting>
  <conditionalFormatting sqref="BH132:BH133">
    <cfRule type="expression" dxfId="6" priority="24" stopIfTrue="1">
      <formula>(第十一期!#REF!-$BH$54)&lt;0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71" zoomScaleNormal="71" topLeftCell="W60" workbookViewId="0">
      <selection activeCell="AI14" sqref="AI14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342</v>
      </c>
      <c r="E4" s="9">
        <v>6</v>
      </c>
      <c r="F4" s="10"/>
      <c r="G4" s="11" t="s">
        <v>153</v>
      </c>
      <c r="H4" s="353">
        <v>2014236</v>
      </c>
      <c r="W4" s="43">
        <f>AC4-X4</f>
        <v>29.75</v>
      </c>
      <c r="X4" s="32">
        <f>SUM(AF70:AF73)</f>
        <v>460</v>
      </c>
      <c r="Y4" s="67">
        <f>AVERAGE(Y76:Y79)</f>
        <v>0.0671153328374735</v>
      </c>
      <c r="Z4" s="67">
        <f>1/比赛参数!$G$4</f>
        <v>0.0526315789473684</v>
      </c>
      <c r="AA4" s="68">
        <f>(AC4-X4)/X4</f>
        <v>0.0646739130434783</v>
      </c>
      <c r="AB4" s="69">
        <f>SUM(Y232:AB232)/比赛参数!$G$4</f>
        <v>381.368421052632</v>
      </c>
      <c r="AC4" s="70">
        <f>AN4+SUM(Y57:Y60)-SUM(AF57:AF60)-SUM(Y108:Y111)</f>
        <v>489.75</v>
      </c>
      <c r="AD4" s="2">
        <v>571</v>
      </c>
      <c r="AE4" s="71">
        <f>DK29</f>
        <v>14.2890891472868</v>
      </c>
      <c r="AF4" s="72">
        <f>DK41</f>
        <v>19.4434689922481</v>
      </c>
      <c r="AG4" s="71">
        <f>DQ29</f>
        <v>11.9075742894057</v>
      </c>
      <c r="AH4" s="77">
        <f>DK35*15</f>
        <v>11.0206783690457</v>
      </c>
      <c r="AJ4" s="72">
        <f>DD29</f>
        <v>6.59678145497913</v>
      </c>
      <c r="AK4" s="77">
        <f>DD35*15</f>
        <v>3.63849992936873</v>
      </c>
      <c r="AL4" s="132">
        <f>CJ24/比赛参数!D26</f>
        <v>19.6500687270594</v>
      </c>
      <c r="AM4" s="32">
        <f>AF68</f>
        <v>486</v>
      </c>
      <c r="AN4" s="32">
        <f>Y93</f>
        <v>519.75</v>
      </c>
      <c r="AO4" s="32">
        <f>AC9+D42-Y92</f>
        <v>141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270</v>
      </c>
      <c r="E5" s="9">
        <v>6</v>
      </c>
      <c r="F5" s="10"/>
      <c r="G5" s="11" t="s">
        <v>155</v>
      </c>
      <c r="H5" s="13">
        <v>299189.25</v>
      </c>
      <c r="M5" s="27"/>
      <c r="N5" s="28"/>
      <c r="O5" s="29"/>
      <c r="P5" s="29"/>
      <c r="Q5" s="44"/>
      <c r="W5" s="43">
        <f>AC5-X5</f>
        <v>260.75</v>
      </c>
      <c r="X5" s="32">
        <f>SUM(AG70:AG73)</f>
        <v>292</v>
      </c>
      <c r="Y5" s="67">
        <f>AVERAGE(Z76:Z79)</f>
        <v>0.120169104810688</v>
      </c>
      <c r="Z5" s="67">
        <f>1/比赛参数!$G$4</f>
        <v>0.0526315789473684</v>
      </c>
      <c r="AA5" s="68">
        <f>(AC5-X5)/X5</f>
        <v>0.892979452054795</v>
      </c>
      <c r="AB5" s="69">
        <f>SUM(AC232:AF232)/比赛参数!$G$4</f>
        <v>239.947368421053</v>
      </c>
      <c r="AC5" s="70">
        <f>AN5+SUM(Z57:Z60)-SUM(AG57:AG60)-SUM(Z108:Z111)</f>
        <v>552.75</v>
      </c>
      <c r="AD5" s="2">
        <v>679.25</v>
      </c>
      <c r="AE5" s="71">
        <f>DK30</f>
        <v>11.5796721311475</v>
      </c>
      <c r="AF5" s="72">
        <f>DK42</f>
        <v>14.4186885245902</v>
      </c>
      <c r="AG5" s="71">
        <f>DQ30</f>
        <v>19.2994535519126</v>
      </c>
      <c r="AH5" s="77">
        <f>DK36*15</f>
        <v>12.0527346567958</v>
      </c>
      <c r="AJ5" s="72">
        <f>DD30</f>
        <v>3.88736443883985</v>
      </c>
      <c r="AK5" s="77">
        <f>DD36*15</f>
        <v>2.63709761917018</v>
      </c>
      <c r="AL5" s="132">
        <f>CK24/比赛参数!E26</f>
        <v>16.4624108566332</v>
      </c>
      <c r="AM5" s="32">
        <f>AG68</f>
        <v>552</v>
      </c>
      <c r="AN5" s="32">
        <f>Z93</f>
        <v>488.75</v>
      </c>
      <c r="AO5" s="32">
        <f>AC10+D43-Z92</f>
        <v>131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305966</v>
      </c>
      <c r="E6" s="9">
        <v>13</v>
      </c>
      <c r="F6" s="10"/>
      <c r="M6" s="30"/>
      <c r="N6" s="31" t="s">
        <v>162</v>
      </c>
      <c r="O6" s="32">
        <f>K8+Y18-AA18</f>
        <v>393</v>
      </c>
      <c r="P6" s="33" t="s">
        <v>163</v>
      </c>
      <c r="Q6" s="32">
        <f>AH15</f>
        <v>678766</v>
      </c>
      <c r="W6" s="43">
        <f>AC6-X6</f>
        <v>81.25</v>
      </c>
      <c r="X6" s="32">
        <f>SUM(AH70:AH73)</f>
        <v>106</v>
      </c>
      <c r="Y6" s="67">
        <f>AVERAGE(AA76:AA79)</f>
        <v>0.0735334497099053</v>
      </c>
      <c r="Z6" s="67">
        <f>1/比赛参数!$G$4</f>
        <v>0.0526315789473684</v>
      </c>
      <c r="AA6" s="68">
        <f>(AC6-X6)/X6</f>
        <v>0.766509433962264</v>
      </c>
      <c r="AB6" s="69">
        <f>SUM(AG232:AJ232)/比赛参数!$G$4</f>
        <v>133.526315789474</v>
      </c>
      <c r="AC6" s="70">
        <f>AN6+SUM(AA57:AA60)-SUM(AH57:AH60)-SUM(AA108:AA111)</f>
        <v>187.25</v>
      </c>
      <c r="AD6" s="2">
        <v>294</v>
      </c>
      <c r="AE6" s="71">
        <f>DK31</f>
        <v>13.8951627623973</v>
      </c>
      <c r="AF6" s="72">
        <f>DK43</f>
        <v>12.9248859142075</v>
      </c>
      <c r="AG6" s="71">
        <f>DQ31</f>
        <v>33.0010115606936</v>
      </c>
      <c r="AH6" s="77">
        <f>DK37*15</f>
        <v>16.1335584141366</v>
      </c>
      <c r="AJ6" s="72">
        <f>DD31</f>
        <v>6.20200322950551</v>
      </c>
      <c r="AK6" s="77">
        <f>DD37*15</f>
        <v>4.51302117838804</v>
      </c>
      <c r="AL6" s="132">
        <f>CL24/比赛参数!F26</f>
        <v>16.907759896215</v>
      </c>
      <c r="AM6" s="32">
        <f>AH68</f>
        <v>187</v>
      </c>
      <c r="AN6" s="32">
        <f>AA93</f>
        <v>173.25</v>
      </c>
      <c r="AO6" s="32">
        <f>AC11+D44-AA92</f>
        <v>46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96</v>
      </c>
      <c r="DW6" s="251">
        <f t="shared" ref="DW6:DX21" si="1">I24</f>
        <v>2</v>
      </c>
      <c r="DX6" s="251">
        <f t="shared" si="1"/>
        <v>0</v>
      </c>
    </row>
    <row r="7" customHeight="1" spans="2:128">
      <c r="B7" s="7"/>
      <c r="C7" s="8" t="s">
        <v>166</v>
      </c>
      <c r="D7" s="14">
        <v>2719155.64</v>
      </c>
      <c r="E7" s="9">
        <v>12</v>
      </c>
      <c r="F7" s="10"/>
      <c r="M7" s="30"/>
      <c r="N7" s="31" t="s">
        <v>154</v>
      </c>
      <c r="O7" s="32"/>
      <c r="P7" s="33" t="s">
        <v>167</v>
      </c>
      <c r="Q7" s="32">
        <f>BS58</f>
        <v>399901.05</v>
      </c>
      <c r="W7" s="43">
        <f>AC7-X7</f>
        <v>33.75</v>
      </c>
      <c r="X7" s="32">
        <f>SUM(AI70:AI73)</f>
        <v>137</v>
      </c>
      <c r="Y7" s="67">
        <f>AVERAGE(AB76:AB79)</f>
        <v>0.0702461904866115</v>
      </c>
      <c r="Z7" s="67">
        <f>1/比赛参数!$G$4</f>
        <v>0.0526315789473684</v>
      </c>
      <c r="AA7" s="68">
        <f>(AC7-X7)/X7</f>
        <v>0.246350364963504</v>
      </c>
      <c r="AB7" s="69">
        <f>SUM(AK232:AN232)/比赛参数!$G$4</f>
        <v>127.421052631579</v>
      </c>
      <c r="AC7" s="70">
        <f>AN7+SUM(AB57:AB60)-SUM(AI57:AI60)-SUM(AB108:AB111)</f>
        <v>170.75</v>
      </c>
      <c r="AE7" s="71">
        <f>DK32</f>
        <v>13.4410544511668</v>
      </c>
      <c r="AF7" s="72">
        <f>DK44</f>
        <v>12.1580164217805</v>
      </c>
      <c r="AG7" s="71">
        <f>DQ32</f>
        <v>38.8297128589263</v>
      </c>
      <c r="AH7" s="77">
        <f>DK38*15</f>
        <v>16.5873409270169</v>
      </c>
      <c r="AJ7" s="72">
        <f>DD32</f>
        <v>5.74874675885912</v>
      </c>
      <c r="AK7" s="77">
        <f>DD38*15</f>
        <v>4.34346558340497</v>
      </c>
      <c r="AL7" s="132">
        <f>CM24/比赛参数!G26</f>
        <v>15.9744909345861</v>
      </c>
      <c r="AM7" s="32">
        <f>AI68</f>
        <v>170</v>
      </c>
      <c r="AN7" s="32">
        <f>AB93</f>
        <v>178.75</v>
      </c>
      <c r="AO7" s="32">
        <f>AC12+D45-AB92</f>
        <v>47</v>
      </c>
      <c r="AR7" s="174" t="s">
        <v>107</v>
      </c>
      <c r="BR7" s="197" t="s">
        <v>21</v>
      </c>
      <c r="BS7" s="198">
        <f>第十二期!AF76</f>
        <v>3200</v>
      </c>
      <c r="BT7" s="198">
        <f>第十二期!AF77</f>
        <v>3200</v>
      </c>
      <c r="BU7" s="198">
        <f>第十二期!AF78</f>
        <v>3450</v>
      </c>
      <c r="BV7" s="198">
        <f>第十二期!AF79</f>
        <v>3550</v>
      </c>
      <c r="BW7" s="200">
        <f>第十二期!$AF$80</f>
        <v>52450</v>
      </c>
      <c r="DT7" s="252" t="s">
        <v>21</v>
      </c>
      <c r="DU7" s="250">
        <v>2</v>
      </c>
      <c r="DV7" s="251">
        <f t="shared" si="0"/>
        <v>98</v>
      </c>
      <c r="DW7" s="251">
        <f t="shared" si="1"/>
        <v>3</v>
      </c>
      <c r="DX7" s="251">
        <f t="shared" si="1"/>
        <v>0</v>
      </c>
    </row>
    <row r="8" customHeight="1" spans="2:128">
      <c r="B8" s="7"/>
      <c r="C8" s="8" t="s">
        <v>168</v>
      </c>
      <c r="D8" s="14">
        <v>6856000</v>
      </c>
      <c r="E8" s="9">
        <v>10</v>
      </c>
      <c r="F8" s="10"/>
      <c r="J8" s="11" t="s">
        <v>162</v>
      </c>
      <c r="K8" s="34">
        <f>D4</f>
        <v>342</v>
      </c>
      <c r="M8" s="30"/>
      <c r="N8" s="31" t="s">
        <v>161</v>
      </c>
      <c r="O8" s="32">
        <f>AL23</f>
        <v>369634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第十二期!$AG$76</f>
        <v>6350</v>
      </c>
      <c r="BT8" s="198">
        <f>第十二期!$AG$77</f>
        <v>6350</v>
      </c>
      <c r="BU8" s="198">
        <f>第十二期!$AG$78</f>
        <v>6550</v>
      </c>
      <c r="BV8" s="198">
        <f>第十二期!$AG$79</f>
        <v>6650</v>
      </c>
      <c r="BW8" s="200">
        <f>第十二期!$AG$80</f>
        <v>118250</v>
      </c>
      <c r="BX8" s="173"/>
      <c r="DT8" s="253" t="s">
        <v>21</v>
      </c>
      <c r="DU8" s="254">
        <v>3</v>
      </c>
      <c r="DV8" s="255">
        <f t="shared" si="0"/>
        <v>136</v>
      </c>
      <c r="DW8" s="255">
        <f t="shared" si="1"/>
        <v>1</v>
      </c>
      <c r="DX8" s="255">
        <f t="shared" si="1"/>
        <v>0</v>
      </c>
    </row>
    <row r="9" customHeight="1" spans="2:128">
      <c r="B9" s="7"/>
      <c r="C9" s="8" t="s">
        <v>187</v>
      </c>
      <c r="D9" s="14">
        <v>11698502</v>
      </c>
      <c r="E9" s="9">
        <v>4</v>
      </c>
      <c r="F9" s="10"/>
      <c r="J9" s="11" t="s">
        <v>154</v>
      </c>
      <c r="K9" s="34">
        <f>D5</f>
        <v>270</v>
      </c>
      <c r="M9" s="36" t="s">
        <v>188</v>
      </c>
      <c r="N9" s="31" t="s">
        <v>189</v>
      </c>
      <c r="O9" s="32">
        <f>AJ20</f>
        <v>3168400.65897596</v>
      </c>
      <c r="P9" s="35"/>
      <c r="Q9" s="45"/>
      <c r="X9" s="47" t="s">
        <v>190</v>
      </c>
      <c r="Y9" s="75">
        <v>549</v>
      </c>
      <c r="Z9" s="75"/>
      <c r="AA9" s="75"/>
      <c r="AB9" s="75"/>
      <c r="AC9" s="76">
        <f>SUM(Y9:AB9)</f>
        <v>549</v>
      </c>
      <c r="AE9" s="72">
        <f>SUMPRODUCT(Y96:Y99,AF64:AF67)/SUM(AF64:AF67)</f>
        <v>14.0978736597719</v>
      </c>
      <c r="AF9" s="77">
        <f>CC24*15</f>
        <v>10.7593265247461</v>
      </c>
      <c r="AG9" s="133">
        <f>SUMPRODUCT(Y102:Y105,AF64:AF67)/SUM(AF64:AF67)*20</f>
        <v>8.35301010880387</v>
      </c>
      <c r="AH9" s="32">
        <f>AC9*比赛参数!D26</f>
        <v>54900</v>
      </c>
      <c r="AI9" s="134">
        <f>第十二期!DB56</f>
        <v>1398.46123428995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>
        <f>SUM(AB131:AE131)*比赛参数!$D$26+SUM(AL131:AO131)*比赛参数!$E$26+SUM(AB154:AE154)*比赛参数!$F$26+SUM(AL154:AO154)*比赛参数!$G$26</f>
        <v>229640</v>
      </c>
      <c r="AT9" s="55">
        <f t="shared" ref="AT9:AT28" si="3">AS9/1300</f>
        <v>176.646153846154</v>
      </c>
      <c r="AU9" s="175">
        <f t="shared" ref="AU9:AU28" si="4">F95</f>
        <v>986029.26</v>
      </c>
      <c r="AV9" s="176">
        <f t="shared" ref="AV9:AV28" si="5">AU9/AS9</f>
        <v>4.29380447657203</v>
      </c>
      <c r="AW9" s="175">
        <f t="shared" ref="AW9:AW28" si="6">E95</f>
        <v>5443895.24</v>
      </c>
      <c r="AX9" s="192">
        <f t="shared" ref="AX9:AX28" si="7">AU9/AW9</f>
        <v>0.181125686026243</v>
      </c>
      <c r="AY9" s="65">
        <f t="shared" ref="AY9:AY28" si="8">X131*AB131+Y131*AC131+Z131*AD131+AA131*AE131+AH131*AL131+AI131*AM131+AJ131*AN131+AK131*AO131+X154*AB154+Y154*AC154+Z154*AD154+AA154*AE154+AH154*AL154+AI154*AM154+AJ154*AN154+AK154*AO154</f>
        <v>6438912</v>
      </c>
      <c r="AZ9" s="193">
        <f t="shared" ref="AZ9:AZ28" si="9">D95</f>
        <v>6429924.5</v>
      </c>
      <c r="BA9" s="65">
        <f t="shared" ref="BA9:BA28" si="10">AZ9-AY9</f>
        <v>-8987.5</v>
      </c>
      <c r="BB9" s="65">
        <f>IF(BA9&lt;比赛参数!$K$34,0,IF(BA9&lt;比赛参数!$K$35,BA9/(1-比赛参数!$E$36),IF(BA9&lt;比赛参数!$K$36,BA9/(1-比赛参数!$E$34))))</f>
        <v>0</v>
      </c>
      <c r="BC9" s="65">
        <f t="shared" ref="BC9:BC28" si="11">AU9-BA9</f>
        <v>995016.76</v>
      </c>
      <c r="BD9" s="101"/>
      <c r="BE9" s="65">
        <f t="shared" ref="BE9:BE28" si="12">BC9-BD9</f>
        <v>995016.76</v>
      </c>
      <c r="BF9" s="176">
        <f t="shared" ref="BF9:BF28" si="13">BE9/AS9</f>
        <v>4.33294182198223</v>
      </c>
      <c r="BQ9" s="173"/>
      <c r="BR9" s="196" t="s">
        <v>23</v>
      </c>
      <c r="BS9" s="198">
        <f>第十二期!$AH$76</f>
        <v>10050</v>
      </c>
      <c r="BT9" s="198">
        <f>第十二期!$AH$77</f>
        <v>10050</v>
      </c>
      <c r="BU9" s="198">
        <f>第十二期!$AH$78</f>
        <v>10250</v>
      </c>
      <c r="BV9" s="198">
        <f>第十二期!$AH$79</f>
        <v>10350</v>
      </c>
      <c r="BW9" s="200">
        <f>第十二期!$AH$80</f>
        <v>60900</v>
      </c>
      <c r="BX9" s="173"/>
      <c r="DT9" s="256" t="s">
        <v>21</v>
      </c>
      <c r="DU9" s="257">
        <v>4</v>
      </c>
      <c r="DV9" s="258">
        <f t="shared" si="0"/>
        <v>130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191</v>
      </c>
      <c r="D10" s="9">
        <v>0</v>
      </c>
      <c r="E10" s="9">
        <v>1</v>
      </c>
      <c r="F10" s="10"/>
      <c r="J10" s="11" t="s">
        <v>161</v>
      </c>
      <c r="K10" s="34">
        <f>D6</f>
        <v>305966</v>
      </c>
      <c r="M10" s="30"/>
      <c r="N10" s="31" t="s">
        <v>168</v>
      </c>
      <c r="O10" s="37"/>
      <c r="P10" s="35"/>
      <c r="Q10" s="45"/>
      <c r="X10" s="11" t="s">
        <v>192</v>
      </c>
      <c r="Y10" s="75">
        <v>342</v>
      </c>
      <c r="Z10" s="75"/>
      <c r="AA10" s="75">
        <v>179</v>
      </c>
      <c r="AB10" s="75"/>
      <c r="AC10" s="76">
        <f>SUM(Y10:AB10)</f>
        <v>521</v>
      </c>
      <c r="AE10" s="72">
        <f>SUMPRODUCT(Z96:Z99,AG64:AG67)/SUM(AG64:AG67)</f>
        <v>9.52454566510594</v>
      </c>
      <c r="AF10" s="77">
        <f>CD24*15</f>
        <v>8.68213412300596</v>
      </c>
      <c r="AG10" s="133">
        <f>SUMPRODUCT(Z102:Z105,AG64:AG67)/SUM(AG64:AG67)*20</f>
        <v>7.33132362876156</v>
      </c>
      <c r="AH10" s="32">
        <f>AC10*比赛参数!E26</f>
        <v>130250</v>
      </c>
      <c r="AI10" s="134">
        <f>第十二期!DB57</f>
        <v>2377.4570684504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>
        <f>SUM(AB132:AE132)*比赛参数!$D$26+SUM(AL132:AO132)*比赛参数!$E$26+SUM(AB155:AE155)*比赛参数!$F$26+SUM(AL155:AO155)*比赛参数!$G$26</f>
        <v>278940</v>
      </c>
      <c r="AT10" s="55">
        <f t="shared" si="3"/>
        <v>214.569230769231</v>
      </c>
      <c r="AU10" s="175">
        <f t="shared" si="4"/>
        <v>738454.95</v>
      </c>
      <c r="AV10" s="176">
        <f t="shared" si="5"/>
        <v>2.64736126048613</v>
      </c>
      <c r="AW10" s="175">
        <f t="shared" si="6"/>
        <v>6483164.05</v>
      </c>
      <c r="AX10" s="192">
        <f t="shared" si="7"/>
        <v>0.113903480508102</v>
      </c>
      <c r="AY10" s="65">
        <f t="shared" si="8"/>
        <v>7176919</v>
      </c>
      <c r="AZ10" s="193">
        <f t="shared" si="9"/>
        <v>7221619</v>
      </c>
      <c r="BA10" s="65">
        <f t="shared" si="10"/>
        <v>44700</v>
      </c>
      <c r="BB10" s="65">
        <f>IF(BA10&lt;比赛参数!$K$34,0,IF(BA10&lt;比赛参数!$K$35,BA10/(1-比赛参数!$E$36),IF(BA10&lt;比赛参数!$K$36,BA10/(1-比赛参数!$E$34))))</f>
        <v>1490000</v>
      </c>
      <c r="BC10" s="65">
        <f t="shared" si="11"/>
        <v>693754.95</v>
      </c>
      <c r="BD10" s="101"/>
      <c r="BE10" s="65">
        <f t="shared" si="12"/>
        <v>693754.95</v>
      </c>
      <c r="BF10" s="176">
        <f t="shared" si="13"/>
        <v>2.48711174446117</v>
      </c>
      <c r="BQ10" s="173"/>
      <c r="BR10" s="196" t="s">
        <v>24</v>
      </c>
      <c r="BS10" s="198">
        <f>第十二期!$AI$76</f>
        <v>13050</v>
      </c>
      <c r="BT10" s="198">
        <f>第十二期!$AI$77</f>
        <v>13050</v>
      </c>
      <c r="BU10" s="198">
        <f>第十二期!$AI$78</f>
        <v>13450</v>
      </c>
      <c r="BV10" s="198">
        <f>第十二期!$AI$79</f>
        <v>13600</v>
      </c>
      <c r="BW10" s="200">
        <f>第十二期!$AI$80</f>
        <v>72350</v>
      </c>
      <c r="BX10" s="173"/>
      <c r="DT10" s="249" t="s">
        <v>22</v>
      </c>
      <c r="DU10" s="260">
        <v>1</v>
      </c>
      <c r="DV10" s="261">
        <f t="shared" si="0"/>
        <v>55</v>
      </c>
      <c r="DW10" s="261">
        <f t="shared" si="1"/>
        <v>0</v>
      </c>
      <c r="DX10" s="261">
        <f t="shared" si="1"/>
        <v>24</v>
      </c>
    </row>
    <row r="11" customHeight="1" spans="2:128">
      <c r="B11" s="7"/>
      <c r="C11" s="8" t="s">
        <v>193</v>
      </c>
      <c r="D11" s="14">
        <v>7128831.75</v>
      </c>
      <c r="E11" s="9">
        <v>3</v>
      </c>
      <c r="F11" s="10"/>
      <c r="J11" s="11" t="s">
        <v>166</v>
      </c>
      <c r="K11" s="34">
        <f>D7</f>
        <v>2719155.64</v>
      </c>
      <c r="M11" s="36" t="s">
        <v>194</v>
      </c>
      <c r="N11" s="32" t="s">
        <v>195</v>
      </c>
      <c r="O11" s="32">
        <f>AL14</f>
        <v>8595983</v>
      </c>
      <c r="P11" s="35"/>
      <c r="Q11" s="45"/>
      <c r="X11" s="11" t="s">
        <v>196</v>
      </c>
      <c r="Y11" s="75"/>
      <c r="Z11" s="75"/>
      <c r="AA11" s="75">
        <v>105</v>
      </c>
      <c r="AB11" s="75">
        <v>78</v>
      </c>
      <c r="AC11" s="76">
        <f>SUM(Y11:AB11)</f>
        <v>183</v>
      </c>
      <c r="AE11" s="72">
        <f>SUMPRODUCT(AA96:AA99,AH64:AH67)/SUM(AH64:AH67)</f>
        <v>9.91253281417059</v>
      </c>
      <c r="AF11" s="77">
        <f>CE24*15</f>
        <v>8.79705489368166</v>
      </c>
      <c r="AG11" s="133">
        <f>SUMPRODUCT(AA102:AA105,AH64:AH67)/SUM(AH64:AH67)*20</f>
        <v>7.39260016456793</v>
      </c>
      <c r="AH11" s="32">
        <f>AC11*比赛参数!F26</f>
        <v>69540</v>
      </c>
      <c r="AI11" s="134">
        <f>第十二期!DB58</f>
        <v>3763.72236243295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>
        <f>SUM(AB133:AE133)*比赛参数!$D$26+SUM(AL133:AO133)*比赛参数!$E$26+SUM(AB156:AE156)*比赛参数!$F$26+SUM(AL156:AO156)*比赛参数!$G$26</f>
        <v>202440</v>
      </c>
      <c r="AT11" s="55">
        <f t="shared" si="3"/>
        <v>155.723076923077</v>
      </c>
      <c r="AU11" s="175">
        <f t="shared" si="4"/>
        <v>1068704.31</v>
      </c>
      <c r="AV11" s="176">
        <f t="shared" si="5"/>
        <v>5.27911633076467</v>
      </c>
      <c r="AW11" s="175">
        <f t="shared" si="6"/>
        <v>4531245.69</v>
      </c>
      <c r="AX11" s="192">
        <f t="shared" si="7"/>
        <v>0.235852209991288</v>
      </c>
      <c r="AY11" s="65">
        <f t="shared" si="8"/>
        <v>5570050</v>
      </c>
      <c r="AZ11" s="193">
        <f t="shared" si="9"/>
        <v>5599950</v>
      </c>
      <c r="BA11" s="65">
        <f t="shared" si="10"/>
        <v>29900</v>
      </c>
      <c r="BB11" s="65">
        <f>IF(BA11&lt;比赛参数!$K$34,0,IF(BA11&lt;比赛参数!$K$35,BA11/(1-比赛参数!$E$36),IF(BA11&lt;比赛参数!$K$36,BA11/(1-比赛参数!$E$34))))</f>
        <v>0</v>
      </c>
      <c r="BC11" s="65">
        <f t="shared" si="11"/>
        <v>1038804.31</v>
      </c>
      <c r="BD11" s="101"/>
      <c r="BE11" s="65">
        <f t="shared" si="12"/>
        <v>1038804.31</v>
      </c>
      <c r="BF11" s="176">
        <f t="shared" si="13"/>
        <v>5.13141824738194</v>
      </c>
      <c r="BQ11" s="173"/>
      <c r="BR11" s="199" t="s">
        <v>197</v>
      </c>
      <c r="BS11" s="200">
        <f>第十二期!$AJ$76</f>
        <v>63180</v>
      </c>
      <c r="BT11" s="200">
        <f>第十二期!$AJ$77</f>
        <v>61990</v>
      </c>
      <c r="BU11" s="200">
        <f>第十二期!$AJ$78</f>
        <v>85680</v>
      </c>
      <c r="BV11" s="200">
        <f>第十二期!$AJ$79</f>
        <v>89400</v>
      </c>
      <c r="BW11" s="210"/>
      <c r="BX11" s="173"/>
      <c r="DT11" s="252" t="s">
        <v>22</v>
      </c>
      <c r="DU11" s="250">
        <v>2</v>
      </c>
      <c r="DV11" s="251">
        <f t="shared" si="0"/>
        <v>56</v>
      </c>
      <c r="DW11" s="251">
        <f t="shared" si="1"/>
        <v>0</v>
      </c>
      <c r="DX11" s="251">
        <f t="shared" si="1"/>
        <v>17</v>
      </c>
    </row>
    <row r="12" ht="17.25" customHeight="1" spans="2:128">
      <c r="B12" s="7"/>
      <c r="C12" s="8" t="s">
        <v>198</v>
      </c>
      <c r="D12" s="14">
        <v>1900000</v>
      </c>
      <c r="E12" s="9">
        <v>8</v>
      </c>
      <c r="F12" s="10"/>
      <c r="J12" s="11" t="s">
        <v>187</v>
      </c>
      <c r="K12" s="34">
        <f>D9</f>
        <v>11698502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107</v>
      </c>
      <c r="AB12" s="75">
        <v>78</v>
      </c>
      <c r="AC12" s="78">
        <f>SUM(Y12:AB12)</f>
        <v>185</v>
      </c>
      <c r="AE12" s="72">
        <f>SUMPRODUCT(AB96:AB99,AI64:AI67)/SUM(AI64:AI67)</f>
        <v>9.62675340930526</v>
      </c>
      <c r="AF12" s="77">
        <f>CF24*15</f>
        <v>9.04025747083782</v>
      </c>
      <c r="AG12" s="133">
        <f>SUMPRODUCT(AB102:AB105,AI64:AI67)/SUM(AI64:AI67)*20</f>
        <v>7.52048473774451</v>
      </c>
      <c r="AH12" s="32">
        <f>AC12*比赛参数!G26</f>
        <v>96200</v>
      </c>
      <c r="AI12" s="134">
        <f>第十二期!DB59</f>
        <v>4996.64706695638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>
        <f>SUM(AB134:AE134)*比赛参数!$D$26+SUM(AL134:AO134)*比赛参数!$E$26+SUM(AB157:AE157)*比赛参数!$F$26+SUM(AL157:AO157)*比赛参数!$G$26</f>
        <v>224860</v>
      </c>
      <c r="AT12" s="55">
        <f t="shared" si="3"/>
        <v>172.969230769231</v>
      </c>
      <c r="AU12" s="175">
        <f t="shared" si="4"/>
        <v>804166.05</v>
      </c>
      <c r="AV12" s="176">
        <f t="shared" si="5"/>
        <v>3.57629658454149</v>
      </c>
      <c r="AW12" s="175">
        <f t="shared" si="6"/>
        <v>5517815.2</v>
      </c>
      <c r="AX12" s="192">
        <f t="shared" si="7"/>
        <v>0.145739938880157</v>
      </c>
      <c r="AY12" s="65">
        <f t="shared" si="8"/>
        <v>6306150</v>
      </c>
      <c r="AZ12" s="193">
        <f t="shared" si="9"/>
        <v>6321981.25</v>
      </c>
      <c r="BA12" s="65">
        <f t="shared" si="10"/>
        <v>15831.25</v>
      </c>
      <c r="BB12" s="65">
        <f>IF(BA12&lt;比赛参数!$K$34,0,IF(BA12&lt;比赛参数!$K$35,BA12/(1-比赛参数!$E$36),IF(BA12&lt;比赛参数!$K$36,BA12/(1-比赛参数!$E$34))))</f>
        <v>0</v>
      </c>
      <c r="BC12" s="65">
        <f t="shared" si="11"/>
        <v>788334.8</v>
      </c>
      <c r="BD12" s="101"/>
      <c r="BE12" s="65">
        <f t="shared" si="12"/>
        <v>788334.8</v>
      </c>
      <c r="BF12" s="176">
        <f t="shared" si="13"/>
        <v>3.50589166592546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92</v>
      </c>
      <c r="DW12" s="251">
        <f t="shared" si="1"/>
        <v>0</v>
      </c>
      <c r="DX12" s="251">
        <f t="shared" si="1"/>
        <v>26</v>
      </c>
    </row>
    <row r="13" customHeight="1" spans="2:128">
      <c r="B13" s="7"/>
      <c r="C13" s="8" t="s">
        <v>100</v>
      </c>
      <c r="D13" s="14">
        <v>1012204.57</v>
      </c>
      <c r="E13" s="9">
        <v>4</v>
      </c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7407696.7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225.346153846154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120.980769230769</v>
      </c>
      <c r="AB13" s="79">
        <f>(AB9*比赛参数!D27+AB10*比赛参数!E27+AB11*比赛参数!F27+AB12*比赛参数!G27)/260</f>
        <v>102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第十二期!BU86</f>
        <v>7682941.92783654</v>
      </c>
      <c r="AG13" s="135" t="s">
        <v>203</v>
      </c>
      <c r="AH13" s="136">
        <f>第十二期!BV76</f>
        <v>0.278125000186265</v>
      </c>
      <c r="AI13" s="42" t="s">
        <v>204</v>
      </c>
      <c r="AJ13" s="137">
        <f>SUMPRODUCT(AE4:AE7,AH9:AH12)</f>
        <v>4552022.34596737</v>
      </c>
      <c r="AL13" s="48"/>
      <c r="AQ13" s="173"/>
      <c r="AR13" s="11">
        <v>5</v>
      </c>
      <c r="AS13" s="65">
        <f>SUM(AB135:AE135)*比赛参数!$D$26+SUM(AL135:AO135)*比赛参数!$E$26+SUM(AB158:AE158)*比赛参数!$F$26+SUM(AL158:AO158)*比赛参数!$G$26</f>
        <v>265430</v>
      </c>
      <c r="AT13" s="55">
        <f t="shared" si="3"/>
        <v>204.176923076923</v>
      </c>
      <c r="AU13" s="175">
        <f t="shared" si="4"/>
        <v>1084843.71</v>
      </c>
      <c r="AV13" s="176">
        <f t="shared" si="5"/>
        <v>4.08711792186264</v>
      </c>
      <c r="AW13" s="175">
        <f t="shared" si="6"/>
        <v>6316805.09</v>
      </c>
      <c r="AX13" s="192">
        <f t="shared" si="7"/>
        <v>0.171739304053784</v>
      </c>
      <c r="AY13" s="65">
        <f t="shared" si="8"/>
        <v>7322950</v>
      </c>
      <c r="AZ13" s="193">
        <f t="shared" si="9"/>
        <v>7401648.8</v>
      </c>
      <c r="BA13" s="65">
        <f t="shared" si="10"/>
        <v>78698.7999999998</v>
      </c>
      <c r="BB13" s="65">
        <f>IF(BA13&lt;比赛参数!$K$34,0,IF(BA13&lt;比赛参数!$K$35,BA13/(1-比赛参数!$E$36),IF(BA13&lt;比赛参数!$K$36,BA13/(1-比赛参数!$E$34))))</f>
        <v>983734.999999998</v>
      </c>
      <c r="BC13" s="65">
        <f t="shared" si="11"/>
        <v>1006144.91</v>
      </c>
      <c r="BD13" s="101"/>
      <c r="BE13" s="65">
        <f t="shared" si="12"/>
        <v>1006144.91</v>
      </c>
      <c r="BF13" s="176">
        <f t="shared" si="13"/>
        <v>3.79062242399126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89</v>
      </c>
      <c r="DW13" s="264">
        <f t="shared" si="1"/>
        <v>0</v>
      </c>
      <c r="DX13" s="265">
        <f t="shared" si="1"/>
        <v>21</v>
      </c>
    </row>
    <row r="14" customHeight="1" spans="2:128">
      <c r="B14" s="7"/>
      <c r="C14" s="8" t="s">
        <v>206</v>
      </c>
      <c r="D14" s="14">
        <v>253051.14</v>
      </c>
      <c r="E14" s="9">
        <v>2</v>
      </c>
      <c r="F14" s="10"/>
      <c r="J14" s="11" t="s">
        <v>193</v>
      </c>
      <c r="K14" s="34">
        <f>D11</f>
        <v>7128831.75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270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269.788461538462</v>
      </c>
      <c r="AB14" s="79">
        <f>(AB9*比赛参数!D26+AB10*比赛参数!E26+AB11*比赛参数!F26+AB12*比赛参数!G26)/260</f>
        <v>270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第十二期!BW92</f>
        <v>1824266.47216346</v>
      </c>
      <c r="AG14" s="73" t="s">
        <v>208</v>
      </c>
      <c r="AH14" s="138">
        <v>3102519</v>
      </c>
      <c r="AI14" s="42" t="s">
        <v>93</v>
      </c>
      <c r="AJ14" s="139">
        <f>第十二期!K12</f>
        <v>11698502</v>
      </c>
      <c r="AK14" s="42" t="s">
        <v>209</v>
      </c>
      <c r="AL14" s="91">
        <f>AJ14-AH14</f>
        <v>8595983</v>
      </c>
      <c r="AQ14" s="173"/>
      <c r="AR14" s="11">
        <v>6</v>
      </c>
      <c r="AS14" s="65">
        <f>SUM(AB136:AE136)*比赛参数!$D$26+SUM(AL136:AO136)*比赛参数!$E$26+SUM(AB159:AE159)*比赛参数!$F$26+SUM(AL159:AO159)*比赛参数!$G$26</f>
        <v>13390</v>
      </c>
      <c r="AT14" s="55">
        <f t="shared" si="3"/>
        <v>10.3</v>
      </c>
      <c r="AU14" s="175">
        <f t="shared" si="4"/>
        <v>-3116261.82</v>
      </c>
      <c r="AV14" s="176">
        <f t="shared" si="5"/>
        <v>-232.730531740105</v>
      </c>
      <c r="AW14" s="175">
        <f t="shared" si="6"/>
        <v>3587046.82</v>
      </c>
      <c r="AX14" s="192">
        <f t="shared" si="7"/>
        <v>-0.868754152475768</v>
      </c>
      <c r="AY14" s="65">
        <f t="shared" si="8"/>
        <v>470785</v>
      </c>
      <c r="AZ14" s="193">
        <f t="shared" si="9"/>
        <v>470785</v>
      </c>
      <c r="BA14" s="65">
        <f t="shared" si="10"/>
        <v>0</v>
      </c>
      <c r="BB14" s="65">
        <f>IF(BA14&lt;比赛参数!$K$34,0,IF(BA14&lt;比赛参数!$K$35,BA14/(1-比赛参数!$E$36),IF(BA14&lt;比赛参数!$K$36,BA14/(1-比赛参数!$E$34))))</f>
        <v>0</v>
      </c>
      <c r="BC14" s="65">
        <f t="shared" si="11"/>
        <v>-3116261.82</v>
      </c>
      <c r="BD14" s="101"/>
      <c r="BE14" s="65">
        <f t="shared" si="12"/>
        <v>-3116261.82</v>
      </c>
      <c r="BF14" s="176">
        <f t="shared" si="13"/>
        <v>-232.730531740105</v>
      </c>
      <c r="BQ14" s="173"/>
      <c r="BR14" s="197" t="s">
        <v>21</v>
      </c>
      <c r="BS14" s="198">
        <f>第十二期!Y88</f>
        <v>109</v>
      </c>
      <c r="BT14" s="198">
        <f>第十二期!Y89</f>
        <v>109</v>
      </c>
      <c r="BU14" s="198">
        <f>第十二期!Y90</f>
        <v>149</v>
      </c>
      <c r="BV14" s="198">
        <f>第十二期!Y91</f>
        <v>149</v>
      </c>
      <c r="BW14" s="202"/>
      <c r="BX14" s="173"/>
      <c r="DT14" s="249" t="s">
        <v>23</v>
      </c>
      <c r="DU14" s="260">
        <v>1</v>
      </c>
      <c r="DV14" s="261">
        <f t="shared" si="0"/>
        <v>18</v>
      </c>
      <c r="DW14" s="261">
        <f t="shared" si="1"/>
        <v>0</v>
      </c>
      <c r="DX14" s="261">
        <f t="shared" si="1"/>
        <v>5</v>
      </c>
    </row>
    <row r="15" customHeight="1" spans="2:128">
      <c r="B15" s="7"/>
      <c r="C15" s="8" t="s">
        <v>210</v>
      </c>
      <c r="D15" s="14">
        <v>416710.1</v>
      </c>
      <c r="E15" s="9">
        <v>2</v>
      </c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1</v>
      </c>
      <c r="Z15" s="86">
        <f>(Z14+AA14)/AA20</f>
        <v>0.999216524216524</v>
      </c>
      <c r="AA15" s="87"/>
      <c r="AB15" s="88">
        <f>AB14/AA20</f>
        <v>1</v>
      </c>
      <c r="AC15" s="89" t="str">
        <f>IF(AC21&lt;=AC20,"材料 YES","材料 NO")</f>
        <v>材料 YES</v>
      </c>
      <c r="AE15" s="83" t="s">
        <v>105</v>
      </c>
      <c r="AF15" s="90">
        <f>AF14/(Y18+第十二期!K8-AA18)</f>
        <v>4641.89942026326</v>
      </c>
      <c r="AG15" s="73" t="s">
        <v>214</v>
      </c>
      <c r="AH15" s="138">
        <v>678766</v>
      </c>
      <c r="AI15" s="42" t="s">
        <v>215</v>
      </c>
      <c r="AJ15" s="139">
        <f>第十二期!K16*0.5-第十二期!K14</f>
        <v>678767.045</v>
      </c>
      <c r="AK15" s="42" t="s">
        <v>216</v>
      </c>
      <c r="AL15" s="111">
        <f>O20*0.5-O13</f>
        <v>1038395.36025721</v>
      </c>
      <c r="AQ15" s="173"/>
      <c r="AR15" s="11">
        <v>7</v>
      </c>
      <c r="AS15" s="65">
        <f>SUM(AB137:AE137)*比赛参数!$D$26+SUM(AL137:AO137)*比赛参数!$E$26+SUM(AB160:AE160)*比赛参数!$F$26+SUM(AL160:AO160)*比赛参数!$G$26</f>
        <v>261610</v>
      </c>
      <c r="AT15" s="55">
        <f t="shared" si="3"/>
        <v>201.238461538462</v>
      </c>
      <c r="AU15" s="175">
        <f t="shared" si="4"/>
        <v>1057715.15</v>
      </c>
      <c r="AV15" s="176">
        <f t="shared" si="5"/>
        <v>4.04309907878139</v>
      </c>
      <c r="AW15" s="175">
        <f t="shared" si="6"/>
        <v>5892514.85</v>
      </c>
      <c r="AX15" s="192">
        <f t="shared" si="7"/>
        <v>0.179501482291555</v>
      </c>
      <c r="AY15" s="65">
        <f t="shared" si="8"/>
        <v>6797730</v>
      </c>
      <c r="AZ15" s="193">
        <f t="shared" si="9"/>
        <v>6950230</v>
      </c>
      <c r="BA15" s="65">
        <f t="shared" si="10"/>
        <v>152500</v>
      </c>
      <c r="BB15" s="65">
        <f>IF(BA15&lt;比赛参数!$K$34,0,IF(BA15&lt;比赛参数!$K$35,BA15/(1-比赛参数!$E$36),IF(BA15&lt;比赛参数!$K$36,BA15/(1-比赛参数!$E$34))))</f>
        <v>1906250</v>
      </c>
      <c r="BC15" s="65">
        <f t="shared" si="11"/>
        <v>905215.15</v>
      </c>
      <c r="BD15" s="101"/>
      <c r="BE15" s="65">
        <f t="shared" si="12"/>
        <v>905215.15</v>
      </c>
      <c r="BF15" s="176">
        <f t="shared" si="13"/>
        <v>3.46017029165552</v>
      </c>
      <c r="BQ15" s="173"/>
      <c r="BR15" s="196" t="s">
        <v>22</v>
      </c>
      <c r="BS15" s="198">
        <f>第十二期!Z88</f>
        <v>98</v>
      </c>
      <c r="BT15" s="198">
        <f>第十二期!Z89</f>
        <v>98</v>
      </c>
      <c r="BU15" s="198">
        <f>第十二期!Z90</f>
        <v>146</v>
      </c>
      <c r="BV15" s="198">
        <f>第十二期!Z91</f>
        <v>146</v>
      </c>
      <c r="BW15" s="202"/>
      <c r="BX15" s="173"/>
      <c r="DT15" s="252" t="s">
        <v>23</v>
      </c>
      <c r="DU15" s="250">
        <v>2</v>
      </c>
      <c r="DV15" s="251">
        <f t="shared" si="0"/>
        <v>19</v>
      </c>
      <c r="DW15" s="251">
        <f t="shared" si="1"/>
        <v>0</v>
      </c>
      <c r="DX15" s="251">
        <f t="shared" si="1"/>
        <v>7</v>
      </c>
    </row>
    <row r="16" customHeight="1" spans="2:130">
      <c r="B16" s="7"/>
      <c r="C16" s="8" t="s">
        <v>211</v>
      </c>
      <c r="D16" s="14">
        <v>0</v>
      </c>
      <c r="E16" s="9">
        <v>1</v>
      </c>
      <c r="F16" s="10">
        <f>D16*4</f>
        <v>0</v>
      </c>
      <c r="J16" s="11" t="s">
        <v>104</v>
      </c>
      <c r="K16" s="34">
        <f>D18</f>
        <v>15615197.59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第十二期!DM60</f>
        <v>102000</v>
      </c>
      <c r="Z16" s="92" t="s">
        <v>218</v>
      </c>
      <c r="AA16" s="93">
        <f>AH20+Y16+第十二期!K9*比赛参数!D30*比赛参数!F30</f>
        <v>3586980</v>
      </c>
      <c r="AB16" s="73" t="s">
        <v>219</v>
      </c>
      <c r="AC16" s="94">
        <f>Y20-Y21</f>
        <v>0.173076923076906</v>
      </c>
      <c r="AE16" s="83" t="s">
        <v>220</v>
      </c>
      <c r="AF16" s="95">
        <f>AJ13/SUM(AH9:AH12)</f>
        <v>12.9727901791655</v>
      </c>
      <c r="AG16" s="83" t="s">
        <v>221</v>
      </c>
      <c r="AH16" s="140">
        <f>AF14/AL111</f>
        <v>6852.99200662457</v>
      </c>
      <c r="AI16" s="42" t="s">
        <v>222</v>
      </c>
      <c r="AJ16" s="141">
        <f>BS75+BS76</f>
        <v>604200</v>
      </c>
      <c r="AK16" s="142">
        <f>AJ16/BS77</f>
        <v>0.0641755533840336</v>
      </c>
      <c r="AL16" s="143"/>
      <c r="AQ16" s="173"/>
      <c r="AR16" s="11">
        <v>8</v>
      </c>
      <c r="AS16" s="65">
        <f>SUM(AB138:AE138)*比赛参数!$D$26+SUM(AL138:AO138)*比赛参数!$E$26+SUM(AB161:AE161)*比赛参数!$F$26+SUM(AL161:AO161)*比赛参数!$G$26</f>
        <v>251470</v>
      </c>
      <c r="AT16" s="55">
        <f t="shared" si="3"/>
        <v>193.438461538462</v>
      </c>
      <c r="AU16" s="175">
        <f t="shared" si="4"/>
        <v>670690.73</v>
      </c>
      <c r="AV16" s="176">
        <f t="shared" si="5"/>
        <v>2.66708048673798</v>
      </c>
      <c r="AW16" s="175">
        <f t="shared" si="6"/>
        <v>5878709.27</v>
      </c>
      <c r="AX16" s="192">
        <f t="shared" si="7"/>
        <v>0.114088093014336</v>
      </c>
      <c r="AY16" s="65">
        <f t="shared" si="8"/>
        <v>6574800</v>
      </c>
      <c r="AZ16" s="193">
        <f t="shared" si="9"/>
        <v>6549400</v>
      </c>
      <c r="BA16" s="65">
        <f t="shared" si="10"/>
        <v>-25400</v>
      </c>
      <c r="BB16" s="65">
        <f>IF(BA16&lt;比赛参数!$K$34,0,IF(BA16&lt;比赛参数!$K$35,BA16/(1-比赛参数!$E$36),IF(BA16&lt;比赛参数!$K$36,BA16/(1-比赛参数!$E$34))))</f>
        <v>0</v>
      </c>
      <c r="BC16" s="65">
        <f t="shared" si="11"/>
        <v>696090.73</v>
      </c>
      <c r="BD16" s="101"/>
      <c r="BE16" s="65">
        <f t="shared" si="12"/>
        <v>696090.73</v>
      </c>
      <c r="BF16" s="176">
        <f t="shared" si="13"/>
        <v>2.76808657096274</v>
      </c>
      <c r="BQ16" s="173"/>
      <c r="BR16" s="196" t="s">
        <v>23</v>
      </c>
      <c r="BS16" s="198">
        <f>第十二期!AA88</f>
        <v>38</v>
      </c>
      <c r="BT16" s="198">
        <f>第十二期!AA89</f>
        <v>37</v>
      </c>
      <c r="BU16" s="198">
        <f>第十二期!AA90</f>
        <v>49</v>
      </c>
      <c r="BV16" s="198">
        <f>第十二期!AA91</f>
        <v>49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38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14">
        <v>320484</v>
      </c>
      <c r="E17" s="9">
        <v>2</v>
      </c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899.999999999909</v>
      </c>
      <c r="AE17" s="83" t="s">
        <v>233</v>
      </c>
      <c r="AF17" s="100">
        <f>(AE9*SUM(AF64:AF67)+AE10*SUM(AG64:AG67)+AE11*SUM(AH64:AH67)+AE12*SUM(AI64:AI67))/SUM(AF64:AI67)</f>
        <v>11.1822992986519</v>
      </c>
      <c r="AG17" s="2" t="s">
        <v>106</v>
      </c>
      <c r="AH17" s="2">
        <f>AF14/(O20+O13)</f>
        <v>0.0750730625239685</v>
      </c>
      <c r="AI17" s="48"/>
      <c r="AJ17" s="48"/>
      <c r="AK17" s="48"/>
      <c r="AL17" s="48"/>
      <c r="AQ17" s="173"/>
      <c r="AR17" s="11">
        <v>9</v>
      </c>
      <c r="AS17" s="65">
        <f>SUM(AB139:AE139)*比赛参数!$D$26+SUM(AL139:AO139)*比赛参数!$E$26+SUM(AB162:AE162)*比赛参数!$F$26+SUM(AL162:AO162)*比赛参数!$G$26</f>
        <v>269440</v>
      </c>
      <c r="AT17" s="55">
        <f t="shared" si="3"/>
        <v>207.261538461538</v>
      </c>
      <c r="AU17" s="175">
        <f t="shared" si="4"/>
        <v>832893.24</v>
      </c>
      <c r="AV17" s="176">
        <f t="shared" si="5"/>
        <v>3.09120115795724</v>
      </c>
      <c r="AW17" s="175">
        <f t="shared" si="6"/>
        <v>6783643.41</v>
      </c>
      <c r="AX17" s="192">
        <f t="shared" si="7"/>
        <v>0.122779631779024</v>
      </c>
      <c r="AY17" s="65">
        <f t="shared" si="8"/>
        <v>7604810</v>
      </c>
      <c r="AZ17" s="193">
        <f t="shared" si="9"/>
        <v>7616536.65</v>
      </c>
      <c r="BA17" s="65">
        <f t="shared" si="10"/>
        <v>11726.6500000004</v>
      </c>
      <c r="BB17" s="65">
        <f>IF(BA17&lt;比赛参数!$K$34,0,IF(BA17&lt;比赛参数!$K$35,BA17/(1-比赛参数!$E$36),IF(BA17&lt;比赛参数!$K$36,BA17/(1-比赛参数!$E$34))))</f>
        <v>0</v>
      </c>
      <c r="BC17" s="65">
        <f t="shared" si="11"/>
        <v>821166.59</v>
      </c>
      <c r="BD17" s="101"/>
      <c r="BE17" s="65">
        <f t="shared" si="12"/>
        <v>821166.59</v>
      </c>
      <c r="BF17" s="176">
        <f t="shared" si="13"/>
        <v>3.04767885243468</v>
      </c>
      <c r="BQ17" s="173"/>
      <c r="BR17" s="196" t="s">
        <v>24</v>
      </c>
      <c r="BS17" s="198">
        <f>第十二期!AB88</f>
        <v>40</v>
      </c>
      <c r="BT17" s="198">
        <f>第十二期!AB89</f>
        <v>40</v>
      </c>
      <c r="BU17" s="198">
        <f>第十二期!AB90</f>
        <v>49</v>
      </c>
      <c r="BV17" s="198">
        <f>第十二期!AB91</f>
        <v>49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31</v>
      </c>
      <c r="DW17" s="268">
        <f t="shared" si="1"/>
        <v>0</v>
      </c>
      <c r="DX17" s="268">
        <f t="shared" si="1"/>
        <v>10</v>
      </c>
    </row>
    <row r="18" customHeight="1" spans="2:130">
      <c r="B18" s="7"/>
      <c r="C18" s="8" t="s">
        <v>104</v>
      </c>
      <c r="D18" s="14">
        <v>15615197.59</v>
      </c>
      <c r="E18" s="9">
        <v>3</v>
      </c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62</v>
      </c>
      <c r="Z18" s="11" t="s">
        <v>235</v>
      </c>
      <c r="AA18" s="101">
        <v>11</v>
      </c>
      <c r="AB18" s="11" t="s">
        <v>236</v>
      </c>
      <c r="AC18" s="102">
        <v>1848168</v>
      </c>
      <c r="AE18" s="11" t="s">
        <v>237</v>
      </c>
      <c r="AF18" s="103">
        <v>29</v>
      </c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270</v>
      </c>
      <c r="AQ18" s="173"/>
      <c r="AR18" s="11">
        <v>10</v>
      </c>
      <c r="AS18" s="65">
        <f>SUM(AB140:AE140)*比赛参数!$D$26+SUM(AL140:AO140)*比赛参数!$E$26+SUM(AB163:AE163)*比赛参数!$F$26+SUM(AL163:AO163)*比赛参数!$G$26</f>
        <v>249530</v>
      </c>
      <c r="AT18" s="55">
        <f t="shared" si="3"/>
        <v>191.946153846154</v>
      </c>
      <c r="AU18" s="175">
        <f t="shared" si="4"/>
        <v>966411.96</v>
      </c>
      <c r="AV18" s="176">
        <f t="shared" si="5"/>
        <v>3.87292894641927</v>
      </c>
      <c r="AW18" s="175">
        <f t="shared" si="6"/>
        <v>6158394.34</v>
      </c>
      <c r="AX18" s="192">
        <f t="shared" si="7"/>
        <v>0.156925962620315</v>
      </c>
      <c r="AY18" s="65">
        <f t="shared" si="8"/>
        <v>7094600</v>
      </c>
      <c r="AZ18" s="193">
        <f t="shared" si="9"/>
        <v>7124806.3</v>
      </c>
      <c r="BA18" s="65">
        <f t="shared" si="10"/>
        <v>30206.2999999998</v>
      </c>
      <c r="BB18" s="65">
        <f>IF(BA18&lt;比赛参数!$K$34,0,IF(BA18&lt;比赛参数!$K$35,BA18/(1-比赛参数!$E$36),IF(BA18&lt;比赛参数!$K$36,BA18/(1-比赛参数!$E$34))))</f>
        <v>1006876.66666666</v>
      </c>
      <c r="BC18" s="65">
        <f t="shared" si="11"/>
        <v>936205.66</v>
      </c>
      <c r="BD18" s="101"/>
      <c r="BE18" s="65">
        <f t="shared" si="12"/>
        <v>936205.66</v>
      </c>
      <c r="BF18" s="176">
        <f t="shared" si="13"/>
        <v>3.75187616719433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27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>
        <v>2959.66</v>
      </c>
      <c r="E19" s="9">
        <v>4</v>
      </c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第十二期!K8*比赛参数!D57</f>
        <v>171</v>
      </c>
      <c r="Z19" s="104" t="s">
        <v>244</v>
      </c>
      <c r="AA19" s="99">
        <f>第十二期!K8*比赛参数!D60</f>
        <v>10.26</v>
      </c>
      <c r="AB19" s="104" t="s">
        <v>244</v>
      </c>
      <c r="AC19" s="105">
        <f>IF((AC21-第十二期!K10)/比赛参数!D41&gt;0,(AC21-第十二期!K10)/比赛参数!D41,0)</f>
        <v>1848167.5</v>
      </c>
      <c r="AE19" s="42" t="s">
        <v>36</v>
      </c>
      <c r="AF19" s="106">
        <f>BS67</f>
        <v>92408.4000000001</v>
      </c>
      <c r="AG19" s="48"/>
      <c r="AH19" s="48"/>
      <c r="AI19" s="146" t="s">
        <v>245</v>
      </c>
      <c r="AJ19" s="105">
        <f>IF((第十二期!BW92-第十二期!BS87)&gt;0,第十二期!BW92-第十二期!BS87,0)</f>
        <v>1276986.53051442</v>
      </c>
      <c r="AK19" s="42" t="s">
        <v>246</v>
      </c>
      <c r="AL19" s="145">
        <f>AL110</f>
        <v>266.2</v>
      </c>
      <c r="AM19" s="2" t="s">
        <v>247</v>
      </c>
      <c r="AR19" s="11">
        <v>11</v>
      </c>
      <c r="AS19" s="65">
        <f>SUM(AB141:AE141)*比赛参数!$D$26+SUM(AL141:AO141)*比赛参数!$E$26+SUM(AB164:AE164)*比赛参数!$F$26+SUM(AL164:AO164)*比赛参数!$G$26</f>
        <v>233220</v>
      </c>
      <c r="AT19" s="55">
        <f t="shared" si="3"/>
        <v>179.4</v>
      </c>
      <c r="AU19" s="175">
        <f t="shared" si="4"/>
        <v>1012204.57</v>
      </c>
      <c r="AV19" s="176">
        <f t="shared" si="5"/>
        <v>4.3401276477146</v>
      </c>
      <c r="AW19" s="175">
        <f t="shared" si="6"/>
        <v>5629036.83</v>
      </c>
      <c r="AX19" s="192">
        <f t="shared" si="7"/>
        <v>0.179818430855781</v>
      </c>
      <c r="AY19" s="65">
        <f t="shared" si="8"/>
        <v>6569850</v>
      </c>
      <c r="AZ19" s="193">
        <f t="shared" si="9"/>
        <v>6641241.4</v>
      </c>
      <c r="BA19" s="65">
        <f t="shared" si="10"/>
        <v>71391.4000000004</v>
      </c>
      <c r="BB19" s="65">
        <f>IF(BA19&lt;比赛参数!$K$34,0,IF(BA19&lt;比赛参数!$K$35,BA19/(1-比赛参数!$E$36),IF(BA19&lt;比赛参数!$K$36,BA19/(1-比赛参数!$E$34))))</f>
        <v>2379713.33333334</v>
      </c>
      <c r="BC19" s="65">
        <f t="shared" si="11"/>
        <v>940813.17</v>
      </c>
      <c r="BD19" s="101"/>
      <c r="BE19" s="65">
        <f t="shared" si="12"/>
        <v>940813.17</v>
      </c>
      <c r="BF19" s="176">
        <f t="shared" si="13"/>
        <v>4.03401582197067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第十二期!$CX$68</f>
        <v>0.692415386653886</v>
      </c>
      <c r="CD19" s="110">
        <f>第十二期!$CX$69</f>
        <v>0.571960023101943</v>
      </c>
      <c r="CE19" s="110">
        <f>第十二期!$CX$70</f>
        <v>0.581487279836227</v>
      </c>
      <c r="CF19" s="110">
        <f>第十二期!$CX$71</f>
        <v>0.589553443457605</v>
      </c>
      <c r="CG19" s="219"/>
      <c r="CH19" s="225"/>
      <c r="CI19" s="226" t="s">
        <v>55</v>
      </c>
      <c r="CJ19" s="110">
        <f>第十二期!$CX$50</f>
        <v>1890.78876571005</v>
      </c>
      <c r="CK19" s="110">
        <f>第十二期!$CX$51</f>
        <v>4039.5429315496</v>
      </c>
      <c r="CL19" s="110">
        <f>第十二期!$CX$52</f>
        <v>6354.77763756705</v>
      </c>
      <c r="CM19" s="110">
        <f>第十二期!$CX$53</f>
        <v>8209.85293304362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27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106</v>
      </c>
      <c r="D20" s="9">
        <v>0.0445</v>
      </c>
      <c r="E20" s="9">
        <v>4</v>
      </c>
      <c r="F20" s="10"/>
      <c r="M20" s="30"/>
      <c r="N20" s="32" t="s">
        <v>104</v>
      </c>
      <c r="O20" s="38">
        <f>K16+AJ19-AJ18</f>
        <v>16892184.1205144</v>
      </c>
      <c r="P20" s="35"/>
      <c r="Q20" s="45"/>
      <c r="W20" s="50"/>
      <c r="X20" s="42" t="s">
        <v>249</v>
      </c>
      <c r="Y20" s="107">
        <f>第十二期!K8+第十二期!Y18*比赛参数!D59-第十二期!AA18</f>
        <v>346.5</v>
      </c>
      <c r="Z20" s="42" t="s">
        <v>239</v>
      </c>
      <c r="AA20" s="108">
        <f>第十二期!K9</f>
        <v>270</v>
      </c>
      <c r="AB20" s="42" t="s">
        <v>250</v>
      </c>
      <c r="AC20" s="109">
        <f>AC18*比赛参数!D41+第十二期!K10</f>
        <v>1784500.4</v>
      </c>
      <c r="AE20" s="11" t="s">
        <v>251</v>
      </c>
      <c r="AF20" s="101"/>
      <c r="AG20" s="42" t="s">
        <v>87</v>
      </c>
      <c r="AH20" s="147">
        <f>第十二期!BS62+第十二期!BS71</f>
        <v>2404980</v>
      </c>
      <c r="AI20" s="73" t="s">
        <v>252</v>
      </c>
      <c r="AJ20" s="111">
        <f>第十二期!BV90</f>
        <v>3168400.65897596</v>
      </c>
      <c r="AK20" s="148" t="s">
        <v>253</v>
      </c>
      <c r="AL20" s="145">
        <f>AL111</f>
        <v>266.2</v>
      </c>
      <c r="AM20" s="2">
        <f>AF14/AL20/1300</f>
        <v>5.27153231278813</v>
      </c>
      <c r="AR20" s="11">
        <v>12</v>
      </c>
      <c r="AS20" s="65">
        <f>SUM(AB142:AE142)*比赛参数!$D$26+SUM(AL142:AO142)*比赛参数!$E$26+SUM(AB165:AE165)*比赛参数!$F$26+SUM(AL165:AO165)*比赛参数!$G$26</f>
        <v>194210</v>
      </c>
      <c r="AT20" s="55">
        <f t="shared" si="3"/>
        <v>149.392307692308</v>
      </c>
      <c r="AU20" s="175">
        <f t="shared" si="4"/>
        <v>210120.76</v>
      </c>
      <c r="AV20" s="176">
        <f t="shared" si="5"/>
        <v>1.08192554451367</v>
      </c>
      <c r="AW20" s="175">
        <f t="shared" si="6"/>
        <v>4983489.24</v>
      </c>
      <c r="AX20" s="192">
        <f t="shared" si="7"/>
        <v>0.0421633818958542</v>
      </c>
      <c r="AY20" s="65">
        <f t="shared" si="8"/>
        <v>5037290</v>
      </c>
      <c r="AZ20" s="193">
        <f t="shared" si="9"/>
        <v>5193610</v>
      </c>
      <c r="BA20" s="65">
        <f t="shared" si="10"/>
        <v>156320</v>
      </c>
      <c r="BB20" s="65">
        <f>IF(BA20&lt;比赛参数!$K$34,0,IF(BA20&lt;比赛参数!$K$35,BA20/(1-比赛参数!$E$36),IF(BA20&lt;比赛参数!$K$36,BA20/(1-比赛参数!$E$34))))</f>
        <v>1954000</v>
      </c>
      <c r="BC20" s="65">
        <f t="shared" si="11"/>
        <v>53800.76</v>
      </c>
      <c r="BD20" s="101"/>
      <c r="BE20" s="65">
        <f t="shared" si="12"/>
        <v>53800.76</v>
      </c>
      <c r="BF20" s="176">
        <f t="shared" si="13"/>
        <v>0.277023634210391</v>
      </c>
      <c r="BR20" s="197" t="s">
        <v>21</v>
      </c>
      <c r="BS20" s="198">
        <f>第十二期!Y9</f>
        <v>549</v>
      </c>
      <c r="BT20" s="198">
        <f>第十二期!Z9</f>
        <v>0</v>
      </c>
      <c r="BU20" s="198">
        <f>第十二期!AA9</f>
        <v>0</v>
      </c>
      <c r="BV20" s="198">
        <f>第十二期!AB9</f>
        <v>0</v>
      </c>
      <c r="BW20" s="200">
        <f>第十二期!AJ34</f>
        <v>0</v>
      </c>
      <c r="BX20" s="215"/>
      <c r="CA20" s="213"/>
      <c r="CB20" s="196" t="s">
        <v>56</v>
      </c>
      <c r="CC20" s="110">
        <f>第十二期!$CY$68</f>
        <v>0.72992725402982</v>
      </c>
      <c r="CD20" s="110">
        <f>第十二期!$CY$69</f>
        <v>0.605342202040608</v>
      </c>
      <c r="CE20" s="110">
        <f>第十二期!$CY$70</f>
        <v>0.609860319150613</v>
      </c>
      <c r="CF20" s="110">
        <f>第十二期!$CY$71</f>
        <v>0.616729158503052</v>
      </c>
      <c r="CG20" s="219"/>
      <c r="CH20" s="225"/>
      <c r="CI20" s="227" t="s">
        <v>56</v>
      </c>
      <c r="CJ20" s="110">
        <f>第十二期!$CY$50</f>
        <v>1849.78876571005</v>
      </c>
      <c r="CK20" s="110">
        <f>第十二期!$CY$51</f>
        <v>3955.5429315496</v>
      </c>
      <c r="CL20" s="110">
        <f>第十二期!$CY$52</f>
        <v>6242.77763756705</v>
      </c>
      <c r="CM20" s="110">
        <f>第十二期!$CY$53</f>
        <v>8071.85293304362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43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>
        <v>0.573</v>
      </c>
      <c r="E21" s="9">
        <v>1</v>
      </c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346.326923076923</v>
      </c>
      <c r="Z21" s="42" t="s">
        <v>256</v>
      </c>
      <c r="AA21" s="110">
        <f>MAX(Y14,Z14+AA14,AB14)</f>
        <v>270</v>
      </c>
      <c r="AB21" s="42" t="s">
        <v>257</v>
      </c>
      <c r="AC21" s="111">
        <f>AC9*比赛参数!D28+AC10*比赛参数!E28+AC11*比赛参数!F28+AC12*比赛参数!G28</f>
        <v>1784500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471072.636556614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>
        <f>SUM(AB143:AE143)*比赛参数!$D$26+SUM(AL143:AO143)*比赛参数!$E$26+SUM(AB166:AE166)*比赛参数!$F$26+SUM(AL166:AO166)*比赛参数!$G$26</f>
        <v>271330</v>
      </c>
      <c r="AT21" s="55">
        <f t="shared" si="3"/>
        <v>208.715384615385</v>
      </c>
      <c r="AU21" s="175">
        <f t="shared" si="4"/>
        <v>914463.93</v>
      </c>
      <c r="AV21" s="176">
        <f t="shared" si="5"/>
        <v>3.3703015884716</v>
      </c>
      <c r="AW21" s="175">
        <f t="shared" si="6"/>
        <v>6343918.57</v>
      </c>
      <c r="AX21" s="192">
        <f t="shared" si="7"/>
        <v>0.144148119164777</v>
      </c>
      <c r="AY21" s="65">
        <f t="shared" si="8"/>
        <v>7217510</v>
      </c>
      <c r="AZ21" s="193">
        <f t="shared" si="9"/>
        <v>7258382.5</v>
      </c>
      <c r="BA21" s="65">
        <f t="shared" si="10"/>
        <v>40872.5</v>
      </c>
      <c r="BB21" s="65">
        <f>IF(BA21&lt;比赛参数!$K$34,0,IF(BA21&lt;比赛参数!$K$35,BA21/(1-比赛参数!$E$36),IF(BA21&lt;比赛参数!$K$36,BA21/(1-比赛参数!$E$34))))</f>
        <v>1362416.66666667</v>
      </c>
      <c r="BC21" s="65">
        <f t="shared" si="11"/>
        <v>873591.43</v>
      </c>
      <c r="BD21" s="101"/>
      <c r="BE21" s="65">
        <f t="shared" si="12"/>
        <v>873591.43</v>
      </c>
      <c r="BF21" s="176">
        <f t="shared" si="13"/>
        <v>3.21966398850109</v>
      </c>
      <c r="BR21" s="196" t="s">
        <v>22</v>
      </c>
      <c r="BS21" s="198">
        <f>第十二期!Y10</f>
        <v>342</v>
      </c>
      <c r="BT21" s="198">
        <f>第十二期!Z10</f>
        <v>0</v>
      </c>
      <c r="BU21" s="198">
        <f>第十二期!AA10</f>
        <v>179</v>
      </c>
      <c r="BV21" s="198">
        <f>第十二期!AB10</f>
        <v>0</v>
      </c>
      <c r="BW21" s="200">
        <f>第十二期!AJ35</f>
        <v>0</v>
      </c>
      <c r="BX21" s="215"/>
      <c r="CA21" s="213"/>
      <c r="CB21" s="196" t="s">
        <v>57</v>
      </c>
      <c r="CC21" s="110">
        <f>第十二期!$CZ$68</f>
        <v>0.718308249812282</v>
      </c>
      <c r="CD21" s="110">
        <f>第十二期!$CZ$69</f>
        <v>0.569786125020757</v>
      </c>
      <c r="CE21" s="110">
        <f>第十二期!$CZ$70</f>
        <v>0.577219682167383</v>
      </c>
      <c r="CF21" s="110">
        <f>第十二期!$CZ$71</f>
        <v>0.598174315426846</v>
      </c>
      <c r="CG21" s="219"/>
      <c r="CH21" s="225"/>
      <c r="CI21" s="227" t="s">
        <v>57</v>
      </c>
      <c r="CJ21" s="110">
        <f>第十二期!$CZ$50</f>
        <v>2007.78876571005</v>
      </c>
      <c r="CK21" s="110">
        <f>第十二期!$CZ$51</f>
        <v>4172.5429315496</v>
      </c>
      <c r="CL21" s="110">
        <f>第十二期!$CZ$52</f>
        <v>6498.77763756705</v>
      </c>
      <c r="CM21" s="110">
        <f>第十二期!$CZ$53</f>
        <v>8415.85293304362</v>
      </c>
      <c r="CN21" s="48"/>
      <c r="CO21" s="239"/>
      <c r="DT21" s="252" t="s">
        <v>24</v>
      </c>
      <c r="DU21" s="250">
        <v>4</v>
      </c>
      <c r="DV21" s="251">
        <f t="shared" si="0"/>
        <v>40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269.915384615385</v>
      </c>
      <c r="AB22" s="114">
        <f>AA22/AA20</f>
        <v>0.99968660968661</v>
      </c>
      <c r="AD22" s="115"/>
      <c r="AH22" s="151">
        <f>AH20+AH21</f>
        <v>2876052.63655661</v>
      </c>
      <c r="AI22" s="42" t="s">
        <v>264</v>
      </c>
      <c r="AJ22" s="139">
        <f>K11</f>
        <v>2719155.64</v>
      </c>
      <c r="AK22" s="2" t="s">
        <v>265</v>
      </c>
      <c r="AL22" s="152">
        <f>K10</f>
        <v>305966</v>
      </c>
      <c r="AR22" s="11">
        <v>14</v>
      </c>
      <c r="AS22" s="65">
        <f>SUM(AB144:AE144)*比赛参数!$D$26+SUM(AL144:AO144)*比赛参数!$E$26+SUM(AB167:AE167)*比赛参数!$F$26+SUM(AL167:AO167)*比赛参数!$G$26</f>
        <v>218080</v>
      </c>
      <c r="AT22" s="55">
        <f t="shared" si="3"/>
        <v>167.753846153846</v>
      </c>
      <c r="AU22" s="175">
        <f t="shared" si="4"/>
        <v>530686.33</v>
      </c>
      <c r="AV22" s="176">
        <f t="shared" si="5"/>
        <v>2.43344795487894</v>
      </c>
      <c r="AW22" s="175">
        <f t="shared" si="6"/>
        <v>5108913.67</v>
      </c>
      <c r="AX22" s="192">
        <f t="shared" si="7"/>
        <v>0.103874593363407</v>
      </c>
      <c r="AY22" s="65">
        <f t="shared" si="8"/>
        <v>5639600</v>
      </c>
      <c r="AZ22" s="193">
        <f t="shared" si="9"/>
        <v>5639600</v>
      </c>
      <c r="BA22" s="65">
        <f t="shared" si="10"/>
        <v>0</v>
      </c>
      <c r="BB22" s="65">
        <f>IF(BA22&lt;比赛参数!$K$34,0,IF(BA22&lt;比赛参数!$K$35,BA22/(1-比赛参数!$E$36),IF(BA22&lt;比赛参数!$K$36,BA22/(1-比赛参数!$E$34))))</f>
        <v>0</v>
      </c>
      <c r="BC22" s="65">
        <f t="shared" si="11"/>
        <v>530686.33</v>
      </c>
      <c r="BD22" s="101"/>
      <c r="BE22" s="65">
        <f t="shared" si="12"/>
        <v>530686.33</v>
      </c>
      <c r="BF22" s="176">
        <f t="shared" si="13"/>
        <v>2.43344795487894</v>
      </c>
      <c r="BR22" s="196" t="s">
        <v>23</v>
      </c>
      <c r="BS22" s="198">
        <f>第十二期!Y11</f>
        <v>0</v>
      </c>
      <c r="BT22" s="198">
        <f>第十二期!Z11</f>
        <v>0</v>
      </c>
      <c r="BU22" s="198">
        <f>第十二期!AA11</f>
        <v>105</v>
      </c>
      <c r="BV22" s="198">
        <f>第十二期!AB11</f>
        <v>78</v>
      </c>
      <c r="BW22" s="200">
        <f>第十二期!AJ36</f>
        <v>0</v>
      </c>
      <c r="BX22" s="215"/>
      <c r="CA22" s="213"/>
      <c r="CB22" s="196" t="s">
        <v>58</v>
      </c>
      <c r="CC22" s="110">
        <f>第十二期!$DA$68</f>
        <v>0.725152775229119</v>
      </c>
      <c r="CD22" s="110">
        <f>第十二期!$DA$69</f>
        <v>0.5748803760675</v>
      </c>
      <c r="CE22" s="110">
        <f>第十二期!$DA$70</f>
        <v>0.580447615235437</v>
      </c>
      <c r="CF22" s="110">
        <f>第十二期!$DA$71</f>
        <v>0.606453609289261</v>
      </c>
      <c r="CG22" s="219"/>
      <c r="CH22" s="225"/>
      <c r="CI22" s="227" t="s">
        <v>58</v>
      </c>
      <c r="CJ22" s="110">
        <f>第十二期!$DA$50</f>
        <v>2057.78876571005</v>
      </c>
      <c r="CK22" s="110">
        <f>第十二期!$DA$51</f>
        <v>4222.5429315496</v>
      </c>
      <c r="CL22" s="110">
        <f>第十二期!$DA$52</f>
        <v>6548.77763756705</v>
      </c>
      <c r="CM22" s="110">
        <f>第十二期!$DA$53</f>
        <v>8465.85293304362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7682941.92783654</v>
      </c>
      <c r="AK23" s="2" t="s">
        <v>272</v>
      </c>
      <c r="AL23" s="152">
        <f>AL22+AC18-AC21</f>
        <v>369634</v>
      </c>
      <c r="AQ23" s="177"/>
      <c r="AR23" s="11">
        <v>15</v>
      </c>
      <c r="AS23" s="65">
        <f>SUM(AB145:AE145)*比赛参数!$D$26+SUM(AL145:AO145)*比赛参数!$E$26+SUM(AB168:AE168)*比赛参数!$F$26+SUM(AL168:AO168)*比赛参数!$G$26</f>
        <v>121710</v>
      </c>
      <c r="AT23" s="55">
        <f t="shared" si="3"/>
        <v>93.6230769230769</v>
      </c>
      <c r="AU23" s="175">
        <f t="shared" si="4"/>
        <v>-361654.4</v>
      </c>
      <c r="AV23" s="176">
        <f t="shared" si="5"/>
        <v>-2.97144359543176</v>
      </c>
      <c r="AW23" s="175">
        <f t="shared" si="6"/>
        <v>3815324.4</v>
      </c>
      <c r="AX23" s="192">
        <f t="shared" si="7"/>
        <v>-0.0947899476123184</v>
      </c>
      <c r="AY23" s="65">
        <f t="shared" si="8"/>
        <v>3387451</v>
      </c>
      <c r="AZ23" s="193">
        <f t="shared" si="9"/>
        <v>3453670</v>
      </c>
      <c r="BA23" s="65">
        <f t="shared" si="10"/>
        <v>66219</v>
      </c>
      <c r="BB23" s="65">
        <f>IF(BA23&lt;比赛参数!$K$34,0,IF(BA23&lt;比赛参数!$K$35,BA23/(1-比赛参数!$E$36),IF(BA23&lt;比赛参数!$K$36,BA23/(1-比赛参数!$E$34))))</f>
        <v>2207300</v>
      </c>
      <c r="BC23" s="65">
        <f t="shared" si="11"/>
        <v>-427873.4</v>
      </c>
      <c r="BD23" s="101"/>
      <c r="BE23" s="65">
        <f t="shared" si="12"/>
        <v>-427873.4</v>
      </c>
      <c r="BF23" s="176">
        <f t="shared" si="13"/>
        <v>-3.51551556979706</v>
      </c>
      <c r="BQ23" s="177"/>
      <c r="BR23" s="196" t="s">
        <v>24</v>
      </c>
      <c r="BS23" s="198">
        <f>第十二期!Y12</f>
        <v>0</v>
      </c>
      <c r="BT23" s="198">
        <f>第十二期!Z12</f>
        <v>0</v>
      </c>
      <c r="BU23" s="198">
        <f>第十二期!AA12</f>
        <v>107</v>
      </c>
      <c r="BV23" s="198">
        <f>第十二期!AB12</f>
        <v>78</v>
      </c>
      <c r="BW23" s="200">
        <f>第十二期!AJ37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559.76923076923</v>
      </c>
      <c r="DA23" s="2">
        <f t="shared" si="14"/>
        <v>600.76923076923</v>
      </c>
      <c r="DB23" s="2">
        <f t="shared" si="14"/>
        <v>692.76923076923</v>
      </c>
      <c r="DC23" s="2">
        <f t="shared" si="14"/>
        <v>742.76923076923</v>
      </c>
      <c r="DF23" s="2" t="s">
        <v>38</v>
      </c>
      <c r="DG23" s="2">
        <f t="shared" ref="DG23:DJ26" si="15">BS7-DG17</f>
        <v>1349.5</v>
      </c>
      <c r="DH23" s="2">
        <f t="shared" si="15"/>
        <v>1349.5</v>
      </c>
      <c r="DI23" s="2">
        <f t="shared" si="15"/>
        <v>1437</v>
      </c>
      <c r="DJ23" s="2">
        <f t="shared" si="15"/>
        <v>1537</v>
      </c>
      <c r="DM23" s="2">
        <f t="shared" ref="DM23:DP26" si="16">DG23/CS23</f>
        <v>13.495</v>
      </c>
      <c r="DN23" s="2">
        <f t="shared" si="16"/>
        <v>13.495</v>
      </c>
      <c r="DO23" s="2">
        <f t="shared" si="16"/>
        <v>14.37</v>
      </c>
      <c r="DP23" s="2">
        <f t="shared" si="16"/>
        <v>15.37</v>
      </c>
      <c r="DQ23" s="2">
        <f>SUMPRODUCT(DM23:DP23,BS14:BV14)/SUM(BS14:BV14)</f>
        <v>14.2890891472868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>
        <v>0</v>
      </c>
      <c r="F24" s="9">
        <v>96</v>
      </c>
      <c r="G24" s="9">
        <v>88</v>
      </c>
      <c r="H24" s="19">
        <v>0.0577</v>
      </c>
      <c r="I24" s="9">
        <v>2</v>
      </c>
      <c r="J24" s="9">
        <v>0</v>
      </c>
      <c r="K24" s="9">
        <v>4</v>
      </c>
      <c r="L24" s="10"/>
      <c r="M24" s="39">
        <f>AF64-AF104</f>
        <v>102</v>
      </c>
      <c r="N24" s="35"/>
      <c r="O24" s="35"/>
      <c r="P24" s="35"/>
      <c r="Q24" s="45"/>
      <c r="AH24" s="153"/>
      <c r="AQ24" s="177"/>
      <c r="AR24" s="11">
        <v>16</v>
      </c>
      <c r="AS24" s="65">
        <f>SUM(AB146:AE146)*比赛参数!$D$26+SUM(AL146:AO146)*比赛参数!$E$26+SUM(AB169:AE169)*比赛参数!$F$26+SUM(AL169:AO169)*比赛参数!$G$26</f>
        <v>184100</v>
      </c>
      <c r="AT24" s="55">
        <f t="shared" si="3"/>
        <v>141.615384615385</v>
      </c>
      <c r="AU24" s="175">
        <f t="shared" si="4"/>
        <v>442330.18</v>
      </c>
      <c r="AV24" s="176">
        <f t="shared" si="5"/>
        <v>2.40266257468767</v>
      </c>
      <c r="AW24" s="175">
        <f t="shared" si="6"/>
        <v>4703639.82</v>
      </c>
      <c r="AX24" s="192">
        <f t="shared" si="7"/>
        <v>0.0940399768960201</v>
      </c>
      <c r="AY24" s="65">
        <f t="shared" si="8"/>
        <v>5151240</v>
      </c>
      <c r="AZ24" s="193">
        <f t="shared" si="9"/>
        <v>5145970</v>
      </c>
      <c r="BA24" s="65">
        <f t="shared" si="10"/>
        <v>-5270</v>
      </c>
      <c r="BB24" s="65">
        <f>IF(BA24&lt;比赛参数!$K$34,0,IF(BA24&lt;比赛参数!$K$35,BA24/(1-比赛参数!$E$36),IF(BA24&lt;比赛参数!$K$36,BA24/(1-比赛参数!$E$34))))</f>
        <v>0</v>
      </c>
      <c r="BC24" s="65">
        <f t="shared" si="11"/>
        <v>447600.18</v>
      </c>
      <c r="BD24" s="101"/>
      <c r="BE24" s="65">
        <f t="shared" si="12"/>
        <v>447600.18</v>
      </c>
      <c r="BF24" s="176">
        <f t="shared" si="13"/>
        <v>2.43128832156437</v>
      </c>
      <c r="BQ24" s="177"/>
      <c r="BX24" s="215"/>
      <c r="CA24" s="213"/>
      <c r="CB24" s="196" t="s">
        <v>274</v>
      </c>
      <c r="CC24" s="110">
        <f>SUMPRODUCT(CC19:CC22,AF64:AF67)/SUM(AF64:AF67)</f>
        <v>0.717288434983076</v>
      </c>
      <c r="CD24" s="110">
        <f>SUMPRODUCT(CD19:CD22,AG64:AG67)/SUM(AG64:AG67)</f>
        <v>0.57880894153373</v>
      </c>
      <c r="CE24" s="110">
        <f>SUMPRODUCT(CE19:CE22,AH64:AH67)/SUM(AH64:AH67)</f>
        <v>0.586470326245444</v>
      </c>
      <c r="CF24" s="110">
        <f>SUMPRODUCT(CF19:CF22,AI64:AI67)/SUM(AI64:AI67)</f>
        <v>0.602683831389188</v>
      </c>
      <c r="CG24" s="219"/>
      <c r="CH24" s="225"/>
      <c r="CI24" s="227" t="s">
        <v>274</v>
      </c>
      <c r="CJ24" s="110">
        <f>SUMPRODUCT(CJ19:CJ22,AF64:AF67)/SUM(AF64:AF67)</f>
        <v>1965.00687270594</v>
      </c>
      <c r="CK24" s="110">
        <f>SUMPRODUCT(CK19:CK22,AG64:AG67)/SUM(AG64:AG67)</f>
        <v>4115.6027141583</v>
      </c>
      <c r="CL24" s="110">
        <f>SUMPRODUCT(CL19:CL22,AH64:AH67)/SUM(AH64:AH67)</f>
        <v>6424.9487605617</v>
      </c>
      <c r="CM24" s="110">
        <f>SUMPRODUCT(CM19:CM22,AI64:AI67)/SUM(AI64:AI67)</f>
        <v>8306.7352859848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899.923076923077</v>
      </c>
      <c r="DA24" s="2">
        <f t="shared" si="14"/>
        <v>983.923076923077</v>
      </c>
      <c r="DB24" s="2">
        <f t="shared" si="14"/>
        <v>966.923076923077</v>
      </c>
      <c r="DC24" s="2">
        <f t="shared" si="14"/>
        <v>1016.92307692308</v>
      </c>
      <c r="DF24" s="2" t="s">
        <v>39</v>
      </c>
      <c r="DG24" s="2">
        <f t="shared" si="15"/>
        <v>2865</v>
      </c>
      <c r="DH24" s="2">
        <f t="shared" si="15"/>
        <v>2865</v>
      </c>
      <c r="DI24" s="2">
        <f t="shared" si="15"/>
        <v>2865</v>
      </c>
      <c r="DJ24" s="2">
        <f t="shared" si="15"/>
        <v>2965</v>
      </c>
      <c r="DM24" s="2">
        <f t="shared" si="16"/>
        <v>11.46</v>
      </c>
      <c r="DN24" s="2">
        <f t="shared" si="16"/>
        <v>11.46</v>
      </c>
      <c r="DO24" s="2">
        <f t="shared" si="16"/>
        <v>11.46</v>
      </c>
      <c r="DP24" s="2">
        <f t="shared" si="16"/>
        <v>11.86</v>
      </c>
      <c r="DQ24" s="2">
        <f>SUMPRODUCT(DM24:DP24,BS15:BV15)/SUM(BS15:BV15)</f>
        <v>11.5796721311475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>
        <v>0</v>
      </c>
      <c r="F25" s="9">
        <v>98</v>
      </c>
      <c r="G25" s="9">
        <v>88</v>
      </c>
      <c r="H25" s="19">
        <v>0.0591</v>
      </c>
      <c r="I25" s="9">
        <v>3</v>
      </c>
      <c r="J25" s="9">
        <v>0</v>
      </c>
      <c r="K25" s="9">
        <v>4</v>
      </c>
      <c r="L25" s="10"/>
      <c r="M25" s="39">
        <f>AF65-AF105</f>
        <v>101</v>
      </c>
      <c r="N25" s="35"/>
      <c r="O25" s="35"/>
      <c r="P25" s="35"/>
      <c r="Q25" s="45"/>
      <c r="W25" s="3"/>
      <c r="AD25" s="116" t="s">
        <v>275</v>
      </c>
      <c r="AE25" s="117">
        <f>AC5/AC$4</f>
        <v>1.12863705972435</v>
      </c>
      <c r="AF25" s="117">
        <f>AC6/AC$4</f>
        <v>0.382337927514038</v>
      </c>
      <c r="AG25" s="117">
        <f>AC7/AC$4</f>
        <v>0.348647269014803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>
        <f>SUM(AB147:AE147)*比赛参数!$D$26+SUM(AL147:AO147)*比赛参数!$E$26+SUM(AB170:AE170)*比赛参数!$F$26+SUM(AL170:AO170)*比赛参数!$G$26</f>
        <v>223380</v>
      </c>
      <c r="AT25" s="55">
        <f t="shared" si="3"/>
        <v>171.830769230769</v>
      </c>
      <c r="AU25" s="175">
        <f t="shared" si="4"/>
        <v>204637.25</v>
      </c>
      <c r="AV25" s="176">
        <f t="shared" si="5"/>
        <v>0.91609477124183</v>
      </c>
      <c r="AW25" s="175">
        <f t="shared" si="6"/>
        <v>5979898.57</v>
      </c>
      <c r="AX25" s="192">
        <f t="shared" si="7"/>
        <v>0.0342208563581037</v>
      </c>
      <c r="AY25" s="65">
        <f t="shared" si="8"/>
        <v>6384204</v>
      </c>
      <c r="AZ25" s="193">
        <f t="shared" si="9"/>
        <v>6184535.82</v>
      </c>
      <c r="BA25" s="65">
        <f t="shared" si="10"/>
        <v>-199668.18</v>
      </c>
      <c r="BB25" s="65">
        <f>IF(BA25&lt;比赛参数!$K$34,0,IF(BA25&lt;比赛参数!$K$35,BA25/(1-比赛参数!$E$36),IF(BA25&lt;比赛参数!$K$36,BA25/(1-比赛参数!$E$34))))</f>
        <v>0</v>
      </c>
      <c r="BC25" s="65">
        <f t="shared" si="11"/>
        <v>404305.43</v>
      </c>
      <c r="BD25" s="101"/>
      <c r="BE25" s="65">
        <f t="shared" si="12"/>
        <v>404305.43</v>
      </c>
      <c r="BF25" s="176">
        <f t="shared" si="13"/>
        <v>1.8099446235115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2286.92307692308</v>
      </c>
      <c r="DA25" s="2">
        <f t="shared" si="14"/>
        <v>2398.92307692308</v>
      </c>
      <c r="DB25" s="2">
        <f t="shared" si="14"/>
        <v>2342.92307692308</v>
      </c>
      <c r="DC25" s="2">
        <f t="shared" si="14"/>
        <v>2392.92307692308</v>
      </c>
      <c r="DF25" s="2" t="s">
        <v>40</v>
      </c>
      <c r="DG25" s="2">
        <f t="shared" si="15"/>
        <v>5266</v>
      </c>
      <c r="DH25" s="2">
        <f t="shared" si="15"/>
        <v>5266</v>
      </c>
      <c r="DI25" s="2">
        <f t="shared" si="15"/>
        <v>5241</v>
      </c>
      <c r="DJ25" s="2">
        <f t="shared" si="15"/>
        <v>5341</v>
      </c>
      <c r="DM25" s="2">
        <f t="shared" si="16"/>
        <v>13.8578947368421</v>
      </c>
      <c r="DN25" s="2">
        <f t="shared" si="16"/>
        <v>13.8578947368421</v>
      </c>
      <c r="DO25" s="2">
        <f t="shared" si="16"/>
        <v>13.7921052631579</v>
      </c>
      <c r="DP25" s="2">
        <f t="shared" si="16"/>
        <v>14.0552631578947</v>
      </c>
      <c r="DQ25" s="2">
        <f>SUMPRODUCT(DM25:DP25,BS16:BV16)/SUM(BS16:BV16)</f>
        <v>13.8951627623973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>
        <v>0</v>
      </c>
      <c r="F26" s="9">
        <v>136</v>
      </c>
      <c r="G26" s="9">
        <v>129</v>
      </c>
      <c r="H26" s="19">
        <v>0.0608</v>
      </c>
      <c r="I26" s="9">
        <v>1</v>
      </c>
      <c r="J26" s="9">
        <v>0</v>
      </c>
      <c r="K26" s="9">
        <v>6</v>
      </c>
      <c r="L26" s="10"/>
      <c r="M26" s="39">
        <f>AF66-AF106</f>
        <v>141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第十二期!BV57-第十二期!BV76</f>
        <v>6500440.361875</v>
      </c>
      <c r="AJ26" s="65">
        <f>第十二期!K9</f>
        <v>270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第十二期!DB50</f>
        <v>1951.53876571005</v>
      </c>
      <c r="AQ26" s="177"/>
      <c r="AR26" s="11">
        <v>18</v>
      </c>
      <c r="AS26" s="65">
        <f>SUM(AB148:AE148)*比赛参数!$D$26+SUM(AL148:AO148)*比赛参数!$E$26+SUM(AB171:AE171)*比赛参数!$F$26+SUM(AL171:AO171)*比赛参数!$G$26</f>
        <v>273270</v>
      </c>
      <c r="AT26" s="55">
        <f t="shared" si="3"/>
        <v>210.207692307692</v>
      </c>
      <c r="AU26" s="178">
        <f t="shared" si="4"/>
        <v>266877.3</v>
      </c>
      <c r="AV26" s="176">
        <f t="shared" si="5"/>
        <v>0.976606652761006</v>
      </c>
      <c r="AW26" s="175">
        <f t="shared" si="6"/>
        <v>7156663.7</v>
      </c>
      <c r="AX26" s="192">
        <f t="shared" si="7"/>
        <v>0.0372907420534515</v>
      </c>
      <c r="AY26" s="65">
        <f t="shared" si="8"/>
        <v>7400741</v>
      </c>
      <c r="AZ26" s="193">
        <f t="shared" si="9"/>
        <v>7423541</v>
      </c>
      <c r="BA26" s="65">
        <f t="shared" si="10"/>
        <v>22800</v>
      </c>
      <c r="BB26" s="65">
        <f>IF(BA26&lt;比赛参数!$K$34,0,IF(BA26&lt;比赛参数!$K$35,BA26/(1-比赛参数!$E$36),IF(BA26&lt;比赛参数!$K$36,BA26/(1-比赛参数!$E$34))))</f>
        <v>0</v>
      </c>
      <c r="BC26" s="65">
        <f t="shared" si="11"/>
        <v>244077.3</v>
      </c>
      <c r="BD26" s="101"/>
      <c r="BE26" s="65">
        <f t="shared" si="12"/>
        <v>244077.3</v>
      </c>
      <c r="BF26" s="176">
        <f t="shared" si="13"/>
        <v>0.893172686354155</v>
      </c>
      <c r="BQ26" s="177"/>
      <c r="BR26" s="201"/>
      <c r="BS26" s="198">
        <f>第十二期!Y18</f>
        <v>62</v>
      </c>
      <c r="BT26" s="198">
        <f>第十二期!AA18</f>
        <v>11</v>
      </c>
      <c r="BU26" s="198">
        <f>第十二期!AF18</f>
        <v>29</v>
      </c>
      <c r="BV26" s="204">
        <f>第十二期!AC18</f>
        <v>1848168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2824</v>
      </c>
      <c r="DA26" s="2">
        <f t="shared" si="14"/>
        <v>2962</v>
      </c>
      <c r="DB26" s="2">
        <f t="shared" si="14"/>
        <v>3018</v>
      </c>
      <c r="DC26" s="2">
        <f t="shared" si="14"/>
        <v>3118</v>
      </c>
      <c r="DF26" s="2" t="s">
        <v>41</v>
      </c>
      <c r="DG26" s="2">
        <f t="shared" si="15"/>
        <v>6893</v>
      </c>
      <c r="DH26" s="2">
        <f t="shared" si="15"/>
        <v>6893</v>
      </c>
      <c r="DI26" s="2">
        <f t="shared" si="15"/>
        <v>6993</v>
      </c>
      <c r="DJ26" s="2">
        <f t="shared" si="15"/>
        <v>7143</v>
      </c>
      <c r="DM26" s="2">
        <f t="shared" si="16"/>
        <v>13.2557692307692</v>
      </c>
      <c r="DN26" s="2">
        <f t="shared" si="16"/>
        <v>13.2557692307692</v>
      </c>
      <c r="DO26" s="2">
        <f t="shared" si="16"/>
        <v>13.4480769230769</v>
      </c>
      <c r="DP26" s="2">
        <f t="shared" si="16"/>
        <v>13.7365384615385</v>
      </c>
      <c r="DQ26" s="2">
        <f>SUMPRODUCT(DM26:DP26,BS17:BV17)/SUM(BS17:BV17)</f>
        <v>13.4410544511668</v>
      </c>
      <c r="DT26" s="127" t="s">
        <v>21</v>
      </c>
      <c r="DU26" s="251">
        <f>D42</f>
        <v>108</v>
      </c>
      <c r="DV26" s="270">
        <f>G42</f>
        <v>3</v>
      </c>
    </row>
    <row r="27" ht="17.1" spans="2:126">
      <c r="B27" s="7"/>
      <c r="C27" s="18">
        <v>1</v>
      </c>
      <c r="D27" s="18">
        <v>4</v>
      </c>
      <c r="E27" s="9">
        <v>0</v>
      </c>
      <c r="F27" s="9">
        <v>130</v>
      </c>
      <c r="G27" s="9">
        <v>130</v>
      </c>
      <c r="H27" s="19">
        <v>0.0616</v>
      </c>
      <c r="I27" s="9">
        <v>0</v>
      </c>
      <c r="J27" s="9">
        <v>0</v>
      </c>
      <c r="K27" s="9">
        <v>7</v>
      </c>
      <c r="L27" s="10"/>
      <c r="M27" s="39">
        <f>AF67-AF107</f>
        <v>142</v>
      </c>
      <c r="N27" s="35"/>
      <c r="O27" s="35"/>
      <c r="P27" s="35"/>
      <c r="Q27" s="45"/>
      <c r="U27" s="53"/>
      <c r="V27" s="54"/>
      <c r="W27" s="11">
        <v>1</v>
      </c>
      <c r="X27" s="55">
        <f t="shared" ref="X27:Z46" si="17">AT9</f>
        <v>176.646153846154</v>
      </c>
      <c r="Y27" s="118">
        <f t="shared" si="17"/>
        <v>986029.26</v>
      </c>
      <c r="Z27" s="119">
        <f t="shared" si="17"/>
        <v>4.29380447657203</v>
      </c>
      <c r="AA27" s="120">
        <f t="shared" ref="AA27:AA46" si="18">SUM(AB131:AE131)</f>
        <v>379</v>
      </c>
      <c r="AB27" s="121">
        <f t="shared" ref="AB27:AB46" si="19">SUM(AL131:AO131)</f>
        <v>228</v>
      </c>
      <c r="AC27" s="121">
        <f t="shared" ref="AC27:AC46" si="20">SUM(AB154:AE154)</f>
        <v>215</v>
      </c>
      <c r="AD27" s="122">
        <f t="shared" ref="AD27:AD46" si="21">SUM(AL154:AO154)</f>
        <v>102</v>
      </c>
      <c r="AE27" s="123">
        <f t="shared" ref="AE27:AG46" si="22">AB27/$AA27</f>
        <v>0.601583113456464</v>
      </c>
      <c r="AF27" s="124">
        <f t="shared" si="22"/>
        <v>0.567282321899736</v>
      </c>
      <c r="AG27" s="158">
        <f t="shared" si="22"/>
        <v>0.269129287598945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第十二期!DB51</f>
        <v>4097.5429315496</v>
      </c>
      <c r="AO27" s="179"/>
      <c r="AQ27" s="177"/>
      <c r="AR27" s="11">
        <v>19</v>
      </c>
      <c r="AS27" s="65">
        <f>SUM(AB149:AE149)*比赛参数!$D$26+SUM(AL149:AO149)*比赛参数!$E$26+SUM(AB172:AE172)*比赛参数!$F$26+SUM(AL172:AO172)*比赛参数!$G$26</f>
        <v>120730</v>
      </c>
      <c r="AT27" s="55">
        <f t="shared" si="3"/>
        <v>92.8692307692308</v>
      </c>
      <c r="AU27" s="175">
        <f t="shared" si="4"/>
        <v>-231666.35</v>
      </c>
      <c r="AV27" s="176">
        <f t="shared" si="5"/>
        <v>-1.91887973163257</v>
      </c>
      <c r="AW27" s="175">
        <f t="shared" si="6"/>
        <v>3284716.35</v>
      </c>
      <c r="AX27" s="192">
        <f t="shared" si="7"/>
        <v>-0.0705285709068912</v>
      </c>
      <c r="AY27" s="65">
        <f t="shared" si="8"/>
        <v>3053050</v>
      </c>
      <c r="AZ27" s="193">
        <f t="shared" si="9"/>
        <v>3053050</v>
      </c>
      <c r="BA27" s="65">
        <f t="shared" si="10"/>
        <v>0</v>
      </c>
      <c r="BB27" s="65">
        <f>IF(BA27&lt;比赛参数!$K$34,0,IF(BA27&lt;比赛参数!$K$35,BA27/(1-比赛参数!$E$36),IF(BA27&lt;比赛参数!$K$36,BA27/(1-比赛参数!$E$34))))</f>
        <v>0</v>
      </c>
      <c r="BC27" s="65">
        <f t="shared" si="11"/>
        <v>-231666.35</v>
      </c>
      <c r="BD27" s="101"/>
      <c r="BE27" s="65">
        <f t="shared" si="12"/>
        <v>-231666.35</v>
      </c>
      <c r="BF27" s="176">
        <f t="shared" si="13"/>
        <v>-1.91887973163257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101.449541284404</v>
      </c>
      <c r="CD27" s="107">
        <f t="shared" si="23"/>
        <v>564.387755102041</v>
      </c>
      <c r="CE27" s="107">
        <f t="shared" si="23"/>
        <v>1003.94736842105</v>
      </c>
      <c r="CF27" s="107">
        <f t="shared" si="23"/>
        <v>1181.5</v>
      </c>
      <c r="CG27" s="225"/>
      <c r="CH27" s="225"/>
      <c r="CI27" s="226" t="s">
        <v>55</v>
      </c>
      <c r="CJ27" s="110">
        <f t="shared" ref="CJ27:CM30" si="24">IF(AF64&gt;0,CJ19+CC27,0)</f>
        <v>1992.23830699446</v>
      </c>
      <c r="CK27" s="110">
        <f t="shared" si="24"/>
        <v>4603.93068665164</v>
      </c>
      <c r="CL27" s="110">
        <f t="shared" si="24"/>
        <v>7358.7250059881</v>
      </c>
      <c r="CM27" s="110">
        <f t="shared" si="24"/>
        <v>9391.35293304362</v>
      </c>
      <c r="CN27" s="48"/>
      <c r="CO27" s="239"/>
      <c r="DT27" s="271" t="s">
        <v>22</v>
      </c>
      <c r="DU27" s="251">
        <f>D43</f>
        <v>98</v>
      </c>
      <c r="DV27" s="270">
        <f>G43</f>
        <v>3</v>
      </c>
    </row>
    <row r="28" ht="17.1" spans="2:126">
      <c r="B28" s="7"/>
      <c r="C28" s="18">
        <v>2</v>
      </c>
      <c r="D28" s="18">
        <v>1</v>
      </c>
      <c r="E28" s="9">
        <v>0</v>
      </c>
      <c r="F28" s="9">
        <v>55</v>
      </c>
      <c r="G28" s="9">
        <v>55</v>
      </c>
      <c r="H28" s="19">
        <v>0.0542</v>
      </c>
      <c r="I28" s="9">
        <v>0</v>
      </c>
      <c r="J28" s="9">
        <v>24</v>
      </c>
      <c r="K28" s="9">
        <v>3</v>
      </c>
      <c r="L28" s="10"/>
      <c r="M28" s="39">
        <f>AG64-AG104</f>
        <v>117</v>
      </c>
      <c r="N28" s="35"/>
      <c r="O28" s="35"/>
      <c r="P28" s="35"/>
      <c r="Q28" s="45"/>
      <c r="U28" s="53"/>
      <c r="V28" s="54"/>
      <c r="W28" s="11">
        <v>2</v>
      </c>
      <c r="X28" s="55">
        <f t="shared" si="17"/>
        <v>214.569230769231</v>
      </c>
      <c r="Y28" s="118">
        <f t="shared" si="17"/>
        <v>738454.95</v>
      </c>
      <c r="Z28" s="119">
        <f t="shared" si="17"/>
        <v>2.64736126048613</v>
      </c>
      <c r="AA28" s="120">
        <f t="shared" si="18"/>
        <v>209</v>
      </c>
      <c r="AB28" s="121">
        <f t="shared" si="19"/>
        <v>212</v>
      </c>
      <c r="AC28" s="121">
        <f t="shared" si="20"/>
        <v>244</v>
      </c>
      <c r="AD28" s="122">
        <f t="shared" si="21"/>
        <v>216</v>
      </c>
      <c r="AE28" s="123">
        <f t="shared" si="22"/>
        <v>1.01435406698565</v>
      </c>
      <c r="AF28" s="124">
        <f t="shared" si="22"/>
        <v>1.16746411483254</v>
      </c>
      <c r="AG28" s="158">
        <f t="shared" si="22"/>
        <v>1.03349282296651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第十二期!DB52</f>
        <v>6411.27763756705</v>
      </c>
      <c r="AQ28" s="177"/>
      <c r="AR28" s="11">
        <v>20</v>
      </c>
      <c r="AS28" s="65">
        <f>SUM(AB150:AE150)*比赛参数!$D$26+SUM(AL150:AO150)*比赛参数!$E$26+SUM(AB173:AE173)*比赛参数!$F$26+SUM(AL173:AO173)*比赛参数!$G$26</f>
        <v>0</v>
      </c>
      <c r="AT28" s="55">
        <f t="shared" si="3"/>
        <v>0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>
        <f t="shared" si="8"/>
        <v>0</v>
      </c>
      <c r="AZ28" s="193">
        <f t="shared" si="9"/>
        <v>0</v>
      </c>
      <c r="BA28" s="65">
        <f t="shared" si="10"/>
        <v>0</v>
      </c>
      <c r="BB28" s="65">
        <f>IF(BA28&lt;比赛参数!$K$34,0,IF(BA28&lt;比赛参数!$K$35,BA28/(1-比赛参数!$E$36),IF(BA28&lt;比赛参数!$K$36,BA28/(1-比赛参数!$E$34))))</f>
        <v>0</v>
      </c>
      <c r="BC28" s="65">
        <f t="shared" si="11"/>
        <v>0</v>
      </c>
      <c r="BD28" s="101"/>
      <c r="BE28" s="65">
        <f t="shared" si="12"/>
        <v>0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53.8256880733945</v>
      </c>
      <c r="CD28" s="107">
        <f t="shared" si="23"/>
        <v>456.020408163265</v>
      </c>
      <c r="CE28" s="107">
        <f t="shared" si="23"/>
        <v>848.810810810811</v>
      </c>
      <c r="CF28" s="107">
        <f t="shared" si="23"/>
        <v>981</v>
      </c>
      <c r="CG28" s="225"/>
      <c r="CH28" s="225"/>
      <c r="CI28" s="227" t="s">
        <v>56</v>
      </c>
      <c r="CJ28" s="110">
        <f t="shared" si="24"/>
        <v>1903.61445378345</v>
      </c>
      <c r="CK28" s="110">
        <f t="shared" si="24"/>
        <v>4411.56333971287</v>
      </c>
      <c r="CL28" s="110">
        <f t="shared" si="24"/>
        <v>7091.58844837786</v>
      </c>
      <c r="CM28" s="110">
        <f t="shared" si="24"/>
        <v>9052.85293304362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36</v>
      </c>
      <c r="DV28" s="270">
        <f>G44</f>
        <v>2</v>
      </c>
    </row>
    <row r="29" ht="16.35" spans="2:126">
      <c r="B29" s="7"/>
      <c r="C29" s="18">
        <v>2</v>
      </c>
      <c r="D29" s="18">
        <v>2</v>
      </c>
      <c r="E29" s="9">
        <v>0</v>
      </c>
      <c r="F29" s="9">
        <v>56</v>
      </c>
      <c r="G29" s="9">
        <v>56</v>
      </c>
      <c r="H29" s="19">
        <v>0.0548</v>
      </c>
      <c r="I29" s="9">
        <v>0</v>
      </c>
      <c r="J29" s="9">
        <v>17</v>
      </c>
      <c r="K29" s="9">
        <v>3</v>
      </c>
      <c r="L29" s="10"/>
      <c r="M29" s="39">
        <f>AG65-AG105</f>
        <v>110</v>
      </c>
      <c r="N29" s="35"/>
      <c r="O29" s="35"/>
      <c r="P29" s="35"/>
      <c r="Q29" s="45"/>
      <c r="U29" s="53"/>
      <c r="V29" s="56"/>
      <c r="W29" s="11">
        <v>3</v>
      </c>
      <c r="X29" s="55">
        <f t="shared" si="17"/>
        <v>155.723076923077</v>
      </c>
      <c r="Y29" s="118">
        <f t="shared" si="17"/>
        <v>1068704.31</v>
      </c>
      <c r="Z29" s="119">
        <f t="shared" si="17"/>
        <v>5.27911633076467</v>
      </c>
      <c r="AA29" s="120">
        <f t="shared" si="18"/>
        <v>493</v>
      </c>
      <c r="AB29" s="121">
        <f t="shared" si="19"/>
        <v>184</v>
      </c>
      <c r="AC29" s="121">
        <f t="shared" si="20"/>
        <v>115</v>
      </c>
      <c r="AD29" s="122">
        <f t="shared" si="21"/>
        <v>122</v>
      </c>
      <c r="AE29" s="123">
        <f t="shared" si="22"/>
        <v>0.373225152129817</v>
      </c>
      <c r="AF29" s="124">
        <f t="shared" si="22"/>
        <v>0.233265720081136</v>
      </c>
      <c r="AG29" s="158">
        <f t="shared" si="22"/>
        <v>0.247464503042596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第十二期!DB53</f>
        <v>8290.85293304362</v>
      </c>
      <c r="BQ29" s="177"/>
      <c r="BR29" s="201"/>
      <c r="BS29" s="204">
        <f>第十二期!AH14</f>
        <v>3102519</v>
      </c>
      <c r="BT29" s="204">
        <f>第十二期!AH15</f>
        <v>678766</v>
      </c>
      <c r="BU29" s="198">
        <f>第十二期!AF20</f>
        <v>0</v>
      </c>
      <c r="BV29" s="204">
        <f>第十二期!AJ18</f>
        <v>0</v>
      </c>
      <c r="BW29" s="218">
        <f>第十二期!AH18</f>
        <v>1</v>
      </c>
      <c r="BX29" s="215"/>
      <c r="CA29" s="213"/>
      <c r="CB29" s="196" t="s">
        <v>57</v>
      </c>
      <c r="CC29" s="107">
        <f t="shared" si="23"/>
        <v>227.51677852349</v>
      </c>
      <c r="CD29" s="107">
        <f t="shared" si="23"/>
        <v>682.191780821918</v>
      </c>
      <c r="CE29" s="107">
        <f t="shared" si="23"/>
        <v>1126.5306122449</v>
      </c>
      <c r="CF29" s="107">
        <f t="shared" si="23"/>
        <v>1367.34693877551</v>
      </c>
      <c r="CG29" s="225"/>
      <c r="CH29" s="225"/>
      <c r="CI29" s="227" t="s">
        <v>57</v>
      </c>
      <c r="CJ29" s="110">
        <f t="shared" si="24"/>
        <v>2235.30554423354</v>
      </c>
      <c r="CK29" s="110">
        <f t="shared" si="24"/>
        <v>4854.73471237152</v>
      </c>
      <c r="CL29" s="110">
        <f t="shared" si="24"/>
        <v>7625.30824981195</v>
      </c>
      <c r="CM29" s="110">
        <f t="shared" si="24"/>
        <v>9783.19987181913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5.5976923076923</v>
      </c>
      <c r="DA29" s="2">
        <f t="shared" si="25"/>
        <v>6.0076923076923</v>
      </c>
      <c r="DB29" s="2">
        <f t="shared" si="25"/>
        <v>6.9276923076923</v>
      </c>
      <c r="DC29" s="2">
        <f t="shared" si="25"/>
        <v>7.4276923076923</v>
      </c>
      <c r="DD29" s="2">
        <f>SUMPRODUCT(CZ29:DC29,BS14:BV14)/SUM(BS14:BV14)</f>
        <v>6.59678145497913</v>
      </c>
      <c r="DF29" s="2" t="s">
        <v>38</v>
      </c>
      <c r="DG29" s="2">
        <f t="shared" ref="DG29:DJ32" si="26">DG23/CS23</f>
        <v>13.495</v>
      </c>
      <c r="DH29" s="2">
        <f t="shared" si="26"/>
        <v>13.495</v>
      </c>
      <c r="DI29" s="2">
        <f t="shared" si="26"/>
        <v>14.37</v>
      </c>
      <c r="DJ29" s="2">
        <f t="shared" si="26"/>
        <v>15.37</v>
      </c>
      <c r="DK29" s="2">
        <f>SUMPRODUCT(DG29:DJ29,BS14:BV14)/SUM(BS14:BV14)</f>
        <v>14.2890891472868</v>
      </c>
      <c r="DM29" s="2">
        <f t="shared" ref="DM29:DP32" si="27">DG23/CS29</f>
        <v>11.2458333333333</v>
      </c>
      <c r="DN29" s="2">
        <f t="shared" si="27"/>
        <v>11.2458333333333</v>
      </c>
      <c r="DO29" s="2">
        <f t="shared" si="27"/>
        <v>11.975</v>
      </c>
      <c r="DP29" s="2">
        <f t="shared" si="27"/>
        <v>12.8083333333333</v>
      </c>
      <c r="DQ29" s="2">
        <f>SUMPRODUCT(DM29:DP29,BS14:BV14)/SUM(BS14:BV14)</f>
        <v>11.9075742894057</v>
      </c>
      <c r="DT29" s="127" t="s">
        <v>24</v>
      </c>
      <c r="DU29" s="251">
        <f>D45</f>
        <v>40</v>
      </c>
      <c r="DV29" s="270">
        <f>G45</f>
        <v>2</v>
      </c>
    </row>
    <row r="30" ht="16.35" spans="2:121">
      <c r="B30" s="7"/>
      <c r="C30" s="18">
        <v>2</v>
      </c>
      <c r="D30" s="18">
        <v>3</v>
      </c>
      <c r="E30" s="9">
        <v>0</v>
      </c>
      <c r="F30" s="9">
        <v>92</v>
      </c>
      <c r="G30" s="9">
        <v>92</v>
      </c>
      <c r="H30" s="19">
        <v>0.0735</v>
      </c>
      <c r="I30" s="9">
        <v>0</v>
      </c>
      <c r="J30" s="9">
        <v>26</v>
      </c>
      <c r="K30" s="9">
        <v>6</v>
      </c>
      <c r="L30" s="10"/>
      <c r="M30" s="39">
        <f>AG66-AG106</f>
        <v>165</v>
      </c>
      <c r="N30" s="35"/>
      <c r="O30" s="35"/>
      <c r="P30" s="35"/>
      <c r="Q30" s="45"/>
      <c r="U30" s="53"/>
      <c r="V30" s="54"/>
      <c r="W30" s="11">
        <v>4</v>
      </c>
      <c r="X30" s="55">
        <f t="shared" si="17"/>
        <v>172.969230769231</v>
      </c>
      <c r="Y30" s="118">
        <f t="shared" si="17"/>
        <v>804166.05</v>
      </c>
      <c r="Z30" s="119">
        <f t="shared" si="17"/>
        <v>3.57629658454149</v>
      </c>
      <c r="AA30" s="120">
        <f t="shared" si="18"/>
        <v>487</v>
      </c>
      <c r="AB30" s="121">
        <f t="shared" si="19"/>
        <v>202</v>
      </c>
      <c r="AC30" s="121">
        <f t="shared" si="20"/>
        <v>161</v>
      </c>
      <c r="AD30" s="122">
        <f t="shared" si="21"/>
        <v>124</v>
      </c>
      <c r="AE30" s="123">
        <f t="shared" si="22"/>
        <v>0.414784394250513</v>
      </c>
      <c r="AF30" s="124">
        <f t="shared" si="22"/>
        <v>0.330595482546201</v>
      </c>
      <c r="AG30" s="158">
        <f t="shared" si="22"/>
        <v>0.254620123203285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283.557046979866</v>
      </c>
      <c r="CD30" s="107">
        <f t="shared" si="23"/>
        <v>739.041095890411</v>
      </c>
      <c r="CE30" s="107">
        <f t="shared" si="23"/>
        <v>1196.9387755102</v>
      </c>
      <c r="CF30" s="107">
        <f t="shared" si="23"/>
        <v>1447.95918367347</v>
      </c>
      <c r="CG30" s="225"/>
      <c r="CH30" s="225"/>
      <c r="CI30" s="227" t="s">
        <v>58</v>
      </c>
      <c r="CJ30" s="110">
        <f t="shared" si="24"/>
        <v>2341.34581268992</v>
      </c>
      <c r="CK30" s="110">
        <f t="shared" si="24"/>
        <v>4961.58402744001</v>
      </c>
      <c r="CL30" s="110">
        <f t="shared" si="24"/>
        <v>7745.71641307725</v>
      </c>
      <c r="CM30" s="110">
        <f t="shared" si="24"/>
        <v>9913.81211671709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3.59969230769231</v>
      </c>
      <c r="DA30" s="2">
        <f t="shared" si="25"/>
        <v>3.93569230769231</v>
      </c>
      <c r="DB30" s="2">
        <f t="shared" si="25"/>
        <v>3.86769230769231</v>
      </c>
      <c r="DC30" s="2">
        <f t="shared" si="25"/>
        <v>4.06769230769231</v>
      </c>
      <c r="DD30" s="2">
        <f>SUMPRODUCT(CZ30:DC30,BS15:BV15)/SUM(BS15:BV15)</f>
        <v>3.88736443883985</v>
      </c>
      <c r="DF30" s="2" t="s">
        <v>39</v>
      </c>
      <c r="DG30" s="2">
        <f t="shared" si="26"/>
        <v>11.46</v>
      </c>
      <c r="DH30" s="2">
        <f t="shared" si="26"/>
        <v>11.46</v>
      </c>
      <c r="DI30" s="2">
        <f t="shared" si="26"/>
        <v>11.46</v>
      </c>
      <c r="DJ30" s="2">
        <f t="shared" si="26"/>
        <v>11.86</v>
      </c>
      <c r="DK30" s="2">
        <f>SUMPRODUCT(DG30:DJ30,BS15:BV15)/SUM(BS15:BV15)</f>
        <v>11.5796721311475</v>
      </c>
      <c r="DM30" s="2">
        <f t="shared" si="27"/>
        <v>19.1</v>
      </c>
      <c r="DN30" s="2">
        <f t="shared" si="27"/>
        <v>19.1</v>
      </c>
      <c r="DO30" s="2">
        <f t="shared" si="27"/>
        <v>19.1</v>
      </c>
      <c r="DP30" s="2">
        <f t="shared" si="27"/>
        <v>19.7666666666667</v>
      </c>
      <c r="DQ30" s="2">
        <f>SUMPRODUCT(DM30:DP30,BS15:BV15)/SUM(BS15:BV15)</f>
        <v>19.2994535519126</v>
      </c>
    </row>
    <row r="31" ht="16.35" spans="2:138">
      <c r="B31" s="7"/>
      <c r="C31" s="18">
        <v>2</v>
      </c>
      <c r="D31" s="18">
        <v>4</v>
      </c>
      <c r="E31" s="9">
        <v>0</v>
      </c>
      <c r="F31" s="9">
        <v>89</v>
      </c>
      <c r="G31" s="9">
        <v>89</v>
      </c>
      <c r="H31" s="19">
        <v>0.0701</v>
      </c>
      <c r="I31" s="9">
        <v>0</v>
      </c>
      <c r="J31" s="9">
        <v>21</v>
      </c>
      <c r="K31" s="9">
        <v>5</v>
      </c>
      <c r="L31" s="10"/>
      <c r="M31" s="39">
        <f>AG67-AG107</f>
        <v>160</v>
      </c>
      <c r="N31" s="35"/>
      <c r="O31" s="35"/>
      <c r="P31" s="35"/>
      <c r="Q31" s="45"/>
      <c r="U31" s="53"/>
      <c r="V31" s="54"/>
      <c r="W31" s="11">
        <v>5</v>
      </c>
      <c r="X31" s="55">
        <f t="shared" si="17"/>
        <v>204.176923076923</v>
      </c>
      <c r="Y31" s="118">
        <f t="shared" si="17"/>
        <v>1084843.71</v>
      </c>
      <c r="Z31" s="119">
        <f t="shared" si="17"/>
        <v>4.08711792186264</v>
      </c>
      <c r="AA31" s="120">
        <f t="shared" si="18"/>
        <v>407</v>
      </c>
      <c r="AB31" s="121">
        <f t="shared" si="19"/>
        <v>335</v>
      </c>
      <c r="AC31" s="121">
        <f t="shared" si="20"/>
        <v>215</v>
      </c>
      <c r="AD31" s="122">
        <f t="shared" si="21"/>
        <v>114</v>
      </c>
      <c r="AE31" s="123">
        <f t="shared" si="22"/>
        <v>0.823095823095823</v>
      </c>
      <c r="AF31" s="124">
        <f t="shared" si="22"/>
        <v>0.528255528255528</v>
      </c>
      <c r="AG31" s="158">
        <f t="shared" si="22"/>
        <v>0.28009828009828</v>
      </c>
      <c r="AL31" s="156">
        <f>Y20/AA20/2</f>
        <v>0.641666666666667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6.01821862348178</v>
      </c>
      <c r="DA31" s="2">
        <f t="shared" si="25"/>
        <v>6.31295546558705</v>
      </c>
      <c r="DB31" s="2">
        <f t="shared" si="25"/>
        <v>6.16558704453441</v>
      </c>
      <c r="DC31" s="2">
        <f t="shared" si="25"/>
        <v>6.29716599190283</v>
      </c>
      <c r="DD31" s="2">
        <f>SUMPRODUCT(CZ31:DC31,BS16:BV16)/SUM(BS16:BV16)</f>
        <v>6.20200322950551</v>
      </c>
      <c r="DF31" s="2" t="s">
        <v>40</v>
      </c>
      <c r="DG31" s="2">
        <f t="shared" si="26"/>
        <v>13.8578947368421</v>
      </c>
      <c r="DH31" s="2">
        <f t="shared" si="26"/>
        <v>13.8578947368421</v>
      </c>
      <c r="DI31" s="2">
        <f t="shared" si="26"/>
        <v>13.7921052631579</v>
      </c>
      <c r="DJ31" s="2">
        <f t="shared" si="26"/>
        <v>14.0552631578947</v>
      </c>
      <c r="DK31" s="2">
        <f>SUMPRODUCT(DG31:DJ31,BS16:BV16)/SUM(BS16:BV16)</f>
        <v>13.8951627623973</v>
      </c>
      <c r="DM31" s="2">
        <f t="shared" si="27"/>
        <v>32.9125</v>
      </c>
      <c r="DN31" s="2">
        <f t="shared" si="27"/>
        <v>32.9125</v>
      </c>
      <c r="DO31" s="2">
        <f t="shared" si="27"/>
        <v>32.75625</v>
      </c>
      <c r="DP31" s="2">
        <f t="shared" si="27"/>
        <v>33.38125</v>
      </c>
      <c r="DQ31" s="2">
        <f>SUMPRODUCT(DM31:DP31,BS16:BV16)/SUM(BS16:BV16)</f>
        <v>33.0010115606936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>
        <v>0</v>
      </c>
      <c r="F32" s="9">
        <v>18</v>
      </c>
      <c r="G32" s="9">
        <v>18</v>
      </c>
      <c r="H32" s="19">
        <v>0.0314</v>
      </c>
      <c r="I32" s="9">
        <v>0</v>
      </c>
      <c r="J32" s="9">
        <v>5</v>
      </c>
      <c r="K32" s="9">
        <v>1</v>
      </c>
      <c r="L32" s="10"/>
      <c r="M32" s="39">
        <f>AH64-AH104</f>
        <v>41</v>
      </c>
      <c r="N32" s="35"/>
      <c r="O32" s="35"/>
      <c r="P32" s="35"/>
      <c r="Q32" s="45"/>
      <c r="U32" s="53"/>
      <c r="V32" s="54"/>
      <c r="W32" s="11">
        <v>6</v>
      </c>
      <c r="X32" s="55">
        <f t="shared" si="17"/>
        <v>10.3</v>
      </c>
      <c r="Y32" s="118">
        <f t="shared" si="17"/>
        <v>-3116261.82</v>
      </c>
      <c r="Z32" s="119">
        <f t="shared" si="17"/>
        <v>-232.730531740105</v>
      </c>
      <c r="AA32" s="120">
        <f t="shared" si="18"/>
        <v>85</v>
      </c>
      <c r="AB32" s="121">
        <f t="shared" si="19"/>
        <v>15</v>
      </c>
      <c r="AC32" s="121">
        <f t="shared" si="20"/>
        <v>3</v>
      </c>
      <c r="AD32" s="122">
        <f t="shared" si="21"/>
        <v>0</v>
      </c>
      <c r="AE32" s="123">
        <f t="shared" si="22"/>
        <v>0.176470588235294</v>
      </c>
      <c r="AF32" s="124">
        <f t="shared" si="22"/>
        <v>0.0352941176470588</v>
      </c>
      <c r="AG32" s="158">
        <f t="shared" si="22"/>
        <v>0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5.43076923076923</v>
      </c>
      <c r="DA32" s="2">
        <f t="shared" si="25"/>
        <v>5.69615384615385</v>
      </c>
      <c r="DB32" s="2">
        <f t="shared" si="25"/>
        <v>5.80384615384615</v>
      </c>
      <c r="DC32" s="2">
        <f t="shared" si="25"/>
        <v>5.99615384615385</v>
      </c>
      <c r="DD32" s="2">
        <f>SUMPRODUCT(CZ32:DC32,BS17:BV17)/SUM(BS17:BV17)</f>
        <v>5.74874675885912</v>
      </c>
      <c r="DF32" s="2" t="s">
        <v>41</v>
      </c>
      <c r="DG32" s="2">
        <f t="shared" si="26"/>
        <v>13.2557692307692</v>
      </c>
      <c r="DH32" s="2">
        <f t="shared" si="26"/>
        <v>13.2557692307692</v>
      </c>
      <c r="DI32" s="2">
        <f t="shared" si="26"/>
        <v>13.4480769230769</v>
      </c>
      <c r="DJ32" s="2">
        <f t="shared" si="26"/>
        <v>13.7365384615385</v>
      </c>
      <c r="DK32" s="2">
        <f>SUMPRODUCT(DG32:DJ32,BS17:BV17)/SUM(BS17:BV17)</f>
        <v>13.4410544511668</v>
      </c>
      <c r="DM32" s="2">
        <f t="shared" si="27"/>
        <v>38.2944444444444</v>
      </c>
      <c r="DN32" s="2">
        <f t="shared" si="27"/>
        <v>38.2944444444444</v>
      </c>
      <c r="DO32" s="2">
        <f t="shared" si="27"/>
        <v>38.85</v>
      </c>
      <c r="DP32" s="2">
        <f t="shared" si="27"/>
        <v>39.6833333333333</v>
      </c>
      <c r="DQ32" s="2">
        <f>SUMPRODUCT(DM32:DP32,BS17:BV17)/SUM(BS17:BV17)</f>
        <v>38.8297128589263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>
        <v>0</v>
      </c>
      <c r="F33" s="9">
        <v>19</v>
      </c>
      <c r="G33" s="9">
        <v>19</v>
      </c>
      <c r="H33" s="19">
        <v>0.0328</v>
      </c>
      <c r="I33" s="9">
        <v>0</v>
      </c>
      <c r="J33" s="9">
        <v>7</v>
      </c>
      <c r="K33" s="9">
        <v>1</v>
      </c>
      <c r="L33" s="10"/>
      <c r="M33" s="39">
        <f>AH65-AH105</f>
        <v>42</v>
      </c>
      <c r="N33" s="35"/>
      <c r="O33" s="35"/>
      <c r="P33" s="35"/>
      <c r="Q33" s="45"/>
      <c r="U33" s="53"/>
      <c r="V33" s="54"/>
      <c r="W33" s="11">
        <v>7</v>
      </c>
      <c r="X33" s="55">
        <f t="shared" si="17"/>
        <v>201.238461538462</v>
      </c>
      <c r="Y33" s="118">
        <f t="shared" si="17"/>
        <v>1057715.15</v>
      </c>
      <c r="Z33" s="119">
        <f t="shared" si="17"/>
        <v>4.04309907878139</v>
      </c>
      <c r="AA33" s="120">
        <f t="shared" si="18"/>
        <v>242</v>
      </c>
      <c r="AB33" s="121">
        <f t="shared" si="19"/>
        <v>223</v>
      </c>
      <c r="AC33" s="121">
        <f t="shared" si="20"/>
        <v>177</v>
      </c>
      <c r="AD33" s="122">
        <f t="shared" si="21"/>
        <v>220</v>
      </c>
      <c r="AE33" s="123">
        <f t="shared" si="22"/>
        <v>0.921487603305785</v>
      </c>
      <c r="AF33" s="124">
        <f t="shared" si="22"/>
        <v>0.731404958677686</v>
      </c>
      <c r="AG33" s="158">
        <f t="shared" si="22"/>
        <v>0.909090909090909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>
        <f t="shared" ref="AS33:BH48" si="28">IF(D73="","",D73)</f>
        <v>0.0466</v>
      </c>
      <c r="AT33" s="187">
        <f t="shared" si="28"/>
        <v>0.0504</v>
      </c>
      <c r="AU33" s="187">
        <f t="shared" si="28"/>
        <v>0.0509</v>
      </c>
      <c r="AV33" s="188">
        <f t="shared" si="28"/>
        <v>0.0592</v>
      </c>
      <c r="AW33" s="186">
        <f t="shared" si="28"/>
        <v>0.0562</v>
      </c>
      <c r="AX33" s="187">
        <f t="shared" si="28"/>
        <v>0.0577</v>
      </c>
      <c r="AY33" s="187">
        <f t="shared" si="28"/>
        <v>0.0416</v>
      </c>
      <c r="AZ33" s="188">
        <f t="shared" si="28"/>
        <v>0.0473</v>
      </c>
      <c r="BA33" s="186">
        <f t="shared" si="28"/>
        <v>0.0803</v>
      </c>
      <c r="BB33" s="187">
        <f t="shared" si="28"/>
        <v>0.081</v>
      </c>
      <c r="BC33" s="187">
        <f t="shared" si="28"/>
        <v>0.0818</v>
      </c>
      <c r="BD33" s="188">
        <f t="shared" si="28"/>
        <v>0.0944</v>
      </c>
      <c r="BE33" s="186">
        <f t="shared" si="28"/>
        <v>0.0384</v>
      </c>
      <c r="BF33" s="187">
        <f t="shared" si="28"/>
        <v>0.0375</v>
      </c>
      <c r="BG33" s="187">
        <f t="shared" si="28"/>
        <v>0.0458</v>
      </c>
      <c r="BH33" s="188">
        <f t="shared" si="28"/>
        <v>0.047</v>
      </c>
      <c r="BX33" s="215"/>
      <c r="CA33" s="213"/>
      <c r="CB33" s="196" t="s">
        <v>304</v>
      </c>
      <c r="CC33" s="230">
        <f t="shared" ref="CC33:CF35" si="29">CC70</f>
        <v>1409.78736597719</v>
      </c>
      <c r="CD33" s="230">
        <f t="shared" si="29"/>
        <v>2381.13641627649</v>
      </c>
      <c r="CE33" s="230">
        <f t="shared" si="29"/>
        <v>3766.76246938482</v>
      </c>
      <c r="CF33" s="230">
        <f t="shared" si="29"/>
        <v>5005.91177283873</v>
      </c>
      <c r="CG33" s="225"/>
      <c r="CH33" s="225"/>
      <c r="CI33" s="197" t="s">
        <v>55</v>
      </c>
      <c r="CJ33" s="231">
        <f t="shared" ref="CJ33:CM36" si="30">IF(CJ27&gt;0,(AF76-CJ27)/CJ27,0)</f>
        <v>0.606233545839005</v>
      </c>
      <c r="CK33" s="231">
        <f t="shared" si="30"/>
        <v>0.379256212177739</v>
      </c>
      <c r="CL33" s="231">
        <f t="shared" si="30"/>
        <v>0.365725719037183</v>
      </c>
      <c r="CM33" s="231">
        <f t="shared" si="30"/>
        <v>0.389576144464061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3230</v>
      </c>
      <c r="DT33" s="37">
        <f t="shared" si="31"/>
        <v>3230</v>
      </c>
      <c r="DU33" s="37">
        <f t="shared" si="31"/>
        <v>3480</v>
      </c>
      <c r="DV33" s="37">
        <f t="shared" si="31"/>
        <v>3580</v>
      </c>
      <c r="DW33" s="37">
        <f t="shared" si="31"/>
        <v>6750</v>
      </c>
      <c r="DX33" s="37">
        <f t="shared" si="31"/>
        <v>6750</v>
      </c>
      <c r="DY33" s="37">
        <f t="shared" si="31"/>
        <v>7000</v>
      </c>
      <c r="DZ33" s="37">
        <f t="shared" si="31"/>
        <v>7100</v>
      </c>
      <c r="EA33" s="37">
        <f t="shared" si="31"/>
        <v>10200</v>
      </c>
      <c r="EB33" s="37">
        <f t="shared" si="31"/>
        <v>10200</v>
      </c>
      <c r="EC33" s="37">
        <f t="shared" si="31"/>
        <v>10300</v>
      </c>
      <c r="ED33" s="37">
        <f t="shared" si="31"/>
        <v>10500</v>
      </c>
      <c r="EE33" s="37">
        <f t="shared" si="31"/>
        <v>13100</v>
      </c>
      <c r="EF33" s="37">
        <f t="shared" si="31"/>
        <v>13100</v>
      </c>
      <c r="EG33" s="37">
        <f t="shared" si="31"/>
        <v>13500</v>
      </c>
      <c r="EH33" s="37">
        <f t="shared" si="31"/>
        <v>13650</v>
      </c>
    </row>
    <row r="34" ht="16.35" spans="2:110">
      <c r="B34" s="7"/>
      <c r="C34" s="18">
        <v>3</v>
      </c>
      <c r="D34" s="18">
        <v>3</v>
      </c>
      <c r="E34" s="9">
        <v>0</v>
      </c>
      <c r="F34" s="9">
        <v>38</v>
      </c>
      <c r="G34" s="9">
        <v>38</v>
      </c>
      <c r="H34" s="19">
        <v>0.0555</v>
      </c>
      <c r="I34" s="9">
        <v>0</v>
      </c>
      <c r="J34" s="9">
        <v>0</v>
      </c>
      <c r="K34" s="9">
        <v>2</v>
      </c>
      <c r="L34" s="10"/>
      <c r="M34" s="39">
        <f>AH66-AH106</f>
        <v>47</v>
      </c>
      <c r="N34" s="35"/>
      <c r="O34" s="35"/>
      <c r="P34" s="35"/>
      <c r="Q34" s="45"/>
      <c r="U34" s="53"/>
      <c r="V34" s="54"/>
      <c r="W34" s="11">
        <v>8</v>
      </c>
      <c r="X34" s="55">
        <f t="shared" si="17"/>
        <v>193.438461538462</v>
      </c>
      <c r="Y34" s="118">
        <f t="shared" si="17"/>
        <v>670690.73</v>
      </c>
      <c r="Z34" s="119">
        <f t="shared" si="17"/>
        <v>2.66708048673798</v>
      </c>
      <c r="AA34" s="120">
        <f t="shared" si="18"/>
        <v>136</v>
      </c>
      <c r="AB34" s="121">
        <f t="shared" si="19"/>
        <v>185</v>
      </c>
      <c r="AC34" s="121">
        <f t="shared" si="20"/>
        <v>247</v>
      </c>
      <c r="AD34" s="122">
        <f t="shared" si="21"/>
        <v>188</v>
      </c>
      <c r="AE34" s="123">
        <f t="shared" si="22"/>
        <v>1.36029411764706</v>
      </c>
      <c r="AF34" s="124">
        <f t="shared" si="22"/>
        <v>1.81617647058824</v>
      </c>
      <c r="AG34" s="158">
        <f t="shared" si="22"/>
        <v>1.38235294117647</v>
      </c>
      <c r="AI34" s="64" t="s">
        <v>38</v>
      </c>
      <c r="AJ34" s="163"/>
      <c r="AK34" s="164">
        <f>IF(AM34=1,CK70-CJ70,IF(AM34=2,CL70-CK70,IF(AM34=3,CM70-CL70,IF(AM34=4,CN70-CM70,0))))</f>
        <v>100000</v>
      </c>
      <c r="AL34" s="162"/>
      <c r="AM34" s="65">
        <f>INT(第十二期!DV26)</f>
        <v>3</v>
      </c>
      <c r="AN34" s="126"/>
      <c r="AR34" s="185">
        <v>2</v>
      </c>
      <c r="AS34" s="186">
        <f t="shared" si="28"/>
        <v>0.0262</v>
      </c>
      <c r="AT34" s="187">
        <f t="shared" si="28"/>
        <v>0.0275</v>
      </c>
      <c r="AU34" s="187">
        <f t="shared" si="28"/>
        <v>0.0254</v>
      </c>
      <c r="AV34" s="188">
        <f t="shared" si="28"/>
        <v>0.035</v>
      </c>
      <c r="AW34" s="186">
        <f t="shared" si="28"/>
        <v>0.0523</v>
      </c>
      <c r="AX34" s="187">
        <f t="shared" si="28"/>
        <v>0.0538</v>
      </c>
      <c r="AY34" s="187">
        <f t="shared" si="28"/>
        <v>0.0416</v>
      </c>
      <c r="AZ34" s="188">
        <f t="shared" si="28"/>
        <v>0.041</v>
      </c>
      <c r="BA34" s="186">
        <f t="shared" si="28"/>
        <v>0.1361</v>
      </c>
      <c r="BB34" s="187">
        <f t="shared" si="28"/>
        <v>0.1379</v>
      </c>
      <c r="BC34" s="187">
        <f t="shared" si="28"/>
        <v>0.0584</v>
      </c>
      <c r="BD34" s="188">
        <f t="shared" si="28"/>
        <v>0.0658</v>
      </c>
      <c r="BE34" s="186">
        <f t="shared" si="28"/>
        <v>0.1135</v>
      </c>
      <c r="BF34" s="187">
        <f t="shared" si="28"/>
        <v>0.1091</v>
      </c>
      <c r="BG34" s="187">
        <f t="shared" si="28"/>
        <v>0.0784</v>
      </c>
      <c r="BH34" s="188">
        <f t="shared" si="28"/>
        <v>0.0554</v>
      </c>
      <c r="BX34" s="215"/>
      <c r="CA34" s="213"/>
      <c r="CB34" s="196" t="s">
        <v>305</v>
      </c>
      <c r="CC34" s="230">
        <f t="shared" si="29"/>
        <v>14.0978736597719</v>
      </c>
      <c r="CD34" s="230">
        <f t="shared" si="29"/>
        <v>9.52454566510594</v>
      </c>
      <c r="CE34" s="230">
        <f t="shared" si="29"/>
        <v>9.91253281417059</v>
      </c>
      <c r="CF34" s="230">
        <f t="shared" si="29"/>
        <v>9.62675340930526</v>
      </c>
      <c r="CG34" s="232"/>
      <c r="CH34" s="225"/>
      <c r="CI34" s="196" t="s">
        <v>56</v>
      </c>
      <c r="CJ34" s="231">
        <f t="shared" si="30"/>
        <v>0.681012661802383</v>
      </c>
      <c r="CK34" s="231">
        <f t="shared" si="30"/>
        <v>0.439399031821064</v>
      </c>
      <c r="CL34" s="231">
        <f t="shared" si="30"/>
        <v>0.417171917569307</v>
      </c>
      <c r="CM34" s="231">
        <f t="shared" si="30"/>
        <v>0.441534519175329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>
        <v>0</v>
      </c>
      <c r="F35" s="9">
        <v>31</v>
      </c>
      <c r="G35" s="9">
        <v>31</v>
      </c>
      <c r="H35" s="19">
        <v>0.0443</v>
      </c>
      <c r="I35" s="9">
        <v>0</v>
      </c>
      <c r="J35" s="9">
        <v>10</v>
      </c>
      <c r="K35" s="9">
        <v>2</v>
      </c>
      <c r="L35" s="10"/>
      <c r="M35" s="39">
        <f>AH67-AH107</f>
        <v>57</v>
      </c>
      <c r="N35" s="35"/>
      <c r="O35" s="35"/>
      <c r="P35" s="35"/>
      <c r="Q35" s="57"/>
      <c r="U35" s="53"/>
      <c r="V35" s="54"/>
      <c r="W35" s="11">
        <v>9</v>
      </c>
      <c r="X35" s="55">
        <f t="shared" si="17"/>
        <v>207.261538461538</v>
      </c>
      <c r="Y35" s="118">
        <f t="shared" si="17"/>
        <v>832893.24</v>
      </c>
      <c r="Z35" s="119">
        <f t="shared" si="17"/>
        <v>3.09120115795724</v>
      </c>
      <c r="AA35" s="120">
        <f t="shared" si="18"/>
        <v>596</v>
      </c>
      <c r="AB35" s="121">
        <f t="shared" si="19"/>
        <v>508</v>
      </c>
      <c r="AC35" s="121">
        <f t="shared" si="20"/>
        <v>62</v>
      </c>
      <c r="AD35" s="122">
        <f t="shared" si="21"/>
        <v>114</v>
      </c>
      <c r="AE35" s="123">
        <f t="shared" si="22"/>
        <v>0.852348993288591</v>
      </c>
      <c r="AF35" s="124">
        <f t="shared" si="22"/>
        <v>0.104026845637584</v>
      </c>
      <c r="AG35" s="158">
        <f t="shared" si="22"/>
        <v>0.191275167785235</v>
      </c>
      <c r="AI35" s="11" t="s">
        <v>39</v>
      </c>
      <c r="AJ35" s="163"/>
      <c r="AK35" s="164">
        <f>IF(AM35=1,CK71-CJ71,IF(AM35=2,CL71-CK71,IF(AM35=3,CM71-CL71,IF(AM35=4,CN71-CM71,0))))</f>
        <v>150000</v>
      </c>
      <c r="AL35" s="165"/>
      <c r="AM35" s="65">
        <f>INT(第十二期!DV27)</f>
        <v>3</v>
      </c>
      <c r="AN35" s="126"/>
      <c r="AR35" s="185">
        <v>3</v>
      </c>
      <c r="AS35" s="186">
        <f t="shared" si="28"/>
        <v>0.0669</v>
      </c>
      <c r="AT35" s="187">
        <f t="shared" si="28"/>
        <v>0.0584</v>
      </c>
      <c r="AU35" s="187">
        <f t="shared" si="28"/>
        <v>0.0683</v>
      </c>
      <c r="AV35" s="188">
        <f t="shared" si="28"/>
        <v>0.0753</v>
      </c>
      <c r="AW35" s="186">
        <f t="shared" si="28"/>
        <v>0.0424</v>
      </c>
      <c r="AX35" s="187">
        <f t="shared" si="28"/>
        <v>0.0421</v>
      </c>
      <c r="AY35" s="187">
        <f t="shared" si="28"/>
        <v>0.0408</v>
      </c>
      <c r="AZ35" s="188">
        <f t="shared" si="28"/>
        <v>0.037</v>
      </c>
      <c r="BA35" s="186">
        <f t="shared" si="28"/>
        <v>0.0419</v>
      </c>
      <c r="BB35" s="187">
        <f t="shared" si="28"/>
        <v>0.0414</v>
      </c>
      <c r="BC35" s="187">
        <f t="shared" si="28"/>
        <v>0.0526</v>
      </c>
      <c r="BD35" s="188">
        <f t="shared" si="28"/>
        <v>0.0443</v>
      </c>
      <c r="BE35" s="186">
        <f t="shared" si="28"/>
        <v>0.0401</v>
      </c>
      <c r="BF35" s="187">
        <f t="shared" si="28"/>
        <v>0.0391</v>
      </c>
      <c r="BG35" s="187">
        <f t="shared" si="28"/>
        <v>0.0605</v>
      </c>
      <c r="BH35" s="188">
        <f t="shared" si="28"/>
        <v>0.0621</v>
      </c>
      <c r="CA35" s="213"/>
      <c r="CB35" s="196" t="s">
        <v>307</v>
      </c>
      <c r="CC35" s="230">
        <f t="shared" si="29"/>
        <v>0.417740243188071</v>
      </c>
      <c r="CD35" s="230">
        <f t="shared" si="29"/>
        <v>0.366512548598689</v>
      </c>
      <c r="CE35" s="230">
        <f t="shared" si="29"/>
        <v>0.369590776700665</v>
      </c>
      <c r="CF35" s="230">
        <f t="shared" si="29"/>
        <v>0.376026777448505</v>
      </c>
      <c r="CG35" s="232"/>
      <c r="CH35" s="225"/>
      <c r="CI35" s="196" t="s">
        <v>57</v>
      </c>
      <c r="CJ35" s="231">
        <f t="shared" si="30"/>
        <v>0.543413162867165</v>
      </c>
      <c r="CK35" s="231">
        <f t="shared" si="30"/>
        <v>0.349198336895396</v>
      </c>
      <c r="CL35" s="231">
        <f t="shared" si="30"/>
        <v>0.34420795385587</v>
      </c>
      <c r="CM35" s="231">
        <f t="shared" si="30"/>
        <v>0.374805807529623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0.212015266730764</v>
      </c>
      <c r="DA35" s="2">
        <f t="shared" si="32"/>
        <v>0.231133471441255</v>
      </c>
      <c r="DB35" s="2">
        <f t="shared" si="32"/>
        <v>0.251255440241044</v>
      </c>
      <c r="DC35" s="2">
        <f t="shared" si="32"/>
        <v>0.264591439688716</v>
      </c>
      <c r="DD35" s="2">
        <f>SUMPRODUCT(CZ35:DC35,BS14:BV14)/SUM(BS14:BV14)</f>
        <v>0.242566661957915</v>
      </c>
      <c r="DG35" s="2">
        <f t="shared" ref="DG35:DJ38" si="33">DG23/DG17</f>
        <v>0.729262361523912</v>
      </c>
      <c r="DH35" s="2">
        <f t="shared" si="33"/>
        <v>0.729262361523912</v>
      </c>
      <c r="DI35" s="2">
        <f t="shared" si="33"/>
        <v>0.713859910581222</v>
      </c>
      <c r="DJ35" s="2">
        <f t="shared" si="33"/>
        <v>0.763537009438649</v>
      </c>
      <c r="DK35" s="2">
        <f>SUMPRODUCT(DG35:DJ35,BS14:BV14)/SUM(BS14:BV14)</f>
        <v>0.734711891269716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>
        <v>2</v>
      </c>
      <c r="F36" s="9">
        <v>27</v>
      </c>
      <c r="G36" s="9">
        <v>29</v>
      </c>
      <c r="H36" s="19">
        <v>0.0484</v>
      </c>
      <c r="I36" s="9">
        <v>0</v>
      </c>
      <c r="J36" s="9">
        <v>0</v>
      </c>
      <c r="K36" s="9">
        <v>1</v>
      </c>
      <c r="L36" s="10"/>
      <c r="M36" s="39">
        <f>AI64-AI104</f>
        <v>38</v>
      </c>
      <c r="N36" s="35"/>
      <c r="O36" s="35"/>
      <c r="P36" s="35"/>
      <c r="Q36" s="57"/>
      <c r="U36" s="53"/>
      <c r="V36" s="54"/>
      <c r="W36" s="11">
        <v>10</v>
      </c>
      <c r="X36" s="55">
        <f t="shared" si="17"/>
        <v>191.946153846154</v>
      </c>
      <c r="Y36" s="118">
        <f t="shared" si="17"/>
        <v>966411.96</v>
      </c>
      <c r="Z36" s="119">
        <f t="shared" si="17"/>
        <v>3.87292894641927</v>
      </c>
      <c r="AA36" s="120">
        <f t="shared" si="18"/>
        <v>463</v>
      </c>
      <c r="AB36" s="121">
        <f t="shared" si="19"/>
        <v>275</v>
      </c>
      <c r="AC36" s="121">
        <f t="shared" si="20"/>
        <v>176</v>
      </c>
      <c r="AD36" s="122">
        <f t="shared" si="21"/>
        <v>130</v>
      </c>
      <c r="AE36" s="123">
        <f t="shared" si="22"/>
        <v>0.593952483801296</v>
      </c>
      <c r="AF36" s="124">
        <f t="shared" si="22"/>
        <v>0.380129589632829</v>
      </c>
      <c r="AG36" s="158">
        <f t="shared" si="22"/>
        <v>0.280777537796976</v>
      </c>
      <c r="AI36" s="11" t="s">
        <v>40</v>
      </c>
      <c r="AJ36" s="163"/>
      <c r="AK36" s="164">
        <f>IF(AM36=0,CJ72,IF(AM36=1,CK72-CJ72,IF(AM36=2,CL72-CK72,IF(AM36=3,CM72-CL72,IF(AM36=4,CN72-CM72,0)))))</f>
        <v>130000</v>
      </c>
      <c r="AL36" s="42" t="s">
        <v>308</v>
      </c>
      <c r="AM36" s="65">
        <f>INT(第十二期!DV28)</f>
        <v>2</v>
      </c>
      <c r="AN36" s="126"/>
      <c r="AR36" s="185">
        <v>4</v>
      </c>
      <c r="AS36" s="186">
        <f t="shared" si="28"/>
        <v>0.0604</v>
      </c>
      <c r="AT36" s="187">
        <f t="shared" si="28"/>
        <v>0.0651</v>
      </c>
      <c r="AU36" s="187">
        <f t="shared" si="28"/>
        <v>0.0641</v>
      </c>
      <c r="AV36" s="188">
        <f t="shared" si="28"/>
        <v>0.0767</v>
      </c>
      <c r="AW36" s="186">
        <f t="shared" si="28"/>
        <v>0.0473</v>
      </c>
      <c r="AX36" s="187">
        <f t="shared" si="28"/>
        <v>0.047</v>
      </c>
      <c r="AY36" s="187">
        <f t="shared" si="28"/>
        <v>0.0384</v>
      </c>
      <c r="AZ36" s="188">
        <f t="shared" si="28"/>
        <v>0.0457</v>
      </c>
      <c r="BA36" s="186">
        <f t="shared" si="28"/>
        <v>0.0663</v>
      </c>
      <c r="BB36" s="187">
        <f t="shared" si="28"/>
        <v>0.0655</v>
      </c>
      <c r="BC36" s="187">
        <f t="shared" si="28"/>
        <v>0.0555</v>
      </c>
      <c r="BD36" s="188">
        <f t="shared" si="28"/>
        <v>0.0672</v>
      </c>
      <c r="BE36" s="186">
        <f t="shared" si="28"/>
        <v>0.0484</v>
      </c>
      <c r="BF36" s="187">
        <f t="shared" si="28"/>
        <v>0.0472</v>
      </c>
      <c r="BG36" s="187">
        <f t="shared" si="28"/>
        <v>0.049</v>
      </c>
      <c r="BH36" s="188">
        <f t="shared" si="28"/>
        <v>0.0604</v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0.516221986841614</v>
      </c>
      <c r="CK36" s="231">
        <f t="shared" si="30"/>
        <v>0.340297768459067</v>
      </c>
      <c r="CL36" s="231">
        <f t="shared" si="30"/>
        <v>0.336222429022302</v>
      </c>
      <c r="CM36" s="231">
        <f t="shared" si="30"/>
        <v>0.371823455990971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0.165121169778832</v>
      </c>
      <c r="DA36" s="2">
        <f t="shared" si="32"/>
        <v>0.183359853208905</v>
      </c>
      <c r="DB36" s="2">
        <f t="shared" si="32"/>
        <v>0.173188206117388</v>
      </c>
      <c r="DC36" s="2">
        <f t="shared" si="32"/>
        <v>0.180527106377168</v>
      </c>
      <c r="DD36" s="2">
        <f>SUMPRODUCT(CZ36:DC36,BS15:BV15)/SUM(BS15:BV15)</f>
        <v>0.175806507944679</v>
      </c>
      <c r="DG36" s="2">
        <f t="shared" si="33"/>
        <v>0.822094691535151</v>
      </c>
      <c r="DH36" s="2">
        <f t="shared" si="33"/>
        <v>0.822094691535151</v>
      </c>
      <c r="DI36" s="2">
        <f t="shared" si="33"/>
        <v>0.777476255088195</v>
      </c>
      <c r="DJ36" s="2">
        <f t="shared" si="33"/>
        <v>0.804613297150611</v>
      </c>
      <c r="DK36" s="2">
        <f>SUMPRODUCT(DG36:DJ36,BS15:BV15)/SUM(BS15:BV15)</f>
        <v>0.803515643786384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>
        <v>2</v>
      </c>
      <c r="F37" s="9">
        <v>27</v>
      </c>
      <c r="G37" s="9">
        <v>29</v>
      </c>
      <c r="H37" s="19">
        <v>0.0472</v>
      </c>
      <c r="I37" s="9">
        <v>0</v>
      </c>
      <c r="J37" s="9">
        <v>0</v>
      </c>
      <c r="K37" s="9">
        <v>1</v>
      </c>
      <c r="L37" s="10"/>
      <c r="M37" s="39">
        <f>AI65-AI105</f>
        <v>38</v>
      </c>
      <c r="N37" s="35"/>
      <c r="O37" s="35"/>
      <c r="P37" s="35"/>
      <c r="Q37" s="57"/>
      <c r="U37" s="53"/>
      <c r="V37" s="54"/>
      <c r="W37" s="11">
        <v>11</v>
      </c>
      <c r="X37" s="55">
        <f t="shared" si="17"/>
        <v>179.4</v>
      </c>
      <c r="Y37" s="118">
        <f t="shared" si="17"/>
        <v>1012204.57</v>
      </c>
      <c r="Z37" s="119">
        <f t="shared" si="17"/>
        <v>4.3401276477146</v>
      </c>
      <c r="AA37" s="120">
        <f t="shared" si="18"/>
        <v>435</v>
      </c>
      <c r="AB37" s="121">
        <f t="shared" si="19"/>
        <v>292</v>
      </c>
      <c r="AC37" s="121">
        <f t="shared" si="20"/>
        <v>106</v>
      </c>
      <c r="AD37" s="122">
        <f t="shared" si="21"/>
        <v>147</v>
      </c>
      <c r="AE37" s="123">
        <f t="shared" si="22"/>
        <v>0.671264367816092</v>
      </c>
      <c r="AF37" s="124">
        <f t="shared" si="22"/>
        <v>0.24367816091954</v>
      </c>
      <c r="AG37" s="158">
        <f t="shared" si="22"/>
        <v>0.337931034482759</v>
      </c>
      <c r="AI37" s="11" t="s">
        <v>41</v>
      </c>
      <c r="AJ37" s="163"/>
      <c r="AK37" s="164">
        <f>IF(AM37=0,CJ73,IF(AM37=1,CK73-CJ73,IF(AM37=2,CL73-CK73,IF(AM37=3,CM73-CL73,IF(AM37=4,CN73-CM73,0)))))</f>
        <v>100000</v>
      </c>
      <c r="AL37" s="154">
        <f>SUM(AJ34:AJ37)</f>
        <v>0</v>
      </c>
      <c r="AM37" s="65">
        <f>INT(第十二期!DV29)</f>
        <v>2</v>
      </c>
      <c r="AN37" s="126"/>
      <c r="AR37" s="185">
        <v>5</v>
      </c>
      <c r="AS37" s="186">
        <f t="shared" si="28"/>
        <v>0.0486</v>
      </c>
      <c r="AT37" s="187">
        <f t="shared" si="28"/>
        <v>0.0524</v>
      </c>
      <c r="AU37" s="187">
        <f t="shared" si="28"/>
        <v>0.0584</v>
      </c>
      <c r="AV37" s="188">
        <f t="shared" si="28"/>
        <v>0.062</v>
      </c>
      <c r="AW37" s="186">
        <f t="shared" si="28"/>
        <v>0.0661</v>
      </c>
      <c r="AX37" s="187">
        <f t="shared" si="28"/>
        <v>0.0656</v>
      </c>
      <c r="AY37" s="187">
        <f t="shared" si="28"/>
        <v>0.0919</v>
      </c>
      <c r="AZ37" s="188">
        <f t="shared" si="28"/>
        <v>0.0678</v>
      </c>
      <c r="BA37" s="186">
        <f t="shared" si="28"/>
        <v>0.1047</v>
      </c>
      <c r="BB37" s="187">
        <f t="shared" si="28"/>
        <v>0.1017</v>
      </c>
      <c r="BC37" s="187">
        <f t="shared" si="28"/>
        <v>0.0672</v>
      </c>
      <c r="BD37" s="188">
        <f t="shared" si="28"/>
        <v>0.0715</v>
      </c>
      <c r="BE37" s="186">
        <f t="shared" si="28"/>
        <v>0.0451</v>
      </c>
      <c r="BF37" s="187">
        <f t="shared" si="28"/>
        <v>0.0472</v>
      </c>
      <c r="BG37" s="187">
        <f t="shared" si="28"/>
        <v>0.0474</v>
      </c>
      <c r="BH37" s="188">
        <f t="shared" si="28"/>
        <v>0.0487</v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0.294589774078478</v>
      </c>
      <c r="DA37" s="2">
        <f t="shared" si="32"/>
        <v>0.313540577495375</v>
      </c>
      <c r="DB37" s="2">
        <f t="shared" si="32"/>
        <v>0.296307105611332</v>
      </c>
      <c r="DC37" s="2">
        <f t="shared" si="32"/>
        <v>0.300728910887261</v>
      </c>
      <c r="DD37" s="2">
        <f>SUMPRODUCT(CZ37:DC37,BS16:BV16)/SUM(BS16:BV16)</f>
        <v>0.300868078559203</v>
      </c>
      <c r="DG37" s="2">
        <f t="shared" si="33"/>
        <v>1.1007525083612</v>
      </c>
      <c r="DH37" s="2">
        <f t="shared" si="33"/>
        <v>1.1007525083612</v>
      </c>
      <c r="DI37" s="2">
        <f t="shared" si="33"/>
        <v>1.04631663006588</v>
      </c>
      <c r="DJ37" s="2">
        <f t="shared" si="33"/>
        <v>1.06628069474945</v>
      </c>
      <c r="DK37" s="2">
        <f>SUMPRODUCT(DG37:DJ37,BS16:BV16)/SUM(BS16:BV16)</f>
        <v>1.07557056094244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0.0577</v>
      </c>
      <c r="DT37" s="37">
        <f t="shared" si="34"/>
        <v>0.0591</v>
      </c>
      <c r="DU37" s="37">
        <f t="shared" si="34"/>
        <v>0.0608</v>
      </c>
      <c r="DV37" s="37">
        <f t="shared" si="34"/>
        <v>0.0616</v>
      </c>
      <c r="DW37" s="37">
        <f t="shared" si="34"/>
        <v>0.0542</v>
      </c>
      <c r="DX37" s="37">
        <f t="shared" si="34"/>
        <v>0.0548</v>
      </c>
      <c r="DY37" s="37">
        <f t="shared" si="34"/>
        <v>0.0735</v>
      </c>
      <c r="DZ37" s="37">
        <f t="shared" si="34"/>
        <v>0.0701</v>
      </c>
      <c r="EA37" s="37">
        <f t="shared" si="34"/>
        <v>0.0314</v>
      </c>
      <c r="EB37" s="37">
        <f t="shared" si="34"/>
        <v>0.0328</v>
      </c>
      <c r="EC37" s="37">
        <f t="shared" si="34"/>
        <v>0.0555</v>
      </c>
      <c r="ED37" s="37">
        <f t="shared" si="34"/>
        <v>0.0443</v>
      </c>
      <c r="EE37" s="37">
        <f t="shared" si="34"/>
        <v>0.0484</v>
      </c>
      <c r="EF37" s="37">
        <f t="shared" si="34"/>
        <v>0.0472</v>
      </c>
      <c r="EG37" s="37">
        <f t="shared" si="34"/>
        <v>0.0768</v>
      </c>
      <c r="EH37" s="37">
        <f t="shared" si="34"/>
        <v>0.0705</v>
      </c>
    </row>
    <row r="38" ht="17.1" spans="2:115">
      <c r="B38" s="7"/>
      <c r="C38" s="18">
        <v>4</v>
      </c>
      <c r="D38" s="18">
        <v>3</v>
      </c>
      <c r="E38" s="9">
        <v>5</v>
      </c>
      <c r="F38" s="9">
        <v>43</v>
      </c>
      <c r="G38" s="9">
        <v>47</v>
      </c>
      <c r="H38" s="19">
        <v>0.0768</v>
      </c>
      <c r="I38" s="9">
        <v>0</v>
      </c>
      <c r="J38" s="9">
        <v>0</v>
      </c>
      <c r="K38" s="9">
        <v>2</v>
      </c>
      <c r="L38" s="10"/>
      <c r="M38" s="39">
        <f>AI66-AI106</f>
        <v>47</v>
      </c>
      <c r="N38" s="35"/>
      <c r="O38" s="35"/>
      <c r="P38" s="35"/>
      <c r="Q38" s="57"/>
      <c r="U38" s="53"/>
      <c r="V38" s="54"/>
      <c r="W38" s="11">
        <v>12</v>
      </c>
      <c r="X38" s="55">
        <f t="shared" si="17"/>
        <v>149.392307692308</v>
      </c>
      <c r="Y38" s="118">
        <f t="shared" si="17"/>
        <v>210120.76</v>
      </c>
      <c r="Z38" s="119">
        <f t="shared" si="17"/>
        <v>1.08192554451367</v>
      </c>
      <c r="AA38" s="120">
        <f t="shared" si="18"/>
        <v>243</v>
      </c>
      <c r="AB38" s="121">
        <f t="shared" si="19"/>
        <v>225</v>
      </c>
      <c r="AC38" s="121">
        <f t="shared" si="20"/>
        <v>191</v>
      </c>
      <c r="AD38" s="122">
        <f t="shared" si="21"/>
        <v>79</v>
      </c>
      <c r="AE38" s="123">
        <f t="shared" si="22"/>
        <v>0.925925925925926</v>
      </c>
      <c r="AF38" s="124">
        <f t="shared" si="22"/>
        <v>0.786008230452675</v>
      </c>
      <c r="AG38" s="158">
        <f t="shared" si="22"/>
        <v>0.325102880658436</v>
      </c>
      <c r="AI38" s="48"/>
      <c r="AJ38" s="48"/>
      <c r="AK38" s="48"/>
      <c r="AL38" s="48"/>
      <c r="AM38" s="48"/>
      <c r="AN38" s="48"/>
      <c r="AR38" s="185">
        <v>6</v>
      </c>
      <c r="AS38" s="186">
        <f t="shared" si="28"/>
        <v>0.0112</v>
      </c>
      <c r="AT38" s="187">
        <f t="shared" si="28"/>
        <v>0.0114</v>
      </c>
      <c r="AU38" s="187">
        <f t="shared" si="28"/>
        <v>0.0113</v>
      </c>
      <c r="AV38" s="188">
        <f t="shared" si="28"/>
        <v>0.0128</v>
      </c>
      <c r="AW38" s="186">
        <f t="shared" si="28"/>
        <v>0</v>
      </c>
      <c r="AX38" s="187">
        <f t="shared" si="28"/>
        <v>0.0147</v>
      </c>
      <c r="AY38" s="187">
        <f t="shared" si="28"/>
        <v>0</v>
      </c>
      <c r="AZ38" s="188">
        <f t="shared" si="28"/>
        <v>0</v>
      </c>
      <c r="BA38" s="186">
        <f t="shared" si="28"/>
        <v>0</v>
      </c>
      <c r="BB38" s="187">
        <f t="shared" si="28"/>
        <v>0.0017</v>
      </c>
      <c r="BC38" s="187">
        <f t="shared" si="28"/>
        <v>0.0029</v>
      </c>
      <c r="BD38" s="188">
        <f t="shared" si="28"/>
        <v>0</v>
      </c>
      <c r="BE38" s="186">
        <f t="shared" si="28"/>
        <v>0</v>
      </c>
      <c r="BF38" s="187">
        <f t="shared" si="28"/>
        <v>0</v>
      </c>
      <c r="BG38" s="187">
        <f t="shared" si="28"/>
        <v>0</v>
      </c>
      <c r="BH38" s="188">
        <f t="shared" si="28"/>
        <v>0</v>
      </c>
      <c r="CA38" s="213"/>
      <c r="CB38" s="197" t="s">
        <v>55</v>
      </c>
      <c r="CC38" s="108">
        <f>第十二期!DG56*第十二期!DG50+第十二期!DG64*第十二期!Y88</f>
        <v>11058</v>
      </c>
      <c r="CD38" s="108">
        <f>第十二期!DH56*第十二期!DH50+第十二期!DH64*第十二期!Z88</f>
        <v>55310</v>
      </c>
      <c r="CE38" s="108">
        <f>第十二期!DI56*第十二期!DI50+第十二期!DI64*第十二期!AA88</f>
        <v>38150</v>
      </c>
      <c r="CF38" s="108">
        <f>第十二期!DJ56*第十二期!DJ50+第十二期!DJ64*第十二期!AB88</f>
        <v>47260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0.276158810874242</v>
      </c>
      <c r="DA38" s="2">
        <f t="shared" si="32"/>
        <v>0.293616177636796</v>
      </c>
      <c r="DB38" s="2">
        <f t="shared" si="32"/>
        <v>0.289302147239264</v>
      </c>
      <c r="DC38" s="2">
        <f t="shared" si="32"/>
        <v>0.297462316351841</v>
      </c>
      <c r="DD38" s="2">
        <f>SUMPRODUCT(CZ38:DC38,BS17:BV17)/SUM(BS17:BV17)</f>
        <v>0.289564372226998</v>
      </c>
      <c r="DG38" s="2">
        <f t="shared" si="33"/>
        <v>1.1195387363976</v>
      </c>
      <c r="DH38" s="2">
        <f t="shared" si="33"/>
        <v>1.1195387363976</v>
      </c>
      <c r="DI38" s="2">
        <f t="shared" si="33"/>
        <v>1.08301068607713</v>
      </c>
      <c r="DJ38" s="2">
        <f t="shared" si="33"/>
        <v>1.10624128852408</v>
      </c>
      <c r="DK38" s="2">
        <f>SUMPRODUCT(DG38:DJ38,BS17:BV17)/SUM(BS17:BV17)</f>
        <v>1.10582272846779</v>
      </c>
    </row>
    <row r="39" ht="17.1" spans="2:93">
      <c r="B39" s="7"/>
      <c r="C39" s="18">
        <v>4</v>
      </c>
      <c r="D39" s="18">
        <v>4</v>
      </c>
      <c r="E39" s="9">
        <v>2</v>
      </c>
      <c r="F39" s="9">
        <v>40</v>
      </c>
      <c r="G39" s="9">
        <v>42</v>
      </c>
      <c r="H39" s="19">
        <v>0.0705</v>
      </c>
      <c r="I39" s="9">
        <v>0</v>
      </c>
      <c r="J39" s="9">
        <v>0</v>
      </c>
      <c r="K39" s="9">
        <v>2</v>
      </c>
      <c r="L39" s="10"/>
      <c r="M39" s="39">
        <f>AI67-AI107</f>
        <v>47</v>
      </c>
      <c r="N39" s="35"/>
      <c r="O39" s="35"/>
      <c r="P39" s="35"/>
      <c r="Q39" s="57"/>
      <c r="U39" s="53"/>
      <c r="V39" s="54"/>
      <c r="W39" s="11">
        <v>13</v>
      </c>
      <c r="X39" s="55">
        <f t="shared" si="17"/>
        <v>208.715384615385</v>
      </c>
      <c r="Y39" s="118">
        <f t="shared" si="17"/>
        <v>914463.93</v>
      </c>
      <c r="Z39" s="119">
        <f t="shared" si="17"/>
        <v>3.3703015884716</v>
      </c>
      <c r="AA39" s="120">
        <f t="shared" si="18"/>
        <v>481</v>
      </c>
      <c r="AB39" s="121">
        <f t="shared" si="19"/>
        <v>427</v>
      </c>
      <c r="AC39" s="121">
        <f t="shared" si="20"/>
        <v>156</v>
      </c>
      <c r="AD39" s="122">
        <f t="shared" si="21"/>
        <v>110</v>
      </c>
      <c r="AE39" s="123">
        <f t="shared" si="22"/>
        <v>0.887733887733888</v>
      </c>
      <c r="AF39" s="124">
        <f t="shared" si="22"/>
        <v>0.324324324324324</v>
      </c>
      <c r="AG39" s="158">
        <f t="shared" si="22"/>
        <v>0.228690228690229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>
        <f t="shared" si="28"/>
        <v>0.0236</v>
      </c>
      <c r="AT39" s="187">
        <f t="shared" si="28"/>
        <v>0.0255</v>
      </c>
      <c r="AU39" s="187">
        <f t="shared" si="28"/>
        <v>0.0358</v>
      </c>
      <c r="AV39" s="188">
        <f t="shared" si="28"/>
        <v>0.0436</v>
      </c>
      <c r="AW39" s="186">
        <f t="shared" si="28"/>
        <v>0.0552</v>
      </c>
      <c r="AX39" s="187">
        <f t="shared" si="28"/>
        <v>0.0548</v>
      </c>
      <c r="AY39" s="187">
        <f t="shared" si="28"/>
        <v>0.04</v>
      </c>
      <c r="AZ39" s="188">
        <f t="shared" si="28"/>
        <v>0.0481</v>
      </c>
      <c r="BA39" s="186">
        <f t="shared" si="28"/>
        <v>0.0541</v>
      </c>
      <c r="BB39" s="187">
        <f t="shared" si="28"/>
        <v>0.0534</v>
      </c>
      <c r="BC39" s="187">
        <f t="shared" si="28"/>
        <v>0.0876</v>
      </c>
      <c r="BD39" s="188">
        <f t="shared" si="28"/>
        <v>0.0787</v>
      </c>
      <c r="BE39" s="186">
        <f t="shared" si="28"/>
        <v>0.1119</v>
      </c>
      <c r="BF39" s="187">
        <f t="shared" si="28"/>
        <v>0.1091</v>
      </c>
      <c r="BG39" s="187">
        <f t="shared" si="28"/>
        <v>0.0703</v>
      </c>
      <c r="BH39" s="188">
        <f t="shared" si="28"/>
        <v>0.0721</v>
      </c>
      <c r="CA39" s="213"/>
      <c r="CB39" s="196" t="s">
        <v>56</v>
      </c>
      <c r="CC39" s="108">
        <f>第十二期!DG57*第十二期!DG51+第十二期!DG65*第十二期!Y89</f>
        <v>5867</v>
      </c>
      <c r="CD39" s="108">
        <f>第十二期!DH57*第十二期!DH51+第十二期!DH65*第十二期!Z89</f>
        <v>44690</v>
      </c>
      <c r="CE39" s="108">
        <f>第十二期!DI57*第十二期!DI51+第十二期!DI65*第十二期!AA89</f>
        <v>31406</v>
      </c>
      <c r="CF39" s="108">
        <f>第十二期!DJ57*第十二期!DJ51+第十二期!DJ65*第十二期!AB89</f>
        <v>39240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>
        <f t="shared" si="17"/>
        <v>167.753846153846</v>
      </c>
      <c r="Y40" s="118">
        <f t="shared" si="17"/>
        <v>530686.33</v>
      </c>
      <c r="Z40" s="119">
        <f t="shared" si="17"/>
        <v>2.43344795487894</v>
      </c>
      <c r="AA40" s="120">
        <f t="shared" si="18"/>
        <v>592</v>
      </c>
      <c r="AB40" s="121">
        <f t="shared" si="19"/>
        <v>252</v>
      </c>
      <c r="AC40" s="121">
        <f t="shared" si="20"/>
        <v>58</v>
      </c>
      <c r="AD40" s="122">
        <f t="shared" si="21"/>
        <v>142</v>
      </c>
      <c r="AE40" s="123">
        <f t="shared" si="22"/>
        <v>0.425675675675676</v>
      </c>
      <c r="AF40" s="124">
        <f t="shared" si="22"/>
        <v>0.097972972972973</v>
      </c>
      <c r="AG40" s="158">
        <f t="shared" si="22"/>
        <v>0.239864864864865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350000.0001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>
        <f t="shared" si="28"/>
        <v>0.0164</v>
      </c>
      <c r="AT40" s="187">
        <f t="shared" si="28"/>
        <v>0.0154</v>
      </c>
      <c r="AU40" s="187">
        <f t="shared" si="28"/>
        <v>0.0311</v>
      </c>
      <c r="AV40" s="188">
        <f t="shared" si="28"/>
        <v>0.0104</v>
      </c>
      <c r="AW40" s="186">
        <f t="shared" si="28"/>
        <v>0.0503</v>
      </c>
      <c r="AX40" s="187">
        <f t="shared" si="28"/>
        <v>0.0489</v>
      </c>
      <c r="AY40" s="187">
        <f t="shared" si="28"/>
        <v>0.0336</v>
      </c>
      <c r="AZ40" s="188">
        <f t="shared" si="28"/>
        <v>0.0331</v>
      </c>
      <c r="BA40" s="186">
        <f t="shared" si="28"/>
        <v>0.089</v>
      </c>
      <c r="BB40" s="187">
        <f t="shared" si="28"/>
        <v>0.0897</v>
      </c>
      <c r="BC40" s="187">
        <f t="shared" si="28"/>
        <v>0.1066</v>
      </c>
      <c r="BD40" s="188">
        <f t="shared" si="28"/>
        <v>0.1016</v>
      </c>
      <c r="BE40" s="186">
        <f t="shared" si="28"/>
        <v>0.0701</v>
      </c>
      <c r="BF40" s="187">
        <f t="shared" si="28"/>
        <v>0.0684</v>
      </c>
      <c r="BG40" s="187">
        <f t="shared" si="28"/>
        <v>0.085</v>
      </c>
      <c r="BH40" s="188">
        <f t="shared" si="28"/>
        <v>0.0872</v>
      </c>
      <c r="CA40" s="213"/>
      <c r="CB40" s="196" t="s">
        <v>57</v>
      </c>
      <c r="CC40" s="108">
        <f>第十二期!DG58*第十二期!DG52+第十二期!DG66*第十二期!Y90</f>
        <v>33900</v>
      </c>
      <c r="CD40" s="108">
        <f>第十二期!DH58*第十二期!DH52+第十二期!DH66*第十二期!Z90</f>
        <v>99600</v>
      </c>
      <c r="CE40" s="108">
        <f>第十二期!DI58*第十二期!DI52+第十二期!DI66*第十二期!AA90</f>
        <v>55200</v>
      </c>
      <c r="CF40" s="108">
        <f>第十二期!DJ58*第十二期!DJ52+第十二期!DJ66*第十二期!AB90</f>
        <v>67000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>
        <f t="shared" si="17"/>
        <v>93.6230769230769</v>
      </c>
      <c r="Y41" s="118">
        <f t="shared" si="17"/>
        <v>-361654.4</v>
      </c>
      <c r="Z41" s="119">
        <f t="shared" si="17"/>
        <v>-2.97144359543176</v>
      </c>
      <c r="AA41" s="120">
        <f t="shared" si="18"/>
        <v>160</v>
      </c>
      <c r="AB41" s="121">
        <f t="shared" si="19"/>
        <v>115</v>
      </c>
      <c r="AC41" s="121">
        <f t="shared" si="20"/>
        <v>78</v>
      </c>
      <c r="AD41" s="122">
        <f t="shared" si="21"/>
        <v>91</v>
      </c>
      <c r="AE41" s="123">
        <f t="shared" si="22"/>
        <v>0.71875</v>
      </c>
      <c r="AF41" s="124">
        <f t="shared" si="22"/>
        <v>0.4875</v>
      </c>
      <c r="AG41" s="158">
        <f t="shared" si="22"/>
        <v>0.56875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500000.0001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>
        <f t="shared" si="28"/>
        <v>0.084</v>
      </c>
      <c r="AT41" s="187">
        <f t="shared" si="28"/>
        <v>0.086</v>
      </c>
      <c r="AU41" s="187">
        <f t="shared" si="28"/>
        <v>0.081</v>
      </c>
      <c r="AV41" s="188">
        <f t="shared" si="28"/>
        <v>0.0795</v>
      </c>
      <c r="AW41" s="186">
        <f t="shared" si="28"/>
        <v>0.1035</v>
      </c>
      <c r="AX41" s="187">
        <f t="shared" si="28"/>
        <v>0.1008</v>
      </c>
      <c r="AY41" s="187">
        <f t="shared" si="28"/>
        <v>0.1167</v>
      </c>
      <c r="AZ41" s="188">
        <f t="shared" si="28"/>
        <v>0.1214</v>
      </c>
      <c r="BA41" s="186">
        <f t="shared" si="28"/>
        <v>0.0297</v>
      </c>
      <c r="BB41" s="187">
        <f t="shared" si="28"/>
        <v>0.031</v>
      </c>
      <c r="BC41" s="187">
        <f t="shared" si="28"/>
        <v>0.0204</v>
      </c>
      <c r="BD41" s="188">
        <f t="shared" si="28"/>
        <v>0.0186</v>
      </c>
      <c r="BE41" s="186">
        <f t="shared" si="28"/>
        <v>0.0518</v>
      </c>
      <c r="BF41" s="187">
        <f t="shared" si="28"/>
        <v>0.0505</v>
      </c>
      <c r="BG41" s="187">
        <f t="shared" si="28"/>
        <v>0.0474</v>
      </c>
      <c r="BH41" s="188">
        <f t="shared" si="28"/>
        <v>0.0386</v>
      </c>
      <c r="CA41" s="213"/>
      <c r="CB41" s="196" t="s">
        <v>58</v>
      </c>
      <c r="CC41" s="108">
        <f>第十二期!DG59*第十二期!DG53+第十二期!DG67*第十二期!Y91</f>
        <v>42250</v>
      </c>
      <c r="CD41" s="108">
        <f>第十二期!DH59*第十二期!DH53+第十二期!DH67*第十二期!Z91</f>
        <v>107900</v>
      </c>
      <c r="CE41" s="108">
        <f>第十二期!DI59*第十二期!DI53+第十二期!DI67*第十二期!AA91</f>
        <v>58650</v>
      </c>
      <c r="CF41" s="108">
        <f>第十二期!DJ59*第十二期!DJ53+第十二期!DJ67*第十二期!AB91</f>
        <v>70950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>
        <f>SUMPRODUCT(DG41:DJ41,BS14:BV14)/SUM(BS14:BV14)</f>
        <v>19.4434689922481</v>
      </c>
    </row>
    <row r="42" ht="15.6" spans="2:115">
      <c r="B42" s="7"/>
      <c r="C42" s="18" t="s">
        <v>21</v>
      </c>
      <c r="D42" s="9">
        <v>108</v>
      </c>
      <c r="E42" s="9">
        <v>0</v>
      </c>
      <c r="F42" s="14">
        <v>350000</v>
      </c>
      <c r="G42" s="9">
        <v>3</v>
      </c>
      <c r="H42" s="9">
        <v>0.95</v>
      </c>
      <c r="I42" s="10"/>
      <c r="M42" s="30"/>
      <c r="N42" s="39" t="s">
        <v>287</v>
      </c>
      <c r="O42" s="39">
        <f>AO4</f>
        <v>141</v>
      </c>
      <c r="P42" s="39">
        <f>AJ34</f>
        <v>0</v>
      </c>
      <c r="Q42" s="45"/>
      <c r="U42" s="53"/>
      <c r="V42" s="54"/>
      <c r="W42" s="11">
        <v>16</v>
      </c>
      <c r="X42" s="55">
        <f t="shared" si="17"/>
        <v>141.615384615385</v>
      </c>
      <c r="Y42" s="118">
        <f t="shared" si="17"/>
        <v>442330.18</v>
      </c>
      <c r="Z42" s="119">
        <f t="shared" si="17"/>
        <v>2.40266257468767</v>
      </c>
      <c r="AA42" s="120">
        <f t="shared" si="18"/>
        <v>298</v>
      </c>
      <c r="AB42" s="121">
        <f t="shared" si="19"/>
        <v>162</v>
      </c>
      <c r="AC42" s="121">
        <f t="shared" si="20"/>
        <v>112</v>
      </c>
      <c r="AD42" s="122">
        <f t="shared" si="21"/>
        <v>137</v>
      </c>
      <c r="AE42" s="123">
        <f t="shared" si="22"/>
        <v>0.543624161073825</v>
      </c>
      <c r="AF42" s="124">
        <f t="shared" si="22"/>
        <v>0.375838926174497</v>
      </c>
      <c r="AG42" s="158">
        <f t="shared" si="22"/>
        <v>0.459731543624161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450000.0001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>
        <f t="shared" si="28"/>
        <v>0.0643</v>
      </c>
      <c r="AT42" s="187">
        <f t="shared" si="28"/>
        <v>0.0698</v>
      </c>
      <c r="AU42" s="187">
        <f t="shared" si="28"/>
        <v>0.0603</v>
      </c>
      <c r="AV42" s="188">
        <f t="shared" si="28"/>
        <v>0.063</v>
      </c>
      <c r="AW42" s="186">
        <f t="shared" si="28"/>
        <v>0.0621</v>
      </c>
      <c r="AX42" s="187">
        <f t="shared" si="28"/>
        <v>0.0636</v>
      </c>
      <c r="AY42" s="187">
        <f t="shared" si="28"/>
        <v>0.0544</v>
      </c>
      <c r="AZ42" s="188">
        <f t="shared" si="28"/>
        <v>0.0623</v>
      </c>
      <c r="BA42" s="186">
        <f t="shared" si="28"/>
        <v>0.0558</v>
      </c>
      <c r="BB42" s="187">
        <f t="shared" si="28"/>
        <v>0.0586</v>
      </c>
      <c r="BC42" s="187">
        <f t="shared" si="28"/>
        <v>0.0818</v>
      </c>
      <c r="BD42" s="188">
        <f t="shared" si="28"/>
        <v>0.0773</v>
      </c>
      <c r="BE42" s="186">
        <f t="shared" si="28"/>
        <v>0.0434</v>
      </c>
      <c r="BF42" s="187">
        <f t="shared" si="28"/>
        <v>0.0423</v>
      </c>
      <c r="BG42" s="187">
        <f t="shared" si="28"/>
        <v>0.0605</v>
      </c>
      <c r="BH42" s="188">
        <f t="shared" si="28"/>
        <v>0.0688</v>
      </c>
      <c r="CA42" s="213"/>
      <c r="CB42" s="98" t="s">
        <v>308</v>
      </c>
      <c r="CC42" s="127">
        <f>SUM(CC38:CC41)</f>
        <v>93075</v>
      </c>
      <c r="CD42" s="127">
        <f>SUM(CD38:CD41)</f>
        <v>307500</v>
      </c>
      <c r="CE42" s="127">
        <f>SUM(CE38:CE41)</f>
        <v>183406</v>
      </c>
      <c r="CF42" s="127">
        <f>SUM(CF38:CF41)</f>
        <v>224450</v>
      </c>
      <c r="CG42" s="108">
        <f>SUM(CC42:CF42)</f>
        <v>808431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>
        <f>SUMPRODUCT(DG42:DJ42,BS15:BV15)/SUM(BS15:BV15)</f>
        <v>14.4186885245902</v>
      </c>
    </row>
    <row r="43" ht="16.35" spans="2:115">
      <c r="B43" s="7"/>
      <c r="C43" s="18" t="s">
        <v>22</v>
      </c>
      <c r="D43" s="9">
        <v>98</v>
      </c>
      <c r="E43" s="9">
        <v>0</v>
      </c>
      <c r="F43" s="14">
        <v>500000</v>
      </c>
      <c r="G43" s="9">
        <v>3</v>
      </c>
      <c r="H43" s="9">
        <v>0.95</v>
      </c>
      <c r="I43" s="10"/>
      <c r="M43" s="30"/>
      <c r="N43" s="39" t="s">
        <v>288</v>
      </c>
      <c r="O43" s="39">
        <f>AO5</f>
        <v>131</v>
      </c>
      <c r="P43" s="39">
        <f>AJ35</f>
        <v>0</v>
      </c>
      <c r="Q43" s="45"/>
      <c r="U43" s="53"/>
      <c r="V43" s="54"/>
      <c r="W43" s="11">
        <v>17</v>
      </c>
      <c r="X43" s="55">
        <f t="shared" si="17"/>
        <v>171.830769230769</v>
      </c>
      <c r="Y43" s="118">
        <f t="shared" si="17"/>
        <v>204637.25</v>
      </c>
      <c r="Z43" s="119">
        <f t="shared" si="17"/>
        <v>0.91609477124183</v>
      </c>
      <c r="AA43" s="120">
        <f t="shared" si="18"/>
        <v>663</v>
      </c>
      <c r="AB43" s="121">
        <f t="shared" si="19"/>
        <v>264</v>
      </c>
      <c r="AC43" s="121">
        <f t="shared" si="20"/>
        <v>96</v>
      </c>
      <c r="AD43" s="122">
        <f t="shared" si="21"/>
        <v>105</v>
      </c>
      <c r="AE43" s="123">
        <f t="shared" si="22"/>
        <v>0.398190045248869</v>
      </c>
      <c r="AF43" s="124">
        <f t="shared" si="22"/>
        <v>0.144796380090498</v>
      </c>
      <c r="AG43" s="158">
        <f t="shared" si="22"/>
        <v>0.158371040723982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600000.0001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>
        <f t="shared" si="28"/>
        <v>0.0577</v>
      </c>
      <c r="AT43" s="187">
        <f t="shared" si="28"/>
        <v>0.0591</v>
      </c>
      <c r="AU43" s="187">
        <f t="shared" si="28"/>
        <v>0.0608</v>
      </c>
      <c r="AV43" s="188">
        <f t="shared" si="28"/>
        <v>0.0616</v>
      </c>
      <c r="AW43" s="186">
        <f t="shared" si="28"/>
        <v>0.0542</v>
      </c>
      <c r="AX43" s="187">
        <f t="shared" si="28"/>
        <v>0.0548</v>
      </c>
      <c r="AY43" s="187">
        <f t="shared" si="28"/>
        <v>0.0735</v>
      </c>
      <c r="AZ43" s="188">
        <f t="shared" si="28"/>
        <v>0.0701</v>
      </c>
      <c r="BA43" s="186">
        <f t="shared" si="28"/>
        <v>0.0314</v>
      </c>
      <c r="BB43" s="187">
        <f t="shared" si="28"/>
        <v>0.0328</v>
      </c>
      <c r="BC43" s="187">
        <f t="shared" si="28"/>
        <v>0.0555</v>
      </c>
      <c r="BD43" s="188">
        <f t="shared" si="28"/>
        <v>0.0443</v>
      </c>
      <c r="BE43" s="186">
        <f t="shared" si="28"/>
        <v>0.0484</v>
      </c>
      <c r="BF43" s="187">
        <f t="shared" si="28"/>
        <v>0.0472</v>
      </c>
      <c r="BG43" s="187">
        <f t="shared" si="28"/>
        <v>0.0768</v>
      </c>
      <c r="BH43" s="188">
        <f t="shared" si="28"/>
        <v>0.0705</v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>
        <f>SUMPRODUCT(DG43:DJ43,BS16:BV16)/SUM(BS16:BV16)</f>
        <v>12.9248859142075</v>
      </c>
    </row>
    <row r="44" ht="16.35" spans="2:115">
      <c r="B44" s="7"/>
      <c r="C44" s="18" t="s">
        <v>23</v>
      </c>
      <c r="D44" s="9">
        <v>36</v>
      </c>
      <c r="E44" s="9">
        <v>0</v>
      </c>
      <c r="F44" s="14">
        <v>450000</v>
      </c>
      <c r="G44" s="9">
        <v>2</v>
      </c>
      <c r="H44" s="9">
        <v>0.95</v>
      </c>
      <c r="I44" s="10"/>
      <c r="J44" s="39">
        <f>+S24</f>
        <v>0</v>
      </c>
      <c r="K44" s="39">
        <v>108</v>
      </c>
      <c r="L44" s="39">
        <v>0</v>
      </c>
      <c r="M44" s="30"/>
      <c r="N44" s="39" t="s">
        <v>289</v>
      </c>
      <c r="O44" s="39">
        <f>AO6</f>
        <v>46</v>
      </c>
      <c r="P44" s="39">
        <f>AJ36</f>
        <v>0</v>
      </c>
      <c r="Q44" s="45"/>
      <c r="U44" s="53"/>
      <c r="V44" s="54"/>
      <c r="W44" s="11">
        <v>18</v>
      </c>
      <c r="X44" s="55">
        <f t="shared" si="17"/>
        <v>210.207692307692</v>
      </c>
      <c r="Y44" s="118">
        <f t="shared" si="17"/>
        <v>266877.3</v>
      </c>
      <c r="Z44" s="119">
        <f t="shared" si="17"/>
        <v>0.976606652761006</v>
      </c>
      <c r="AA44" s="125">
        <f t="shared" si="18"/>
        <v>690</v>
      </c>
      <c r="AB44" s="121">
        <f t="shared" si="19"/>
        <v>297</v>
      </c>
      <c r="AC44" s="121">
        <f t="shared" si="20"/>
        <v>63</v>
      </c>
      <c r="AD44" s="122">
        <f t="shared" si="21"/>
        <v>204</v>
      </c>
      <c r="AE44" s="123">
        <f t="shared" si="22"/>
        <v>0.430434782608696</v>
      </c>
      <c r="AF44" s="124">
        <f t="shared" si="22"/>
        <v>0.091304347826087</v>
      </c>
      <c r="AG44" s="158">
        <f t="shared" si="22"/>
        <v>0.295652173913043</v>
      </c>
      <c r="AR44" s="185">
        <v>12</v>
      </c>
      <c r="AS44" s="186">
        <f t="shared" si="28"/>
        <v>0.0407</v>
      </c>
      <c r="AT44" s="187">
        <f t="shared" si="28"/>
        <v>0.0222</v>
      </c>
      <c r="AU44" s="187">
        <f t="shared" si="28"/>
        <v>0.0306</v>
      </c>
      <c r="AV44" s="188">
        <f t="shared" si="28"/>
        <v>0.0393</v>
      </c>
      <c r="AW44" s="186">
        <f t="shared" si="28"/>
        <v>0.0473</v>
      </c>
      <c r="AX44" s="187">
        <f t="shared" si="28"/>
        <v>0.045</v>
      </c>
      <c r="AY44" s="187">
        <f t="shared" si="28"/>
        <v>0.0488</v>
      </c>
      <c r="AZ44" s="188">
        <f t="shared" si="28"/>
        <v>0.0552</v>
      </c>
      <c r="BA44" s="186">
        <f t="shared" si="28"/>
        <v>0.0838</v>
      </c>
      <c r="BB44" s="187">
        <f t="shared" si="28"/>
        <v>0.0793</v>
      </c>
      <c r="BC44" s="187">
        <f t="shared" si="28"/>
        <v>0.0701</v>
      </c>
      <c r="BD44" s="188">
        <f t="shared" si="28"/>
        <v>0.0701</v>
      </c>
      <c r="BE44" s="186">
        <f t="shared" si="28"/>
        <v>0.0401</v>
      </c>
      <c r="BF44" s="187">
        <f t="shared" si="28"/>
        <v>0.0391</v>
      </c>
      <c r="BG44" s="187">
        <f t="shared" si="28"/>
        <v>0.0278</v>
      </c>
      <c r="BH44" s="188">
        <f t="shared" si="28"/>
        <v>0.0235</v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>
        <f>SUMPRODUCT(DG44:DJ44,BS17:BV17)/SUM(BS17:BV17)</f>
        <v>12.1580164217805</v>
      </c>
    </row>
    <row r="45" ht="16.35" spans="2:60">
      <c r="B45" s="7"/>
      <c r="C45" s="18" t="s">
        <v>24</v>
      </c>
      <c r="D45" s="9">
        <v>40</v>
      </c>
      <c r="E45" s="9">
        <v>0</v>
      </c>
      <c r="F45" s="14">
        <v>600000</v>
      </c>
      <c r="G45" s="9">
        <v>2</v>
      </c>
      <c r="H45" s="9">
        <v>0.95</v>
      </c>
      <c r="I45" s="10"/>
      <c r="J45" s="39" t="s">
        <v>288</v>
      </c>
      <c r="K45" s="39">
        <v>98</v>
      </c>
      <c r="L45" s="39">
        <v>0</v>
      </c>
      <c r="M45" s="30"/>
      <c r="N45" s="39" t="s">
        <v>290</v>
      </c>
      <c r="O45" s="39">
        <f>AO7</f>
        <v>47</v>
      </c>
      <c r="P45" s="39">
        <f>AJ37</f>
        <v>0</v>
      </c>
      <c r="Q45" s="45"/>
      <c r="U45" s="53"/>
      <c r="V45" s="54"/>
      <c r="W45" s="11">
        <v>19</v>
      </c>
      <c r="X45" s="55">
        <f t="shared" si="17"/>
        <v>92.8692307692308</v>
      </c>
      <c r="Y45" s="118">
        <f t="shared" si="17"/>
        <v>-231666.35</v>
      </c>
      <c r="Z45" s="119">
        <f t="shared" si="17"/>
        <v>-1.91887973163257</v>
      </c>
      <c r="AA45" s="120">
        <f t="shared" si="18"/>
        <v>189</v>
      </c>
      <c r="AB45" s="121">
        <f t="shared" si="19"/>
        <v>155</v>
      </c>
      <c r="AC45" s="121">
        <f t="shared" si="20"/>
        <v>62</v>
      </c>
      <c r="AD45" s="122">
        <f t="shared" si="21"/>
        <v>76</v>
      </c>
      <c r="AE45" s="123">
        <f t="shared" si="22"/>
        <v>0.82010582010582</v>
      </c>
      <c r="AF45" s="124">
        <f t="shared" si="22"/>
        <v>0.328042328042328</v>
      </c>
      <c r="AG45" s="158">
        <f t="shared" si="22"/>
        <v>0.402116402116402</v>
      </c>
      <c r="AR45" s="185">
        <v>13</v>
      </c>
      <c r="AS45" s="186">
        <f t="shared" si="28"/>
        <v>0.0669</v>
      </c>
      <c r="AT45" s="187">
        <f t="shared" si="28"/>
        <v>0.0658</v>
      </c>
      <c r="AU45" s="187">
        <f t="shared" si="28"/>
        <v>0.065</v>
      </c>
      <c r="AV45" s="188">
        <f t="shared" si="28"/>
        <v>0.0677</v>
      </c>
      <c r="AW45" s="186">
        <f t="shared" si="28"/>
        <v>0.0897</v>
      </c>
      <c r="AX45" s="187">
        <f t="shared" si="28"/>
        <v>0.089</v>
      </c>
      <c r="AY45" s="187">
        <f t="shared" si="28"/>
        <v>0.1007</v>
      </c>
      <c r="AZ45" s="188">
        <f t="shared" si="28"/>
        <v>0.0938</v>
      </c>
      <c r="BA45" s="186">
        <f t="shared" si="28"/>
        <v>0.0558</v>
      </c>
      <c r="BB45" s="187">
        <f t="shared" si="28"/>
        <v>0.05</v>
      </c>
      <c r="BC45" s="187">
        <f t="shared" si="28"/>
        <v>0.0701</v>
      </c>
      <c r="BD45" s="188">
        <f t="shared" si="28"/>
        <v>0.0672</v>
      </c>
      <c r="BE45" s="186">
        <f t="shared" si="28"/>
        <v>0.0434</v>
      </c>
      <c r="BF45" s="187">
        <f t="shared" si="28"/>
        <v>0.0423</v>
      </c>
      <c r="BG45" s="187">
        <f t="shared" si="28"/>
        <v>0.0474</v>
      </c>
      <c r="BH45" s="188">
        <f t="shared" si="28"/>
        <v>0.0487</v>
      </c>
    </row>
    <row r="46" ht="15.6" spans="3:60">
      <c r="C46" s="15"/>
      <c r="D46" s="15"/>
      <c r="E46" s="15"/>
      <c r="F46" s="15"/>
      <c r="G46" s="15"/>
      <c r="H46" s="15"/>
      <c r="J46" s="39" t="s">
        <v>289</v>
      </c>
      <c r="K46" s="39">
        <v>36</v>
      </c>
      <c r="L46" s="39">
        <v>0</v>
      </c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>
        <f t="shared" si="17"/>
        <v>0</v>
      </c>
      <c r="Y46" s="118">
        <f t="shared" si="17"/>
        <v>0</v>
      </c>
      <c r="Z46" s="119" t="e">
        <f t="shared" si="17"/>
        <v>#DIV/0!</v>
      </c>
      <c r="AA46" s="120">
        <f t="shared" si="18"/>
        <v>0</v>
      </c>
      <c r="AB46" s="121">
        <f t="shared" si="19"/>
        <v>0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>
        <f t="shared" si="28"/>
        <v>0.0781</v>
      </c>
      <c r="AT46" s="187">
        <f t="shared" si="28"/>
        <v>0.0833</v>
      </c>
      <c r="AU46" s="187">
        <f t="shared" si="28"/>
        <v>0.0777</v>
      </c>
      <c r="AV46" s="188">
        <f t="shared" si="28"/>
        <v>0.0871</v>
      </c>
      <c r="AW46" s="186">
        <f t="shared" si="28"/>
        <v>0.0611</v>
      </c>
      <c r="AX46" s="187">
        <f t="shared" si="28"/>
        <v>0.047</v>
      </c>
      <c r="AY46" s="187">
        <f t="shared" si="28"/>
        <v>0.0544</v>
      </c>
      <c r="AZ46" s="188">
        <f t="shared" si="28"/>
        <v>0.0583</v>
      </c>
      <c r="BA46" s="186">
        <f t="shared" si="28"/>
        <v>0.0175</v>
      </c>
      <c r="BB46" s="187">
        <f t="shared" si="28"/>
        <v>0.0172</v>
      </c>
      <c r="BC46" s="187">
        <f t="shared" si="28"/>
        <v>0.0146</v>
      </c>
      <c r="BD46" s="188">
        <f t="shared" si="28"/>
        <v>0.0401</v>
      </c>
      <c r="BE46" s="186">
        <f t="shared" si="28"/>
        <v>0.0434</v>
      </c>
      <c r="BF46" s="187">
        <f t="shared" si="28"/>
        <v>0.0521</v>
      </c>
      <c r="BG46" s="187">
        <f t="shared" si="28"/>
        <v>0.0784</v>
      </c>
      <c r="BH46" s="188">
        <f t="shared" si="28"/>
        <v>0.0604</v>
      </c>
    </row>
    <row r="47" ht="16.35" spans="10:60">
      <c r="J47" s="39" t="s">
        <v>290</v>
      </c>
      <c r="K47" s="39">
        <v>40</v>
      </c>
      <c r="L47" s="39">
        <v>0</v>
      </c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>
        <f t="shared" si="28"/>
        <v>0.0151</v>
      </c>
      <c r="AT47" s="187">
        <f t="shared" si="28"/>
        <v>0.0228</v>
      </c>
      <c r="AU47" s="187">
        <f t="shared" si="28"/>
        <v>0.0264</v>
      </c>
      <c r="AV47" s="188">
        <f t="shared" si="28"/>
        <v>0.0223</v>
      </c>
      <c r="AW47" s="186">
        <f t="shared" si="28"/>
        <v>0.0266</v>
      </c>
      <c r="AX47" s="187">
        <f t="shared" si="28"/>
        <v>0.0264</v>
      </c>
      <c r="AY47" s="187">
        <f t="shared" si="28"/>
        <v>0.0248</v>
      </c>
      <c r="AZ47" s="188">
        <f t="shared" si="28"/>
        <v>0.0236</v>
      </c>
      <c r="BA47" s="186">
        <f t="shared" si="28"/>
        <v>0.0366</v>
      </c>
      <c r="BB47" s="187">
        <f t="shared" si="28"/>
        <v>0.0328</v>
      </c>
      <c r="BC47" s="187">
        <f t="shared" si="28"/>
        <v>0.0277</v>
      </c>
      <c r="BD47" s="188">
        <f t="shared" si="28"/>
        <v>0.0272</v>
      </c>
      <c r="BE47" s="186">
        <f t="shared" si="28"/>
        <v>0.0401</v>
      </c>
      <c r="BF47" s="187">
        <f t="shared" si="28"/>
        <v>0.0391</v>
      </c>
      <c r="BG47" s="187">
        <f t="shared" si="28"/>
        <v>0.031</v>
      </c>
      <c r="BH47" s="188">
        <f t="shared" si="28"/>
        <v>0.0403</v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>
        <f t="shared" si="28"/>
        <v>0.0413</v>
      </c>
      <c r="AT48" s="187">
        <f t="shared" si="28"/>
        <v>0.0463</v>
      </c>
      <c r="AU48" s="187">
        <f t="shared" si="28"/>
        <v>0.0438</v>
      </c>
      <c r="AV48" s="188">
        <f t="shared" si="28"/>
        <v>0.0346</v>
      </c>
      <c r="AW48" s="186">
        <f t="shared" si="28"/>
        <v>0.0286</v>
      </c>
      <c r="AX48" s="187">
        <f t="shared" si="28"/>
        <v>0.0294</v>
      </c>
      <c r="AY48" s="187">
        <f t="shared" si="28"/>
        <v>0.044</v>
      </c>
      <c r="AZ48" s="188">
        <f t="shared" si="28"/>
        <v>0.0378</v>
      </c>
      <c r="BA48" s="186">
        <f t="shared" si="28"/>
        <v>0.0349</v>
      </c>
      <c r="BB48" s="187">
        <f t="shared" si="28"/>
        <v>0.0362</v>
      </c>
      <c r="BC48" s="187">
        <f t="shared" si="28"/>
        <v>0.0569</v>
      </c>
      <c r="BD48" s="188">
        <f t="shared" si="28"/>
        <v>0.0458</v>
      </c>
      <c r="BE48" s="186">
        <f t="shared" si="28"/>
        <v>0.0718</v>
      </c>
      <c r="BF48" s="187">
        <f t="shared" si="28"/>
        <v>0.07</v>
      </c>
      <c r="BG48" s="187">
        <f t="shared" si="28"/>
        <v>0.0392</v>
      </c>
      <c r="BH48" s="188">
        <f>IF(S88="","",S88)</f>
        <v>0.0453</v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>
        <f t="shared" ref="AS49:BG52" si="36">IF(D89="","",D89)</f>
        <v>0.0919</v>
      </c>
      <c r="AT49" s="187">
        <f t="shared" si="36"/>
        <v>0.0994</v>
      </c>
      <c r="AU49" s="187">
        <f t="shared" si="36"/>
        <v>0.1102</v>
      </c>
      <c r="AV49" s="188">
        <f t="shared" si="36"/>
        <v>0.0668</v>
      </c>
      <c r="AW49" s="186">
        <f t="shared" si="36"/>
        <v>0.0572</v>
      </c>
      <c r="AX49" s="187">
        <f t="shared" si="36"/>
        <v>0.0519</v>
      </c>
      <c r="AY49" s="187">
        <f t="shared" si="36"/>
        <v>0.0616</v>
      </c>
      <c r="AZ49" s="188">
        <f t="shared" si="36"/>
        <v>0.0599</v>
      </c>
      <c r="BA49" s="186">
        <f t="shared" si="36"/>
        <v>0.0349</v>
      </c>
      <c r="BB49" s="187">
        <f t="shared" si="36"/>
        <v>0.0345</v>
      </c>
      <c r="BC49" s="187">
        <f t="shared" si="36"/>
        <v>0.0423</v>
      </c>
      <c r="BD49" s="188">
        <f t="shared" si="36"/>
        <v>0.0386</v>
      </c>
      <c r="BE49" s="186">
        <f t="shared" si="36"/>
        <v>0.0351</v>
      </c>
      <c r="BF49" s="187">
        <f t="shared" si="36"/>
        <v>0.0342</v>
      </c>
      <c r="BG49" s="187">
        <f t="shared" si="36"/>
        <v>0.0523</v>
      </c>
      <c r="BH49" s="188">
        <f>IF(S89="","",S89)</f>
        <v>0.052</v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>
        <v>3388</v>
      </c>
      <c r="E50" s="26">
        <v>3388</v>
      </c>
      <c r="F50" s="26">
        <v>3688</v>
      </c>
      <c r="G50" s="26">
        <v>3688</v>
      </c>
      <c r="H50" s="26">
        <v>6688</v>
      </c>
      <c r="I50" s="26">
        <v>6688</v>
      </c>
      <c r="J50" s="26">
        <v>7388</v>
      </c>
      <c r="K50" s="26">
        <v>7388</v>
      </c>
      <c r="L50" s="26">
        <v>9488</v>
      </c>
      <c r="M50" s="26">
        <v>9488</v>
      </c>
      <c r="N50" s="26">
        <v>10088</v>
      </c>
      <c r="O50" s="26">
        <v>9888</v>
      </c>
      <c r="P50" s="26">
        <v>12888</v>
      </c>
      <c r="Q50" s="26">
        <v>12888</v>
      </c>
      <c r="R50" s="26">
        <v>14088</v>
      </c>
      <c r="S50" s="26">
        <v>14088</v>
      </c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>
        <f t="shared" si="36"/>
        <v>0.1076</v>
      </c>
      <c r="AT50" s="187">
        <f t="shared" si="36"/>
        <v>0.1101</v>
      </c>
      <c r="AU50" s="187">
        <f t="shared" si="36"/>
        <v>0.0834</v>
      </c>
      <c r="AV50" s="188">
        <f t="shared" si="36"/>
        <v>0.0876</v>
      </c>
      <c r="AW50" s="186">
        <f t="shared" si="36"/>
        <v>0.071</v>
      </c>
      <c r="AX50" s="187">
        <f t="shared" si="36"/>
        <v>0.0753</v>
      </c>
      <c r="AY50" s="187">
        <f t="shared" si="36"/>
        <v>0.0576</v>
      </c>
      <c r="AZ50" s="188">
        <f t="shared" si="36"/>
        <v>0.0599</v>
      </c>
      <c r="BA50" s="186">
        <f t="shared" si="36"/>
        <v>0.0297</v>
      </c>
      <c r="BB50" s="187">
        <f t="shared" si="36"/>
        <v>0.031</v>
      </c>
      <c r="BC50" s="187">
        <f t="shared" si="36"/>
        <v>0.0204</v>
      </c>
      <c r="BD50" s="188">
        <f t="shared" si="36"/>
        <v>0.02</v>
      </c>
      <c r="BE50" s="186">
        <f t="shared" si="36"/>
        <v>0.0835</v>
      </c>
      <c r="BF50" s="187">
        <f t="shared" si="36"/>
        <v>0.0945</v>
      </c>
      <c r="BG50" s="187">
        <f t="shared" si="36"/>
        <v>0.0719</v>
      </c>
      <c r="BH50" s="188">
        <f>IF(S90="","",S90)</f>
        <v>0.0872</v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332800</v>
      </c>
      <c r="CD50" s="108">
        <f t="shared" si="37"/>
        <v>742950</v>
      </c>
      <c r="CE50" s="108">
        <f t="shared" si="37"/>
        <v>412050</v>
      </c>
      <c r="CF50" s="108">
        <f t="shared" si="37"/>
        <v>495900</v>
      </c>
      <c r="CG50" s="219"/>
      <c r="CH50" s="219"/>
      <c r="CI50" s="197" t="s">
        <v>55</v>
      </c>
      <c r="CJ50" s="108">
        <f t="shared" ref="CJ50:CM53" si="38">Y108*AF76*0.4</f>
        <v>6400</v>
      </c>
      <c r="CK50" s="108">
        <f t="shared" si="38"/>
        <v>12700</v>
      </c>
      <c r="CL50" s="108">
        <f t="shared" si="38"/>
        <v>8040</v>
      </c>
      <c r="CM50" s="108">
        <f t="shared" si="38"/>
        <v>10440</v>
      </c>
      <c r="CN50" s="219"/>
      <c r="CO50" s="219"/>
      <c r="CP50" s="65" t="s">
        <v>38</v>
      </c>
      <c r="CQ50" s="65">
        <f>第十二期!Y9*第十二期!CQ62*比赛参数!D65</f>
        <v>658800</v>
      </c>
      <c r="CR50" s="65">
        <f>第十二期!Z9*第十二期!CR62*比赛参数!E65</f>
        <v>0</v>
      </c>
      <c r="CS50" s="65">
        <f>第十二期!AA9*第十二期!CS62*比赛参数!F65</f>
        <v>0</v>
      </c>
      <c r="CT50" s="65">
        <f>第十二期!AB9*第十二期!CT62*比赛参数!G65</f>
        <v>0</v>
      </c>
      <c r="CU50" s="65">
        <f>IF(第十二期!AC9&gt;0,SUM(CQ50:CT50)/第十二期!AC9,0)</f>
        <v>1200</v>
      </c>
      <c r="CW50" s="11" t="s">
        <v>38</v>
      </c>
      <c r="CX50" s="242">
        <f>IF(第十二期!$CU$50*第十二期!CQ93&gt;0,第十二期!$CU$50+第十二期!CQ68+第十二期!CQ93+第十二期!CQ74,0)</f>
        <v>1890.78876571005</v>
      </c>
      <c r="CY50" s="242">
        <f>IF(第十二期!$CU$50*第十二期!CR93&gt;0,第十二期!$CU$50+第十二期!CR68+第十二期!CR93+第十二期!CR74,0)</f>
        <v>1849.78876571005</v>
      </c>
      <c r="CZ50" s="242">
        <f>IF(第十二期!$CU$50*第十二期!CS93&gt;0,第十二期!$CU$50+第十二期!CS68+第十二期!CS93+第十二期!CS74,0)</f>
        <v>2007.78876571005</v>
      </c>
      <c r="DA50" s="242">
        <f>IF(第十二期!$CU$50*第十二期!CT93&gt;0,第十二期!$CU$50+第十二期!CT68+第十二期!CT93+第十二期!CT74,0)</f>
        <v>2057.78876571005</v>
      </c>
      <c r="DB50" s="242">
        <f>AVERAGE(CX50:DA50)</f>
        <v>1951.53876571005</v>
      </c>
      <c r="DF50" s="65" t="s">
        <v>55</v>
      </c>
      <c r="DG50" s="245">
        <f>IF(第十二期!Y88&gt;0,1,0)</f>
        <v>1</v>
      </c>
      <c r="DH50" s="245">
        <f>IF(第十二期!Z88&gt;0,1,0)</f>
        <v>1</v>
      </c>
      <c r="DI50" s="245">
        <f>IF(第十二期!AA88&gt;0,1,0)</f>
        <v>1</v>
      </c>
      <c r="DJ50" s="245">
        <f>IF(第十二期!AB88&gt;0,1,0)</f>
        <v>1</v>
      </c>
      <c r="DL50" s="245" t="s">
        <v>21</v>
      </c>
      <c r="DM50" s="248">
        <f>IF(第十二期!Y9+第十二期!Z9&gt;0,1,0)</f>
        <v>1</v>
      </c>
      <c r="DN50" s="248">
        <f>IF(第十二期!AA9+第十二期!AB9&gt;0,1,0)</f>
        <v>0</v>
      </c>
      <c r="DO50" s="246"/>
    </row>
    <row r="51" customHeight="1" spans="2:119">
      <c r="B51" s="7"/>
      <c r="C51" s="25">
        <v>2</v>
      </c>
      <c r="D51" s="26">
        <v>3199</v>
      </c>
      <c r="E51" s="26">
        <v>3199</v>
      </c>
      <c r="F51" s="26">
        <v>3499</v>
      </c>
      <c r="G51" s="26">
        <v>3499</v>
      </c>
      <c r="H51" s="26">
        <v>6499</v>
      </c>
      <c r="I51" s="26">
        <v>6499</v>
      </c>
      <c r="J51" s="26">
        <v>6699</v>
      </c>
      <c r="K51" s="26">
        <v>6699</v>
      </c>
      <c r="L51" s="26">
        <v>9499</v>
      </c>
      <c r="M51" s="26">
        <v>9499</v>
      </c>
      <c r="N51" s="26">
        <v>9999</v>
      </c>
      <c r="O51" s="26">
        <v>9999</v>
      </c>
      <c r="P51" s="26">
        <v>12099</v>
      </c>
      <c r="Q51" s="26">
        <v>12099</v>
      </c>
      <c r="R51" s="26">
        <v>13299</v>
      </c>
      <c r="S51" s="26">
        <v>13299</v>
      </c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>
        <f t="shared" si="36"/>
        <v>0.0525</v>
      </c>
      <c r="AT51" s="187">
        <f t="shared" si="36"/>
        <v>0.0289</v>
      </c>
      <c r="AU51" s="187">
        <f t="shared" si="36"/>
        <v>0.0155</v>
      </c>
      <c r="AV51" s="188">
        <f t="shared" si="36"/>
        <v>0.0156</v>
      </c>
      <c r="AW51" s="186">
        <f t="shared" si="36"/>
        <v>0.0286</v>
      </c>
      <c r="AX51" s="187">
        <f t="shared" si="36"/>
        <v>0.0323</v>
      </c>
      <c r="AY51" s="187">
        <f t="shared" si="36"/>
        <v>0.036</v>
      </c>
      <c r="AZ51" s="188">
        <f t="shared" si="36"/>
        <v>0.0378</v>
      </c>
      <c r="BA51" s="186">
        <f t="shared" si="36"/>
        <v>0.0175</v>
      </c>
      <c r="BB51" s="187">
        <f t="shared" si="36"/>
        <v>0.0241</v>
      </c>
      <c r="BC51" s="187">
        <f t="shared" si="36"/>
        <v>0.0277</v>
      </c>
      <c r="BD51" s="188">
        <f t="shared" si="36"/>
        <v>0.0272</v>
      </c>
      <c r="BE51" s="186">
        <f t="shared" si="36"/>
        <v>0.0317</v>
      </c>
      <c r="BF51" s="187">
        <f t="shared" si="36"/>
        <v>0.0309</v>
      </c>
      <c r="BG51" s="187">
        <f t="shared" si="36"/>
        <v>0.031</v>
      </c>
      <c r="BH51" s="188">
        <f>IF(S91="","",S91)</f>
        <v>0.0319</v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332800</v>
      </c>
      <c r="CD51" s="108">
        <f t="shared" si="37"/>
        <v>698500</v>
      </c>
      <c r="CE51" s="108">
        <f t="shared" si="37"/>
        <v>422100</v>
      </c>
      <c r="CF51" s="108">
        <f t="shared" si="37"/>
        <v>495900</v>
      </c>
      <c r="CG51" s="219"/>
      <c r="CH51" s="219"/>
      <c r="CI51" s="196" t="s">
        <v>56</v>
      </c>
      <c r="CJ51" s="108">
        <f t="shared" si="38"/>
        <v>6400</v>
      </c>
      <c r="CK51" s="108">
        <f t="shared" si="38"/>
        <v>12700</v>
      </c>
      <c r="CL51" s="108">
        <f t="shared" si="38"/>
        <v>8040</v>
      </c>
      <c r="CM51" s="108">
        <f t="shared" si="38"/>
        <v>10440</v>
      </c>
      <c r="CN51" s="219"/>
      <c r="CO51" s="219"/>
      <c r="CP51" s="65" t="s">
        <v>39</v>
      </c>
      <c r="CQ51" s="65">
        <f>第十二期!Y10*第十二期!CQ63*比赛参数!D65</f>
        <v>513000</v>
      </c>
      <c r="CR51" s="65">
        <f>第十二期!Z10*第十二期!CR63*比赛参数!E65</f>
        <v>0</v>
      </c>
      <c r="CS51" s="65">
        <f>第十二期!AA10*第十二期!CS63*比赛参数!F65</f>
        <v>322200</v>
      </c>
      <c r="CT51" s="65">
        <f>第十二期!AB10*第十二期!CT63*比赛参数!G65</f>
        <v>0</v>
      </c>
      <c r="CU51" s="65">
        <f>IF(第十二期!AC10&gt;0,SUM(CQ51:CT51)/第十二期!AC10,0)</f>
        <v>1603.07101727447</v>
      </c>
      <c r="CW51" s="11" t="s">
        <v>39</v>
      </c>
      <c r="CX51" s="242">
        <f>IF(第十二期!$CU$51*第十二期!CQ94&gt;0,第十二期!$CU$51+第十二期!CQ69+第十二期!CQ94+第十二期!CQ75,0)</f>
        <v>4039.5429315496</v>
      </c>
      <c r="CY51" s="242">
        <f>IF(第十二期!$CU$51*第十二期!CR94&gt;0,第十二期!$CU$51+第十二期!CR69+第十二期!CR94+第十二期!CR75,0)</f>
        <v>3955.5429315496</v>
      </c>
      <c r="CZ51" s="242">
        <f>IF(第十二期!$CU$51*第十二期!CS94&gt;0,第十二期!$CU$51+第十二期!CS69+第十二期!CS94+第十二期!CS75,0)</f>
        <v>4172.5429315496</v>
      </c>
      <c r="DA51" s="242">
        <f>IF(第十二期!$CU$51*第十二期!CT94&gt;0,第十二期!$CU$51+第十二期!CT69+第十二期!CT94+第十二期!CT75,0)</f>
        <v>4222.5429315496</v>
      </c>
      <c r="DB51" s="242">
        <f>AVERAGE(CX51:DA51)</f>
        <v>4097.5429315496</v>
      </c>
      <c r="DF51" s="65" t="s">
        <v>56</v>
      </c>
      <c r="DG51" s="245">
        <f>IF(第十二期!Y89&gt;0,1,0)</f>
        <v>1</v>
      </c>
      <c r="DH51" s="245">
        <f>IF(第十二期!Z89&gt;0,1,0)</f>
        <v>1</v>
      </c>
      <c r="DI51" s="245">
        <f>IF(第十二期!AA89&gt;0,1,0)</f>
        <v>1</v>
      </c>
      <c r="DJ51" s="245">
        <f>IF(第十二期!AB89&gt;0,1,0)</f>
        <v>1</v>
      </c>
      <c r="DL51" s="245" t="s">
        <v>22</v>
      </c>
      <c r="DM51" s="248">
        <f>IF(第十二期!Y10+第十二期!Z10&gt;0,1,0)</f>
        <v>1</v>
      </c>
      <c r="DN51" s="248">
        <f>IF(第十二期!AA10+第十二期!AB10&gt;0,1,0)</f>
        <v>1</v>
      </c>
      <c r="DO51" s="246"/>
    </row>
    <row r="52" customHeight="1" spans="2:119">
      <c r="B52" s="7"/>
      <c r="C52" s="25">
        <v>3</v>
      </c>
      <c r="D52" s="26">
        <v>3150</v>
      </c>
      <c r="E52" s="26">
        <v>3200</v>
      </c>
      <c r="F52" s="26">
        <v>3400</v>
      </c>
      <c r="G52" s="26">
        <v>3400</v>
      </c>
      <c r="H52" s="26">
        <v>6550</v>
      </c>
      <c r="I52" s="26">
        <v>6500</v>
      </c>
      <c r="J52" s="26">
        <v>7000</v>
      </c>
      <c r="K52" s="26">
        <v>7100</v>
      </c>
      <c r="L52" s="26">
        <v>9400</v>
      </c>
      <c r="M52" s="26">
        <v>9400</v>
      </c>
      <c r="N52" s="26">
        <v>9750</v>
      </c>
      <c r="O52" s="26">
        <v>9850</v>
      </c>
      <c r="P52" s="26">
        <v>12500</v>
      </c>
      <c r="Q52" s="26">
        <v>12600</v>
      </c>
      <c r="R52" s="26">
        <v>13150</v>
      </c>
      <c r="S52" s="26">
        <v>13200</v>
      </c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489900</v>
      </c>
      <c r="CD52" s="108">
        <f t="shared" si="37"/>
        <v>1080750</v>
      </c>
      <c r="CE52" s="108">
        <f t="shared" si="37"/>
        <v>481750</v>
      </c>
      <c r="CF52" s="108">
        <f t="shared" si="37"/>
        <v>632150</v>
      </c>
      <c r="CG52" s="108" t="s">
        <v>308</v>
      </c>
      <c r="CH52" s="219"/>
      <c r="CI52" s="196" t="s">
        <v>57</v>
      </c>
      <c r="CJ52" s="108">
        <f t="shared" si="38"/>
        <v>9660</v>
      </c>
      <c r="CK52" s="108">
        <f t="shared" si="38"/>
        <v>18340</v>
      </c>
      <c r="CL52" s="108">
        <f t="shared" si="38"/>
        <v>8200</v>
      </c>
      <c r="CM52" s="108">
        <f t="shared" si="38"/>
        <v>10760</v>
      </c>
      <c r="CN52" s="108" t="s">
        <v>308</v>
      </c>
      <c r="CO52" s="219"/>
      <c r="CP52" s="65" t="s">
        <v>40</v>
      </c>
      <c r="CQ52" s="65">
        <f>第十二期!Y11*第十二期!CQ64*比赛参数!D65</f>
        <v>0</v>
      </c>
      <c r="CR52" s="65">
        <f>第十二期!Z11*第十二期!CR64*比赛参数!E65</f>
        <v>0</v>
      </c>
      <c r="CS52" s="65">
        <f>第十二期!AA11*第十二期!CS64*比赛参数!F65</f>
        <v>201600</v>
      </c>
      <c r="CT52" s="65">
        <f>第十二期!AB11*第十二期!CT64*比赛参数!G65</f>
        <v>224640</v>
      </c>
      <c r="CU52" s="65">
        <f>IF(第十二期!AC11&gt;0,SUM(CQ52:CT52)/第十二期!AC11,0)</f>
        <v>2329.18032786885</v>
      </c>
      <c r="CW52" s="11" t="s">
        <v>40</v>
      </c>
      <c r="CX52" s="242">
        <f>IF(第十二期!$CU$52*第十二期!CQ95&gt;0,第十二期!$CU$52+第十二期!CQ70+第十二期!CQ95+第十二期!CQ76,0)</f>
        <v>6354.77763756705</v>
      </c>
      <c r="CY52" s="242">
        <f>IF(第十二期!$CU$52*第十二期!CR95&gt;0,第十二期!$CU$52+第十二期!CR70+第十二期!CR95+第十二期!CR76,0)</f>
        <v>6242.77763756705</v>
      </c>
      <c r="CZ52" s="242">
        <f>IF(第十二期!$CU$52*第十二期!CS95&gt;0,第十二期!$CU$52+第十二期!CS70+第十二期!CS95+第十二期!CS76,0)</f>
        <v>6498.77763756705</v>
      </c>
      <c r="DA52" s="242">
        <f>IF(第十二期!$CU$52*第十二期!CT95&gt;0,第十二期!$CU$52+第十二期!CT70+第十二期!CT95+第十二期!CT76,0)</f>
        <v>6548.77763756705</v>
      </c>
      <c r="DB52" s="242">
        <f>AVERAGE(CX52:DA52)</f>
        <v>6411.27763756705</v>
      </c>
      <c r="DF52" s="65" t="s">
        <v>57</v>
      </c>
      <c r="DG52" s="245">
        <f>IF(第十二期!Y90&gt;0,1,0)</f>
        <v>1</v>
      </c>
      <c r="DH52" s="245">
        <f>IF(第十二期!Z90&gt;0,1,0)</f>
        <v>1</v>
      </c>
      <c r="DI52" s="245">
        <f>IF(第十二期!AA90&gt;0,1,0)</f>
        <v>1</v>
      </c>
      <c r="DJ52" s="245">
        <f>IF(第十二期!AB90&gt;0,1,0)</f>
        <v>1</v>
      </c>
      <c r="DL52" s="245" t="s">
        <v>23</v>
      </c>
      <c r="DM52" s="248">
        <f>IF(第十二期!Y11+第十二期!Z11&gt;0,1,0)</f>
        <v>0</v>
      </c>
      <c r="DN52" s="248">
        <f>IF(第十二期!AA11+第十二期!AB11&gt;0,1,0)</f>
        <v>1</v>
      </c>
      <c r="DO52" s="246"/>
    </row>
    <row r="53" customHeight="1" spans="2:119">
      <c r="B53" s="7"/>
      <c r="C53" s="25">
        <v>4</v>
      </c>
      <c r="D53" s="26">
        <v>3350</v>
      </c>
      <c r="E53" s="26">
        <v>3350</v>
      </c>
      <c r="F53" s="26">
        <v>3550</v>
      </c>
      <c r="G53" s="26">
        <v>3550</v>
      </c>
      <c r="H53" s="26">
        <v>6750</v>
      </c>
      <c r="I53" s="26">
        <v>6750</v>
      </c>
      <c r="J53" s="26">
        <v>7100</v>
      </c>
      <c r="K53" s="26">
        <v>7150</v>
      </c>
      <c r="L53" s="26">
        <v>9650</v>
      </c>
      <c r="M53" s="26">
        <v>9650</v>
      </c>
      <c r="N53" s="26">
        <v>10100</v>
      </c>
      <c r="O53" s="26">
        <v>10100</v>
      </c>
      <c r="P53" s="26">
        <v>12450</v>
      </c>
      <c r="Q53" s="26">
        <v>12450</v>
      </c>
      <c r="R53" s="26">
        <v>13600</v>
      </c>
      <c r="S53" s="26">
        <v>13600</v>
      </c>
      <c r="T53" s="10"/>
      <c r="AK53" s="167">
        <f>Y20</f>
        <v>346.5</v>
      </c>
      <c r="AL53" s="168"/>
      <c r="AM53" s="168"/>
      <c r="AN53" s="169"/>
      <c r="CB53" s="196" t="s">
        <v>58</v>
      </c>
      <c r="CC53" s="108">
        <f t="shared" si="37"/>
        <v>504100</v>
      </c>
      <c r="CD53" s="108">
        <f t="shared" si="37"/>
        <v>1064000</v>
      </c>
      <c r="CE53" s="108">
        <f t="shared" si="37"/>
        <v>589950</v>
      </c>
      <c r="CF53" s="108">
        <f t="shared" si="37"/>
        <v>639200</v>
      </c>
      <c r="CG53" s="108">
        <f>SUM(CC50:CF53)</f>
        <v>9414800</v>
      </c>
      <c r="CH53" s="219"/>
      <c r="CI53" s="196" t="s">
        <v>58</v>
      </c>
      <c r="CJ53" s="108">
        <f t="shared" si="38"/>
        <v>9940</v>
      </c>
      <c r="CK53" s="108">
        <f t="shared" si="38"/>
        <v>18620</v>
      </c>
      <c r="CL53" s="108">
        <f t="shared" si="38"/>
        <v>8280</v>
      </c>
      <c r="CM53" s="108">
        <f t="shared" si="38"/>
        <v>10880</v>
      </c>
      <c r="CN53" s="108">
        <f>SUM(CJ50:CM53)</f>
        <v>169840</v>
      </c>
      <c r="CO53" s="219"/>
      <c r="CP53" s="65" t="s">
        <v>41</v>
      </c>
      <c r="CQ53" s="65">
        <f>第十二期!Y12*第十二期!CQ65*比赛参数!D65</f>
        <v>0</v>
      </c>
      <c r="CR53" s="65">
        <f>第十二期!Z12*第十二期!CR65*比赛参数!E65</f>
        <v>0</v>
      </c>
      <c r="CS53" s="65">
        <f>第十二期!AA12*第十二期!CS65*比赛参数!F65</f>
        <v>231120</v>
      </c>
      <c r="CT53" s="65">
        <f>第十二期!AB12*第十二期!CT65*比赛参数!G65</f>
        <v>252720</v>
      </c>
      <c r="CU53" s="65">
        <f>IF(第十二期!AC12&gt;0,SUM(CQ53:CT53)/第十二期!AC12,0)</f>
        <v>2615.35135135135</v>
      </c>
      <c r="CW53" s="11" t="s">
        <v>41</v>
      </c>
      <c r="CX53" s="242">
        <f>IF(第十二期!$CU$53*第十二期!CQ96&gt;0,第十二期!$CU$53+第十二期!CQ71+第十二期!CQ96+第十二期!CQ77,0)</f>
        <v>8209.85293304362</v>
      </c>
      <c r="CY53" s="242">
        <f>IF(第十二期!$CU$53*第十二期!CR96&gt;0,第十二期!$CU$53+第十二期!CR71+第十二期!CR96+第十二期!CR77,0)</f>
        <v>8071.85293304362</v>
      </c>
      <c r="CZ53" s="242">
        <f>IF(第十二期!$CU$53*第十二期!CS96&gt;0,第十二期!$CU$53+第十二期!CS71+第十二期!CS96+第十二期!CS77,0)</f>
        <v>8415.85293304362</v>
      </c>
      <c r="DA53" s="242">
        <f>IF(第十二期!$CU$53*第十二期!CT96&gt;0,第十二期!$CU$53+第十二期!CT71+第十二期!CT96+第十二期!CT77,0)</f>
        <v>8465.85293304362</v>
      </c>
      <c r="DB53" s="242">
        <f>AVERAGE(CX53:DA53)</f>
        <v>8290.85293304362</v>
      </c>
      <c r="DF53" s="65" t="s">
        <v>58</v>
      </c>
      <c r="DG53" s="245">
        <f>IF(第十二期!Y91&gt;0,1,0)</f>
        <v>1</v>
      </c>
      <c r="DH53" s="245">
        <f>IF(第十二期!Z91&gt;0,1,0)</f>
        <v>1</v>
      </c>
      <c r="DI53" s="245">
        <f>IF(第十二期!AA91&gt;0,1,0)</f>
        <v>1</v>
      </c>
      <c r="DJ53" s="245">
        <f>IF(第十二期!AB91&gt;0,1,0)</f>
        <v>1</v>
      </c>
      <c r="DL53" s="245" t="s">
        <v>24</v>
      </c>
      <c r="DM53" s="248">
        <f>IF(第十二期!Y12+第十二期!Z12&gt;0,1,0)</f>
        <v>0</v>
      </c>
      <c r="DN53" s="248">
        <f>IF(第十二期!AA12+第十二期!AB12&gt;0,1,0)</f>
        <v>1</v>
      </c>
      <c r="DO53" s="246"/>
    </row>
    <row r="54" customHeight="1" spans="2:119">
      <c r="B54" s="7"/>
      <c r="C54" s="25">
        <v>5</v>
      </c>
      <c r="D54" s="26">
        <v>3425</v>
      </c>
      <c r="E54" s="26">
        <v>3425</v>
      </c>
      <c r="F54" s="26">
        <v>3530</v>
      </c>
      <c r="G54" s="26">
        <v>3580</v>
      </c>
      <c r="H54" s="26">
        <v>6500</v>
      </c>
      <c r="I54" s="26">
        <v>6500</v>
      </c>
      <c r="J54" s="26">
        <v>6650</v>
      </c>
      <c r="K54" s="26">
        <v>7050</v>
      </c>
      <c r="L54" s="26">
        <v>9200</v>
      </c>
      <c r="M54" s="26">
        <v>9250</v>
      </c>
      <c r="N54" s="26">
        <v>10150</v>
      </c>
      <c r="O54" s="26">
        <v>10100</v>
      </c>
      <c r="P54" s="26">
        <v>13500</v>
      </c>
      <c r="Q54" s="26">
        <v>13500</v>
      </c>
      <c r="R54" s="26">
        <v>14200</v>
      </c>
      <c r="S54" s="26">
        <v>14350</v>
      </c>
      <c r="T54" s="10"/>
      <c r="AK54" s="126">
        <f>AA20</f>
        <v>270</v>
      </c>
      <c r="AL54" s="48"/>
      <c r="AM54" s="48"/>
      <c r="AN54" s="50"/>
      <c r="AR54" s="2" t="s">
        <v>25</v>
      </c>
      <c r="AS54" s="114">
        <f>SUM(AS33:AS52)/比赛参数!$G$4</f>
        <v>0.0526315789473684</v>
      </c>
      <c r="AT54" s="114">
        <f>SUM(AT33:AT52)/比赛参数!$G$4</f>
        <v>0.052621052631579</v>
      </c>
      <c r="AU54" s="114">
        <f>SUM(AU33:AU52)/比赛参数!$G$4</f>
        <v>0.0526315789473684</v>
      </c>
      <c r="AV54" s="114">
        <f>SUM(AV33:AV52)/比赛参数!$G$4</f>
        <v>0.0526368421052632</v>
      </c>
      <c r="AW54" s="114">
        <f>SUM(AW33:AW52)/比赛参数!$G$4</f>
        <v>0.0526157894736842</v>
      </c>
      <c r="AX54" s="114">
        <f>SUM(AX33:AX52)/比赛参数!$G$4</f>
        <v>0.0526368421052632</v>
      </c>
      <c r="AY54" s="114">
        <f>SUM(AY33:AY52)/比赛参数!$G$4</f>
        <v>0.0526526315789474</v>
      </c>
      <c r="AZ54" s="114">
        <f>SUM(AZ33:AZ52)/比赛参数!$G$4</f>
        <v>0.0526368421052632</v>
      </c>
      <c r="BA54" s="114">
        <f>SUM(BA33:BA52)/比赛参数!$G$4</f>
        <v>0.0526315789473684</v>
      </c>
      <c r="BB54" s="114">
        <f>SUM(BB33:BB52)/比赛参数!$G$4</f>
        <v>0.052621052631579</v>
      </c>
      <c r="BC54" s="114">
        <f>SUM(BC33:BC52)/比赛参数!$G$4</f>
        <v>0.0526368421052631</v>
      </c>
      <c r="BD54" s="114">
        <f>SUM(BD33:BD52)/比赛参数!$G$4</f>
        <v>0.0526263157894737</v>
      </c>
      <c r="BE54" s="114">
        <f>SUM(BE33:BE52)/比赛参数!$G$4</f>
        <v>0.0526421052631579</v>
      </c>
      <c r="BF54" s="114">
        <f>SUM(BF33:BF52)/比赛参数!$G$4</f>
        <v>0.052621052631579</v>
      </c>
      <c r="BG54" s="114">
        <f>SUM(BG33:BG52)/比赛参数!$G$4</f>
        <v>0.0526368421052632</v>
      </c>
      <c r="BH54" s="114">
        <f>SUM(BH33:BH52)/比赛参数!$G$4</f>
        <v>0.0526368421052632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1659600</v>
      </c>
      <c r="CD54" s="219">
        <f>SUM(CD50:CD53)</f>
        <v>3586200</v>
      </c>
      <c r="CE54" s="219">
        <f>SUM(CE50:CE53)</f>
        <v>1905850</v>
      </c>
      <c r="CF54" s="219">
        <f>SUM(CF50:CF53)</f>
        <v>2263150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>
        <v>3700</v>
      </c>
      <c r="E55" s="26">
        <v>3700</v>
      </c>
      <c r="F55" s="26">
        <v>4000</v>
      </c>
      <c r="G55" s="26">
        <v>4000</v>
      </c>
      <c r="H55" s="26">
        <v>6521</v>
      </c>
      <c r="I55" s="26">
        <v>6999</v>
      </c>
      <c r="J55" s="26">
        <v>6999</v>
      </c>
      <c r="K55" s="26">
        <v>6521</v>
      </c>
      <c r="L55" s="26">
        <v>11000</v>
      </c>
      <c r="M55" s="26">
        <v>12000</v>
      </c>
      <c r="N55" s="26">
        <v>12000</v>
      </c>
      <c r="O55" s="26">
        <v>11000</v>
      </c>
      <c r="P55" s="26">
        <v>9999</v>
      </c>
      <c r="Q55" s="26">
        <v>9999</v>
      </c>
      <c r="R55" s="26">
        <v>11999</v>
      </c>
      <c r="S55" s="26">
        <v>11999</v>
      </c>
      <c r="T55" s="10"/>
      <c r="Y55" s="2">
        <f>SUM(Y57:Y60)</f>
        <v>0</v>
      </c>
      <c r="Z55" s="2">
        <f>SUM(Z57:Z60)</f>
        <v>88</v>
      </c>
      <c r="AA55" s="2">
        <f>SUM(AA57:AA60)</f>
        <v>22</v>
      </c>
      <c r="AB55" s="2">
        <f>SUM(AB57:AB60)</f>
        <v>0</v>
      </c>
      <c r="AF55" s="2">
        <f>SUM(AF57:AF60)</f>
        <v>6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第十二期!K11</f>
        <v>2719155.64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>
        <v>3499</v>
      </c>
      <c r="E56" s="26">
        <v>3499</v>
      </c>
      <c r="F56" s="26">
        <v>3659</v>
      </c>
      <c r="G56" s="26">
        <v>3659</v>
      </c>
      <c r="H56" s="26">
        <v>6350</v>
      </c>
      <c r="I56" s="26">
        <v>6350</v>
      </c>
      <c r="J56" s="26">
        <v>7099</v>
      </c>
      <c r="K56" s="26">
        <v>6999</v>
      </c>
      <c r="L56" s="26">
        <v>9499</v>
      </c>
      <c r="M56" s="26">
        <v>9499</v>
      </c>
      <c r="N56" s="26">
        <v>9599</v>
      </c>
      <c r="O56" s="26">
        <v>9599</v>
      </c>
      <c r="P56" s="26">
        <v>11899</v>
      </c>
      <c r="Q56" s="26">
        <v>11899</v>
      </c>
      <c r="R56" s="26">
        <v>13299</v>
      </c>
      <c r="S56" s="26">
        <v>13299</v>
      </c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88</v>
      </c>
      <c r="AM56" s="48">
        <f>AA55</f>
        <v>22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第十二期!AH14</f>
        <v>3102519</v>
      </c>
      <c r="BT56" s="130"/>
      <c r="BU56" s="130"/>
      <c r="BV56" s="130">
        <f>BV55+BS56</f>
        <v>5821674.64</v>
      </c>
      <c r="BW56" s="126"/>
      <c r="CB56" s="196" t="s">
        <v>151</v>
      </c>
      <c r="CC56" s="108">
        <f>第十二期!DU26</f>
        <v>108</v>
      </c>
      <c r="CD56" s="108">
        <f>第十二期!DU27</f>
        <v>98</v>
      </c>
      <c r="CE56" s="108">
        <f>第十二期!DU28</f>
        <v>36</v>
      </c>
      <c r="CF56" s="108">
        <f>第十二期!DU29</f>
        <v>40</v>
      </c>
      <c r="CG56" s="219"/>
      <c r="CH56" s="219"/>
      <c r="CI56" s="197" t="s">
        <v>55</v>
      </c>
      <c r="CJ56" s="108">
        <f t="shared" ref="CJ56:CM59" si="39">Y108*(CJ19+CC27)</f>
        <v>9961.19153497228</v>
      </c>
      <c r="CK56" s="108">
        <f t="shared" si="39"/>
        <v>23019.6534332582</v>
      </c>
      <c r="CL56" s="108">
        <f t="shared" si="39"/>
        <v>14717.4500119762</v>
      </c>
      <c r="CM56" s="108">
        <f t="shared" si="39"/>
        <v>18782.7058660872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第十二期!BS7-第十二期!CX50</f>
        <v>1309.21123428995</v>
      </c>
      <c r="CY56" s="242">
        <f>第十二期!BT7-第十二期!CY50</f>
        <v>1350.21123428995</v>
      </c>
      <c r="CZ56" s="242">
        <f>第十二期!BU7-第十二期!CZ50</f>
        <v>1442.21123428995</v>
      </c>
      <c r="DA56" s="242">
        <f>第十二期!BV7-第十二期!DA50</f>
        <v>1492.21123428995</v>
      </c>
      <c r="DB56" s="242">
        <f>AVERAGE(CX56:DA56)</f>
        <v>1398.46123428995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10000</v>
      </c>
      <c r="DN56" s="245">
        <f>比赛参数!E44*DN50</f>
        <v>0</v>
      </c>
    </row>
    <row r="57" customHeight="1" spans="2:118">
      <c r="B57" s="7"/>
      <c r="C57" s="25">
        <v>8</v>
      </c>
      <c r="D57" s="26">
        <v>3600</v>
      </c>
      <c r="E57" s="26">
        <v>3600</v>
      </c>
      <c r="F57" s="26">
        <v>3800</v>
      </c>
      <c r="G57" s="26">
        <v>4200</v>
      </c>
      <c r="H57" s="26">
        <v>6700</v>
      </c>
      <c r="I57" s="26">
        <v>6700</v>
      </c>
      <c r="J57" s="26">
        <v>7300</v>
      </c>
      <c r="K57" s="26">
        <v>7300</v>
      </c>
      <c r="L57" s="26">
        <v>9500</v>
      </c>
      <c r="M57" s="26">
        <v>9500</v>
      </c>
      <c r="N57" s="26">
        <v>9700</v>
      </c>
      <c r="O57" s="26">
        <v>9700</v>
      </c>
      <c r="P57" s="26">
        <v>12400</v>
      </c>
      <c r="Q57" s="26">
        <v>12400</v>
      </c>
      <c r="R57" s="26">
        <v>13000</v>
      </c>
      <c r="S57" s="26">
        <v>13000</v>
      </c>
      <c r="T57" s="10"/>
      <c r="X57" s="64" t="s">
        <v>55</v>
      </c>
      <c r="Y57" s="127">
        <f>第十二期!DX6</f>
        <v>0</v>
      </c>
      <c r="Z57" s="127">
        <f>第十二期!DX10</f>
        <v>24</v>
      </c>
      <c r="AA57" s="127">
        <f>第十二期!DX14</f>
        <v>5</v>
      </c>
      <c r="AB57" s="127">
        <f>第十二期!DX18</f>
        <v>0</v>
      </c>
      <c r="AC57" s="128"/>
      <c r="AE57" s="64" t="s">
        <v>55</v>
      </c>
      <c r="AF57" s="127">
        <f>第十二期!DW6</f>
        <v>2</v>
      </c>
      <c r="AG57" s="127">
        <f>第十二期!DW10</f>
        <v>0</v>
      </c>
      <c r="AH57" s="127">
        <f>第十二期!DW14</f>
        <v>0</v>
      </c>
      <c r="AI57" s="127">
        <f>第十二期!DW18</f>
        <v>0</v>
      </c>
      <c r="AJ57" s="126"/>
      <c r="AK57" s="126">
        <f>D42</f>
        <v>108</v>
      </c>
      <c r="AL57" s="48">
        <f>D43</f>
        <v>98</v>
      </c>
      <c r="AM57" s="48">
        <f>D44</f>
        <v>36</v>
      </c>
      <c r="AN57" s="50">
        <f>D45</f>
        <v>40</v>
      </c>
      <c r="AO57" s="173"/>
      <c r="AR57" s="190">
        <v>1</v>
      </c>
      <c r="AS57" s="191">
        <f t="shared" ref="AS57:BH72" si="40">IF(AS33="","",(AS33-AS$54)^2)</f>
        <v>3.63799445983379e-5</v>
      </c>
      <c r="AT57" s="191">
        <f t="shared" si="40"/>
        <v>4.93307479224381e-6</v>
      </c>
      <c r="AU57" s="191">
        <f t="shared" si="40"/>
        <v>2.99836565096952e-6</v>
      </c>
      <c r="AV57" s="191">
        <f t="shared" si="40"/>
        <v>4.30750415512466e-5</v>
      </c>
      <c r="AW57" s="191">
        <f t="shared" si="40"/>
        <v>1.28465650969529e-5</v>
      </c>
      <c r="AX57" s="191">
        <f t="shared" si="40"/>
        <v>2.56355678670359e-5</v>
      </c>
      <c r="AY57" s="191">
        <f t="shared" si="40"/>
        <v>0.000122160664819945</v>
      </c>
      <c r="AZ57" s="191">
        <f t="shared" si="40"/>
        <v>2.84818836565096e-5</v>
      </c>
      <c r="BA57" s="191">
        <f t="shared" si="40"/>
        <v>0.000765541523545707</v>
      </c>
      <c r="BB57" s="191">
        <f t="shared" si="40"/>
        <v>0.000805364653739612</v>
      </c>
      <c r="BC57" s="191">
        <f t="shared" si="40"/>
        <v>0.000850489778393352</v>
      </c>
      <c r="BD57" s="191">
        <f t="shared" si="40"/>
        <v>0.00174504069252078</v>
      </c>
      <c r="BE57" s="191">
        <f t="shared" si="40"/>
        <v>0.00020283756232687</v>
      </c>
      <c r="BF57" s="191">
        <f t="shared" si="40"/>
        <v>0.000228646232686981</v>
      </c>
      <c r="BG57" s="191">
        <f t="shared" si="40"/>
        <v>4.67424099722991e-5</v>
      </c>
      <c r="BH57" s="191">
        <f t="shared" si="40"/>
        <v>3.17739889196676e-5</v>
      </c>
      <c r="BR57" s="209" t="s">
        <v>295</v>
      </c>
      <c r="BS57" s="130">
        <f>第十二期!AH15</f>
        <v>678766</v>
      </c>
      <c r="BT57" s="130"/>
      <c r="BU57" s="130"/>
      <c r="BV57" s="130">
        <f>BV56+BS57</f>
        <v>6500440.64</v>
      </c>
      <c r="BW57" s="126"/>
      <c r="CB57" s="196" t="s">
        <v>327</v>
      </c>
      <c r="CC57" s="108">
        <f>AC9</f>
        <v>549</v>
      </c>
      <c r="CD57" s="108">
        <f>AC10</f>
        <v>521</v>
      </c>
      <c r="CE57" s="108">
        <f>AC11</f>
        <v>183</v>
      </c>
      <c r="CF57" s="108">
        <f>AC12</f>
        <v>185</v>
      </c>
      <c r="CG57" s="219"/>
      <c r="CH57" s="219"/>
      <c r="CI57" s="196" t="s">
        <v>56</v>
      </c>
      <c r="CJ57" s="108">
        <f t="shared" si="39"/>
        <v>9518.07226891723</v>
      </c>
      <c r="CK57" s="108">
        <f t="shared" si="39"/>
        <v>22057.8166985643</v>
      </c>
      <c r="CL57" s="108">
        <f t="shared" si="39"/>
        <v>14183.1768967557</v>
      </c>
      <c r="CM57" s="108">
        <f t="shared" si="39"/>
        <v>18105.7058660872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第十二期!BS8-第十二期!CX51</f>
        <v>2310.4570684504</v>
      </c>
      <c r="CY57" s="242">
        <f>第十二期!BT8-第十二期!CY51</f>
        <v>2394.4570684504</v>
      </c>
      <c r="CZ57" s="242">
        <f>第十二期!BU8-第十二期!CZ51</f>
        <v>2377.4570684504</v>
      </c>
      <c r="DA57" s="242">
        <f>第十二期!BV8-第十二期!DA51</f>
        <v>2427.4570684504</v>
      </c>
      <c r="DB57" s="242">
        <f>AVERAGE(CX57:DA57)</f>
        <v>2377.4570684504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18000</v>
      </c>
    </row>
    <row r="58" customHeight="1" spans="2:118">
      <c r="B58" s="7"/>
      <c r="C58" s="25">
        <v>9</v>
      </c>
      <c r="D58" s="26">
        <v>3138</v>
      </c>
      <c r="E58" s="26">
        <v>3138</v>
      </c>
      <c r="F58" s="26">
        <v>3358</v>
      </c>
      <c r="G58" s="26">
        <v>3558</v>
      </c>
      <c r="H58" s="26">
        <v>6418</v>
      </c>
      <c r="I58" s="26">
        <v>6458</v>
      </c>
      <c r="J58" s="26">
        <v>6658</v>
      </c>
      <c r="K58" s="26">
        <v>6718</v>
      </c>
      <c r="L58" s="26">
        <v>10448</v>
      </c>
      <c r="M58" s="26">
        <v>10448</v>
      </c>
      <c r="N58" s="26">
        <v>11358</v>
      </c>
      <c r="O58" s="26">
        <v>11398</v>
      </c>
      <c r="P58" s="26">
        <v>13298</v>
      </c>
      <c r="Q58" s="26">
        <v>13298</v>
      </c>
      <c r="R58" s="26">
        <v>14998</v>
      </c>
      <c r="S58" s="26">
        <v>15138</v>
      </c>
      <c r="T58" s="10"/>
      <c r="X58" s="11" t="s">
        <v>56</v>
      </c>
      <c r="Y58" s="127">
        <f>第十二期!DX7</f>
        <v>0</v>
      </c>
      <c r="Z58" s="127">
        <f>第十二期!DX11</f>
        <v>17</v>
      </c>
      <c r="AA58" s="127">
        <f>第十二期!DX15</f>
        <v>7</v>
      </c>
      <c r="AB58" s="127">
        <f>第十二期!DX19</f>
        <v>0</v>
      </c>
      <c r="AC58" s="128"/>
      <c r="AE58" s="11" t="s">
        <v>56</v>
      </c>
      <c r="AF58" s="127">
        <f>第十二期!DW7</f>
        <v>3</v>
      </c>
      <c r="AG58" s="127">
        <f>第十二期!DW11</f>
        <v>0</v>
      </c>
      <c r="AH58" s="127">
        <f>第十二期!DW15</f>
        <v>0</v>
      </c>
      <c r="AI58" s="127">
        <f>第十二期!DW19</f>
        <v>0</v>
      </c>
      <c r="AK58" s="126">
        <f>AF55</f>
        <v>6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>
        <f t="shared" si="40"/>
        <v>0.000698628365650969</v>
      </c>
      <c r="AT58" s="191">
        <f t="shared" si="40"/>
        <v>0.00063106728531856</v>
      </c>
      <c r="AU58" s="191">
        <f t="shared" si="40"/>
        <v>0.000741558891966759</v>
      </c>
      <c r="AV58" s="191">
        <f t="shared" si="40"/>
        <v>0.000311058199445983</v>
      </c>
      <c r="AW58" s="191">
        <f t="shared" si="40"/>
        <v>9.97229916897483e-8</v>
      </c>
      <c r="AX58" s="191">
        <f t="shared" si="40"/>
        <v>1.35293628808862e-6</v>
      </c>
      <c r="AY58" s="191">
        <f t="shared" si="40"/>
        <v>0.000122160664819945</v>
      </c>
      <c r="AZ58" s="191">
        <f t="shared" si="40"/>
        <v>0.000135416094182825</v>
      </c>
      <c r="BA58" s="191">
        <f t="shared" si="40"/>
        <v>0.00696697731301939</v>
      </c>
      <c r="BB58" s="191">
        <f t="shared" si="40"/>
        <v>0.00727249886426593</v>
      </c>
      <c r="BC58" s="191">
        <f t="shared" si="40"/>
        <v>3.32139889196677e-5</v>
      </c>
      <c r="BD58" s="191">
        <f t="shared" si="40"/>
        <v>0.00017354595567867</v>
      </c>
      <c r="BE58" s="191">
        <f t="shared" si="40"/>
        <v>0.00370368335180055</v>
      </c>
      <c r="BF58" s="191">
        <f t="shared" si="40"/>
        <v>0.00318987149584487</v>
      </c>
      <c r="BG58" s="191">
        <f t="shared" si="40"/>
        <v>0.000663740304709141</v>
      </c>
      <c r="BH58" s="191">
        <f t="shared" si="40"/>
        <v>7.63504155124654e-6</v>
      </c>
      <c r="BR58" s="209" t="s">
        <v>328</v>
      </c>
      <c r="BS58" s="130">
        <f>第十二期!H5+第十二期!H4*比赛参数!F71</f>
        <v>399901.05</v>
      </c>
      <c r="BT58" s="130"/>
      <c r="BU58" s="130"/>
      <c r="BV58" s="130">
        <f t="shared" ref="BV58:BV64" si="41">BV57-BS58</f>
        <v>6100539.59</v>
      </c>
      <c r="BW58" s="126"/>
      <c r="CB58" s="196" t="s">
        <v>329</v>
      </c>
      <c r="CC58" s="108">
        <f>Y92</f>
        <v>516</v>
      </c>
      <c r="CD58" s="108">
        <f>Z92</f>
        <v>488</v>
      </c>
      <c r="CE58" s="108">
        <f>AA92</f>
        <v>173</v>
      </c>
      <c r="CF58" s="108">
        <f>AB92</f>
        <v>178</v>
      </c>
      <c r="CG58" s="219"/>
      <c r="CH58" s="219"/>
      <c r="CI58" s="196" t="s">
        <v>57</v>
      </c>
      <c r="CJ58" s="108">
        <f t="shared" si="39"/>
        <v>15647.1388096348</v>
      </c>
      <c r="CK58" s="108">
        <f t="shared" si="39"/>
        <v>33983.1429866006</v>
      </c>
      <c r="CL58" s="108">
        <f t="shared" si="39"/>
        <v>15250.6164996239</v>
      </c>
      <c r="CM58" s="108">
        <f t="shared" si="39"/>
        <v>19566.3997436383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第十二期!BS9-第十二期!CX52</f>
        <v>3695.22236243295</v>
      </c>
      <c r="CY58" s="242">
        <f>第十二期!BT9-第十二期!CY52</f>
        <v>3807.22236243295</v>
      </c>
      <c r="CZ58" s="242">
        <f>第十二期!BU9-第十二期!CZ52</f>
        <v>3751.22236243295</v>
      </c>
      <c r="DA58" s="242">
        <f>第十二期!BV9-第十二期!DA52</f>
        <v>3801.22236243295</v>
      </c>
      <c r="DB58" s="242">
        <f>AVERAGE(CX58:DA58)</f>
        <v>3763.72236243295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24000</v>
      </c>
    </row>
    <row r="59" customHeight="1" spans="2:118">
      <c r="B59" s="7"/>
      <c r="C59" s="25">
        <v>10</v>
      </c>
      <c r="D59" s="26">
        <v>3300</v>
      </c>
      <c r="E59" s="26">
        <v>3300</v>
      </c>
      <c r="F59" s="26">
        <v>3600</v>
      </c>
      <c r="G59" s="26">
        <v>3650</v>
      </c>
      <c r="H59" s="26">
        <v>6700</v>
      </c>
      <c r="I59" s="26">
        <v>6700</v>
      </c>
      <c r="J59" s="26">
        <v>7250</v>
      </c>
      <c r="K59" s="26">
        <v>7250</v>
      </c>
      <c r="L59" s="26">
        <v>10000</v>
      </c>
      <c r="M59" s="26">
        <v>10000</v>
      </c>
      <c r="N59" s="26">
        <v>10300</v>
      </c>
      <c r="O59" s="26">
        <v>10300</v>
      </c>
      <c r="P59" s="26">
        <v>13100</v>
      </c>
      <c r="Q59" s="26">
        <v>13100</v>
      </c>
      <c r="R59" s="26">
        <v>13900</v>
      </c>
      <c r="S59" s="26">
        <v>13900</v>
      </c>
      <c r="T59" s="10"/>
      <c r="X59" s="11" t="s">
        <v>57</v>
      </c>
      <c r="Y59" s="127">
        <f>第十二期!DX8</f>
        <v>0</v>
      </c>
      <c r="Z59" s="127">
        <f>第十二期!DX12</f>
        <v>26</v>
      </c>
      <c r="AA59" s="127">
        <f>第十二期!DX16</f>
        <v>0</v>
      </c>
      <c r="AB59" s="127">
        <f>第十二期!DX20</f>
        <v>0</v>
      </c>
      <c r="AC59" s="129"/>
      <c r="AE59" s="11" t="s">
        <v>57</v>
      </c>
      <c r="AF59" s="127">
        <f>第十二期!DW8</f>
        <v>1</v>
      </c>
      <c r="AG59" s="127">
        <f>第十二期!DW12</f>
        <v>0</v>
      </c>
      <c r="AH59" s="127">
        <f>第十二期!DW16</f>
        <v>0</v>
      </c>
      <c r="AI59" s="127">
        <f>第十二期!DW20</f>
        <v>0</v>
      </c>
      <c r="AK59" s="126"/>
      <c r="AL59" s="48"/>
      <c r="AM59" s="48"/>
      <c r="AN59" s="50"/>
      <c r="AR59" s="190">
        <v>3</v>
      </c>
      <c r="AS59" s="191">
        <f t="shared" si="40"/>
        <v>0.00020358783933518</v>
      </c>
      <c r="AT59" s="191">
        <f t="shared" si="40"/>
        <v>3.33962326869805e-5</v>
      </c>
      <c r="AU59" s="191">
        <f t="shared" si="40"/>
        <v>0.000245499418282549</v>
      </c>
      <c r="AV59" s="191">
        <f t="shared" si="40"/>
        <v>0.000513618725761773</v>
      </c>
      <c r="AW59" s="191">
        <f t="shared" si="40"/>
        <v>0.000104362354570637</v>
      </c>
      <c r="AX59" s="191">
        <f t="shared" si="40"/>
        <v>0.000111025041551247</v>
      </c>
      <c r="AY59" s="191">
        <f t="shared" si="40"/>
        <v>0.00014048487534626</v>
      </c>
      <c r="AZ59" s="191">
        <f t="shared" si="40"/>
        <v>0.000244510831024931</v>
      </c>
      <c r="BA59" s="191">
        <f t="shared" si="40"/>
        <v>0.000115166786703601</v>
      </c>
      <c r="BB59" s="191">
        <f t="shared" si="40"/>
        <v>0.000125912022160665</v>
      </c>
      <c r="BC59" s="191">
        <f t="shared" si="40"/>
        <v>1.35734072022085e-9</v>
      </c>
      <c r="BD59" s="191">
        <f t="shared" si="40"/>
        <v>6.93275346260389e-5</v>
      </c>
      <c r="BE59" s="191">
        <f t="shared" si="40"/>
        <v>0.000157304404432133</v>
      </c>
      <c r="BF59" s="191">
        <f t="shared" si="40"/>
        <v>0.000182818864265928</v>
      </c>
      <c r="BG59" s="191">
        <f t="shared" si="40"/>
        <v>6.18292520775623e-5</v>
      </c>
      <c r="BH59" s="191">
        <f t="shared" si="40"/>
        <v>8.95513573407203e-5</v>
      </c>
      <c r="BR59" s="209" t="s">
        <v>330</v>
      </c>
      <c r="BS59" s="130">
        <f>第十二期!K14*比赛参数!D71/4</f>
        <v>231687.031875</v>
      </c>
      <c r="BT59" s="130"/>
      <c r="BU59" s="130">
        <f>BS59</f>
        <v>231687.031875</v>
      </c>
      <c r="BV59" s="130">
        <f t="shared" si="41"/>
        <v>5868852.558125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16389.4206888294</v>
      </c>
      <c r="CK59" s="108">
        <f t="shared" si="39"/>
        <v>34731.0881920801</v>
      </c>
      <c r="CL59" s="108">
        <f t="shared" si="39"/>
        <v>15491.4328261545</v>
      </c>
      <c r="CM59" s="108">
        <f t="shared" si="39"/>
        <v>19827.6242334342</v>
      </c>
      <c r="CN59" s="108">
        <f>SUM(CJ56:CM59)</f>
        <v>301232.636556614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第十二期!BS10-第十二期!CX53</f>
        <v>4840.14706695638</v>
      </c>
      <c r="CY59" s="242">
        <f>第十二期!BT10-第十二期!CY53</f>
        <v>4978.14706695638</v>
      </c>
      <c r="CZ59" s="242">
        <f>第十二期!BU10-第十二期!CZ53</f>
        <v>5034.14706695638</v>
      </c>
      <c r="DA59" s="242">
        <f>第十二期!BV10-第十二期!DA53</f>
        <v>5134.14706695638</v>
      </c>
      <c r="DB59" s="242">
        <f>AVERAGE(CX59:DA59)</f>
        <v>4996.64706695638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3230</v>
      </c>
      <c r="E60" s="26">
        <v>3230</v>
      </c>
      <c r="F60" s="26">
        <v>3480</v>
      </c>
      <c r="G60" s="26">
        <v>3580</v>
      </c>
      <c r="H60" s="26">
        <v>6750</v>
      </c>
      <c r="I60" s="26">
        <v>6750</v>
      </c>
      <c r="J60" s="26">
        <v>7000</v>
      </c>
      <c r="K60" s="26">
        <v>7100</v>
      </c>
      <c r="L60" s="26">
        <v>10200</v>
      </c>
      <c r="M60" s="26">
        <v>10200</v>
      </c>
      <c r="N60" s="26">
        <v>10300</v>
      </c>
      <c r="O60" s="26">
        <v>10500</v>
      </c>
      <c r="P60" s="26">
        <v>13100</v>
      </c>
      <c r="Q60" s="26">
        <v>13100</v>
      </c>
      <c r="R60" s="26">
        <v>13500</v>
      </c>
      <c r="S60" s="26">
        <v>13650</v>
      </c>
      <c r="T60" s="10"/>
      <c r="X60" s="11" t="s">
        <v>58</v>
      </c>
      <c r="Y60" s="127">
        <f>第十二期!DX9</f>
        <v>0</v>
      </c>
      <c r="Z60" s="127">
        <f>第十二期!DX13</f>
        <v>21</v>
      </c>
      <c r="AA60" s="127">
        <f>第十二期!DX17</f>
        <v>10</v>
      </c>
      <c r="AB60" s="127">
        <f>第十二期!DX21</f>
        <v>0</v>
      </c>
      <c r="AC60" s="108" t="s">
        <v>308</v>
      </c>
      <c r="AE60" s="11" t="s">
        <v>58</v>
      </c>
      <c r="AF60" s="127">
        <f>第十二期!DW9</f>
        <v>0</v>
      </c>
      <c r="AG60" s="127">
        <f>第十二期!DW13</f>
        <v>0</v>
      </c>
      <c r="AH60" s="127">
        <f>第十二期!DW17</f>
        <v>0</v>
      </c>
      <c r="AI60" s="127">
        <f>第十二期!DW21</f>
        <v>0</v>
      </c>
      <c r="AK60" s="126">
        <f>AF74</f>
        <v>115</v>
      </c>
      <c r="AL60" s="48">
        <f>AG74</f>
        <v>73</v>
      </c>
      <c r="AM60" s="48">
        <f>AH74</f>
        <v>26.5</v>
      </c>
      <c r="AN60" s="50">
        <f>AI74</f>
        <v>34.25</v>
      </c>
      <c r="AR60" s="190">
        <v>4</v>
      </c>
      <c r="AS60" s="191">
        <f t="shared" si="40"/>
        <v>6.03483656509696e-5</v>
      </c>
      <c r="AT60" s="191">
        <f t="shared" si="40"/>
        <v>0.000155724127423823</v>
      </c>
      <c r="AU60" s="191">
        <f t="shared" si="40"/>
        <v>0.000131524681440443</v>
      </c>
      <c r="AV60" s="191">
        <f t="shared" si="40"/>
        <v>0.000579035567867036</v>
      </c>
      <c r="AW60" s="191">
        <f t="shared" si="40"/>
        <v>2.82576177285318e-5</v>
      </c>
      <c r="AX60" s="191">
        <f t="shared" si="40"/>
        <v>3.17739889196677e-5</v>
      </c>
      <c r="AY60" s="191">
        <f t="shared" si="40"/>
        <v>0.000203137506925208</v>
      </c>
      <c r="AZ60" s="191">
        <f t="shared" si="40"/>
        <v>4.81197783933518e-5</v>
      </c>
      <c r="BA60" s="191">
        <f t="shared" si="40"/>
        <v>0.000186825734072022</v>
      </c>
      <c r="BB60" s="191">
        <f t="shared" si="40"/>
        <v>0.000165867285318559</v>
      </c>
      <c r="BC60" s="191">
        <f t="shared" si="40"/>
        <v>8.19767313019396e-6</v>
      </c>
      <c r="BD60" s="191">
        <f t="shared" si="40"/>
        <v>0.000212392271468144</v>
      </c>
      <c r="BE60" s="191">
        <f t="shared" si="40"/>
        <v>1.79954570637119e-5</v>
      </c>
      <c r="BF60" s="191">
        <f t="shared" si="40"/>
        <v>2.93878116343492e-5</v>
      </c>
      <c r="BG60" s="191">
        <f t="shared" si="40"/>
        <v>1.32266204986149e-5</v>
      </c>
      <c r="BH60" s="191">
        <f t="shared" si="40"/>
        <v>6.0266620498615e-5</v>
      </c>
      <c r="BR60" s="209" t="s">
        <v>332</v>
      </c>
      <c r="BS60" s="130">
        <f>第十二期!Y18*比赛参数!D58</f>
        <v>62000</v>
      </c>
      <c r="BT60" s="130"/>
      <c r="BU60" s="130">
        <f>BU59+BS60</f>
        <v>293687.031875</v>
      </c>
      <c r="BV60" s="130">
        <f t="shared" si="41"/>
        <v>5806852.558125</v>
      </c>
      <c r="BW60" s="126"/>
      <c r="CB60" s="196" t="s">
        <v>333</v>
      </c>
      <c r="CC60" s="108">
        <f>SUM(Y57:Y60)+CC56</f>
        <v>108</v>
      </c>
      <c r="CD60" s="108">
        <f>SUM(Z57:Z60)+CD56</f>
        <v>186</v>
      </c>
      <c r="CE60" s="108">
        <f>SUM(AA57:AA60)+CE56</f>
        <v>58</v>
      </c>
      <c r="CF60" s="108">
        <f>SUM(AB57:AB60)+CF56</f>
        <v>40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102000</v>
      </c>
      <c r="DN60" s="246"/>
    </row>
    <row r="61" customHeight="1" spans="2:118">
      <c r="B61" s="7"/>
      <c r="C61" s="25">
        <v>12</v>
      </c>
      <c r="D61" s="26">
        <v>3300</v>
      </c>
      <c r="E61" s="26">
        <v>3550</v>
      </c>
      <c r="F61" s="26">
        <v>3650</v>
      </c>
      <c r="G61" s="26">
        <v>3600</v>
      </c>
      <c r="H61" s="26">
        <v>6550</v>
      </c>
      <c r="I61" s="26">
        <v>6550</v>
      </c>
      <c r="J61" s="26">
        <v>6850</v>
      </c>
      <c r="K61" s="26">
        <v>6800</v>
      </c>
      <c r="L61" s="26">
        <v>8900</v>
      </c>
      <c r="M61" s="26">
        <v>8950</v>
      </c>
      <c r="N61" s="26">
        <v>8550</v>
      </c>
      <c r="O61" s="26">
        <v>8660</v>
      </c>
      <c r="P61" s="26">
        <v>12100</v>
      </c>
      <c r="Q61" s="26">
        <v>12200</v>
      </c>
      <c r="R61" s="26">
        <v>13100</v>
      </c>
      <c r="S61" s="26">
        <v>13600</v>
      </c>
      <c r="T61" s="10"/>
      <c r="X61" s="65" t="s">
        <v>334</v>
      </c>
      <c r="Y61" s="130">
        <f>Y57*AF86+Y58*AF87+Y59*AF88+Y60*AF89</f>
        <v>0</v>
      </c>
      <c r="Z61" s="130">
        <f>Z57*AG86+Z58*AG87+Z59*AG88+Z60*AG89</f>
        <v>607850</v>
      </c>
      <c r="AA61" s="130">
        <f>AA57*AH86+AA58*AH87+AA59*AH88+AA60*AH89</f>
        <v>227400</v>
      </c>
      <c r="AB61" s="130">
        <f>AB57*AI86+AB58*AI87+AB59*AI88+AB60*AI89</f>
        <v>0</v>
      </c>
      <c r="AC61" s="130">
        <f>SUM(Y61:AB61)</f>
        <v>835250</v>
      </c>
      <c r="AE61" s="48"/>
      <c r="AF61" s="48"/>
      <c r="AG61" s="48"/>
      <c r="AH61" s="48"/>
      <c r="AI61" s="48"/>
      <c r="AK61" s="170">
        <f>AF82</f>
        <v>3402.82608695652</v>
      </c>
      <c r="AL61" s="171">
        <f>AG82</f>
        <v>6935.44520547945</v>
      </c>
      <c r="AM61" s="171">
        <f>AH82</f>
        <v>10323.5849056604</v>
      </c>
      <c r="AN61" s="172">
        <f>AI82</f>
        <v>13386.1313868613</v>
      </c>
      <c r="AR61" s="190">
        <v>5</v>
      </c>
      <c r="AS61" s="191">
        <f t="shared" si="40"/>
        <v>1.62536288088643e-5</v>
      </c>
      <c r="AT61" s="191">
        <f t="shared" si="40"/>
        <v>4.88642659279813e-8</v>
      </c>
      <c r="AU61" s="191">
        <f t="shared" si="40"/>
        <v>3.32746814404433e-5</v>
      </c>
      <c r="AV61" s="191">
        <f t="shared" si="40"/>
        <v>8.76687257617729e-5</v>
      </c>
      <c r="AW61" s="191">
        <f t="shared" si="40"/>
        <v>0.000181823933518006</v>
      </c>
      <c r="AX61" s="191">
        <f t="shared" si="40"/>
        <v>0.000168043462603878</v>
      </c>
      <c r="AY61" s="191">
        <f t="shared" si="40"/>
        <v>0.00154035592797784</v>
      </c>
      <c r="AZ61" s="191">
        <f t="shared" si="40"/>
        <v>0.00022992135734072</v>
      </c>
      <c r="BA61" s="191">
        <f t="shared" si="40"/>
        <v>0.00271112047091413</v>
      </c>
      <c r="BB61" s="191">
        <f t="shared" si="40"/>
        <v>0.00240874307479224</v>
      </c>
      <c r="BC61" s="191">
        <f t="shared" si="40"/>
        <v>0.000212085567867036</v>
      </c>
      <c r="BD61" s="191">
        <f t="shared" si="40"/>
        <v>0.00035621595567867</v>
      </c>
      <c r="BE61" s="191">
        <f t="shared" si="40"/>
        <v>5.6883351800554e-5</v>
      </c>
      <c r="BF61" s="191">
        <f t="shared" si="40"/>
        <v>2.93878116343492e-5</v>
      </c>
      <c r="BG61" s="191">
        <f t="shared" si="40"/>
        <v>2.74245152354571e-5</v>
      </c>
      <c r="BH61" s="191">
        <f t="shared" si="40"/>
        <v>1.54987257617728e-5</v>
      </c>
      <c r="BR61" s="209" t="s">
        <v>335</v>
      </c>
      <c r="BS61" s="130">
        <f>第十二期!AA18*比赛参数!D62</f>
        <v>22000</v>
      </c>
      <c r="BT61" s="130"/>
      <c r="BU61" s="130">
        <f>BU60+BS61</f>
        <v>315687.031875</v>
      </c>
      <c r="BV61" s="130">
        <f t="shared" si="41"/>
        <v>5784852.558125</v>
      </c>
      <c r="BW61" s="126"/>
      <c r="CB61" s="196" t="s">
        <v>35</v>
      </c>
      <c r="CC61" s="108">
        <f>CC56+CC57-CC58+CC59</f>
        <v>141</v>
      </c>
      <c r="CD61" s="108">
        <f>CD56+CD57-CD58+CD59</f>
        <v>131</v>
      </c>
      <c r="CE61" s="108">
        <f>CE56+CE57-CE58+CE59</f>
        <v>46</v>
      </c>
      <c r="CF61" s="108">
        <f>CF56+CF57-CF58+CF59</f>
        <v>47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>
        <v>2850</v>
      </c>
      <c r="E62" s="26">
        <v>2840</v>
      </c>
      <c r="F62" s="26">
        <v>2960</v>
      </c>
      <c r="G62" s="26">
        <v>3150</v>
      </c>
      <c r="H62" s="26">
        <v>6390</v>
      </c>
      <c r="I62" s="26">
        <v>6410</v>
      </c>
      <c r="J62" s="26">
        <v>6580</v>
      </c>
      <c r="K62" s="26">
        <v>6620</v>
      </c>
      <c r="L62" s="26">
        <v>9700</v>
      </c>
      <c r="M62" s="26">
        <v>9700</v>
      </c>
      <c r="N62" s="26">
        <v>10100</v>
      </c>
      <c r="O62" s="26">
        <v>10100</v>
      </c>
      <c r="P62" s="26">
        <v>12900</v>
      </c>
      <c r="Q62" s="26">
        <v>12900</v>
      </c>
      <c r="R62" s="26">
        <v>13400</v>
      </c>
      <c r="S62" s="26">
        <v>13700</v>
      </c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>
        <f t="shared" si="40"/>
        <v>0.00171657573407202</v>
      </c>
      <c r="AT62" s="191">
        <f t="shared" si="40"/>
        <v>0.0016991751800554</v>
      </c>
      <c r="AU62" s="191">
        <f t="shared" si="40"/>
        <v>0.00170829941828255</v>
      </c>
      <c r="AV62" s="191">
        <f t="shared" si="40"/>
        <v>0.00158697398891967</v>
      </c>
      <c r="AW62" s="191">
        <f t="shared" si="40"/>
        <v>0.00276842130193906</v>
      </c>
      <c r="AX62" s="191">
        <f t="shared" si="40"/>
        <v>0.00143920398891967</v>
      </c>
      <c r="AY62" s="191">
        <f t="shared" si="40"/>
        <v>0.00277229961218837</v>
      </c>
      <c r="AZ62" s="191">
        <f t="shared" si="40"/>
        <v>0.0027706371468144</v>
      </c>
      <c r="BA62" s="191">
        <f t="shared" si="40"/>
        <v>0.00277008310249307</v>
      </c>
      <c r="BB62" s="191">
        <f t="shared" si="40"/>
        <v>0.00259295360110803</v>
      </c>
      <c r="BC62" s="191">
        <f t="shared" si="40"/>
        <v>0.00247375346260388</v>
      </c>
      <c r="BD62" s="191">
        <f t="shared" si="40"/>
        <v>0.00276952911357341</v>
      </c>
      <c r="BE62" s="191">
        <f t="shared" si="40"/>
        <v>0.0027711912465374</v>
      </c>
      <c r="BF62" s="191">
        <f t="shared" si="40"/>
        <v>0.0027689751800554</v>
      </c>
      <c r="BG62" s="191">
        <f t="shared" si="40"/>
        <v>0.0027706371468144</v>
      </c>
      <c r="BH62" s="191">
        <f t="shared" si="40"/>
        <v>0.0027706371468144</v>
      </c>
      <c r="BR62" s="209" t="s">
        <v>336</v>
      </c>
      <c r="BS62" s="130">
        <f>((第十二期!K8-第十二期!AA18)*比赛参数!D65+第十二期!Y18*比赛参数!D59*比赛参数!D65)*第十二期!AH18*520</f>
        <v>1801800</v>
      </c>
      <c r="BT62" s="130"/>
      <c r="BU62" s="130">
        <f>BU61+BS62</f>
        <v>2117487.031875</v>
      </c>
      <c r="BV62" s="130">
        <f t="shared" si="41"/>
        <v>3983052.558125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CX56/第十二期!CQ56</f>
        <v>13.0921123428995</v>
      </c>
      <c r="CY62" s="242">
        <f>CY56/第十二期!CR56</f>
        <v>13.5021123428995</v>
      </c>
      <c r="CZ62" s="242">
        <f>CZ56/第十二期!CS56</f>
        <v>14.4221123428995</v>
      </c>
      <c r="DA62" s="242">
        <f>DA56/第十二期!CT56</f>
        <v>14.9221123428995</v>
      </c>
      <c r="DB62" s="242">
        <f>AVERAGE(CX62:DA62)</f>
        <v>13.9846123428995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>
        <v>3100</v>
      </c>
      <c r="E63" s="26">
        <v>3100</v>
      </c>
      <c r="F63" s="26">
        <v>3300</v>
      </c>
      <c r="G63" s="26">
        <v>3300</v>
      </c>
      <c r="H63" s="26">
        <v>6300</v>
      </c>
      <c r="I63" s="26">
        <v>6300</v>
      </c>
      <c r="J63" s="26">
        <v>6700</v>
      </c>
      <c r="K63" s="26">
        <v>6700</v>
      </c>
      <c r="L63" s="26">
        <v>9100</v>
      </c>
      <c r="M63" s="26">
        <v>9100</v>
      </c>
      <c r="N63" s="26">
        <v>11000</v>
      </c>
      <c r="O63" s="26">
        <v>10000</v>
      </c>
      <c r="P63" s="26">
        <v>10100</v>
      </c>
      <c r="Q63" s="26">
        <v>10100</v>
      </c>
      <c r="R63" s="26">
        <v>11100</v>
      </c>
      <c r="S63" s="26">
        <v>11100</v>
      </c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>
        <f t="shared" si="40"/>
        <v>0.000842832576177285</v>
      </c>
      <c r="AT63" s="191">
        <f t="shared" si="40"/>
        <v>0.000735551495844876</v>
      </c>
      <c r="AU63" s="191">
        <f t="shared" si="40"/>
        <v>0.000283302049861496</v>
      </c>
      <c r="AV63" s="191">
        <f t="shared" si="40"/>
        <v>8.1664515235457e-5</v>
      </c>
      <c r="AW63" s="191">
        <f t="shared" si="40"/>
        <v>6.67814404432135e-6</v>
      </c>
      <c r="AX63" s="191">
        <f t="shared" si="40"/>
        <v>4.67925207756228e-6</v>
      </c>
      <c r="AY63" s="191">
        <f t="shared" si="40"/>
        <v>0.000160089085872576</v>
      </c>
      <c r="AZ63" s="191">
        <f t="shared" si="40"/>
        <v>2.05829362880886e-5</v>
      </c>
      <c r="BA63" s="191">
        <f t="shared" si="40"/>
        <v>2.15626038781167e-6</v>
      </c>
      <c r="BB63" s="191">
        <f t="shared" si="40"/>
        <v>6.06759002770072e-7</v>
      </c>
      <c r="BC63" s="191">
        <f t="shared" si="40"/>
        <v>0.0012224224099723</v>
      </c>
      <c r="BD63" s="191">
        <f t="shared" si="40"/>
        <v>0.000679837008310249</v>
      </c>
      <c r="BE63" s="191">
        <f t="shared" si="40"/>
        <v>0.00351149808864266</v>
      </c>
      <c r="BF63" s="191">
        <f t="shared" si="40"/>
        <v>0.00318987149584487</v>
      </c>
      <c r="BG63" s="191">
        <f t="shared" si="40"/>
        <v>0.000311987146814405</v>
      </c>
      <c r="BH63" s="191">
        <f t="shared" si="40"/>
        <v>0.000378814515235457</v>
      </c>
      <c r="BR63" s="209" t="s">
        <v>80</v>
      </c>
      <c r="BS63" s="130">
        <f>第十二期!K9*比赛参数!D49</f>
        <v>81000</v>
      </c>
      <c r="BT63" s="130"/>
      <c r="BU63" s="130">
        <f>BU62+BS63</f>
        <v>2198487.031875</v>
      </c>
      <c r="BV63" s="130">
        <f t="shared" si="41"/>
        <v>3902052.558125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CX57/第十二期!CQ57</f>
        <v>9.24182827380159</v>
      </c>
      <c r="CY63" s="242">
        <f>CY57/第十二期!CR57</f>
        <v>9.57782827380159</v>
      </c>
      <c r="CZ63" s="242">
        <f>CZ57/第十二期!CS57</f>
        <v>9.5098282738016</v>
      </c>
      <c r="DA63" s="242">
        <f>DA57/第十二期!CT57</f>
        <v>9.70982827380159</v>
      </c>
      <c r="DB63" s="242">
        <f>AVERAGE(CX63:DA63)</f>
        <v>9.5098282738016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>
        <v>3700</v>
      </c>
      <c r="E64" s="26">
        <v>3600</v>
      </c>
      <c r="F64" s="26">
        <v>3800</v>
      </c>
      <c r="G64" s="26">
        <v>3900</v>
      </c>
      <c r="H64" s="26">
        <v>7000</v>
      </c>
      <c r="I64" s="26">
        <v>6980</v>
      </c>
      <c r="J64" s="26">
        <v>7399</v>
      </c>
      <c r="K64" s="26">
        <v>7499</v>
      </c>
      <c r="L64" s="26">
        <v>9600</v>
      </c>
      <c r="M64" s="26">
        <v>9599</v>
      </c>
      <c r="N64" s="26">
        <v>9899</v>
      </c>
      <c r="O64" s="26">
        <v>9999</v>
      </c>
      <c r="P64" s="26">
        <v>12799</v>
      </c>
      <c r="Q64" s="26">
        <v>12599</v>
      </c>
      <c r="R64" s="26">
        <v>13499</v>
      </c>
      <c r="S64" s="26">
        <v>13499</v>
      </c>
      <c r="T64" s="10"/>
      <c r="X64" s="64" t="s">
        <v>55</v>
      </c>
      <c r="Y64" s="108">
        <f t="shared" ref="Y64:AB67" si="42">AF64-AF70</f>
        <v>6</v>
      </c>
      <c r="Z64" s="108">
        <f t="shared" si="42"/>
        <v>62</v>
      </c>
      <c r="AA64" s="108">
        <f t="shared" si="42"/>
        <v>23</v>
      </c>
      <c r="AB64" s="108">
        <f t="shared" si="42"/>
        <v>11</v>
      </c>
      <c r="AC64" s="126"/>
      <c r="AE64" s="64" t="s">
        <v>55</v>
      </c>
      <c r="AF64" s="131">
        <f t="shared" ref="AF64:AI67" si="43">IF(Y88+Y57-AF57-Y108&gt;0,Y88+Y57-AF57-Y108,0)</f>
        <v>102</v>
      </c>
      <c r="AG64" s="131">
        <f t="shared" si="43"/>
        <v>117</v>
      </c>
      <c r="AH64" s="131">
        <f t="shared" si="43"/>
        <v>41</v>
      </c>
      <c r="AI64" s="131">
        <f t="shared" si="43"/>
        <v>38</v>
      </c>
      <c r="AJ64" s="126"/>
      <c r="AL64" s="48"/>
      <c r="AN64" s="173"/>
      <c r="AO64" s="173"/>
      <c r="AR64" s="190">
        <v>8</v>
      </c>
      <c r="AS64" s="191">
        <f t="shared" si="40"/>
        <v>0.00131272731301939</v>
      </c>
      <c r="AT64" s="191">
        <f t="shared" si="40"/>
        <v>0.00138540675900277</v>
      </c>
      <c r="AU64" s="191">
        <f t="shared" si="40"/>
        <v>0.000463608891966759</v>
      </c>
      <c r="AV64" s="191">
        <f t="shared" si="40"/>
        <v>0.00178395083102493</v>
      </c>
      <c r="AW64" s="191">
        <f t="shared" si="40"/>
        <v>5.36288088642658e-6</v>
      </c>
      <c r="AX64" s="191">
        <f t="shared" si="40"/>
        <v>1.39639889196677e-5</v>
      </c>
      <c r="AY64" s="191">
        <f t="shared" si="40"/>
        <v>0.000363002770083103</v>
      </c>
      <c r="AZ64" s="191">
        <f t="shared" si="40"/>
        <v>0.000381688199445983</v>
      </c>
      <c r="BA64" s="191">
        <f t="shared" si="40"/>
        <v>0.0013226620498615</v>
      </c>
      <c r="BB64" s="191">
        <f t="shared" si="40"/>
        <v>0.00137484833795014</v>
      </c>
      <c r="BC64" s="191">
        <f t="shared" si="40"/>
        <v>0.0029120224099723</v>
      </c>
      <c r="BD64" s="191">
        <f t="shared" si="40"/>
        <v>0.00239842174515235</v>
      </c>
      <c r="BE64" s="191">
        <f t="shared" si="40"/>
        <v>0.000304778088642659</v>
      </c>
      <c r="BF64" s="191">
        <f t="shared" si="40"/>
        <v>0.000248975180055401</v>
      </c>
      <c r="BG64" s="191">
        <f t="shared" si="40"/>
        <v>0.00104737398891967</v>
      </c>
      <c r="BH64" s="191">
        <f t="shared" si="40"/>
        <v>0.00119461188365651</v>
      </c>
      <c r="BR64" s="209" t="s">
        <v>301</v>
      </c>
      <c r="BS64" s="130">
        <f>第十二期!AL37</f>
        <v>0</v>
      </c>
      <c r="BT64" s="130"/>
      <c r="BU64" s="130"/>
      <c r="BV64" s="130">
        <f t="shared" si="41"/>
        <v>3902052.558125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CX58/第十二期!CQ58</f>
        <v>9.72426937482355</v>
      </c>
      <c r="CY64" s="242">
        <f>CY58/第十二期!CR58</f>
        <v>10.0190062169288</v>
      </c>
      <c r="CZ64" s="242">
        <f>CZ58/第十二期!CS58</f>
        <v>9.87163779587619</v>
      </c>
      <c r="DA64" s="242">
        <f>DA58/第十二期!CT58</f>
        <v>10.0032167432446</v>
      </c>
      <c r="DB64" s="242">
        <f>AVERAGE(CX64:DA64)</f>
        <v>9.90453253271829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>
        <v>3380</v>
      </c>
      <c r="E65" s="26">
        <v>3380</v>
      </c>
      <c r="F65" s="26">
        <v>3730</v>
      </c>
      <c r="G65" s="26">
        <v>3830</v>
      </c>
      <c r="H65" s="26">
        <v>7000</v>
      </c>
      <c r="I65" s="26">
        <v>7000</v>
      </c>
      <c r="J65" s="26">
        <v>7300</v>
      </c>
      <c r="K65" s="26">
        <v>7400</v>
      </c>
      <c r="L65" s="26">
        <v>10150</v>
      </c>
      <c r="M65" s="26">
        <v>10150</v>
      </c>
      <c r="N65" s="26">
        <v>10500</v>
      </c>
      <c r="O65" s="26">
        <v>10550</v>
      </c>
      <c r="P65" s="26">
        <v>12200</v>
      </c>
      <c r="Q65" s="26">
        <v>12200</v>
      </c>
      <c r="R65" s="26">
        <v>14000</v>
      </c>
      <c r="S65" s="26">
        <v>13350</v>
      </c>
      <c r="T65" s="10"/>
      <c r="X65" s="11" t="s">
        <v>56</v>
      </c>
      <c r="Y65" s="108">
        <f t="shared" si="42"/>
        <v>3</v>
      </c>
      <c r="Z65" s="108">
        <f t="shared" si="42"/>
        <v>54</v>
      </c>
      <c r="AA65" s="108">
        <f t="shared" si="42"/>
        <v>23</v>
      </c>
      <c r="AB65" s="108">
        <f t="shared" si="42"/>
        <v>11</v>
      </c>
      <c r="AC65" s="126"/>
      <c r="AE65" s="11" t="s">
        <v>56</v>
      </c>
      <c r="AF65" s="131">
        <f t="shared" si="43"/>
        <v>101</v>
      </c>
      <c r="AG65" s="131">
        <f t="shared" si="43"/>
        <v>110</v>
      </c>
      <c r="AH65" s="131">
        <f t="shared" si="43"/>
        <v>42</v>
      </c>
      <c r="AI65" s="131">
        <f t="shared" si="43"/>
        <v>38</v>
      </c>
      <c r="AJ65" s="126"/>
      <c r="AL65" s="48"/>
      <c r="AN65" s="173"/>
      <c r="AO65" s="173"/>
      <c r="AR65" s="190">
        <v>9</v>
      </c>
      <c r="AS65" s="191">
        <f t="shared" si="40"/>
        <v>0.000983977839335181</v>
      </c>
      <c r="AT65" s="191">
        <f t="shared" si="40"/>
        <v>0.00111415412742382</v>
      </c>
      <c r="AU65" s="191">
        <f t="shared" si="40"/>
        <v>0.000804767313019391</v>
      </c>
      <c r="AV65" s="191">
        <f t="shared" si="40"/>
        <v>0.000721629252077562</v>
      </c>
      <c r="AW65" s="191">
        <f t="shared" si="40"/>
        <v>0.00258920288088643</v>
      </c>
      <c r="AX65" s="191">
        <f t="shared" si="40"/>
        <v>0.00231968977839335</v>
      </c>
      <c r="AY65" s="191">
        <f t="shared" si="40"/>
        <v>0.00410206540166205</v>
      </c>
      <c r="AZ65" s="191">
        <f t="shared" si="40"/>
        <v>0.00472837188365651</v>
      </c>
      <c r="BA65" s="191">
        <f t="shared" si="40"/>
        <v>0.00052585731301939</v>
      </c>
      <c r="BB65" s="191">
        <f t="shared" si="40"/>
        <v>0.000467469916897507</v>
      </c>
      <c r="BC65" s="191">
        <f t="shared" si="40"/>
        <v>0.00103921398891967</v>
      </c>
      <c r="BD65" s="191">
        <f t="shared" si="40"/>
        <v>0.00115779016620499</v>
      </c>
      <c r="BE65" s="191">
        <f t="shared" si="40"/>
        <v>7.09141274238226e-7</v>
      </c>
      <c r="BF65" s="191">
        <f t="shared" si="40"/>
        <v>4.49886426592801e-6</v>
      </c>
      <c r="BG65" s="191">
        <f t="shared" si="40"/>
        <v>2.74245152354571e-5</v>
      </c>
      <c r="BH65" s="191">
        <f t="shared" si="40"/>
        <v>0.000197032936288089</v>
      </c>
      <c r="BR65" s="209" t="s">
        <v>340</v>
      </c>
      <c r="BS65" s="91">
        <f>0.5*第十二期!AL37+0.5*第十二期!DV23</f>
        <v>0</v>
      </c>
      <c r="BT65" s="130"/>
      <c r="BU65" s="130">
        <f>BU63+BS65</f>
        <v>2198487.031875</v>
      </c>
      <c r="BV65" s="130"/>
      <c r="BW65" s="126"/>
      <c r="CB65" s="196" t="s">
        <v>341</v>
      </c>
      <c r="CC65" s="108">
        <f>(CC60-CC61)*CC63</f>
        <v>-74884.6153846154</v>
      </c>
      <c r="CD65" s="108">
        <f>(CD60-CD61)*CD63</f>
        <v>254269.230769231</v>
      </c>
      <c r="CE65" s="108">
        <f>(CE60-CE61)*CE63</f>
        <v>80676.9230769231</v>
      </c>
      <c r="CF65" s="108">
        <f>(CF60-CF61)*CF63</f>
        <v>-63000</v>
      </c>
      <c r="CG65" s="108">
        <f>SUM(CC65:CF65)</f>
        <v>197061.538461538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CX59/第十二期!CQ59</f>
        <v>9.30797512876227</v>
      </c>
      <c r="CY65" s="242">
        <f>CY59/第十二期!CR59</f>
        <v>9.57335974414689</v>
      </c>
      <c r="CZ65" s="242">
        <f>CZ59/第十二期!CS59</f>
        <v>9.68105205183919</v>
      </c>
      <c r="DA65" s="242">
        <f>DA59/第十二期!CT59</f>
        <v>9.87335974414689</v>
      </c>
      <c r="DB65" s="242">
        <f>AVERAGE(CX65:DA65)</f>
        <v>9.60893666722381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>
        <v>3170</v>
      </c>
      <c r="E66" s="26">
        <v>3170</v>
      </c>
      <c r="F66" s="26">
        <v>3230</v>
      </c>
      <c r="G66" s="26">
        <v>3230</v>
      </c>
      <c r="H66" s="26">
        <v>6350</v>
      </c>
      <c r="I66" s="26">
        <v>6350</v>
      </c>
      <c r="J66" s="26">
        <v>6988</v>
      </c>
      <c r="K66" s="26">
        <v>6988</v>
      </c>
      <c r="L66" s="26">
        <v>10500</v>
      </c>
      <c r="M66" s="26">
        <v>10500</v>
      </c>
      <c r="N66" s="26">
        <v>10680</v>
      </c>
      <c r="O66" s="26">
        <v>10680</v>
      </c>
      <c r="P66" s="26">
        <v>13500</v>
      </c>
      <c r="Q66" s="26">
        <v>13500</v>
      </c>
      <c r="R66" s="26">
        <v>14300</v>
      </c>
      <c r="S66" s="26">
        <v>14300</v>
      </c>
      <c r="T66" s="10"/>
      <c r="V66" s="277"/>
      <c r="X66" s="11" t="s">
        <v>57</v>
      </c>
      <c r="Y66" s="108">
        <f t="shared" si="42"/>
        <v>5</v>
      </c>
      <c r="Z66" s="108">
        <f t="shared" si="42"/>
        <v>73</v>
      </c>
      <c r="AA66" s="108">
        <f t="shared" si="42"/>
        <v>9</v>
      </c>
      <c r="AB66" s="108">
        <f t="shared" si="42"/>
        <v>4</v>
      </c>
      <c r="AC66" s="126"/>
      <c r="AE66" s="11" t="s">
        <v>57</v>
      </c>
      <c r="AF66" s="131">
        <f t="shared" si="43"/>
        <v>141</v>
      </c>
      <c r="AG66" s="131">
        <f t="shared" si="43"/>
        <v>165</v>
      </c>
      <c r="AH66" s="131">
        <f t="shared" si="43"/>
        <v>47</v>
      </c>
      <c r="AI66" s="131">
        <f t="shared" si="43"/>
        <v>47</v>
      </c>
      <c r="AJ66" s="126"/>
      <c r="AL66" s="48"/>
      <c r="AR66" s="190">
        <v>10</v>
      </c>
      <c r="AS66" s="191">
        <f t="shared" si="40"/>
        <v>0.000136152049861496</v>
      </c>
      <c r="AT66" s="191">
        <f t="shared" si="40"/>
        <v>0.00029511623268698</v>
      </c>
      <c r="AU66" s="191">
        <f t="shared" si="40"/>
        <v>5.88046814404433e-5</v>
      </c>
      <c r="AV66" s="191">
        <f t="shared" si="40"/>
        <v>0.000107395041551247</v>
      </c>
      <c r="AW66" s="191">
        <f t="shared" si="40"/>
        <v>8.99502493074794e-5</v>
      </c>
      <c r="AX66" s="191">
        <f t="shared" si="40"/>
        <v>0.000120190831024931</v>
      </c>
      <c r="AY66" s="191">
        <f t="shared" si="40"/>
        <v>3.05329639889196e-6</v>
      </c>
      <c r="AZ66" s="191">
        <f t="shared" si="40"/>
        <v>9.3376620498615e-5</v>
      </c>
      <c r="BA66" s="191">
        <f t="shared" si="40"/>
        <v>1.00388919667591e-5</v>
      </c>
      <c r="BB66" s="191">
        <f t="shared" si="40"/>
        <v>3.57478116343489e-5</v>
      </c>
      <c r="BC66" s="191">
        <f t="shared" si="40"/>
        <v>0.000850489778393352</v>
      </c>
      <c r="BD66" s="191">
        <f t="shared" si="40"/>
        <v>0.000608790692520775</v>
      </c>
      <c r="BE66" s="191">
        <f t="shared" si="40"/>
        <v>8.54165096952908e-5</v>
      </c>
      <c r="BF66" s="191">
        <f t="shared" si="40"/>
        <v>0.000106524127423823</v>
      </c>
      <c r="BG66" s="191">
        <f t="shared" si="40"/>
        <v>6.18292520775623e-5</v>
      </c>
      <c r="BH66" s="191">
        <f t="shared" si="40"/>
        <v>0.000261247673130194</v>
      </c>
      <c r="BR66" s="209" t="s">
        <v>236</v>
      </c>
      <c r="BS66" s="130">
        <f>第十二期!AC18</f>
        <v>1848168</v>
      </c>
      <c r="BT66" s="130"/>
      <c r="BU66" s="130"/>
      <c r="BV66" s="130">
        <f>BV64-BS66</f>
        <v>2053884.558125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>
        <v>3000</v>
      </c>
      <c r="E67" s="26">
        <v>3000</v>
      </c>
      <c r="F67" s="26">
        <v>3088</v>
      </c>
      <c r="G67" s="26">
        <v>3088</v>
      </c>
      <c r="H67" s="26">
        <v>6500</v>
      </c>
      <c r="I67" s="26">
        <v>6500</v>
      </c>
      <c r="J67" s="26">
        <v>6899</v>
      </c>
      <c r="K67" s="26">
        <v>6899</v>
      </c>
      <c r="L67" s="26">
        <v>10399</v>
      </c>
      <c r="M67" s="26">
        <v>10399</v>
      </c>
      <c r="N67" s="26">
        <v>10999</v>
      </c>
      <c r="O67" s="26">
        <v>10999</v>
      </c>
      <c r="P67" s="26">
        <v>12599</v>
      </c>
      <c r="Q67" s="26">
        <v>12599</v>
      </c>
      <c r="R67" s="26">
        <v>13299</v>
      </c>
      <c r="S67" s="26">
        <v>13299</v>
      </c>
      <c r="T67" s="10"/>
      <c r="X67" s="11" t="s">
        <v>58</v>
      </c>
      <c r="Y67" s="108">
        <f t="shared" si="42"/>
        <v>12</v>
      </c>
      <c r="Z67" s="108">
        <f t="shared" si="42"/>
        <v>71</v>
      </c>
      <c r="AA67" s="108">
        <f t="shared" si="42"/>
        <v>26</v>
      </c>
      <c r="AB67" s="108">
        <f t="shared" si="42"/>
        <v>7</v>
      </c>
      <c r="AC67" s="126"/>
      <c r="AE67" s="11" t="s">
        <v>58</v>
      </c>
      <c r="AF67" s="131">
        <f t="shared" si="43"/>
        <v>142</v>
      </c>
      <c r="AG67" s="131">
        <f t="shared" si="43"/>
        <v>160</v>
      </c>
      <c r="AH67" s="131">
        <f t="shared" si="43"/>
        <v>57</v>
      </c>
      <c r="AI67" s="131">
        <f t="shared" si="43"/>
        <v>47</v>
      </c>
      <c r="AJ67" s="126"/>
      <c r="AL67" s="48"/>
      <c r="AR67" s="190">
        <v>11</v>
      </c>
      <c r="AS67" s="191">
        <f t="shared" si="40"/>
        <v>2.5688891966759e-5</v>
      </c>
      <c r="AT67" s="191">
        <f t="shared" si="40"/>
        <v>4.19767590027699e-5</v>
      </c>
      <c r="AU67" s="191">
        <f t="shared" si="40"/>
        <v>6.67231024930748e-5</v>
      </c>
      <c r="AV67" s="191">
        <f t="shared" si="40"/>
        <v>8.03381994459835e-5</v>
      </c>
      <c r="AW67" s="191">
        <f t="shared" si="40"/>
        <v>2.50972299168976e-6</v>
      </c>
      <c r="AX67" s="191">
        <f t="shared" si="40"/>
        <v>4.67925207756228e-6</v>
      </c>
      <c r="AY67" s="191">
        <f t="shared" si="40"/>
        <v>0.000434612770083102</v>
      </c>
      <c r="AZ67" s="191">
        <f t="shared" si="40"/>
        <v>0.00030496188365651</v>
      </c>
      <c r="BA67" s="191">
        <f t="shared" si="40"/>
        <v>0.000450779944598338</v>
      </c>
      <c r="BB67" s="191">
        <f t="shared" si="40"/>
        <v>0.000392874127423823</v>
      </c>
      <c r="BC67" s="191">
        <f t="shared" si="40"/>
        <v>8.19767313019396e-6</v>
      </c>
      <c r="BD67" s="191">
        <f t="shared" si="40"/>
        <v>6.93275346260389e-5</v>
      </c>
      <c r="BE67" s="191">
        <f t="shared" si="40"/>
        <v>1.79954570637119e-5</v>
      </c>
      <c r="BF67" s="191">
        <f t="shared" si="40"/>
        <v>2.93878116343492e-5</v>
      </c>
      <c r="BG67" s="191">
        <f t="shared" si="40"/>
        <v>0.000583858199445983</v>
      </c>
      <c r="BH67" s="191">
        <f t="shared" si="40"/>
        <v>0.000319092409972299</v>
      </c>
      <c r="BR67" s="209" t="s">
        <v>342</v>
      </c>
      <c r="BS67" s="130">
        <f>IF(第十二期!AC18&gt;=比赛参数!D33,(1-比赛参数!E33)*第十二期!AC18,0)+IF(AND(第十二期!AC18&gt;=比赛参数!D34,第十二期!AC18&lt;比赛参数!D33),(1-比赛参数!E34)*第十二期!AC18,0)+IF(AND(第十二期!AC18&gt;=比赛参数!D35,第十二期!AC18&lt;比赛参数!D34),(1-比赛参数!E35)*第十二期!AC18,0)+IF(AND(第十二期!AC18&gt;=比赛参数!D36,第十二期!AC18&lt;比赛参数!D35),(1-比赛参数!E36)*第十二期!AC18,0)</f>
        <v>92408.4000000001</v>
      </c>
      <c r="BT67" s="130">
        <f>BS67</f>
        <v>92408.4000000001</v>
      </c>
      <c r="BU67" s="130"/>
      <c r="BV67" s="130">
        <f>BV66+BS67</f>
        <v>2146292.958125</v>
      </c>
      <c r="BW67" s="126"/>
      <c r="CB67" s="196" t="s">
        <v>343</v>
      </c>
      <c r="CC67" s="108">
        <f>(CC60+CC61)/2*CC62</f>
        <v>4980</v>
      </c>
      <c r="CD67" s="108">
        <f>(CD60+CD61)/2*CD62</f>
        <v>9510</v>
      </c>
      <c r="CE67" s="108">
        <f>(CE60+CE61)/2*CE62</f>
        <v>6240</v>
      </c>
      <c r="CF67" s="108">
        <f>(CF60+CF61)/2*CF62</f>
        <v>6090</v>
      </c>
      <c r="CG67" s="108">
        <f>SUM(CC67:CF67)</f>
        <v>26820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>
        <v>3050</v>
      </c>
      <c r="E68" s="26">
        <v>3050</v>
      </c>
      <c r="F68" s="26">
        <v>3150</v>
      </c>
      <c r="G68" s="26">
        <v>3350</v>
      </c>
      <c r="H68" s="26">
        <v>6000</v>
      </c>
      <c r="I68" s="26">
        <v>6000</v>
      </c>
      <c r="J68" s="26">
        <v>7000</v>
      </c>
      <c r="K68" s="26">
        <v>7000</v>
      </c>
      <c r="L68" s="26">
        <v>8700</v>
      </c>
      <c r="M68" s="26">
        <v>9000</v>
      </c>
      <c r="N68" s="26">
        <v>9100</v>
      </c>
      <c r="O68" s="26">
        <v>9500</v>
      </c>
      <c r="P68" s="26">
        <v>12000</v>
      </c>
      <c r="Q68" s="26">
        <v>10500</v>
      </c>
      <c r="R68" s="26">
        <v>11500</v>
      </c>
      <c r="S68" s="26">
        <v>12000</v>
      </c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486</v>
      </c>
      <c r="AG68" s="48">
        <f>SUM(AG64:AG67)</f>
        <v>552</v>
      </c>
      <c r="AH68" s="48">
        <f>SUM(AH64:AH67)</f>
        <v>187</v>
      </c>
      <c r="AI68" s="48">
        <f>SUM(AI64:AI67)</f>
        <v>170</v>
      </c>
      <c r="AJ68" s="48">
        <f>AF68/4</f>
        <v>121.5</v>
      </c>
      <c r="AK68" s="48">
        <f>AG68/4</f>
        <v>138</v>
      </c>
      <c r="AL68" s="48">
        <f>AH68/4</f>
        <v>46.75</v>
      </c>
      <c r="AM68" s="48">
        <f>AI68/4</f>
        <v>42.5</v>
      </c>
      <c r="AR68" s="190">
        <v>12</v>
      </c>
      <c r="AS68" s="191">
        <f t="shared" si="40"/>
        <v>0.000142362576177285</v>
      </c>
      <c r="AT68" s="191">
        <f t="shared" si="40"/>
        <v>0.000925440443213297</v>
      </c>
      <c r="AU68" s="191">
        <f t="shared" si="40"/>
        <v>0.000485390470914127</v>
      </c>
      <c r="AV68" s="191">
        <f t="shared" si="40"/>
        <v>0.00017787135734072</v>
      </c>
      <c r="AW68" s="191">
        <f t="shared" si="40"/>
        <v>2.82576177285318e-5</v>
      </c>
      <c r="AX68" s="191">
        <f t="shared" si="40"/>
        <v>5.83213573407204e-5</v>
      </c>
      <c r="AY68" s="191">
        <f t="shared" si="40"/>
        <v>1.48427700831025e-5</v>
      </c>
      <c r="AZ68" s="191">
        <f t="shared" si="40"/>
        <v>6.56977839335181e-6</v>
      </c>
      <c r="BA68" s="191">
        <f t="shared" si="40"/>
        <v>0.000971470470914128</v>
      </c>
      <c r="BB68" s="191">
        <f t="shared" si="40"/>
        <v>0.00071176623268698</v>
      </c>
      <c r="BC68" s="191">
        <f t="shared" si="40"/>
        <v>0.00030496188365651</v>
      </c>
      <c r="BD68" s="191">
        <f t="shared" si="40"/>
        <v>0.000305329639889196</v>
      </c>
      <c r="BE68" s="191">
        <f t="shared" si="40"/>
        <v>0.000157304404432133</v>
      </c>
      <c r="BF68" s="191">
        <f t="shared" si="40"/>
        <v>0.000182818864265928</v>
      </c>
      <c r="BG68" s="191">
        <f t="shared" si="40"/>
        <v>0.000616868725761773</v>
      </c>
      <c r="BH68" s="191">
        <f t="shared" si="40"/>
        <v>0.000848955567867036</v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0.692415386653886</v>
      </c>
      <c r="CY68" s="242">
        <f t="shared" si="44"/>
        <v>0.72992725402982</v>
      </c>
      <c r="CZ68" s="242">
        <f t="shared" si="44"/>
        <v>0.718308249812282</v>
      </c>
      <c r="DA68" s="242">
        <f t="shared" si="44"/>
        <v>0.725152775229119</v>
      </c>
      <c r="DB68" s="242">
        <f t="shared" si="44"/>
        <v>0.716594135285409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>
        <f t="shared" si="40"/>
        <v>0.00020358783933518</v>
      </c>
      <c r="AT69" s="191">
        <f t="shared" si="40"/>
        <v>0.000173684653739612</v>
      </c>
      <c r="AU69" s="191">
        <f t="shared" si="40"/>
        <v>0.00015297783933518</v>
      </c>
      <c r="AV69" s="191">
        <f t="shared" si="40"/>
        <v>0.000226898725761773</v>
      </c>
      <c r="AW69" s="191">
        <f t="shared" si="40"/>
        <v>0.00137523867036011</v>
      </c>
      <c r="AX69" s="191">
        <f t="shared" si="40"/>
        <v>0.00132227925207756</v>
      </c>
      <c r="AY69" s="191">
        <f t="shared" si="40"/>
        <v>0.00230854961218837</v>
      </c>
      <c r="AZ69" s="191">
        <f t="shared" si="40"/>
        <v>0.00169440556786704</v>
      </c>
      <c r="BA69" s="191">
        <f t="shared" si="40"/>
        <v>1.00388919667591e-5</v>
      </c>
      <c r="BB69" s="191">
        <f t="shared" si="40"/>
        <v>6.86991689750696e-6</v>
      </c>
      <c r="BC69" s="191">
        <f t="shared" si="40"/>
        <v>0.00030496188365651</v>
      </c>
      <c r="BD69" s="191">
        <f t="shared" si="40"/>
        <v>0.000212392271468144</v>
      </c>
      <c r="BE69" s="191">
        <f t="shared" si="40"/>
        <v>8.54165096952908e-5</v>
      </c>
      <c r="BF69" s="191">
        <f t="shared" si="40"/>
        <v>0.000106524127423823</v>
      </c>
      <c r="BG69" s="191">
        <f t="shared" si="40"/>
        <v>2.74245152354571e-5</v>
      </c>
      <c r="BH69" s="191">
        <f t="shared" si="40"/>
        <v>1.54987257617728e-5</v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0.571960023101943</v>
      </c>
      <c r="CY69" s="242">
        <f t="shared" si="44"/>
        <v>0.605342202040608</v>
      </c>
      <c r="CZ69" s="242">
        <f t="shared" si="44"/>
        <v>0.569786125020757</v>
      </c>
      <c r="DA69" s="242">
        <f t="shared" si="44"/>
        <v>0.5748803760675</v>
      </c>
      <c r="DB69" s="242">
        <f t="shared" si="44"/>
        <v>0.580215291985067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0.0577</v>
      </c>
      <c r="Z70" s="283">
        <f>DW37</f>
        <v>0.0542</v>
      </c>
      <c r="AA70" s="283">
        <f>EA37</f>
        <v>0.0314</v>
      </c>
      <c r="AB70" s="283">
        <f>EE37</f>
        <v>0.0484</v>
      </c>
      <c r="AE70" s="64" t="s">
        <v>55</v>
      </c>
      <c r="AF70" s="131">
        <f>第十二期!DV6</f>
        <v>96</v>
      </c>
      <c r="AG70" s="131">
        <f>第十二期!DV10</f>
        <v>55</v>
      </c>
      <c r="AH70" s="131">
        <f>第十二期!DV14</f>
        <v>18</v>
      </c>
      <c r="AI70" s="131">
        <f>第十二期!DV18</f>
        <v>27</v>
      </c>
      <c r="AJ70" s="126">
        <f>AF70-Y57+AF57</f>
        <v>98</v>
      </c>
      <c r="AK70" s="126">
        <f t="shared" ref="AK70:AM73" si="45">AG70-Z57+AG57</f>
        <v>31</v>
      </c>
      <c r="AL70" s="126">
        <f t="shared" si="45"/>
        <v>13</v>
      </c>
      <c r="AM70" s="126">
        <f t="shared" si="45"/>
        <v>27</v>
      </c>
      <c r="AR70" s="190">
        <v>14</v>
      </c>
      <c r="AS70" s="191">
        <f t="shared" si="40"/>
        <v>0.000648640470914128</v>
      </c>
      <c r="AT70" s="191">
        <f t="shared" si="40"/>
        <v>0.000941197811634348</v>
      </c>
      <c r="AU70" s="191">
        <f t="shared" si="40"/>
        <v>0.000628425734072023</v>
      </c>
      <c r="AV70" s="191">
        <f t="shared" si="40"/>
        <v>0.00118770925207756</v>
      </c>
      <c r="AW70" s="191">
        <f t="shared" si="40"/>
        <v>7.19818282548478e-5</v>
      </c>
      <c r="AX70" s="191">
        <f t="shared" si="40"/>
        <v>3.17739889196677e-5</v>
      </c>
      <c r="AY70" s="191">
        <f t="shared" si="40"/>
        <v>3.05329639889196e-6</v>
      </c>
      <c r="AZ70" s="191">
        <f t="shared" si="40"/>
        <v>3.20713573407202e-5</v>
      </c>
      <c r="BA70" s="191">
        <f t="shared" si="40"/>
        <v>0.00123422783933518</v>
      </c>
      <c r="BB70" s="191">
        <f t="shared" si="40"/>
        <v>0.00125465096952909</v>
      </c>
      <c r="BC70" s="191">
        <f t="shared" si="40"/>
        <v>0.00144680135734072</v>
      </c>
      <c r="BD70" s="191">
        <f t="shared" si="40"/>
        <v>0.000156908587257618</v>
      </c>
      <c r="BE70" s="191">
        <f t="shared" si="40"/>
        <v>8.54165096952908e-5</v>
      </c>
      <c r="BF70" s="191">
        <f t="shared" si="40"/>
        <v>2.71495844875356e-7</v>
      </c>
      <c r="BG70" s="191">
        <f t="shared" si="40"/>
        <v>0.000663740304709141</v>
      </c>
      <c r="BH70" s="191">
        <f t="shared" si="40"/>
        <v>6.0266620498615e-5</v>
      </c>
      <c r="BR70" s="209" t="s">
        <v>344</v>
      </c>
      <c r="BS70" s="130">
        <f>IF(第十二期!AC18&gt;0,第十二期!AC18*比赛参数!E40+比赛参数!E39,0)</f>
        <v>28481.68</v>
      </c>
      <c r="BT70" s="130"/>
      <c r="BU70" s="130">
        <f>BU65+BS70</f>
        <v>2226968.711875</v>
      </c>
      <c r="BV70" s="130">
        <f>BV67-BS70</f>
        <v>2117811.278125</v>
      </c>
      <c r="BW70" s="126"/>
      <c r="CB70" s="196" t="s">
        <v>304</v>
      </c>
      <c r="CC70" s="108">
        <f>CC79-CC86</f>
        <v>1409.78736597719</v>
      </c>
      <c r="CD70" s="108">
        <f>CD79-CD86</f>
        <v>2381.13641627649</v>
      </c>
      <c r="CE70" s="108">
        <f>CE79-CE86</f>
        <v>3766.76246938482</v>
      </c>
      <c r="CF70" s="108">
        <f>CF79-CF86</f>
        <v>5005.91177283873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0.581487279836227</v>
      </c>
      <c r="CY70" s="242">
        <f t="shared" si="44"/>
        <v>0.609860319150613</v>
      </c>
      <c r="CZ70" s="242">
        <f t="shared" si="44"/>
        <v>0.577219682167383</v>
      </c>
      <c r="DA70" s="242">
        <f t="shared" si="44"/>
        <v>0.580447615235437</v>
      </c>
      <c r="DB70" s="242">
        <f t="shared" si="44"/>
        <v>0.587047165198294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0.0591</v>
      </c>
      <c r="Z71" s="283">
        <f>DX37</f>
        <v>0.0548</v>
      </c>
      <c r="AA71" s="283">
        <f>EB37</f>
        <v>0.0328</v>
      </c>
      <c r="AB71" s="283">
        <f>EF37</f>
        <v>0.0472</v>
      </c>
      <c r="AE71" s="11" t="s">
        <v>56</v>
      </c>
      <c r="AF71" s="131">
        <f>第十二期!DV7</f>
        <v>98</v>
      </c>
      <c r="AG71" s="131">
        <f>第十二期!DV11</f>
        <v>56</v>
      </c>
      <c r="AH71" s="131">
        <f>第十二期!DV15</f>
        <v>19</v>
      </c>
      <c r="AI71" s="131">
        <f>第十二期!DV19</f>
        <v>27</v>
      </c>
      <c r="AJ71" s="126">
        <f>AF71-Y58+AF58</f>
        <v>101</v>
      </c>
      <c r="AK71" s="126">
        <f t="shared" si="45"/>
        <v>39</v>
      </c>
      <c r="AL71" s="126">
        <f t="shared" si="45"/>
        <v>12</v>
      </c>
      <c r="AM71" s="126">
        <f t="shared" si="45"/>
        <v>27</v>
      </c>
      <c r="AR71" s="190">
        <v>15</v>
      </c>
      <c r="AS71" s="191">
        <f t="shared" si="40"/>
        <v>0.00140861941828255</v>
      </c>
      <c r="AT71" s="191">
        <f t="shared" si="40"/>
        <v>0.000889295180055402</v>
      </c>
      <c r="AU71" s="191">
        <f t="shared" si="40"/>
        <v>0.000688095734072022</v>
      </c>
      <c r="AV71" s="191">
        <f t="shared" si="40"/>
        <v>0.000920323988919667</v>
      </c>
      <c r="AW71" s="191">
        <f t="shared" si="40"/>
        <v>0.000676821301939058</v>
      </c>
      <c r="AX71" s="191">
        <f t="shared" si="40"/>
        <v>0.00068837188365651</v>
      </c>
      <c r="AY71" s="191">
        <f t="shared" si="40"/>
        <v>0.000775769085872576</v>
      </c>
      <c r="AZ71" s="191">
        <f t="shared" si="40"/>
        <v>0.000843138199445983</v>
      </c>
      <c r="BA71" s="191">
        <f t="shared" si="40"/>
        <v>0.000257011523545706</v>
      </c>
      <c r="BB71" s="191">
        <f t="shared" si="40"/>
        <v>0.000392874127423823</v>
      </c>
      <c r="BC71" s="191">
        <f t="shared" si="40"/>
        <v>0.000621846094182825</v>
      </c>
      <c r="BD71" s="191">
        <f t="shared" si="40"/>
        <v>0.000646497534626039</v>
      </c>
      <c r="BE71" s="191">
        <f t="shared" si="40"/>
        <v>0.000157304404432133</v>
      </c>
      <c r="BF71" s="191">
        <f t="shared" si="40"/>
        <v>0.000182818864265928</v>
      </c>
      <c r="BG71" s="191">
        <f t="shared" si="40"/>
        <v>0.000468152936288089</v>
      </c>
      <c r="BH71" s="191">
        <f t="shared" si="40"/>
        <v>0.000152197673130194</v>
      </c>
      <c r="BR71" s="209" t="s">
        <v>345</v>
      </c>
      <c r="BS71" s="130">
        <f>(第十二期!Z13*比赛参数!E65*260+第十二期!AA13*(比赛参数!F65-比赛参数!D65)*520+第十二期!AB13*比赛参数!G65*260)*第十二期!AH18</f>
        <v>603180</v>
      </c>
      <c r="BT71" s="130"/>
      <c r="BU71" s="130">
        <f t="shared" ref="BU71:BU76" si="46">BU70+BS71</f>
        <v>2830148.711875</v>
      </c>
      <c r="BV71" s="130">
        <f>BV70-BS71</f>
        <v>1514631.278125</v>
      </c>
      <c r="BW71" s="126"/>
      <c r="CB71" s="196" t="s">
        <v>305</v>
      </c>
      <c r="CC71" s="108">
        <f>CC70/比赛参数!D26</f>
        <v>14.0978736597719</v>
      </c>
      <c r="CD71" s="108">
        <f>CD70/比赛参数!E26</f>
        <v>9.52454566510594</v>
      </c>
      <c r="CE71" s="108">
        <f>CE70/比赛参数!F26</f>
        <v>9.91253281417059</v>
      </c>
      <c r="CF71" s="108">
        <f>CF70/比赛参数!G26</f>
        <v>9.62675340930526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0.589553443457605</v>
      </c>
      <c r="CY71" s="242">
        <f t="shared" si="44"/>
        <v>0.616729158503052</v>
      </c>
      <c r="CZ71" s="242">
        <f t="shared" si="44"/>
        <v>0.598174315426846</v>
      </c>
      <c r="DA71" s="242">
        <f t="shared" si="44"/>
        <v>0.606453609289261</v>
      </c>
      <c r="DB71" s="242">
        <f t="shared" si="44"/>
        <v>0.602669846794892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0.0608</v>
      </c>
      <c r="Z72" s="283">
        <f>DY37</f>
        <v>0.0735</v>
      </c>
      <c r="AA72" s="283">
        <f>EC37</f>
        <v>0.0555</v>
      </c>
      <c r="AB72" s="283">
        <f>EG37</f>
        <v>0.0768</v>
      </c>
      <c r="AE72" s="11" t="s">
        <v>57</v>
      </c>
      <c r="AF72" s="131">
        <f>第十二期!DV8</f>
        <v>136</v>
      </c>
      <c r="AG72" s="131">
        <f>第十二期!DV12</f>
        <v>92</v>
      </c>
      <c r="AH72" s="131">
        <f>第十二期!DV16</f>
        <v>38</v>
      </c>
      <c r="AI72" s="131">
        <f>第十二期!DV20</f>
        <v>43</v>
      </c>
      <c r="AJ72" s="126">
        <f>AF72-Y59+AF59</f>
        <v>137</v>
      </c>
      <c r="AK72" s="126">
        <f t="shared" si="45"/>
        <v>66</v>
      </c>
      <c r="AL72" s="126">
        <f t="shared" si="45"/>
        <v>38</v>
      </c>
      <c r="AM72" s="126">
        <f t="shared" si="45"/>
        <v>43</v>
      </c>
      <c r="AR72" s="190">
        <v>16</v>
      </c>
      <c r="AS72" s="191">
        <f t="shared" si="40"/>
        <v>0.000128404681440443</v>
      </c>
      <c r="AT72" s="191">
        <f t="shared" si="40"/>
        <v>3.99557063711912e-5</v>
      </c>
      <c r="AU72" s="191">
        <f t="shared" si="40"/>
        <v>7.79967867036011e-5</v>
      </c>
      <c r="AV72" s="191">
        <f t="shared" si="40"/>
        <v>0.000325327673130194</v>
      </c>
      <c r="AW72" s="191">
        <f t="shared" si="40"/>
        <v>0.000576758144044321</v>
      </c>
      <c r="AX72" s="191">
        <f t="shared" si="40"/>
        <v>0.000539950831024931</v>
      </c>
      <c r="AY72" s="191">
        <f t="shared" si="40"/>
        <v>7.48680332409973e-5</v>
      </c>
      <c r="AZ72" s="191">
        <f t="shared" si="40"/>
        <v>0.00022013188365651</v>
      </c>
      <c r="BA72" s="191">
        <f t="shared" si="40"/>
        <v>0.000314408891966759</v>
      </c>
      <c r="BB72" s="191">
        <f t="shared" si="40"/>
        <v>0.000269650969529086</v>
      </c>
      <c r="BC72" s="191">
        <f t="shared" si="40"/>
        <v>1.81745152354571e-5</v>
      </c>
      <c r="BD72" s="191">
        <f t="shared" si="40"/>
        <v>4.65985872576178e-5</v>
      </c>
      <c r="BE72" s="191">
        <f t="shared" si="40"/>
        <v>0.000367024930747923</v>
      </c>
      <c r="BF72" s="191">
        <f t="shared" si="40"/>
        <v>0.000302027811634349</v>
      </c>
      <c r="BG72" s="191">
        <f t="shared" si="40"/>
        <v>0.000180548725761773</v>
      </c>
      <c r="BH72" s="191">
        <f>IF(BH48="","",(BH48-BH$54)^2)</f>
        <v>5.38292520775623e-5</v>
      </c>
      <c r="BR72" s="209" t="s">
        <v>77</v>
      </c>
      <c r="BS72" s="130">
        <f>第十二期!DM60</f>
        <v>102000</v>
      </c>
      <c r="BT72" s="130"/>
      <c r="BU72" s="130">
        <f t="shared" si="46"/>
        <v>2932148.711875</v>
      </c>
      <c r="BV72" s="130">
        <f>BV71-BS72</f>
        <v>1412631.278125</v>
      </c>
      <c r="BW72" s="126"/>
      <c r="CB72" s="196" t="s">
        <v>307</v>
      </c>
      <c r="CC72" s="108">
        <f>IF(CC79&gt;0,CC70/CC79,0)</f>
        <v>0.417740243188071</v>
      </c>
      <c r="CD72" s="108">
        <f>IF(CD79&gt;0,CD70/CD79,0)</f>
        <v>0.366512548598689</v>
      </c>
      <c r="CE72" s="108">
        <f>IF(CE79&gt;0,CE70/CE79,0)</f>
        <v>0.369590776700665</v>
      </c>
      <c r="CF72" s="108">
        <f>IF(CF79&gt;0,CF70/CF79,0)</f>
        <v>0.376026777448505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>
        <v>0.0466</v>
      </c>
      <c r="E73" s="19">
        <v>0.0504</v>
      </c>
      <c r="F73" s="19">
        <v>0.0509</v>
      </c>
      <c r="G73" s="19">
        <v>0.0592</v>
      </c>
      <c r="H73" s="19">
        <v>0.0562</v>
      </c>
      <c r="I73" s="19">
        <v>0.0577</v>
      </c>
      <c r="J73" s="19">
        <v>0.0416</v>
      </c>
      <c r="K73" s="19">
        <v>0.0473</v>
      </c>
      <c r="L73" s="19">
        <v>0.0803</v>
      </c>
      <c r="M73" s="19">
        <v>0.081</v>
      </c>
      <c r="N73" s="19">
        <v>0.0818</v>
      </c>
      <c r="O73" s="19">
        <v>0.0944</v>
      </c>
      <c r="P73" s="19">
        <v>0.0384</v>
      </c>
      <c r="Q73" s="19">
        <v>0.0375</v>
      </c>
      <c r="R73" s="19">
        <v>0.0458</v>
      </c>
      <c r="S73" s="19">
        <v>0.047</v>
      </c>
      <c r="T73" s="10"/>
      <c r="X73" s="11" t="s">
        <v>58</v>
      </c>
      <c r="Y73" s="283">
        <f>DV37</f>
        <v>0.0616</v>
      </c>
      <c r="Z73" s="283">
        <f>DZ37</f>
        <v>0.0701</v>
      </c>
      <c r="AA73" s="283">
        <f>ED37</f>
        <v>0.0443</v>
      </c>
      <c r="AB73" s="283">
        <f>EH37</f>
        <v>0.0705</v>
      </c>
      <c r="AE73" s="11" t="s">
        <v>58</v>
      </c>
      <c r="AF73" s="131">
        <f>第十二期!DV9</f>
        <v>130</v>
      </c>
      <c r="AG73" s="131">
        <f>第十二期!DV13</f>
        <v>89</v>
      </c>
      <c r="AH73" s="131">
        <f>第十二期!DV17</f>
        <v>31</v>
      </c>
      <c r="AI73" s="131">
        <f>第十二期!DV21</f>
        <v>40</v>
      </c>
      <c r="AJ73" s="126">
        <f>AF73-Y60+AF60</f>
        <v>130</v>
      </c>
      <c r="AK73" s="126">
        <f t="shared" si="45"/>
        <v>68</v>
      </c>
      <c r="AL73" s="126">
        <f t="shared" si="45"/>
        <v>21</v>
      </c>
      <c r="AM73" s="126">
        <f t="shared" si="45"/>
        <v>40</v>
      </c>
      <c r="AR73" s="190">
        <v>17</v>
      </c>
      <c r="AS73" s="191">
        <f t="shared" ref="AS73:BH76" si="47">IF(AS49="","",(AS49-AS$54)^2)</f>
        <v>0.00154200889196676</v>
      </c>
      <c r="AT73" s="191">
        <f t="shared" si="47"/>
        <v>0.00218826991689751</v>
      </c>
      <c r="AU73" s="191">
        <f t="shared" si="47"/>
        <v>0.00331412310249308</v>
      </c>
      <c r="AV73" s="191">
        <f t="shared" si="47"/>
        <v>0.000200595041551247</v>
      </c>
      <c r="AW73" s="191">
        <f t="shared" si="47"/>
        <v>2.10149861495845e-5</v>
      </c>
      <c r="AX73" s="191">
        <f t="shared" si="47"/>
        <v>5.42936288088657e-7</v>
      </c>
      <c r="AY73" s="191">
        <f t="shared" si="47"/>
        <v>8.00554016620499e-5</v>
      </c>
      <c r="AZ73" s="191">
        <f t="shared" si="47"/>
        <v>5.27534626038782e-5</v>
      </c>
      <c r="BA73" s="191">
        <f t="shared" si="47"/>
        <v>0.000314408891966759</v>
      </c>
      <c r="BB73" s="191">
        <f t="shared" si="47"/>
        <v>0.000328372548476455</v>
      </c>
      <c r="BC73" s="191">
        <f t="shared" si="47"/>
        <v>0.000106850304709141</v>
      </c>
      <c r="BD73" s="191">
        <f t="shared" si="47"/>
        <v>0.000196737534626039</v>
      </c>
      <c r="BE73" s="191">
        <f t="shared" si="47"/>
        <v>0.000307725457063712</v>
      </c>
      <c r="BF73" s="191">
        <f t="shared" si="47"/>
        <v>0.000339335180055402</v>
      </c>
      <c r="BG73" s="191">
        <f t="shared" si="47"/>
        <v>1.13462603878115e-7</v>
      </c>
      <c r="BH73" s="191">
        <f t="shared" si="47"/>
        <v>4.05567867036011e-7</v>
      </c>
      <c r="BR73" s="209" t="s">
        <v>346</v>
      </c>
      <c r="BS73" s="130">
        <f>第十二期!AC21</f>
        <v>1784500</v>
      </c>
      <c r="BT73" s="130"/>
      <c r="BU73" s="130">
        <f t="shared" si="46"/>
        <v>4716648.711875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>
        <v>0.0262</v>
      </c>
      <c r="E74" s="19">
        <v>0.0275</v>
      </c>
      <c r="F74" s="19">
        <v>0.0254</v>
      </c>
      <c r="G74" s="19">
        <v>0.035</v>
      </c>
      <c r="H74" s="19">
        <v>0.0523</v>
      </c>
      <c r="I74" s="19">
        <v>0.0538</v>
      </c>
      <c r="J74" s="19">
        <v>0.0416</v>
      </c>
      <c r="K74" s="19">
        <v>0.041</v>
      </c>
      <c r="L74" s="19">
        <v>0.1361</v>
      </c>
      <c r="M74" s="19">
        <v>0.1379</v>
      </c>
      <c r="N74" s="19">
        <v>0.0584</v>
      </c>
      <c r="O74" s="19">
        <v>0.0658</v>
      </c>
      <c r="P74" s="19">
        <v>0.1135</v>
      </c>
      <c r="Q74" s="19">
        <v>0.1091</v>
      </c>
      <c r="R74" s="19">
        <v>0.0784</v>
      </c>
      <c r="S74" s="19">
        <v>0.0554</v>
      </c>
      <c r="T74" s="10"/>
      <c r="AE74" s="48"/>
      <c r="AF74" s="2">
        <f>AVERAGE(AF70:AF73)</f>
        <v>115</v>
      </c>
      <c r="AG74" s="2">
        <f>AVERAGE(AG70:AG73)</f>
        <v>73</v>
      </c>
      <c r="AH74" s="2">
        <f>AVERAGE(AH70:AH73)</f>
        <v>26.5</v>
      </c>
      <c r="AI74" s="2">
        <f>AVERAGE(AI70:AI73)</f>
        <v>34.25</v>
      </c>
      <c r="AJ74" s="48"/>
      <c r="AL74" s="48"/>
      <c r="AR74" s="190">
        <v>18</v>
      </c>
      <c r="AS74" s="191">
        <f t="shared" si="47"/>
        <v>0.00302152731301939</v>
      </c>
      <c r="AT74" s="191">
        <f t="shared" si="47"/>
        <v>0.00330382939058172</v>
      </c>
      <c r="AU74" s="191">
        <f t="shared" si="47"/>
        <v>0.000946695734072022</v>
      </c>
      <c r="AV74" s="191">
        <f t="shared" si="47"/>
        <v>0.0012224224099723</v>
      </c>
      <c r="AW74" s="191">
        <f t="shared" si="47"/>
        <v>0.0003379791966759</v>
      </c>
      <c r="AX74" s="191">
        <f t="shared" si="47"/>
        <v>0.000513618725761773</v>
      </c>
      <c r="AY74" s="191">
        <f t="shared" si="47"/>
        <v>2.44764542936288e-5</v>
      </c>
      <c r="AZ74" s="191">
        <f t="shared" si="47"/>
        <v>5.27534626038782e-5</v>
      </c>
      <c r="BA74" s="191">
        <f t="shared" si="47"/>
        <v>0.00052585731301939</v>
      </c>
      <c r="BB74" s="191">
        <f t="shared" si="47"/>
        <v>0.000467469916897507</v>
      </c>
      <c r="BC74" s="191">
        <f t="shared" si="47"/>
        <v>0.00103921398891967</v>
      </c>
      <c r="BD74" s="191">
        <f t="shared" si="47"/>
        <v>0.00106447648199446</v>
      </c>
      <c r="BE74" s="191">
        <f t="shared" si="47"/>
        <v>0.000952209667590028</v>
      </c>
      <c r="BF74" s="191">
        <f t="shared" si="47"/>
        <v>0.00175384623268698</v>
      </c>
      <c r="BG74" s="191">
        <f t="shared" si="47"/>
        <v>0.000371069252077563</v>
      </c>
      <c r="BH74" s="191">
        <f t="shared" si="47"/>
        <v>0.00119461188365651</v>
      </c>
      <c r="BR74" s="209" t="s">
        <v>347</v>
      </c>
      <c r="BS74" s="130">
        <f>第十二期!CG42</f>
        <v>808431</v>
      </c>
      <c r="BT74" s="130"/>
      <c r="BU74" s="130">
        <f t="shared" si="46"/>
        <v>5525079.711875</v>
      </c>
      <c r="BV74" s="130">
        <f>BV72-BS74</f>
        <v>604200.278125</v>
      </c>
      <c r="BW74" s="126"/>
      <c r="CB74" s="219"/>
      <c r="CC74" s="219">
        <f t="shared" ref="CC74:CF77" si="48">AF64*AF76</f>
        <v>326400</v>
      </c>
      <c r="CD74" s="219">
        <f t="shared" si="48"/>
        <v>742950</v>
      </c>
      <c r="CE74" s="219">
        <f t="shared" si="48"/>
        <v>412050</v>
      </c>
      <c r="CF74" s="219">
        <f t="shared" si="48"/>
        <v>495900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>
        <v>0.0669</v>
      </c>
      <c r="E75" s="19">
        <v>0.0584</v>
      </c>
      <c r="F75" s="19">
        <v>0.0683</v>
      </c>
      <c r="G75" s="19">
        <v>0.0753</v>
      </c>
      <c r="H75" s="19">
        <v>0.0424</v>
      </c>
      <c r="I75" s="19">
        <v>0.0421</v>
      </c>
      <c r="J75" s="19">
        <v>0.0408</v>
      </c>
      <c r="K75" s="19">
        <v>0.037</v>
      </c>
      <c r="L75" s="19">
        <v>0.0419</v>
      </c>
      <c r="M75" s="19">
        <v>0.0414</v>
      </c>
      <c r="N75" s="19">
        <v>0.0526</v>
      </c>
      <c r="O75" s="19">
        <v>0.0443</v>
      </c>
      <c r="P75" s="19">
        <v>0.0401</v>
      </c>
      <c r="Q75" s="19">
        <v>0.0391</v>
      </c>
      <c r="R75" s="19">
        <v>0.0605</v>
      </c>
      <c r="S75" s="19">
        <v>0.0621</v>
      </c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>
        <f t="shared" si="47"/>
        <v>1.73130193905815e-8</v>
      </c>
      <c r="AT75" s="191">
        <f t="shared" si="47"/>
        <v>0.000562688337950139</v>
      </c>
      <c r="AU75" s="191">
        <f t="shared" si="47"/>
        <v>0.00137875415512465</v>
      </c>
      <c r="AV75" s="191">
        <f t="shared" si="47"/>
        <v>0.00137172767313019</v>
      </c>
      <c r="AW75" s="191">
        <f t="shared" si="47"/>
        <v>0.000576758144044321</v>
      </c>
      <c r="AX75" s="191">
        <f t="shared" si="47"/>
        <v>0.000413587146814405</v>
      </c>
      <c r="AY75" s="191">
        <f t="shared" si="47"/>
        <v>0.000277310138504155</v>
      </c>
      <c r="AZ75" s="191">
        <f t="shared" si="47"/>
        <v>0.00022013188365651</v>
      </c>
      <c r="BA75" s="191">
        <f t="shared" si="47"/>
        <v>0.00123422783933518</v>
      </c>
      <c r="BB75" s="191">
        <f t="shared" si="47"/>
        <v>0.000813450443213297</v>
      </c>
      <c r="BC75" s="191">
        <f t="shared" si="47"/>
        <v>0.000621846094182825</v>
      </c>
      <c r="BD75" s="191">
        <f t="shared" si="47"/>
        <v>0.000646497534626039</v>
      </c>
      <c r="BE75" s="191">
        <f t="shared" si="47"/>
        <v>0.000438571772853186</v>
      </c>
      <c r="BF75" s="191">
        <f t="shared" si="47"/>
        <v>0.000471804127423823</v>
      </c>
      <c r="BG75" s="191">
        <f t="shared" si="47"/>
        <v>0.000468152936288089</v>
      </c>
      <c r="BH75" s="191">
        <f t="shared" si="47"/>
        <v>0.000430016620498615</v>
      </c>
      <c r="BR75" s="209" t="s">
        <v>351</v>
      </c>
      <c r="BS75" s="130">
        <f>SUM(第十二期!AF80:AI80)</f>
        <v>303950</v>
      </c>
      <c r="BT75" s="130"/>
      <c r="BU75" s="130">
        <f t="shared" si="46"/>
        <v>5829029.711875</v>
      </c>
      <c r="BV75" s="130">
        <f>BV74-BS75</f>
        <v>300250.278125</v>
      </c>
      <c r="BW75" s="126"/>
      <c r="CB75" s="219"/>
      <c r="CC75" s="219">
        <f t="shared" si="48"/>
        <v>323200</v>
      </c>
      <c r="CD75" s="219">
        <f t="shared" si="48"/>
        <v>698500</v>
      </c>
      <c r="CE75" s="219">
        <f t="shared" si="48"/>
        <v>422100</v>
      </c>
      <c r="CF75" s="219">
        <f t="shared" si="48"/>
        <v>495900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>
        <v>0.0604</v>
      </c>
      <c r="E76" s="19">
        <v>0.0651</v>
      </c>
      <c r="F76" s="19">
        <v>0.0641</v>
      </c>
      <c r="G76" s="19">
        <v>0.0767</v>
      </c>
      <c r="H76" s="19">
        <v>0.0473</v>
      </c>
      <c r="I76" s="19">
        <v>0.047</v>
      </c>
      <c r="J76" s="19">
        <v>0.0384</v>
      </c>
      <c r="K76" s="19">
        <v>0.0457</v>
      </c>
      <c r="L76" s="19">
        <v>0.0663</v>
      </c>
      <c r="M76" s="19">
        <v>0.0655</v>
      </c>
      <c r="N76" s="19">
        <v>0.0555</v>
      </c>
      <c r="O76" s="19">
        <v>0.0672</v>
      </c>
      <c r="P76" s="19">
        <v>0.0484</v>
      </c>
      <c r="Q76" s="19">
        <v>0.0472</v>
      </c>
      <c r="R76" s="19">
        <v>0.049</v>
      </c>
      <c r="S76" s="19">
        <v>0.0604</v>
      </c>
      <c r="T76" s="10"/>
      <c r="X76" s="64" t="s">
        <v>55</v>
      </c>
      <c r="Y76" s="283">
        <f>AB130/Y232</f>
        <v>0.0668852459016393</v>
      </c>
      <c r="Z76" s="283">
        <f>AL130/AC232</f>
        <v>0.115270935960591</v>
      </c>
      <c r="AA76" s="283">
        <f>AB153/AG232</f>
        <v>0.0715532286212914</v>
      </c>
      <c r="AB76" s="283">
        <f>AL153/AK232</f>
        <v>0.0634390651085142</v>
      </c>
      <c r="AC76" s="126"/>
      <c r="AE76" s="47" t="s">
        <v>55</v>
      </c>
      <c r="AF76" s="101">
        <v>3200</v>
      </c>
      <c r="AG76" s="101">
        <v>6350</v>
      </c>
      <c r="AH76" s="101">
        <v>10050</v>
      </c>
      <c r="AI76" s="101">
        <v>13050</v>
      </c>
      <c r="AJ76" s="300">
        <v>63180</v>
      </c>
      <c r="AK76" s="301">
        <f>AJ76/SUM(AF64:AI64)</f>
        <v>212.013422818792</v>
      </c>
      <c r="AL76" s="114">
        <f>AJ76/SUMPRODUCT(AF76:AI76,AF64:AI64)</f>
        <v>0.0319526627218935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SUM(第十二期!AJ76:AJ79)</f>
        <v>300250</v>
      </c>
      <c r="BT76" s="327"/>
      <c r="BU76" s="327">
        <f t="shared" si="46"/>
        <v>6129279.711875</v>
      </c>
      <c r="BV76" s="327">
        <f>BV75-BS76</f>
        <v>0.278125000186265</v>
      </c>
      <c r="BW76" s="331" t="str">
        <f>IF(BV76&gt;=0,"YES","NO")</f>
        <v>YES</v>
      </c>
      <c r="CB76" s="219"/>
      <c r="CC76" s="219">
        <f t="shared" si="48"/>
        <v>486450</v>
      </c>
      <c r="CD76" s="219">
        <f t="shared" si="48"/>
        <v>1080750</v>
      </c>
      <c r="CE76" s="219">
        <f t="shared" si="48"/>
        <v>481750</v>
      </c>
      <c r="CF76" s="219">
        <f t="shared" si="48"/>
        <v>632150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>
        <v>0.0486</v>
      </c>
      <c r="E77" s="19">
        <v>0.0524</v>
      </c>
      <c r="F77" s="19">
        <v>0.0584</v>
      </c>
      <c r="G77" s="19">
        <v>0.062</v>
      </c>
      <c r="H77" s="19">
        <v>0.0661</v>
      </c>
      <c r="I77" s="19">
        <v>0.0656</v>
      </c>
      <c r="J77" s="19">
        <v>0.0919</v>
      </c>
      <c r="K77" s="19">
        <v>0.0678</v>
      </c>
      <c r="L77" s="19">
        <v>0.1047</v>
      </c>
      <c r="M77" s="19">
        <v>0.1017</v>
      </c>
      <c r="N77" s="19">
        <v>0.0672</v>
      </c>
      <c r="O77" s="19">
        <v>0.0715</v>
      </c>
      <c r="P77" s="19">
        <v>0.0451</v>
      </c>
      <c r="Q77" s="19">
        <v>0.0472</v>
      </c>
      <c r="R77" s="19">
        <v>0.0474</v>
      </c>
      <c r="S77" s="19">
        <v>0.0487</v>
      </c>
      <c r="T77" s="10"/>
      <c r="X77" s="11" t="s">
        <v>56</v>
      </c>
      <c r="Y77" s="283">
        <f>AC130/Z232</f>
        <v>0.0678307588985897</v>
      </c>
      <c r="Z77" s="283">
        <f>AM130/AD232</f>
        <v>0.107632093933464</v>
      </c>
      <c r="AA77" s="283">
        <f>AC153/AH232</f>
        <v>0.0725388601036269</v>
      </c>
      <c r="AB77" s="283">
        <f>AM153/AL232</f>
        <v>0.0618892508143322</v>
      </c>
      <c r="AC77" s="126"/>
      <c r="AE77" s="11" t="s">
        <v>56</v>
      </c>
      <c r="AF77" s="101">
        <v>3200</v>
      </c>
      <c r="AG77" s="101">
        <v>6350</v>
      </c>
      <c r="AH77" s="101">
        <v>10050</v>
      </c>
      <c r="AI77" s="101">
        <v>13050</v>
      </c>
      <c r="AJ77" s="300">
        <v>61990</v>
      </c>
      <c r="AK77" s="301">
        <f>AJ77/SUM(AF65:AI65)</f>
        <v>213.024054982818</v>
      </c>
      <c r="AL77" s="114">
        <f>AJ77/SUMPRODUCT(AF77:AI77,AF65:AI65)</f>
        <v>0.0319585502912822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第十二期!CG53</f>
        <v>9414800</v>
      </c>
      <c r="BT77" s="328">
        <f>BT67+BS77</f>
        <v>9507208.4</v>
      </c>
      <c r="BU77" s="328"/>
      <c r="BV77" s="328">
        <f>BV76+BS77</f>
        <v>9414800.278125</v>
      </c>
      <c r="BW77" s="126"/>
      <c r="CB77" s="219"/>
      <c r="CC77" s="219">
        <f t="shared" si="48"/>
        <v>504100</v>
      </c>
      <c r="CD77" s="219">
        <f t="shared" si="48"/>
        <v>1064000</v>
      </c>
      <c r="CE77" s="219">
        <f t="shared" si="48"/>
        <v>589950</v>
      </c>
      <c r="CF77" s="219">
        <f t="shared" si="48"/>
        <v>639200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>
        <v>0.0112</v>
      </c>
      <c r="E78" s="19">
        <v>0.0114</v>
      </c>
      <c r="F78" s="19">
        <v>0.0113</v>
      </c>
      <c r="G78" s="19">
        <v>0.0128</v>
      </c>
      <c r="H78" s="19">
        <v>0</v>
      </c>
      <c r="I78" s="19">
        <v>0.0147</v>
      </c>
      <c r="J78" s="19">
        <v>0</v>
      </c>
      <c r="K78" s="19">
        <v>0</v>
      </c>
      <c r="L78" s="19">
        <v>0</v>
      </c>
      <c r="M78" s="19">
        <v>0.0017</v>
      </c>
      <c r="N78" s="19">
        <v>0.0029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0"/>
      <c r="X78" s="11" t="s">
        <v>57</v>
      </c>
      <c r="Y78" s="283">
        <f>AD130/AA232</f>
        <v>0.0664467483506126</v>
      </c>
      <c r="Z78" s="283">
        <f>AN130/AE232</f>
        <v>0.131789137380192</v>
      </c>
      <c r="AA78" s="283">
        <f>AD153/AI232</f>
        <v>0.0686131386861314</v>
      </c>
      <c r="AB78" s="283">
        <f>AN153/AM232</f>
        <v>0.076797385620915</v>
      </c>
      <c r="AC78" s="126"/>
      <c r="AE78" s="11" t="s">
        <v>57</v>
      </c>
      <c r="AF78" s="101">
        <v>3450</v>
      </c>
      <c r="AG78" s="101">
        <v>6550</v>
      </c>
      <c r="AH78" s="101">
        <v>10250</v>
      </c>
      <c r="AI78" s="101">
        <v>13450</v>
      </c>
      <c r="AJ78" s="300">
        <v>85680</v>
      </c>
      <c r="AK78" s="301">
        <f>AJ78/SUM(AF66:AI66)</f>
        <v>214.2</v>
      </c>
      <c r="AL78" s="114">
        <f>AJ78/SUMPRODUCT(AF78:AI78,AF66:AI66)</f>
        <v>0.0319570325612622</v>
      </c>
      <c r="AM78" s="2">
        <v>8500</v>
      </c>
      <c r="AN78" s="2">
        <v>12300</v>
      </c>
      <c r="AO78" s="2">
        <v>14000</v>
      </c>
      <c r="AR78" s="65" t="s">
        <v>353</v>
      </c>
      <c r="AS78" s="307">
        <f>AVERAGE(AS57:AS76)^0.5</f>
        <v>0.0262861991533196</v>
      </c>
      <c r="AT78" s="307">
        <f t="shared" ref="AT78:BH78" si="49">AVERAGE(AT57:AT76)^0.5</f>
        <v>0.0282105911232563</v>
      </c>
      <c r="AU78" s="307">
        <f t="shared" si="49"/>
        <v>0.025353107411157</v>
      </c>
      <c r="AV78" s="307">
        <f t="shared" si="49"/>
        <v>0.024633400742345</v>
      </c>
      <c r="AW78" s="307">
        <f t="shared" si="49"/>
        <v>0.0223068614215894</v>
      </c>
      <c r="AX78" s="307">
        <f t="shared" si="49"/>
        <v>0.0202727250142004</v>
      </c>
      <c r="AY78" s="307">
        <f t="shared" si="49"/>
        <v>0.0266777527740774</v>
      </c>
      <c r="AZ78" s="307">
        <f t="shared" si="49"/>
        <v>0.0252440969759856</v>
      </c>
      <c r="BA78" s="307">
        <f t="shared" si="49"/>
        <v>0.0329982942562599</v>
      </c>
      <c r="BB78" s="307">
        <f t="shared" si="49"/>
        <v>0.0323533058417833</v>
      </c>
      <c r="BC78" s="307">
        <f t="shared" si="49"/>
        <v>0.0272172006473908</v>
      </c>
      <c r="BD78" s="307">
        <f t="shared" si="49"/>
        <v>0.0266711522081593</v>
      </c>
      <c r="BE78" s="307">
        <f t="shared" si="49"/>
        <v>0.0265382210126307</v>
      </c>
      <c r="BF78" s="307">
        <f t="shared" si="49"/>
        <v>0.0265050060603726</v>
      </c>
      <c r="BG78" s="307">
        <f t="shared" si="49"/>
        <v>0.0210414931060741</v>
      </c>
      <c r="BH78" s="307">
        <f t="shared" si="49"/>
        <v>0.0206243905307416</v>
      </c>
      <c r="BR78" s="209" t="s">
        <v>259</v>
      </c>
      <c r="BS78" s="130">
        <f>第十二期!CN53</f>
        <v>169840</v>
      </c>
      <c r="BT78" s="130"/>
      <c r="BU78" s="130">
        <f>BU76+BS78</f>
        <v>6299119.711875</v>
      </c>
      <c r="BV78" s="130">
        <f>BV77-BS78</f>
        <v>9244960.278125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>
        <v>0.0236</v>
      </c>
      <c r="E79" s="19">
        <v>0.0255</v>
      </c>
      <c r="F79" s="19">
        <v>0.0358</v>
      </c>
      <c r="G79" s="19">
        <v>0.0436</v>
      </c>
      <c r="H79" s="19">
        <v>0.0552</v>
      </c>
      <c r="I79" s="19">
        <v>0.0548</v>
      </c>
      <c r="J79" s="19">
        <v>0.04</v>
      </c>
      <c r="K79" s="19">
        <v>0.0481</v>
      </c>
      <c r="L79" s="19">
        <v>0.0541</v>
      </c>
      <c r="M79" s="19">
        <v>0.0534</v>
      </c>
      <c r="N79" s="19">
        <v>0.0876</v>
      </c>
      <c r="O79" s="19">
        <v>0.0787</v>
      </c>
      <c r="P79" s="19">
        <v>0.1119</v>
      </c>
      <c r="Q79" s="19">
        <v>0.1091</v>
      </c>
      <c r="R79" s="19">
        <v>0.0703</v>
      </c>
      <c r="S79" s="19">
        <v>0.0721</v>
      </c>
      <c r="T79" s="10"/>
      <c r="X79" s="11" t="s">
        <v>58</v>
      </c>
      <c r="Y79" s="283">
        <f>AE130/AB232</f>
        <v>0.0672985781990521</v>
      </c>
      <c r="Z79" s="283">
        <f>AO130/AF232</f>
        <v>0.125984251968504</v>
      </c>
      <c r="AA79" s="283">
        <f>AE153/AJ232</f>
        <v>0.0814285714285714</v>
      </c>
      <c r="AB79" s="283">
        <f>AO153/AN232</f>
        <v>0.0788590604026846</v>
      </c>
      <c r="AC79" s="126"/>
      <c r="AE79" s="11" t="s">
        <v>58</v>
      </c>
      <c r="AF79" s="101">
        <v>3550</v>
      </c>
      <c r="AG79" s="101">
        <v>6650</v>
      </c>
      <c r="AH79" s="101">
        <v>10350</v>
      </c>
      <c r="AI79" s="101">
        <v>13600</v>
      </c>
      <c r="AJ79" s="300">
        <v>89400</v>
      </c>
      <c r="AK79" s="301">
        <f>AJ79/SUM(AF67:AI67)</f>
        <v>220.197044334975</v>
      </c>
      <c r="AL79" s="114">
        <f>AJ79/SUMPRODUCT(AF79:AI79,AF67:AI67)</f>
        <v>0.0319599606756636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第十二期!K9*比赛参数!D30*比赛参数!F30</f>
        <v>1080000</v>
      </c>
      <c r="BT79" s="130"/>
      <c r="BU79" s="130">
        <f>BU78+BS79</f>
        <v>7379119.711875</v>
      </c>
      <c r="BV79" s="130"/>
      <c r="BW79" s="126"/>
      <c r="CB79" s="196" t="s">
        <v>355</v>
      </c>
      <c r="CC79" s="108">
        <f>IF(SUM(AF64:AF67)&gt;0,SUM(CC74:CC77)/SUM(AF64:AF67),0)</f>
        <v>3374.79423868313</v>
      </c>
      <c r="CD79" s="108">
        <f>IF(SUM(AG64:AG67)&gt;0,SUM(CD74:CD77)/SUM(AG64:AG67),0)</f>
        <v>6496.73913043478</v>
      </c>
      <c r="CE79" s="108">
        <f>IF(SUM(AH64:AH67)&gt;0,SUM(CE74:CE77)/SUM(AH64:AH67),0)</f>
        <v>10191.7112299465</v>
      </c>
      <c r="CF79" s="108">
        <f>IF(SUM(AI64:AI67)&gt;0,SUM(CF74:CF77)/SUM(AI64:AI67),0)</f>
        <v>13312.6470588235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>
        <v>0.0164</v>
      </c>
      <c r="E80" s="19">
        <v>0.0154</v>
      </c>
      <c r="F80" s="19">
        <v>0.0311</v>
      </c>
      <c r="G80" s="19">
        <v>0.0104</v>
      </c>
      <c r="H80" s="19">
        <v>0.0503</v>
      </c>
      <c r="I80" s="19">
        <v>0.0489</v>
      </c>
      <c r="J80" s="19">
        <v>0.0336</v>
      </c>
      <c r="K80" s="19">
        <v>0.0331</v>
      </c>
      <c r="L80" s="19">
        <v>0.089</v>
      </c>
      <c r="M80" s="19">
        <v>0.0897</v>
      </c>
      <c r="N80" s="19">
        <v>0.1066</v>
      </c>
      <c r="O80" s="19">
        <v>0.1016</v>
      </c>
      <c r="P80" s="19">
        <v>0.0701</v>
      </c>
      <c r="Q80" s="19">
        <v>0.0684</v>
      </c>
      <c r="R80" s="19">
        <v>0.085</v>
      </c>
      <c r="S80" s="19">
        <v>0.0872</v>
      </c>
      <c r="T80" s="10"/>
      <c r="AC80" s="48"/>
      <c r="AE80" s="42" t="s">
        <v>165</v>
      </c>
      <c r="AF80" s="284">
        <v>52450</v>
      </c>
      <c r="AG80" s="284">
        <v>118250</v>
      </c>
      <c r="AH80" s="284">
        <v>60900</v>
      </c>
      <c r="AI80" s="284">
        <v>72350</v>
      </c>
      <c r="AJ80" s="42" t="s">
        <v>357</v>
      </c>
      <c r="AK80" s="302">
        <f>BS75/BS77</f>
        <v>0.0322842758210477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第十二期!CG65</f>
        <v>197061.538461538</v>
      </c>
      <c r="BT80" s="130"/>
      <c r="BU80" s="130">
        <f>BU79+BS80</f>
        <v>7576181.25033654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第十二期!Y9*第十二期!CQ56</f>
        <v>54900</v>
      </c>
      <c r="CR80" s="65">
        <f>第十二期!Z9*第十二期!CR56</f>
        <v>0</v>
      </c>
      <c r="CS80" s="65">
        <f>第十二期!AA9*第十二期!CS56</f>
        <v>0</v>
      </c>
      <c r="CT80" s="65">
        <f>第十二期!AB9*第十二期!CT56</f>
        <v>0</v>
      </c>
      <c r="CU80" s="65">
        <f>SUM(CQ80:CT80)</f>
        <v>54900</v>
      </c>
    </row>
    <row r="81" customHeight="1" spans="2:99">
      <c r="B81" s="7"/>
      <c r="C81" s="25">
        <v>9</v>
      </c>
      <c r="D81" s="19">
        <v>0.084</v>
      </c>
      <c r="E81" s="19">
        <v>0.086</v>
      </c>
      <c r="F81" s="19">
        <v>0.081</v>
      </c>
      <c r="G81" s="19">
        <v>0.0795</v>
      </c>
      <c r="H81" s="19">
        <v>0.1035</v>
      </c>
      <c r="I81" s="19">
        <v>0.1008</v>
      </c>
      <c r="J81" s="19">
        <v>0.1167</v>
      </c>
      <c r="K81" s="19">
        <v>0.1214</v>
      </c>
      <c r="L81" s="19">
        <v>0.0297</v>
      </c>
      <c r="M81" s="19">
        <v>0.031</v>
      </c>
      <c r="N81" s="19">
        <v>0.0204</v>
      </c>
      <c r="O81" s="19">
        <v>0.0186</v>
      </c>
      <c r="P81" s="19">
        <v>0.0518</v>
      </c>
      <c r="Q81" s="19">
        <v>0.0505</v>
      </c>
      <c r="R81" s="19">
        <v>0.0474</v>
      </c>
      <c r="S81" s="19">
        <v>0.0386</v>
      </c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107.921810699588</v>
      </c>
      <c r="AG81" s="285">
        <f>IF(SUM(AG64:AG67)&gt;0,AG80/SUM(AG64:AG67),0)</f>
        <v>214.221014492754</v>
      </c>
      <c r="AH81" s="285">
        <f>IF(SUM(AH64:AH67)&gt;0,AH80/SUM(AH64:AH67),0)</f>
        <v>325.668449197861</v>
      </c>
      <c r="AI81" s="303">
        <f>IF(SUM(AI64:AI67)&gt;0,AI80/SUM(AI64:AI67),0)</f>
        <v>425.588235294118</v>
      </c>
      <c r="AJ81" s="42" t="s">
        <v>361</v>
      </c>
      <c r="AK81" s="302">
        <f>BS76/BS77</f>
        <v>0.0318912775629859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(第十二期!K10+(第十二期!AC18+第十二期!K10-第十二期!AC21))/2*比赛参数!D16</f>
        <v>10134</v>
      </c>
      <c r="BT81" s="130"/>
      <c r="BU81" s="130">
        <f>BU80+BS81</f>
        <v>7586315.25033654</v>
      </c>
      <c r="BV81" s="130">
        <f>BV78-BS81</f>
        <v>9234826.278125</v>
      </c>
      <c r="BW81" s="126"/>
      <c r="CB81" s="219"/>
      <c r="CC81" s="219">
        <f t="shared" ref="CC81:CF84" si="50">CJ19*AF64</f>
        <v>192860.454102425</v>
      </c>
      <c r="CD81" s="219">
        <f t="shared" si="50"/>
        <v>472626.522991303</v>
      </c>
      <c r="CE81" s="219">
        <f t="shared" si="50"/>
        <v>260545.883140249</v>
      </c>
      <c r="CF81" s="219">
        <f t="shared" si="50"/>
        <v>311974.411455658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第十二期!Y10*第十二期!CQ57</f>
        <v>85500</v>
      </c>
      <c r="CR81" s="65">
        <f>第十二期!Z10*第十二期!CR57</f>
        <v>0</v>
      </c>
      <c r="CS81" s="65">
        <f>第十二期!AA10*第十二期!CS57</f>
        <v>44750</v>
      </c>
      <c r="CT81" s="65">
        <f>第十二期!AB10*第十二期!CT57</f>
        <v>0</v>
      </c>
      <c r="CU81" s="65">
        <f>SUM(CQ81:CT81)</f>
        <v>130250</v>
      </c>
    </row>
    <row r="82" ht="18.75" customHeight="1" spans="2:99">
      <c r="B82" s="7"/>
      <c r="C82" s="25">
        <v>10</v>
      </c>
      <c r="D82" s="19">
        <v>0.0643</v>
      </c>
      <c r="E82" s="19">
        <v>0.0698</v>
      </c>
      <c r="F82" s="19">
        <v>0.0603</v>
      </c>
      <c r="G82" s="19">
        <v>0.063</v>
      </c>
      <c r="H82" s="19">
        <v>0.0621</v>
      </c>
      <c r="I82" s="19">
        <v>0.0636</v>
      </c>
      <c r="J82" s="19">
        <v>0.0544</v>
      </c>
      <c r="K82" s="19">
        <v>0.0623</v>
      </c>
      <c r="L82" s="19">
        <v>0.0558</v>
      </c>
      <c r="M82" s="19">
        <v>0.0586</v>
      </c>
      <c r="N82" s="19">
        <v>0.0818</v>
      </c>
      <c r="O82" s="19">
        <v>0.0773</v>
      </c>
      <c r="P82" s="19">
        <v>0.0434</v>
      </c>
      <c r="Q82" s="19">
        <v>0.0423</v>
      </c>
      <c r="R82" s="19">
        <v>0.0605</v>
      </c>
      <c r="S82" s="19">
        <v>0.0688</v>
      </c>
      <c r="T82" s="10"/>
      <c r="X82" s="64" t="s">
        <v>55</v>
      </c>
      <c r="Y82" s="286">
        <f>(Y76-AS54)/AS78</f>
        <v>0.542249066558978</v>
      </c>
      <c r="Z82" s="286">
        <f>(Z76-AW54)/AW78</f>
        <v>2.80878359813841</v>
      </c>
      <c r="AA82" s="286">
        <f>(AA76-BA54)/BA78</f>
        <v>0.57341296271196</v>
      </c>
      <c r="AB82" s="286">
        <f>(AB76-BE54)/BE78</f>
        <v>0.406845652548358</v>
      </c>
      <c r="AF82" s="48">
        <f>SUMPRODUCT(AF70:AF73,AF86:AF89)/SUM(AF70:AF73)</f>
        <v>3402.82608695652</v>
      </c>
      <c r="AG82" s="48">
        <f>SUMPRODUCT(AG70:AG73,AG86:AG89)/SUM(AG70:AG73)</f>
        <v>6935.44520547945</v>
      </c>
      <c r="AH82" s="48">
        <f>SUMPRODUCT(AH70:AH73,AH86:AH89)/SUM(AH70:AH73)</f>
        <v>10323.5849056604</v>
      </c>
      <c r="AI82" s="48">
        <f>SUMPRODUCT(AI70:AI73,AI86:AI89)/SUM(AI70:AI73)</f>
        <v>13386.1313868613</v>
      </c>
      <c r="AJ82" s="42" t="s">
        <v>100</v>
      </c>
      <c r="AK82" s="84">
        <f>AF14</f>
        <v>1824266.47216346</v>
      </c>
      <c r="AR82" s="185">
        <v>1</v>
      </c>
      <c r="AS82" s="308">
        <f t="shared" ref="AS82:BH97" si="51">IF(AS33="","",(AS33-AS$54)/AS$78)</f>
        <v>-0.229458009968958</v>
      </c>
      <c r="AT82" s="309">
        <f t="shared" si="51"/>
        <v>-0.0787311624160886</v>
      </c>
      <c r="AU82" s="309">
        <f t="shared" si="51"/>
        <v>-0.0682984897782752</v>
      </c>
      <c r="AV82" s="310">
        <f t="shared" si="51"/>
        <v>0.266433285577769</v>
      </c>
      <c r="AW82" s="308">
        <f t="shared" si="51"/>
        <v>0.160677491045283</v>
      </c>
      <c r="AX82" s="309">
        <f t="shared" si="51"/>
        <v>0.249752210972637</v>
      </c>
      <c r="AY82" s="309">
        <f t="shared" si="51"/>
        <v>-0.414301447072677</v>
      </c>
      <c r="AZ82" s="310">
        <f t="shared" si="51"/>
        <v>-0.211409507352948</v>
      </c>
      <c r="BA82" s="308">
        <f t="shared" si="51"/>
        <v>0.838480341976549</v>
      </c>
      <c r="BB82" s="309">
        <f t="shared" si="51"/>
        <v>0.87715757725662</v>
      </c>
      <c r="BC82" s="309">
        <f t="shared" si="51"/>
        <v>1.07149733260803</v>
      </c>
      <c r="BD82" s="310">
        <f t="shared" si="51"/>
        <v>1.56624970246867</v>
      </c>
      <c r="BE82" s="308">
        <f t="shared" si="51"/>
        <v>-0.536663902843353</v>
      </c>
      <c r="BF82" s="309">
        <f t="shared" si="51"/>
        <v>-0.570497988083327</v>
      </c>
      <c r="BG82" s="309">
        <f t="shared" si="51"/>
        <v>-0.324921908858718</v>
      </c>
      <c r="BH82" s="310">
        <f t="shared" si="51"/>
        <v>-0.273309511709507</v>
      </c>
      <c r="BI82" s="319">
        <f>IF(AS82="","",AVERAGE(AS82:BH82))</f>
        <v>0.145166000863857</v>
      </c>
      <c r="BR82" s="209" t="s">
        <v>364</v>
      </c>
      <c r="BS82" s="130">
        <f>第十二期!CG67</f>
        <v>26820</v>
      </c>
      <c r="BT82" s="130"/>
      <c r="BU82" s="91">
        <f>BU81+BS82</f>
        <v>7613135.25033654</v>
      </c>
      <c r="BV82" s="130">
        <f>BV81-BS82</f>
        <v>9208006.278125</v>
      </c>
      <c r="BW82" s="126"/>
      <c r="CB82" s="219"/>
      <c r="CC82" s="219">
        <f t="shared" si="50"/>
        <v>186828.665336715</v>
      </c>
      <c r="CD82" s="219">
        <f t="shared" si="50"/>
        <v>435109.722470456</v>
      </c>
      <c r="CE82" s="219">
        <f t="shared" si="50"/>
        <v>262196.660777816</v>
      </c>
      <c r="CF82" s="219">
        <f t="shared" si="50"/>
        <v>306730.411455658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第十二期!Y11*第十二期!CQ58</f>
        <v>0</v>
      </c>
      <c r="CR82" s="65">
        <f>第十二期!Z11*第十二期!CR58</f>
        <v>0</v>
      </c>
      <c r="CS82" s="65">
        <f>第十二期!AA11*第十二期!CS58</f>
        <v>39900</v>
      </c>
      <c r="CT82" s="65">
        <f>第十二期!AB11*第十二期!CT58</f>
        <v>29640</v>
      </c>
      <c r="CU82" s="65">
        <f>SUM(CQ82:CT82)</f>
        <v>69540</v>
      </c>
    </row>
    <row r="83" ht="18.75" customHeight="1" spans="2:99">
      <c r="B83" s="7"/>
      <c r="C83" s="25">
        <v>11</v>
      </c>
      <c r="D83" s="19">
        <v>0.0577</v>
      </c>
      <c r="E83" s="19">
        <v>0.0591</v>
      </c>
      <c r="F83" s="19">
        <v>0.0608</v>
      </c>
      <c r="G83" s="19">
        <v>0.0616</v>
      </c>
      <c r="H83" s="19">
        <v>0.0542</v>
      </c>
      <c r="I83" s="19">
        <v>0.0548</v>
      </c>
      <c r="J83" s="19">
        <v>0.0735</v>
      </c>
      <c r="K83" s="19">
        <v>0.0701</v>
      </c>
      <c r="L83" s="19">
        <v>0.0314</v>
      </c>
      <c r="M83" s="19">
        <v>0.0328</v>
      </c>
      <c r="N83" s="19">
        <v>0.0555</v>
      </c>
      <c r="O83" s="19">
        <v>0.0443</v>
      </c>
      <c r="P83" s="19">
        <v>0.0484</v>
      </c>
      <c r="Q83" s="19">
        <v>0.0472</v>
      </c>
      <c r="R83" s="19">
        <v>0.0768</v>
      </c>
      <c r="S83" s="19">
        <v>0.0705</v>
      </c>
      <c r="T83" s="10"/>
      <c r="X83" s="11" t="s">
        <v>56</v>
      </c>
      <c r="Y83" s="286">
        <f>(Y77-AT54)/AT78</f>
        <v>0.539148797008798</v>
      </c>
      <c r="Z83" s="286">
        <f>(Z77-AX54)/AX78</f>
        <v>2.71277057177455</v>
      </c>
      <c r="AA83" s="286">
        <f>(AA77-BB54)/BB78</f>
        <v>0.615634382756793</v>
      </c>
      <c r="AB83" s="286">
        <f>(AB77-BF54)/BF78</f>
        <v>0.349677270838662</v>
      </c>
      <c r="AE83" s="42" t="s">
        <v>365</v>
      </c>
      <c r="AF83" s="285">
        <f>SUMPRODUCT(Y96:Y99,AF64:AF67)/SUM(AF64:AF67)</f>
        <v>14.0978736597719</v>
      </c>
      <c r="AG83" s="285">
        <f>SUMPRODUCT(Z96:Z99,AG64:AG67)/SUM(AG64:AG67)</f>
        <v>9.52454566510594</v>
      </c>
      <c r="AH83" s="285">
        <f>SUMPRODUCT(AA96:AA99,AH64:AH67)/SUM(AH64:AH67)</f>
        <v>9.91253281417059</v>
      </c>
      <c r="AI83" s="285">
        <f>SUMPRODUCT(AB96:AB99,AI64:AI67)/SUM(AI64:AI67)</f>
        <v>9.62675340930526</v>
      </c>
      <c r="AR83" s="185">
        <v>2</v>
      </c>
      <c r="AS83" s="308">
        <f t="shared" si="51"/>
        <v>-1.0055306510158</v>
      </c>
      <c r="AT83" s="309">
        <f t="shared" si="51"/>
        <v>-0.890483028938363</v>
      </c>
      <c r="AU83" s="309">
        <f t="shared" si="51"/>
        <v>-1.07409235900546</v>
      </c>
      <c r="AV83" s="310">
        <f t="shared" si="51"/>
        <v>-0.715972686424302</v>
      </c>
      <c r="AW83" s="308">
        <f t="shared" si="51"/>
        <v>-0.0141566071405533</v>
      </c>
      <c r="AX83" s="309">
        <f t="shared" si="51"/>
        <v>0.057375507926146</v>
      </c>
      <c r="AY83" s="309">
        <f t="shared" si="51"/>
        <v>-0.414301447072677</v>
      </c>
      <c r="AZ83" s="310">
        <f t="shared" si="51"/>
        <v>-0.460972801535866</v>
      </c>
      <c r="BA83" s="308">
        <f t="shared" si="51"/>
        <v>2.52947683914896</v>
      </c>
      <c r="BB83" s="309">
        <f t="shared" si="51"/>
        <v>2.63586502675983</v>
      </c>
      <c r="BC83" s="309">
        <f t="shared" si="51"/>
        <v>0.211746901138025</v>
      </c>
      <c r="BD83" s="310">
        <f t="shared" si="51"/>
        <v>0.493930075000515</v>
      </c>
      <c r="BE83" s="308">
        <f t="shared" si="51"/>
        <v>2.29321681765621</v>
      </c>
      <c r="BF83" s="309">
        <f t="shared" si="51"/>
        <v>2.13087849290713</v>
      </c>
      <c r="BG83" s="309">
        <f t="shared" si="51"/>
        <v>1.22439780128054</v>
      </c>
      <c r="BH83" s="310">
        <f t="shared" si="51"/>
        <v>0.133975250837994</v>
      </c>
      <c r="BI83" s="319">
        <f t="shared" ref="BI83:BI101" si="52">IF(AS83="","",AVERAGE(AS83:BH83))</f>
        <v>0.445959570720145</v>
      </c>
      <c r="BR83" s="209" t="s">
        <v>366</v>
      </c>
      <c r="BS83" s="130">
        <f>第十二期!K13</f>
        <v>0</v>
      </c>
      <c r="BT83" s="130"/>
      <c r="BU83" s="130"/>
      <c r="BV83" s="130">
        <f>BV82+BS83</f>
        <v>9208006.278125</v>
      </c>
      <c r="BW83" s="126"/>
      <c r="CB83" s="219"/>
      <c r="CC83" s="219">
        <f t="shared" si="50"/>
        <v>283098.215965117</v>
      </c>
      <c r="CD83" s="219">
        <f t="shared" si="50"/>
        <v>688469.583705684</v>
      </c>
      <c r="CE83" s="219">
        <f t="shared" si="50"/>
        <v>305442.548965651</v>
      </c>
      <c r="CF83" s="219">
        <f t="shared" si="50"/>
        <v>395545.08785305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第十二期!Y12*第十二期!CQ59</f>
        <v>0</v>
      </c>
      <c r="CR83" s="65">
        <f>第十二期!Z12*第十二期!CR59</f>
        <v>0</v>
      </c>
      <c r="CS83" s="65">
        <f>第十二期!AA12*第十二期!CS59</f>
        <v>55640</v>
      </c>
      <c r="CT83" s="65">
        <f>第十二期!AB12*第十二期!CT59</f>
        <v>40560</v>
      </c>
      <c r="CU83" s="65">
        <f>SUM(CQ83:CT83)</f>
        <v>96200</v>
      </c>
    </row>
    <row r="84" ht="18.75" customHeight="1" spans="2:99">
      <c r="B84" s="7"/>
      <c r="C84" s="25">
        <v>12</v>
      </c>
      <c r="D84" s="19">
        <v>0.0407</v>
      </c>
      <c r="E84" s="19">
        <v>0.0222</v>
      </c>
      <c r="F84" s="19">
        <v>0.0306</v>
      </c>
      <c r="G84" s="19">
        <v>0.0393</v>
      </c>
      <c r="H84" s="19">
        <v>0.0473</v>
      </c>
      <c r="I84" s="19">
        <v>0.045</v>
      </c>
      <c r="J84" s="19">
        <v>0.0488</v>
      </c>
      <c r="K84" s="19">
        <v>0.0552</v>
      </c>
      <c r="L84" s="19">
        <v>0.0838</v>
      </c>
      <c r="M84" s="19">
        <v>0.0793</v>
      </c>
      <c r="N84" s="19">
        <v>0.0701</v>
      </c>
      <c r="O84" s="19">
        <v>0.0701</v>
      </c>
      <c r="P84" s="19">
        <v>0.0401</v>
      </c>
      <c r="Q84" s="19">
        <v>0.0391</v>
      </c>
      <c r="R84" s="19">
        <v>0.0278</v>
      </c>
      <c r="S84" s="19">
        <v>0.0235</v>
      </c>
      <c r="T84" s="10"/>
      <c r="X84" s="11" t="s">
        <v>57</v>
      </c>
      <c r="Y84" s="286">
        <f>(Y78-AU54)/AU78</f>
        <v>0.544910301494825</v>
      </c>
      <c r="Z84" s="286">
        <f>(Z78-AY54)/AY78</f>
        <v>2.96638575488041</v>
      </c>
      <c r="AA84" s="286">
        <f>(AA78-BC54)/BC78</f>
        <v>0.586992644388643</v>
      </c>
      <c r="AB84" s="286">
        <f>(AB78-BG54)/BG78</f>
        <v>1.14823332136432</v>
      </c>
      <c r="AF84" s="114">
        <f>AF80/SUMPRODUCT(AF76:AF79,AF64:AF67)</f>
        <v>0.0319787824284364</v>
      </c>
      <c r="AG84" s="114">
        <f>AG80/SUMPRODUCT(AG76:AG79,AG64:AG67)</f>
        <v>0.0329736211031175</v>
      </c>
      <c r="AH84" s="114">
        <f>AH80/SUMPRODUCT(AH76:AH79,AH64:AH67)</f>
        <v>0.0319542461368943</v>
      </c>
      <c r="AI84" s="114">
        <f>AI80/SUMPRODUCT(AI76:AI79,AI64:AI67)</f>
        <v>0.0319687161699401</v>
      </c>
      <c r="AJ84" s="48"/>
      <c r="AK84" s="2" t="s">
        <v>367</v>
      </c>
      <c r="AL84" s="48"/>
      <c r="AR84" s="185">
        <v>3</v>
      </c>
      <c r="AS84" s="308">
        <f t="shared" si="51"/>
        <v>0.542810353425695</v>
      </c>
      <c r="AT84" s="309">
        <f t="shared" si="51"/>
        <v>0.204850275670296</v>
      </c>
      <c r="AU84" s="309">
        <f t="shared" si="51"/>
        <v>0.618007915106157</v>
      </c>
      <c r="AV84" s="310">
        <f t="shared" si="51"/>
        <v>0.920017423975842</v>
      </c>
      <c r="AW84" s="308">
        <f t="shared" si="51"/>
        <v>-0.457966240996906</v>
      </c>
      <c r="AX84" s="309">
        <f t="shared" si="51"/>
        <v>-0.519754601213328</v>
      </c>
      <c r="AY84" s="309">
        <f t="shared" si="51"/>
        <v>-0.444288980384604</v>
      </c>
      <c r="AZ84" s="310">
        <f t="shared" si="51"/>
        <v>-0.61942568673137</v>
      </c>
      <c r="BA84" s="308">
        <f t="shared" si="51"/>
        <v>-0.325216172206616</v>
      </c>
      <c r="BB84" s="309">
        <f t="shared" si="51"/>
        <v>-0.346828626615563</v>
      </c>
      <c r="BC84" s="309">
        <f t="shared" si="51"/>
        <v>-0.0013536331579596</v>
      </c>
      <c r="BD84" s="310">
        <f t="shared" si="51"/>
        <v>-0.31218433026401</v>
      </c>
      <c r="BE84" s="308">
        <f t="shared" si="51"/>
        <v>-0.472605351247491</v>
      </c>
      <c r="BF84" s="309">
        <f t="shared" si="51"/>
        <v>-0.510132033200859</v>
      </c>
      <c r="BG84" s="309">
        <f t="shared" si="51"/>
        <v>0.373697715038434</v>
      </c>
      <c r="BH84" s="310">
        <f t="shared" si="51"/>
        <v>0.458833335250881</v>
      </c>
      <c r="BI84" s="319">
        <f t="shared" si="52"/>
        <v>-0.0557211648469626</v>
      </c>
      <c r="BR84" s="209" t="s">
        <v>258</v>
      </c>
      <c r="BS84" s="130">
        <f>第十二期!K13*比赛参数!D70/4</f>
        <v>0</v>
      </c>
      <c r="BT84" s="329">
        <f>BT77+BS84</f>
        <v>9507208.4</v>
      </c>
      <c r="BU84" s="130"/>
      <c r="BV84" s="130">
        <f>BV83+BS84</f>
        <v>9208006.278125</v>
      </c>
      <c r="BW84" s="126"/>
      <c r="CB84" s="219"/>
      <c r="CC84" s="219">
        <f t="shared" si="50"/>
        <v>292206.004730827</v>
      </c>
      <c r="CD84" s="219">
        <f t="shared" si="50"/>
        <v>675606.869047936</v>
      </c>
      <c r="CE84" s="219">
        <f t="shared" si="50"/>
        <v>373280.325341322</v>
      </c>
      <c r="CF84" s="219">
        <f t="shared" si="50"/>
        <v>397895.08785305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140400</v>
      </c>
      <c r="CR84" s="65">
        <f>SUM(CR80:CR83)</f>
        <v>0</v>
      </c>
      <c r="CS84" s="65">
        <f>SUM(CS80:CS83)</f>
        <v>140290</v>
      </c>
      <c r="CT84" s="65">
        <f>SUM(CT80:CT83)</f>
        <v>70200</v>
      </c>
      <c r="CU84" s="65">
        <f>SUM(CU80:CU83)</f>
        <v>350890</v>
      </c>
    </row>
    <row r="85" ht="18.75" customHeight="1" spans="2:99">
      <c r="B85" s="7"/>
      <c r="C85" s="25">
        <v>13</v>
      </c>
      <c r="D85" s="19">
        <v>0.0669</v>
      </c>
      <c r="E85" s="19">
        <v>0.0658</v>
      </c>
      <c r="F85" s="19">
        <v>0.065</v>
      </c>
      <c r="G85" s="19">
        <v>0.0677</v>
      </c>
      <c r="H85" s="19">
        <v>0.0897</v>
      </c>
      <c r="I85" s="19">
        <v>0.089</v>
      </c>
      <c r="J85" s="19">
        <v>0.1007</v>
      </c>
      <c r="K85" s="19">
        <v>0.0938</v>
      </c>
      <c r="L85" s="19">
        <v>0.0558</v>
      </c>
      <c r="M85" s="19">
        <v>0.05</v>
      </c>
      <c r="N85" s="19">
        <v>0.0701</v>
      </c>
      <c r="O85" s="19">
        <v>0.0672</v>
      </c>
      <c r="P85" s="19">
        <v>0.0434</v>
      </c>
      <c r="Q85" s="19">
        <v>0.0423</v>
      </c>
      <c r="R85" s="19">
        <v>0.0474</v>
      </c>
      <c r="S85" s="19">
        <v>0.0487</v>
      </c>
      <c r="T85" s="10"/>
      <c r="X85" s="11" t="s">
        <v>58</v>
      </c>
      <c r="Y85" s="286">
        <f>(Y79-AV54)/AV78</f>
        <v>0.59519740076267</v>
      </c>
      <c r="Z85" s="286">
        <f>(Z79-AZ54)/AZ78</f>
        <v>2.90552717861191</v>
      </c>
      <c r="AA85" s="286">
        <f>(AA79-BD54)/BD78</f>
        <v>1.07990293836224</v>
      </c>
      <c r="AB85" s="286">
        <f>(AB79-BH54)/BH78</f>
        <v>1.27141785151595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>
        <f t="shared" si="51"/>
        <v>0.295532306033318</v>
      </c>
      <c r="AT85" s="309">
        <f t="shared" si="51"/>
        <v>0.442349730067642</v>
      </c>
      <c r="AU85" s="309">
        <f t="shared" si="51"/>
        <v>0.452347748409915</v>
      </c>
      <c r="AV85" s="310">
        <f t="shared" si="51"/>
        <v>0.976850827314804</v>
      </c>
      <c r="AW85" s="308">
        <f t="shared" si="51"/>
        <v>-0.238302886865984</v>
      </c>
      <c r="AX85" s="309">
        <f t="shared" si="51"/>
        <v>-0.278050538411326</v>
      </c>
      <c r="AY85" s="309">
        <f t="shared" si="51"/>
        <v>-0.534251580320385</v>
      </c>
      <c r="AZ85" s="310">
        <f t="shared" si="51"/>
        <v>-0.27479066143115</v>
      </c>
      <c r="BA85" s="308">
        <f t="shared" si="51"/>
        <v>0.41421598784727</v>
      </c>
      <c r="BB85" s="309">
        <f t="shared" si="51"/>
        <v>0.398072068165235</v>
      </c>
      <c r="BC85" s="309">
        <f t="shared" si="51"/>
        <v>0.105196633990033</v>
      </c>
      <c r="BD85" s="310">
        <f t="shared" si="51"/>
        <v>0.54642124557588</v>
      </c>
      <c r="BE85" s="308">
        <f t="shared" si="51"/>
        <v>-0.159848893455929</v>
      </c>
      <c r="BF85" s="309">
        <f t="shared" si="51"/>
        <v>-0.204529386608363</v>
      </c>
      <c r="BG85" s="309">
        <f t="shared" si="51"/>
        <v>-0.17284144651376</v>
      </c>
      <c r="BH85" s="310">
        <f t="shared" si="51"/>
        <v>0.376406657116268</v>
      </c>
      <c r="BI85" s="319">
        <f t="shared" si="52"/>
        <v>0.134048613182092</v>
      </c>
      <c r="BR85" s="209" t="s">
        <v>370</v>
      </c>
      <c r="BS85" s="130">
        <f>第十二期!AH14</f>
        <v>3102519</v>
      </c>
      <c r="BT85" s="130"/>
      <c r="BU85" s="130"/>
      <c r="BV85" s="130">
        <f t="shared" ref="BV85:BV90" si="53">BV84-BS85</f>
        <v>6105487.278125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>
        <v>0.0781</v>
      </c>
      <c r="E86" s="19">
        <v>0.0833</v>
      </c>
      <c r="F86" s="19">
        <v>0.0777</v>
      </c>
      <c r="G86" s="19">
        <v>0.0871</v>
      </c>
      <c r="H86" s="19">
        <v>0.0611</v>
      </c>
      <c r="I86" s="19">
        <v>0.047</v>
      </c>
      <c r="J86" s="19">
        <v>0.0544</v>
      </c>
      <c r="K86" s="19">
        <v>0.0583</v>
      </c>
      <c r="L86" s="19">
        <v>0.0175</v>
      </c>
      <c r="M86" s="19">
        <v>0.0172</v>
      </c>
      <c r="N86" s="19">
        <v>0.0146</v>
      </c>
      <c r="O86" s="19">
        <v>0.0401</v>
      </c>
      <c r="P86" s="19">
        <v>0.0434</v>
      </c>
      <c r="Q86" s="19">
        <v>0.0521</v>
      </c>
      <c r="R86" s="19">
        <v>0.0784</v>
      </c>
      <c r="S86" s="19">
        <v>0.0604</v>
      </c>
      <c r="T86" s="10"/>
      <c r="Y86" s="2">
        <f>AVERAGE(Y82:Y85)</f>
        <v>0.555376391456318</v>
      </c>
      <c r="Z86" s="2">
        <f>AVERAGE(Z82:Z85)</f>
        <v>2.84836677585132</v>
      </c>
      <c r="AA86" s="2">
        <f>AVERAGE(AA82:AA85)</f>
        <v>0.713985732054908</v>
      </c>
      <c r="AB86" s="2">
        <f>AVERAGE(AB82:AB85)</f>
        <v>0.794043524066823</v>
      </c>
      <c r="AE86" s="47" t="s">
        <v>55</v>
      </c>
      <c r="AF86" s="131">
        <f>第十二期!DS33</f>
        <v>3230</v>
      </c>
      <c r="AG86" s="131">
        <f>第十二期!DW33</f>
        <v>6750</v>
      </c>
      <c r="AH86" s="131">
        <f>第十二期!EA33</f>
        <v>10200</v>
      </c>
      <c r="AI86" s="131">
        <f>第十二期!EE33</f>
        <v>13100</v>
      </c>
      <c r="AJ86" s="64" t="s">
        <v>55</v>
      </c>
      <c r="AK86" s="108">
        <f t="shared" ref="AK86:AN89" si="54">AF76-AF86</f>
        <v>-30</v>
      </c>
      <c r="AL86" s="108">
        <f t="shared" si="54"/>
        <v>-400</v>
      </c>
      <c r="AM86" s="108">
        <f t="shared" si="54"/>
        <v>-150</v>
      </c>
      <c r="AN86" s="108">
        <f t="shared" si="54"/>
        <v>-50</v>
      </c>
      <c r="AR86" s="185">
        <v>5</v>
      </c>
      <c r="AS86" s="308">
        <f t="shared" si="51"/>
        <v>-0.15337245692515</v>
      </c>
      <c r="AT86" s="309">
        <f t="shared" si="51"/>
        <v>-0.00783580289449247</v>
      </c>
      <c r="AU86" s="309">
        <f t="shared" si="51"/>
        <v>0.227523236465015</v>
      </c>
      <c r="AV86" s="310">
        <f t="shared" si="51"/>
        <v>0.380100092255695</v>
      </c>
      <c r="AW86" s="308">
        <f t="shared" si="51"/>
        <v>0.604487124901636</v>
      </c>
      <c r="AX86" s="309">
        <f t="shared" si="51"/>
        <v>0.639438353041171</v>
      </c>
      <c r="AY86" s="309">
        <f t="shared" si="51"/>
        <v>1.47116470991474</v>
      </c>
      <c r="AZ86" s="310">
        <f t="shared" si="51"/>
        <v>0.600661529274008</v>
      </c>
      <c r="BA86" s="308">
        <f t="shared" si="51"/>
        <v>1.57791250203044</v>
      </c>
      <c r="BB86" s="309">
        <f t="shared" si="51"/>
        <v>1.51696854746253</v>
      </c>
      <c r="BC86" s="309">
        <f t="shared" si="51"/>
        <v>0.535071849725035</v>
      </c>
      <c r="BD86" s="310">
        <f t="shared" si="51"/>
        <v>0.707644126628785</v>
      </c>
      <c r="BE86" s="308">
        <f t="shared" si="51"/>
        <v>-0.284197846553779</v>
      </c>
      <c r="BF86" s="309">
        <f t="shared" si="51"/>
        <v>-0.204529386608363</v>
      </c>
      <c r="BG86" s="309">
        <f t="shared" si="51"/>
        <v>-0.248881677686239</v>
      </c>
      <c r="BH86" s="310">
        <f t="shared" si="51"/>
        <v>-0.190882833574894</v>
      </c>
      <c r="BI86" s="319">
        <f t="shared" si="52"/>
        <v>0.448204504216008</v>
      </c>
      <c r="BR86" s="209" t="s">
        <v>371</v>
      </c>
      <c r="BS86" s="130">
        <f>第十二期!AH14*比赛参数!D69/4</f>
        <v>69806.6775</v>
      </c>
      <c r="BT86" s="130"/>
      <c r="BU86" s="329">
        <f>BU82+BS86</f>
        <v>7682941.92783654</v>
      </c>
      <c r="BV86" s="130">
        <f t="shared" si="53"/>
        <v>6035680.600625</v>
      </c>
      <c r="BW86" s="126"/>
      <c r="CB86" s="196" t="s">
        <v>372</v>
      </c>
      <c r="CC86" s="108">
        <f>IF(SUM(AF64:AF67)&gt;0,SUM(CC81:CC84)/SUM(AF64:AF67),0)</f>
        <v>1965.00687270594</v>
      </c>
      <c r="CD86" s="108">
        <f>IF(SUM(AG64:AG67)&gt;0,SUM(CD81:CD84)/SUM(AG64:AG67),0)</f>
        <v>4115.6027141583</v>
      </c>
      <c r="CE86" s="108">
        <f>IF(SUM(AH64:AH67)&gt;0,SUM(CE81:CE84)/SUM(AH64:AH67),0)</f>
        <v>6424.9487605617</v>
      </c>
      <c r="CF86" s="108">
        <f>IF(SUM(AI64:AI67)&gt;0,SUM(CF81:CF84)/SUM(AI64:AI67),0)</f>
        <v>8306.7352859848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>
        <v>0.0151</v>
      </c>
      <c r="E87" s="19">
        <v>0.0228</v>
      </c>
      <c r="F87" s="19">
        <v>0.0264</v>
      </c>
      <c r="G87" s="19">
        <v>0.0223</v>
      </c>
      <c r="H87" s="19">
        <v>0.0266</v>
      </c>
      <c r="I87" s="19">
        <v>0.0264</v>
      </c>
      <c r="J87" s="19">
        <v>0.0248</v>
      </c>
      <c r="K87" s="19">
        <v>0.0236</v>
      </c>
      <c r="L87" s="19">
        <v>0.0366</v>
      </c>
      <c r="M87" s="19">
        <v>0.0328</v>
      </c>
      <c r="N87" s="19">
        <v>0.0277</v>
      </c>
      <c r="O87" s="19">
        <v>0.0272</v>
      </c>
      <c r="P87" s="19">
        <v>0.0401</v>
      </c>
      <c r="Q87" s="19">
        <v>0.0391</v>
      </c>
      <c r="R87" s="19">
        <v>0.031</v>
      </c>
      <c r="S87" s="19">
        <v>0.0403</v>
      </c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第十二期!DT33</f>
        <v>3230</v>
      </c>
      <c r="AG87" s="131">
        <f>第十二期!DX33</f>
        <v>6750</v>
      </c>
      <c r="AH87" s="131">
        <f>第十二期!EB33</f>
        <v>10200</v>
      </c>
      <c r="AI87" s="131">
        <f>第十二期!EF33</f>
        <v>13100</v>
      </c>
      <c r="AJ87" s="11" t="s">
        <v>56</v>
      </c>
      <c r="AK87" s="108">
        <f t="shared" si="54"/>
        <v>-30</v>
      </c>
      <c r="AL87" s="108">
        <f t="shared" si="54"/>
        <v>-400</v>
      </c>
      <c r="AM87" s="108">
        <f t="shared" si="54"/>
        <v>-150</v>
      </c>
      <c r="AN87" s="108">
        <f t="shared" si="54"/>
        <v>-50</v>
      </c>
      <c r="AR87" s="185">
        <v>6</v>
      </c>
      <c r="AS87" s="308">
        <f t="shared" si="51"/>
        <v>-1.57617229884436</v>
      </c>
      <c r="AT87" s="309">
        <f t="shared" si="51"/>
        <v>-1.46119067308721</v>
      </c>
      <c r="AU87" s="309">
        <f t="shared" si="51"/>
        <v>-1.63023720434285</v>
      </c>
      <c r="AV87" s="310">
        <f t="shared" si="51"/>
        <v>-1.61718808222785</v>
      </c>
      <c r="AW87" s="308">
        <f t="shared" si="51"/>
        <v>-2.35872669306856</v>
      </c>
      <c r="AX87" s="309">
        <f t="shared" si="51"/>
        <v>-1.87132425851432</v>
      </c>
      <c r="AY87" s="309">
        <f t="shared" si="51"/>
        <v>-1.97365317929289</v>
      </c>
      <c r="AZ87" s="310">
        <f t="shared" si="51"/>
        <v>-2.08511487478978</v>
      </c>
      <c r="BA87" s="308">
        <f t="shared" si="51"/>
        <v>-1.5949787749221</v>
      </c>
      <c r="BB87" s="309">
        <f t="shared" si="51"/>
        <v>-1.57390570473995</v>
      </c>
      <c r="BC87" s="309">
        <f t="shared" si="51"/>
        <v>-1.82740476324596</v>
      </c>
      <c r="BD87" s="310">
        <f t="shared" si="51"/>
        <v>-1.97315494204161</v>
      </c>
      <c r="BE87" s="308">
        <f t="shared" si="51"/>
        <v>-1.98363353889106</v>
      </c>
      <c r="BF87" s="309">
        <f t="shared" si="51"/>
        <v>-1.98532505564118</v>
      </c>
      <c r="BG87" s="309">
        <f t="shared" si="51"/>
        <v>-2.50157352617093</v>
      </c>
      <c r="BH87" s="310">
        <f t="shared" si="51"/>
        <v>-2.55216473072528</v>
      </c>
      <c r="BI87" s="319">
        <f t="shared" si="52"/>
        <v>-1.91035926878412</v>
      </c>
      <c r="BR87" s="209" t="s">
        <v>376</v>
      </c>
      <c r="BS87" s="130">
        <f>IF(第十二期!BW92&gt;0,IF((第十二期!K15+第十二期!BW92*比赛参数!D72)&gt;0,第十二期!K15+第十二期!BW92*比赛参数!D72,0))</f>
        <v>547279.941649039</v>
      </c>
      <c r="BT87" s="130"/>
      <c r="BU87" s="130"/>
      <c r="BV87" s="130">
        <f t="shared" si="53"/>
        <v>5488400.65897596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0.391025641025641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0.156459289235943</v>
      </c>
    </row>
    <row r="88" ht="18.75" customHeight="1" spans="2:99">
      <c r="B88" s="7"/>
      <c r="C88" s="25">
        <v>16</v>
      </c>
      <c r="D88" s="19">
        <v>0.0413</v>
      </c>
      <c r="E88" s="19">
        <v>0.0463</v>
      </c>
      <c r="F88" s="19">
        <v>0.0438</v>
      </c>
      <c r="G88" s="19">
        <v>0.0346</v>
      </c>
      <c r="H88" s="19">
        <v>0.0286</v>
      </c>
      <c r="I88" s="19">
        <v>0.0294</v>
      </c>
      <c r="J88" s="19">
        <v>0.044</v>
      </c>
      <c r="K88" s="19">
        <v>0.0378</v>
      </c>
      <c r="L88" s="19">
        <v>0.0349</v>
      </c>
      <c r="M88" s="19">
        <v>0.0362</v>
      </c>
      <c r="N88" s="19">
        <v>0.0569</v>
      </c>
      <c r="O88" s="19">
        <v>0.0458</v>
      </c>
      <c r="P88" s="19">
        <v>0.0718</v>
      </c>
      <c r="Q88" s="19">
        <v>0.07</v>
      </c>
      <c r="R88" s="19">
        <v>0.0392</v>
      </c>
      <c r="S88" s="19">
        <v>0.0453</v>
      </c>
      <c r="T88" s="10"/>
      <c r="X88" s="64" t="s">
        <v>55</v>
      </c>
      <c r="Y88" s="101">
        <v>109</v>
      </c>
      <c r="Z88" s="101">
        <v>98</v>
      </c>
      <c r="AA88" s="101">
        <v>38</v>
      </c>
      <c r="AB88" s="101">
        <v>40</v>
      </c>
      <c r="AC88" s="288" t="s">
        <v>377</v>
      </c>
      <c r="AE88" s="11" t="s">
        <v>57</v>
      </c>
      <c r="AF88" s="131">
        <f>第十二期!DU33</f>
        <v>3480</v>
      </c>
      <c r="AG88" s="131">
        <f>第十二期!DY33</f>
        <v>7000</v>
      </c>
      <c r="AH88" s="131">
        <f>第十二期!EC33</f>
        <v>10300</v>
      </c>
      <c r="AI88" s="131">
        <f>第十二期!EG33</f>
        <v>13500</v>
      </c>
      <c r="AJ88" s="11" t="s">
        <v>57</v>
      </c>
      <c r="AK88" s="108">
        <f t="shared" si="54"/>
        <v>-30</v>
      </c>
      <c r="AL88" s="108">
        <f t="shared" si="54"/>
        <v>-450</v>
      </c>
      <c r="AM88" s="108">
        <f t="shared" si="54"/>
        <v>-50</v>
      </c>
      <c r="AN88" s="108">
        <f t="shared" si="54"/>
        <v>-50</v>
      </c>
      <c r="AR88" s="185">
        <v>7</v>
      </c>
      <c r="AS88" s="308">
        <f t="shared" si="51"/>
        <v>-1.10444186997275</v>
      </c>
      <c r="AT88" s="309">
        <f t="shared" si="51"/>
        <v>-0.961378388459959</v>
      </c>
      <c r="AU88" s="309">
        <f t="shared" si="51"/>
        <v>-0.663886231948099</v>
      </c>
      <c r="AV88" s="310">
        <f t="shared" si="51"/>
        <v>-0.366853208770673</v>
      </c>
      <c r="AW88" s="308">
        <f t="shared" si="51"/>
        <v>0.115848235100196</v>
      </c>
      <c r="AX88" s="309">
        <f t="shared" si="51"/>
        <v>0.106702867681657</v>
      </c>
      <c r="AY88" s="309">
        <f t="shared" si="51"/>
        <v>-0.474276513696531</v>
      </c>
      <c r="AZ88" s="310">
        <f t="shared" si="51"/>
        <v>-0.179718930313847</v>
      </c>
      <c r="BA88" s="308">
        <f t="shared" si="51"/>
        <v>0.044499907820327</v>
      </c>
      <c r="BB88" s="309">
        <f t="shared" si="51"/>
        <v>0.0240762836487349</v>
      </c>
      <c r="BC88" s="309">
        <f t="shared" si="51"/>
        <v>1.28459786690401</v>
      </c>
      <c r="BD88" s="310">
        <f t="shared" si="51"/>
        <v>0.977598718159231</v>
      </c>
      <c r="BE88" s="308">
        <f t="shared" si="51"/>
        <v>2.23292641615422</v>
      </c>
      <c r="BF88" s="309">
        <f t="shared" si="51"/>
        <v>2.13087849290713</v>
      </c>
      <c r="BG88" s="309">
        <f t="shared" si="51"/>
        <v>0.839444130969868</v>
      </c>
      <c r="BH88" s="310">
        <f t="shared" si="51"/>
        <v>0.943696147807429</v>
      </c>
      <c r="BI88" s="319">
        <f t="shared" si="52"/>
        <v>0.309357120249434</v>
      </c>
      <c r="BR88" s="209" t="s">
        <v>282</v>
      </c>
      <c r="BS88" s="130">
        <f>第十二期!AF18*比赛参数!D30</f>
        <v>2320000</v>
      </c>
      <c r="BT88" s="130"/>
      <c r="BU88" s="130"/>
      <c r="BV88" s="130">
        <f t="shared" si="53"/>
        <v>3168400.65897596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0.608974358974359</v>
      </c>
      <c r="CR88" s="65" t="e">
        <f>CR81/$CR$84</f>
        <v>#DIV/0!</v>
      </c>
      <c r="CS88" s="65">
        <f>CS81/$CS$84</f>
        <v>0.318982108489557</v>
      </c>
      <c r="CT88" s="65">
        <f>CT81/$CT$84</f>
        <v>0</v>
      </c>
      <c r="CU88" s="65">
        <f>CU81/$CU$84</f>
        <v>0.37119895123828</v>
      </c>
    </row>
    <row r="89" ht="18.75" customHeight="1" spans="2:99">
      <c r="B89" s="7"/>
      <c r="C89" s="25">
        <v>17</v>
      </c>
      <c r="D89" s="19">
        <v>0.0919</v>
      </c>
      <c r="E89" s="19">
        <v>0.0994</v>
      </c>
      <c r="F89" s="19">
        <v>0.1102</v>
      </c>
      <c r="G89" s="19">
        <v>0.0668</v>
      </c>
      <c r="H89" s="19">
        <v>0.0572</v>
      </c>
      <c r="I89" s="19">
        <v>0.0519</v>
      </c>
      <c r="J89" s="19">
        <v>0.0616</v>
      </c>
      <c r="K89" s="19">
        <v>0.0599</v>
      </c>
      <c r="L89" s="19">
        <v>0.0349</v>
      </c>
      <c r="M89" s="19">
        <v>0.0345</v>
      </c>
      <c r="N89" s="19">
        <v>0.0423</v>
      </c>
      <c r="O89" s="19">
        <v>0.0386</v>
      </c>
      <c r="P89" s="19">
        <v>0.0351</v>
      </c>
      <c r="Q89" s="19">
        <v>0.0342</v>
      </c>
      <c r="R89" s="19">
        <v>0.0523</v>
      </c>
      <c r="S89" s="19">
        <v>0.052</v>
      </c>
      <c r="T89" s="10"/>
      <c r="X89" s="11" t="s">
        <v>56</v>
      </c>
      <c r="Y89" s="101">
        <v>109</v>
      </c>
      <c r="Z89" s="101">
        <v>98</v>
      </c>
      <c r="AA89" s="101">
        <v>37</v>
      </c>
      <c r="AB89" s="101">
        <v>40</v>
      </c>
      <c r="AC89" s="288" t="s">
        <v>378</v>
      </c>
      <c r="AE89" s="11" t="s">
        <v>58</v>
      </c>
      <c r="AF89" s="131">
        <f>第十二期!DV33</f>
        <v>3580</v>
      </c>
      <c r="AG89" s="131">
        <f>第十二期!DZ33</f>
        <v>7100</v>
      </c>
      <c r="AH89" s="131">
        <f>第十二期!ED33</f>
        <v>10500</v>
      </c>
      <c r="AI89" s="131">
        <f>第十二期!EH33</f>
        <v>13650</v>
      </c>
      <c r="AJ89" s="11" t="s">
        <v>58</v>
      </c>
      <c r="AK89" s="108">
        <f t="shared" si="54"/>
        <v>-30</v>
      </c>
      <c r="AL89" s="108">
        <f t="shared" si="54"/>
        <v>-450</v>
      </c>
      <c r="AM89" s="108">
        <f t="shared" si="54"/>
        <v>-150</v>
      </c>
      <c r="AN89" s="108">
        <f t="shared" si="54"/>
        <v>-50</v>
      </c>
      <c r="AR89" s="185">
        <v>8</v>
      </c>
      <c r="AS89" s="308">
        <f t="shared" si="51"/>
        <v>-1.37834986093046</v>
      </c>
      <c r="AT89" s="309">
        <f t="shared" si="51"/>
        <v>-1.31939995404402</v>
      </c>
      <c r="AU89" s="309">
        <f t="shared" si="51"/>
        <v>-0.849267847060561</v>
      </c>
      <c r="AV89" s="310">
        <f t="shared" si="51"/>
        <v>-1.71461677366608</v>
      </c>
      <c r="AW89" s="308">
        <f t="shared" si="51"/>
        <v>-0.103815119030726</v>
      </c>
      <c r="AX89" s="309">
        <f t="shared" si="51"/>
        <v>-0.184328554875856</v>
      </c>
      <c r="AY89" s="309">
        <f t="shared" si="51"/>
        <v>-0.714176780191948</v>
      </c>
      <c r="AZ89" s="310">
        <f t="shared" si="51"/>
        <v>-0.773917249796986</v>
      </c>
      <c r="BA89" s="308">
        <f t="shared" si="51"/>
        <v>1.10213033347117</v>
      </c>
      <c r="BB89" s="309">
        <f t="shared" si="51"/>
        <v>1.14606363719824</v>
      </c>
      <c r="BC89" s="309">
        <f t="shared" si="51"/>
        <v>1.98268582408052</v>
      </c>
      <c r="BD89" s="310">
        <f t="shared" si="51"/>
        <v>1.83620429399912</v>
      </c>
      <c r="BE89" s="308">
        <f t="shared" si="51"/>
        <v>0.657839676914783</v>
      </c>
      <c r="BF89" s="309">
        <f t="shared" si="51"/>
        <v>0.595319515584341</v>
      </c>
      <c r="BG89" s="309">
        <f t="shared" si="51"/>
        <v>1.53806375486702</v>
      </c>
      <c r="BH89" s="310">
        <f t="shared" si="51"/>
        <v>1.67583899476782</v>
      </c>
      <c r="BI89" s="319">
        <f t="shared" si="52"/>
        <v>0.218517118205398</v>
      </c>
      <c r="BR89" s="209" t="s">
        <v>238</v>
      </c>
      <c r="BS89" s="130">
        <f>第十二期!AJ18</f>
        <v>0</v>
      </c>
      <c r="BT89" s="130"/>
      <c r="BU89" s="130"/>
      <c r="BV89" s="130">
        <f t="shared" si="53"/>
        <v>3168400.65897596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</v>
      </c>
      <c r="CR89" s="65" t="e">
        <f>CR82/$CR$84</f>
        <v>#DIV/0!</v>
      </c>
      <c r="CS89" s="65">
        <f>CS82/$CS$84</f>
        <v>0.284410863211918</v>
      </c>
      <c r="CT89" s="65">
        <f>CT82/$CT$84</f>
        <v>0.422222222222222</v>
      </c>
      <c r="CU89" s="65">
        <f>CU82/$CU$84</f>
        <v>0.198181766365528</v>
      </c>
    </row>
    <row r="90" ht="18.75" customHeight="1" spans="2:99">
      <c r="B90" s="7"/>
      <c r="C90" s="25">
        <v>18</v>
      </c>
      <c r="D90" s="19">
        <v>0.1076</v>
      </c>
      <c r="E90" s="19">
        <v>0.1101</v>
      </c>
      <c r="F90" s="19">
        <v>0.0834</v>
      </c>
      <c r="G90" s="19">
        <v>0.0876</v>
      </c>
      <c r="H90" s="19">
        <v>0.071</v>
      </c>
      <c r="I90" s="19">
        <v>0.0753</v>
      </c>
      <c r="J90" s="19">
        <v>0.0576</v>
      </c>
      <c r="K90" s="19">
        <v>0.0599</v>
      </c>
      <c r="L90" s="19">
        <v>0.0297</v>
      </c>
      <c r="M90" s="19">
        <v>0.031</v>
      </c>
      <c r="N90" s="19">
        <v>0.0204</v>
      </c>
      <c r="O90" s="19">
        <v>0.02</v>
      </c>
      <c r="P90" s="19">
        <v>0.0835</v>
      </c>
      <c r="Q90" s="19">
        <v>0.0945</v>
      </c>
      <c r="R90" s="19">
        <v>0.0719</v>
      </c>
      <c r="S90" s="19">
        <v>0.0872</v>
      </c>
      <c r="T90" s="10"/>
      <c r="X90" s="11" t="s">
        <v>57</v>
      </c>
      <c r="Y90" s="101">
        <v>149</v>
      </c>
      <c r="Z90" s="101">
        <v>146</v>
      </c>
      <c r="AA90" s="101">
        <v>49</v>
      </c>
      <c r="AB90" s="101">
        <v>49</v>
      </c>
      <c r="AC90" s="288" t="s">
        <v>379</v>
      </c>
      <c r="AF90" s="48">
        <f>SUMPRODUCT(AF64:AF67,AF76:AF79)/SUM(AF64:AF67)</f>
        <v>3374.79423868313</v>
      </c>
      <c r="AG90" s="48">
        <f>SUMPRODUCT(AG64:AG67,AG76:AG79)/SUM(AG64:AG67)</f>
        <v>6496.73913043478</v>
      </c>
      <c r="AH90" s="48">
        <f>SUMPRODUCT(AH64:AH67,AH76:AH79)/SUM(AH64:AH67)</f>
        <v>10191.7112299465</v>
      </c>
      <c r="AI90" s="48">
        <f>SUMPRODUCT(AI64:AI67,AI76:AI79)/SUM(AI64:AI67)</f>
        <v>13312.6470588235</v>
      </c>
      <c r="AR90" s="185">
        <v>9</v>
      </c>
      <c r="AS90" s="308">
        <f t="shared" si="51"/>
        <v>1.19334183195025</v>
      </c>
      <c r="AT90" s="309">
        <f t="shared" si="51"/>
        <v>1.18320623706832</v>
      </c>
      <c r="AU90" s="309">
        <f t="shared" si="51"/>
        <v>1.11893270487813</v>
      </c>
      <c r="AV90" s="310">
        <f t="shared" si="51"/>
        <v>1.09051763399273</v>
      </c>
      <c r="AW90" s="308">
        <f t="shared" si="51"/>
        <v>2.28110129724786</v>
      </c>
      <c r="AX90" s="309">
        <f t="shared" si="51"/>
        <v>2.37576141643514</v>
      </c>
      <c r="AY90" s="309">
        <f t="shared" si="51"/>
        <v>2.40077824258448</v>
      </c>
      <c r="AZ90" s="310">
        <f t="shared" si="51"/>
        <v>2.72393019089375</v>
      </c>
      <c r="BA90" s="308">
        <f t="shared" si="51"/>
        <v>-0.694932252233559</v>
      </c>
      <c r="BB90" s="309">
        <f t="shared" si="51"/>
        <v>-0.668279548844621</v>
      </c>
      <c r="BC90" s="309">
        <f t="shared" si="51"/>
        <v>-1.18442901321498</v>
      </c>
      <c r="BD90" s="310">
        <f t="shared" si="51"/>
        <v>-1.27577224725463</v>
      </c>
      <c r="BE90" s="308">
        <f t="shared" si="51"/>
        <v>-0.0317317902642042</v>
      </c>
      <c r="BF90" s="309">
        <f t="shared" si="51"/>
        <v>-0.0800246046632723</v>
      </c>
      <c r="BG90" s="309">
        <f t="shared" si="51"/>
        <v>-0.248881677686239</v>
      </c>
      <c r="BH90" s="310">
        <f t="shared" si="51"/>
        <v>-0.680594274257007</v>
      </c>
      <c r="BI90" s="319">
        <f t="shared" si="52"/>
        <v>0.59393275916451</v>
      </c>
      <c r="BR90" s="209" t="s">
        <v>251</v>
      </c>
      <c r="BS90" s="130">
        <f>第十二期!AF20</f>
        <v>0</v>
      </c>
      <c r="BT90" s="130"/>
      <c r="BU90" s="130"/>
      <c r="BV90" s="329">
        <f t="shared" si="53"/>
        <v>3168400.65897596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0.396607028298525</v>
      </c>
      <c r="CT90" s="65">
        <f>CT83/$CT$84</f>
        <v>0.577777777777778</v>
      </c>
      <c r="CU90" s="65">
        <f>CU83/$CU$84</f>
        <v>0.27415999316025</v>
      </c>
    </row>
    <row r="91" ht="18.75" customHeight="1" spans="2:99">
      <c r="B91" s="7"/>
      <c r="C91" s="25">
        <v>19</v>
      </c>
      <c r="D91" s="19">
        <v>0.0525</v>
      </c>
      <c r="E91" s="19">
        <v>0.0289</v>
      </c>
      <c r="F91" s="19">
        <v>0.0155</v>
      </c>
      <c r="G91" s="19">
        <v>0.0156</v>
      </c>
      <c r="H91" s="19">
        <v>0.0286</v>
      </c>
      <c r="I91" s="19">
        <v>0.0323</v>
      </c>
      <c r="J91" s="19">
        <v>0.036</v>
      </c>
      <c r="K91" s="19">
        <v>0.0378</v>
      </c>
      <c r="L91" s="19">
        <v>0.0175</v>
      </c>
      <c r="M91" s="19">
        <v>0.0241</v>
      </c>
      <c r="N91" s="19">
        <v>0.0277</v>
      </c>
      <c r="O91" s="19">
        <v>0.0272</v>
      </c>
      <c r="P91" s="19">
        <v>0.0317</v>
      </c>
      <c r="Q91" s="19">
        <v>0.0309</v>
      </c>
      <c r="R91" s="19">
        <v>0.031</v>
      </c>
      <c r="S91" s="19">
        <v>0.0319</v>
      </c>
      <c r="T91" s="10"/>
      <c r="X91" s="11" t="s">
        <v>58</v>
      </c>
      <c r="Y91" s="101">
        <v>149</v>
      </c>
      <c r="Z91" s="101">
        <v>146</v>
      </c>
      <c r="AA91" s="101">
        <v>49</v>
      </c>
      <c r="AB91" s="101">
        <v>49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>
        <f t="shared" si="51"/>
        <v>0.443899134468744</v>
      </c>
      <c r="AT91" s="309">
        <f t="shared" si="51"/>
        <v>0.608953824943393</v>
      </c>
      <c r="AU91" s="309">
        <f t="shared" si="51"/>
        <v>0.302464740446648</v>
      </c>
      <c r="AV91" s="310">
        <f t="shared" si="51"/>
        <v>0.420695380354954</v>
      </c>
      <c r="AW91" s="308">
        <f t="shared" si="51"/>
        <v>0.425170101121291</v>
      </c>
      <c r="AX91" s="309">
        <f t="shared" si="51"/>
        <v>0.54078363353015</v>
      </c>
      <c r="AY91" s="309">
        <f t="shared" si="51"/>
        <v>0.0654990859181564</v>
      </c>
      <c r="AZ91" s="310">
        <f t="shared" si="51"/>
        <v>0.38278881213019</v>
      </c>
      <c r="BA91" s="308">
        <f t="shared" si="51"/>
        <v>0.0960177222503109</v>
      </c>
      <c r="BB91" s="309">
        <f t="shared" si="51"/>
        <v>0.184801744763264</v>
      </c>
      <c r="BC91" s="309">
        <f t="shared" si="51"/>
        <v>1.07149733260803</v>
      </c>
      <c r="BD91" s="310">
        <f t="shared" si="51"/>
        <v>0.925107547583866</v>
      </c>
      <c r="BE91" s="308">
        <f t="shared" si="51"/>
        <v>-0.348256398149641</v>
      </c>
      <c r="BF91" s="309">
        <f t="shared" si="51"/>
        <v>-0.389400123435923</v>
      </c>
      <c r="BG91" s="309">
        <f t="shared" si="51"/>
        <v>0.373697715038434</v>
      </c>
      <c r="BH91" s="310">
        <f t="shared" si="51"/>
        <v>0.783691419663768</v>
      </c>
      <c r="BI91" s="319">
        <f t="shared" si="52"/>
        <v>0.367963229577227</v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516</v>
      </c>
      <c r="Z92" s="76">
        <f>SUM(Z88:Z91)</f>
        <v>488</v>
      </c>
      <c r="AA92" s="76">
        <f>SUM(AA88:AA91)</f>
        <v>173</v>
      </c>
      <c r="AB92" s="289">
        <f>SUM(AB88:AB91)</f>
        <v>178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26.7689999999998</v>
      </c>
      <c r="AL92" s="304">
        <f t="shared" si="55"/>
        <v>223.2307</v>
      </c>
      <c r="AM92" s="304">
        <f t="shared" si="55"/>
        <v>620.947899999999</v>
      </c>
      <c r="AN92" s="304">
        <f t="shared" si="55"/>
        <v>648.153400000001</v>
      </c>
      <c r="AR92" s="185">
        <v>11</v>
      </c>
      <c r="AS92" s="308">
        <f t="shared" si="51"/>
        <v>0.192816809424177</v>
      </c>
      <c r="AT92" s="309">
        <f t="shared" si="51"/>
        <v>0.229663651502854</v>
      </c>
      <c r="AU92" s="309">
        <f t="shared" si="51"/>
        <v>0.322186188862867</v>
      </c>
      <c r="AV92" s="310">
        <f t="shared" si="51"/>
        <v>0.363861977015991</v>
      </c>
      <c r="AW92" s="308">
        <f t="shared" si="51"/>
        <v>0.0710189791551103</v>
      </c>
      <c r="AX92" s="309">
        <f t="shared" si="51"/>
        <v>0.106702867681657</v>
      </c>
      <c r="AY92" s="309">
        <f t="shared" si="51"/>
        <v>0.781451443740416</v>
      </c>
      <c r="AZ92" s="310">
        <f t="shared" si="51"/>
        <v>0.691771938261422</v>
      </c>
      <c r="BA92" s="308">
        <f t="shared" si="51"/>
        <v>-0.643414437803576</v>
      </c>
      <c r="BB92" s="309">
        <f t="shared" si="51"/>
        <v>-0.612643812304976</v>
      </c>
      <c r="BC92" s="309">
        <f t="shared" si="51"/>
        <v>0.105196633990033</v>
      </c>
      <c r="BD92" s="310">
        <f t="shared" si="51"/>
        <v>-0.31218433026401</v>
      </c>
      <c r="BE92" s="308">
        <f t="shared" si="51"/>
        <v>-0.159848893455929</v>
      </c>
      <c r="BF92" s="309">
        <f t="shared" si="51"/>
        <v>-0.204529386608363</v>
      </c>
      <c r="BG92" s="309">
        <f t="shared" si="51"/>
        <v>1.14835757010806</v>
      </c>
      <c r="BH92" s="310">
        <f t="shared" si="51"/>
        <v>0.866118097798381</v>
      </c>
      <c r="BI92" s="319">
        <f t="shared" si="52"/>
        <v>0.184157831069007</v>
      </c>
      <c r="BR92" s="330" t="s">
        <v>322</v>
      </c>
      <c r="BS92" s="130">
        <f>第十二期!BT84</f>
        <v>9507208.4</v>
      </c>
      <c r="BT92" s="330" t="s">
        <v>178</v>
      </c>
      <c r="BU92" s="130">
        <f>第十二期!BU86</f>
        <v>7682941.92783654</v>
      </c>
      <c r="BV92" s="332" t="s">
        <v>100</v>
      </c>
      <c r="BW92" s="333">
        <f>第十二期!BT84-第十二期!BU86</f>
        <v>1824266.47216346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AC9*比赛参数!D6+第十二期!DU26</f>
        <v>519.75</v>
      </c>
      <c r="Z93" s="37">
        <f>AC10*比赛参数!D6+第十二期!DU27</f>
        <v>488.75</v>
      </c>
      <c r="AA93" s="37">
        <f>AC11*比赛参数!D6+第十二期!DU28</f>
        <v>173.25</v>
      </c>
      <c r="AB93" s="37">
        <f>AC12*比赛参数!D6+第十二期!DU29</f>
        <v>178.75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12.8627999999999</v>
      </c>
      <c r="AL93" s="304">
        <f t="shared" si="55"/>
        <v>207.447499999999</v>
      </c>
      <c r="AM93" s="304">
        <f t="shared" si="55"/>
        <v>600.304099999999</v>
      </c>
      <c r="AN93" s="304">
        <f t="shared" si="55"/>
        <v>716.5828</v>
      </c>
      <c r="AR93" s="185">
        <v>12</v>
      </c>
      <c r="AS93" s="308">
        <f t="shared" si="51"/>
        <v>-0.453910391448192</v>
      </c>
      <c r="AT93" s="309">
        <f t="shared" si="51"/>
        <v>-1.07835573167059</v>
      </c>
      <c r="AU93" s="309">
        <f t="shared" si="51"/>
        <v>-0.86898929547678</v>
      </c>
      <c r="AV93" s="310">
        <f t="shared" si="51"/>
        <v>-0.541412947597487</v>
      </c>
      <c r="AW93" s="308">
        <f t="shared" si="51"/>
        <v>-0.238302886865984</v>
      </c>
      <c r="AX93" s="309">
        <f t="shared" si="51"/>
        <v>-0.376705257922347</v>
      </c>
      <c r="AY93" s="309">
        <f t="shared" si="51"/>
        <v>-0.144413647265333</v>
      </c>
      <c r="AZ93" s="310">
        <f t="shared" si="51"/>
        <v>0.101534940908171</v>
      </c>
      <c r="BA93" s="308">
        <f t="shared" si="51"/>
        <v>0.944546430508869</v>
      </c>
      <c r="BB93" s="309">
        <f t="shared" si="51"/>
        <v>0.824612714969177</v>
      </c>
      <c r="BC93" s="309">
        <f t="shared" si="51"/>
        <v>0.641622116873028</v>
      </c>
      <c r="BD93" s="310">
        <f t="shared" si="51"/>
        <v>0.65515295605342</v>
      </c>
      <c r="BE93" s="308">
        <f t="shared" si="51"/>
        <v>-0.472605351247491</v>
      </c>
      <c r="BF93" s="309">
        <f t="shared" si="51"/>
        <v>-0.510132033200859</v>
      </c>
      <c r="BG93" s="309">
        <f t="shared" si="51"/>
        <v>-1.18037450954911</v>
      </c>
      <c r="BH93" s="310">
        <f t="shared" si="51"/>
        <v>-1.41273712121739</v>
      </c>
      <c r="BI93" s="319">
        <f t="shared" si="52"/>
        <v>-0.256904375884306</v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IF(第十二期!$AC$9&gt;0,第十二期!$K$9*比赛参数!$D$30*比赛参数!$F$30*$CU$87/第十二期!$AC$9,0)</f>
        <v>307.788765710052</v>
      </c>
      <c r="CR93" s="65">
        <f>IF(第十二期!$AC$9&gt;0,第十二期!$K$9*比赛参数!$D$30*比赛参数!$F$30*$CU$87/第十二期!$AC$9,0)</f>
        <v>307.788765710052</v>
      </c>
      <c r="CS93" s="65">
        <f>IF(第十二期!$AC$9&gt;0,第十二期!$K$9*比赛参数!$D$30*比赛参数!$F$30*$CU$87/第十二期!$AC$9,0)</f>
        <v>307.788765710052</v>
      </c>
      <c r="CT93" s="65">
        <f>IF(第十二期!$AC$9&gt;0,第十二期!$K$9*比赛参数!$D$30*比赛参数!$F$30*$CU$87/第十二期!$AC$9,0)</f>
        <v>307.788765710052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55.9408000000003</v>
      </c>
      <c r="AL94" s="304">
        <f t="shared" si="55"/>
        <v>83.5727999999999</v>
      </c>
      <c r="AM94" s="304">
        <f t="shared" si="55"/>
        <v>311.963499999998</v>
      </c>
      <c r="AN94" s="304">
        <f t="shared" si="55"/>
        <v>151.061000000003</v>
      </c>
      <c r="AR94" s="185">
        <v>13</v>
      </c>
      <c r="AS94" s="308">
        <f t="shared" si="51"/>
        <v>0.542810353425695</v>
      </c>
      <c r="AT94" s="309">
        <f t="shared" si="51"/>
        <v>0.467163105900201</v>
      </c>
      <c r="AU94" s="309">
        <f t="shared" si="51"/>
        <v>0.48784635555911</v>
      </c>
      <c r="AV94" s="310">
        <f t="shared" si="51"/>
        <v>0.611493234421472</v>
      </c>
      <c r="AW94" s="308">
        <f t="shared" si="51"/>
        <v>1.66245756520567</v>
      </c>
      <c r="AX94" s="309">
        <f t="shared" si="51"/>
        <v>1.79369857132012</v>
      </c>
      <c r="AY94" s="309">
        <f t="shared" si="51"/>
        <v>1.80102757634594</v>
      </c>
      <c r="AZ94" s="310">
        <f t="shared" si="51"/>
        <v>1.63060528304478</v>
      </c>
      <c r="BA94" s="308">
        <f t="shared" si="51"/>
        <v>0.0960177222503109</v>
      </c>
      <c r="BB94" s="309">
        <f t="shared" si="51"/>
        <v>-0.0810134409261495</v>
      </c>
      <c r="BC94" s="309">
        <f t="shared" si="51"/>
        <v>0.641622116873028</v>
      </c>
      <c r="BD94" s="310">
        <f t="shared" si="51"/>
        <v>0.54642124557588</v>
      </c>
      <c r="BE94" s="308">
        <f t="shared" si="51"/>
        <v>-0.348256398149641</v>
      </c>
      <c r="BF94" s="309">
        <f t="shared" si="51"/>
        <v>-0.389400123435923</v>
      </c>
      <c r="BG94" s="309">
        <f t="shared" si="51"/>
        <v>-0.248881677686239</v>
      </c>
      <c r="BH94" s="310">
        <f t="shared" si="51"/>
        <v>-0.190882833574894</v>
      </c>
      <c r="BI94" s="319">
        <f t="shared" si="52"/>
        <v>0.563920541009335</v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IF(第十二期!$AC$10&gt;0,第十二期!$K$9*比赛参数!$D$30*比赛参数!$F$30*$CU$88/第十二期!$AC$10,0)</f>
        <v>769.471914275129</v>
      </c>
      <c r="CR94" s="65">
        <f>IF(第十二期!$AC$10&gt;0,第十二期!$K$9*比赛参数!$D$30*比赛参数!$F$30*$CU$88/第十二期!$AC$10,0)</f>
        <v>769.471914275129</v>
      </c>
      <c r="CS94" s="65">
        <f>IF(第十二期!$AC$10&gt;0,第十二期!$K$9*比赛参数!$D$30*比赛参数!$F$30*$CU$88/第十二期!$AC$10,0)</f>
        <v>769.471914275129</v>
      </c>
      <c r="CT94" s="65">
        <f>IF(第十二期!$AC$10&gt;0,第十二期!$K$9*比赛参数!$D$30*比赛参数!$F$30*$CU$88/第十二期!$AC$10,0)</f>
        <v>769.471914275129</v>
      </c>
      <c r="CU94" s="48"/>
    </row>
    <row r="95" ht="18.75" customHeight="1" spans="2:99">
      <c r="B95" s="7"/>
      <c r="C95" s="25" t="s">
        <v>411</v>
      </c>
      <c r="D95" s="14">
        <v>6429924.5</v>
      </c>
      <c r="E95" s="14">
        <v>5443895.24</v>
      </c>
      <c r="F95" s="14">
        <v>986029.26</v>
      </c>
      <c r="G95" s="14">
        <v>345240.2</v>
      </c>
      <c r="H95" s="9">
        <v>0</v>
      </c>
      <c r="I95" s="14">
        <v>2230771.73</v>
      </c>
      <c r="J95" s="14">
        <v>15720707.2</v>
      </c>
      <c r="K95" s="9">
        <v>0.203</v>
      </c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101.0032</v>
      </c>
      <c r="AL95" s="304">
        <f t="shared" si="55"/>
        <v>125.1578</v>
      </c>
      <c r="AM95" s="304">
        <f t="shared" si="55"/>
        <v>524.532700000003</v>
      </c>
      <c r="AN95" s="304">
        <f t="shared" si="55"/>
        <v>223.5972</v>
      </c>
      <c r="AR95" s="185">
        <v>14</v>
      </c>
      <c r="AS95" s="308">
        <f t="shared" si="51"/>
        <v>0.96888945047102</v>
      </c>
      <c r="AT95" s="309">
        <f t="shared" si="51"/>
        <v>1.08749750171417</v>
      </c>
      <c r="AU95" s="309">
        <f t="shared" si="51"/>
        <v>0.988771145331081</v>
      </c>
      <c r="AV95" s="310">
        <f t="shared" si="51"/>
        <v>1.3990418235471</v>
      </c>
      <c r="AW95" s="308">
        <f t="shared" si="51"/>
        <v>0.380340845176205</v>
      </c>
      <c r="AX95" s="309">
        <f t="shared" si="51"/>
        <v>-0.278050538411326</v>
      </c>
      <c r="AY95" s="309">
        <f t="shared" si="51"/>
        <v>0.0654990859181564</v>
      </c>
      <c r="AZ95" s="310">
        <f t="shared" si="51"/>
        <v>0.224335926934687</v>
      </c>
      <c r="BA95" s="308">
        <f t="shared" si="51"/>
        <v>-1.0646483322605</v>
      </c>
      <c r="BB95" s="309">
        <f t="shared" si="51"/>
        <v>-1.09482019564856</v>
      </c>
      <c r="BC95" s="309">
        <f t="shared" si="51"/>
        <v>-1.39752954751096</v>
      </c>
      <c r="BD95" s="310">
        <f t="shared" si="51"/>
        <v>-0.469657841990103</v>
      </c>
      <c r="BE95" s="308">
        <f t="shared" si="51"/>
        <v>-0.348256398149641</v>
      </c>
      <c r="BF95" s="309">
        <f t="shared" si="51"/>
        <v>-0.0196586497808042</v>
      </c>
      <c r="BG95" s="309">
        <f t="shared" si="51"/>
        <v>1.22439780128054</v>
      </c>
      <c r="BH95" s="310">
        <f t="shared" si="51"/>
        <v>0.376406657116268</v>
      </c>
      <c r="BI95" s="319">
        <f t="shared" si="52"/>
        <v>0.127659920858583</v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IF(第十二期!$AC$11&gt;0,第十二期!$K$9*比赛参数!$D$30*比赛参数!$F$30*$CU$89/第十二期!$AC$11,0)</f>
        <v>1169.5973096982</v>
      </c>
      <c r="CR95" s="65">
        <f>IF(第十二期!$AC$11&gt;0,第十二期!$K$9*比赛参数!$D$30*比赛参数!$F$30*$CU$89/第十二期!$AC$11,0)</f>
        <v>1169.5973096982</v>
      </c>
      <c r="CS95" s="65">
        <f>IF(第十二期!$AC$11&gt;0,第十二期!$K$9*比赛参数!$D$30*比赛参数!$F$30*$CU$89/第十二期!$AC$11,0)</f>
        <v>1169.5973096982</v>
      </c>
      <c r="CT95" s="65">
        <f>IF(第十二期!$AC$11&gt;0,第十二期!$K$9*比赛参数!$D$30*比赛参数!$F$30*$CU$89/第十二期!$AC$11,0)</f>
        <v>1169.5973096982</v>
      </c>
      <c r="CU95" s="48"/>
    </row>
    <row r="96" ht="18.75" customHeight="1" spans="2:99">
      <c r="B96" s="7"/>
      <c r="C96" s="25" t="s">
        <v>412</v>
      </c>
      <c r="D96" s="14">
        <v>7221619</v>
      </c>
      <c r="E96" s="14">
        <v>6483164.05</v>
      </c>
      <c r="F96" s="14">
        <v>738454.95</v>
      </c>
      <c r="G96" s="14">
        <v>95833.49</v>
      </c>
      <c r="H96" s="9">
        <v>0</v>
      </c>
      <c r="I96" s="14">
        <v>3979377.93</v>
      </c>
      <c r="J96" s="14">
        <v>14976069.32</v>
      </c>
      <c r="K96" s="9">
        <v>-0.181</v>
      </c>
      <c r="L96" s="10"/>
      <c r="X96" s="64" t="s">
        <v>55</v>
      </c>
      <c r="Y96" s="94">
        <f>第十二期!CX62</f>
        <v>13.0921123428995</v>
      </c>
      <c r="Z96" s="94">
        <f>第十二期!CX63</f>
        <v>9.24182827380159</v>
      </c>
      <c r="AA96" s="94">
        <f>第十二期!CX64</f>
        <v>9.72426937482355</v>
      </c>
      <c r="AB96" s="94">
        <f>第十二期!CX65</f>
        <v>9.30797512876227</v>
      </c>
      <c r="AC96" s="48"/>
      <c r="AR96" s="185">
        <v>15</v>
      </c>
      <c r="AS96" s="308">
        <f t="shared" si="51"/>
        <v>-1.42780547040894</v>
      </c>
      <c r="AT96" s="309">
        <f t="shared" si="51"/>
        <v>-1.05708712381411</v>
      </c>
      <c r="AU96" s="309">
        <f t="shared" si="51"/>
        <v>-1.03464946217302</v>
      </c>
      <c r="AV96" s="310">
        <f t="shared" si="51"/>
        <v>-1.23153284528489</v>
      </c>
      <c r="AW96" s="308">
        <f t="shared" si="51"/>
        <v>-1.16626848492927</v>
      </c>
      <c r="AX96" s="309">
        <f t="shared" si="51"/>
        <v>-1.29419414937484</v>
      </c>
      <c r="AY96" s="309">
        <f t="shared" si="51"/>
        <v>-1.04403964662315</v>
      </c>
      <c r="AZ96" s="310">
        <f t="shared" si="51"/>
        <v>-1.15024285213631</v>
      </c>
      <c r="BA96" s="308">
        <f t="shared" si="51"/>
        <v>-0.485830534841272</v>
      </c>
      <c r="BB96" s="309">
        <f t="shared" si="51"/>
        <v>-0.612643812304976</v>
      </c>
      <c r="BC96" s="309">
        <f t="shared" si="51"/>
        <v>-0.916216271773479</v>
      </c>
      <c r="BD96" s="310">
        <f t="shared" si="51"/>
        <v>-0.953326485148818</v>
      </c>
      <c r="BE96" s="308">
        <f t="shared" si="51"/>
        <v>-0.472605351247491</v>
      </c>
      <c r="BF96" s="309">
        <f t="shared" si="51"/>
        <v>-0.510132033200859</v>
      </c>
      <c r="BG96" s="309">
        <f t="shared" si="51"/>
        <v>-1.02829404720415</v>
      </c>
      <c r="BH96" s="310">
        <f t="shared" si="51"/>
        <v>-0.598167596122394</v>
      </c>
      <c r="BI96" s="319">
        <f t="shared" si="52"/>
        <v>-0.936439760411748</v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IF(第十二期!$AC$12&gt;0,第十二期!$K$9*比赛参数!$D$30*比赛参数!$F$30*$CU$90/第十二期!$AC$12,0)</f>
        <v>1600.50158169227</v>
      </c>
      <c r="CR96" s="65">
        <f>IF(第十二期!$AC$12&gt;0,第十二期!$K$9*比赛参数!$D$30*比赛参数!$F$30*$CU$90/第十二期!$AC$12,0)</f>
        <v>1600.50158169227</v>
      </c>
      <c r="CS96" s="65">
        <f>IF(第十二期!$AC$12&gt;0,第十二期!$K$9*比赛参数!$D$30*比赛参数!$F$30*$CU$90/第十二期!$AC$12,0)</f>
        <v>1600.50158169227</v>
      </c>
      <c r="CT96" s="65">
        <f>IF(第十二期!$AC$12&gt;0,第十二期!$K$9*比赛参数!$D$30*比赛参数!$F$30*$CU$90/第十二期!$AC$12,0)</f>
        <v>1600.50158169227</v>
      </c>
      <c r="CU96" s="48"/>
    </row>
    <row r="97" ht="18.75" customHeight="1" spans="2:93">
      <c r="B97" s="7"/>
      <c r="C97" s="25" t="s">
        <v>413</v>
      </c>
      <c r="D97" s="14">
        <v>5599950</v>
      </c>
      <c r="E97" s="14">
        <v>4531245.69</v>
      </c>
      <c r="F97" s="14">
        <v>1068704.31</v>
      </c>
      <c r="G97" s="14">
        <v>240533.83</v>
      </c>
      <c r="H97" s="14">
        <v>26129</v>
      </c>
      <c r="I97" s="14">
        <v>4054768.05</v>
      </c>
      <c r="J97" s="14">
        <v>15386006.51</v>
      </c>
      <c r="K97" s="9">
        <v>0.02</v>
      </c>
      <c r="L97" s="10"/>
      <c r="X97" s="11" t="s">
        <v>56</v>
      </c>
      <c r="Y97" s="94">
        <f>第十二期!CY62</f>
        <v>13.5021123428995</v>
      </c>
      <c r="Z97" s="94">
        <f>第十二期!CY63</f>
        <v>9.57782827380159</v>
      </c>
      <c r="AA97" s="94">
        <f>第十二期!CY64</f>
        <v>10.0190062169288</v>
      </c>
      <c r="AB97" s="94">
        <f>第十二期!CY65</f>
        <v>9.57335974414689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>
        <f t="shared" si="51"/>
        <v>-0.43108472553505</v>
      </c>
      <c r="AT97" s="309">
        <f t="shared" si="51"/>
        <v>-0.22406664943536</v>
      </c>
      <c r="AU97" s="309">
        <f t="shared" si="51"/>
        <v>-0.34834305728859</v>
      </c>
      <c r="AV97" s="310">
        <f t="shared" si="51"/>
        <v>-0.732210801664006</v>
      </c>
      <c r="AW97" s="308">
        <f t="shared" si="51"/>
        <v>-1.07660997303909</v>
      </c>
      <c r="AX97" s="309">
        <f t="shared" si="51"/>
        <v>-1.14621207010831</v>
      </c>
      <c r="AY97" s="309">
        <f t="shared" si="51"/>
        <v>-0.324338847136896</v>
      </c>
      <c r="AZ97" s="310">
        <f t="shared" si="51"/>
        <v>-0.587735109692269</v>
      </c>
      <c r="BA97" s="308">
        <f t="shared" si="51"/>
        <v>-0.537348349271256</v>
      </c>
      <c r="BB97" s="309">
        <f t="shared" si="51"/>
        <v>-0.507554087730092</v>
      </c>
      <c r="BC97" s="309">
        <f t="shared" si="51"/>
        <v>0.156634693992512</v>
      </c>
      <c r="BD97" s="310">
        <f t="shared" si="51"/>
        <v>-0.255943790361833</v>
      </c>
      <c r="BE97" s="308">
        <f t="shared" si="51"/>
        <v>0.721898228510645</v>
      </c>
      <c r="BF97" s="309">
        <f t="shared" si="51"/>
        <v>0.65568547046681</v>
      </c>
      <c r="BG97" s="309">
        <f t="shared" si="51"/>
        <v>-0.638587862445194</v>
      </c>
      <c r="BH97" s="310">
        <f>IF(BH48="","",(BH48-BH$54)/BH$78)</f>
        <v>-0.35573618984412</v>
      </c>
      <c r="BI97" s="319">
        <f t="shared" si="52"/>
        <v>-0.351972070036382</v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 t="s">
        <v>414</v>
      </c>
      <c r="D98" s="14">
        <v>6321981.25</v>
      </c>
      <c r="E98" s="14">
        <v>5517815.2</v>
      </c>
      <c r="F98" s="14">
        <v>804166.05</v>
      </c>
      <c r="G98" s="14">
        <v>242827.5</v>
      </c>
      <c r="H98" s="14">
        <v>10000</v>
      </c>
      <c r="I98" s="14">
        <v>2750893.94</v>
      </c>
      <c r="J98" s="14">
        <v>15406818.94</v>
      </c>
      <c r="K98" s="9">
        <v>0.032</v>
      </c>
      <c r="L98" s="10"/>
      <c r="X98" s="11" t="s">
        <v>57</v>
      </c>
      <c r="Y98" s="94">
        <f>第十二期!CZ62</f>
        <v>14.4221123428995</v>
      </c>
      <c r="Z98" s="94">
        <f>第十二期!CZ63</f>
        <v>9.5098282738016</v>
      </c>
      <c r="AA98" s="94">
        <f>第十二期!CZ64</f>
        <v>9.87163779587619</v>
      </c>
      <c r="AB98" s="94">
        <f>第十二期!CZ65</f>
        <v>9.68105205183919</v>
      </c>
      <c r="AC98" s="126" t="s">
        <v>367</v>
      </c>
      <c r="AE98" s="47" t="s">
        <v>55</v>
      </c>
      <c r="AF98" s="292">
        <f>Y234</f>
        <v>3203.231</v>
      </c>
      <c r="AG98" s="292">
        <f>AC234</f>
        <v>6526.7693</v>
      </c>
      <c r="AH98" s="292">
        <f>AG234</f>
        <v>9579.0521</v>
      </c>
      <c r="AI98" s="292">
        <f>AK234</f>
        <v>12451.8466</v>
      </c>
      <c r="AJ98" s="47" t="s">
        <v>55</v>
      </c>
      <c r="AK98" s="304">
        <f t="shared" ref="AK98:AN101" si="56">AF76-AF98</f>
        <v>-3.23100000000022</v>
      </c>
      <c r="AL98" s="304">
        <f t="shared" si="56"/>
        <v>-176.7693</v>
      </c>
      <c r="AM98" s="304">
        <f t="shared" si="56"/>
        <v>470.947899999999</v>
      </c>
      <c r="AN98" s="304">
        <f t="shared" si="56"/>
        <v>598.153400000001</v>
      </c>
      <c r="AR98" s="185">
        <v>17</v>
      </c>
      <c r="AS98" s="308">
        <f t="shared" ref="AS98:BH101" si="57">IF(AS49="","",(AS49-AS$54)/AS$78)</f>
        <v>1.4938797664733</v>
      </c>
      <c r="AT98" s="309">
        <f t="shared" si="57"/>
        <v>1.65820514586301</v>
      </c>
      <c r="AU98" s="309">
        <f t="shared" si="57"/>
        <v>2.27066529238534</v>
      </c>
      <c r="AV98" s="310">
        <f t="shared" si="57"/>
        <v>0.574957475132139</v>
      </c>
      <c r="AW98" s="308">
        <f t="shared" si="57"/>
        <v>0.205506746990369</v>
      </c>
      <c r="AX98" s="309">
        <f t="shared" si="57"/>
        <v>-0.0363464756093241</v>
      </c>
      <c r="AY98" s="309">
        <f t="shared" si="57"/>
        <v>0.3353868857255</v>
      </c>
      <c r="AZ98" s="310">
        <f t="shared" si="57"/>
        <v>0.287717081012888</v>
      </c>
      <c r="BA98" s="308">
        <f t="shared" si="57"/>
        <v>-0.537348349271256</v>
      </c>
      <c r="BB98" s="309">
        <f t="shared" si="57"/>
        <v>-0.560098950017534</v>
      </c>
      <c r="BC98" s="309">
        <f t="shared" si="57"/>
        <v>-0.379790788890484</v>
      </c>
      <c r="BD98" s="310">
        <f t="shared" si="57"/>
        <v>-0.525898381892279</v>
      </c>
      <c r="BE98" s="308">
        <f t="shared" si="57"/>
        <v>-0.661012855941203</v>
      </c>
      <c r="BF98" s="309">
        <f t="shared" si="57"/>
        <v>-0.695002770028418</v>
      </c>
      <c r="BG98" s="309">
        <f t="shared" si="57"/>
        <v>-0.0160084697205218</v>
      </c>
      <c r="BH98" s="310">
        <f t="shared" si="57"/>
        <v>-0.0308781054312328</v>
      </c>
      <c r="BI98" s="319">
        <f t="shared" si="52"/>
        <v>0.211495827923768</v>
      </c>
    </row>
    <row r="99" ht="18.75" customHeight="1" spans="2:61">
      <c r="B99" s="7"/>
      <c r="C99" s="25" t="s">
        <v>415</v>
      </c>
      <c r="D99" s="14">
        <v>7401648.8</v>
      </c>
      <c r="E99" s="14">
        <v>6316805.09</v>
      </c>
      <c r="F99" s="14">
        <v>1084843.71</v>
      </c>
      <c r="G99" s="14">
        <v>456015.33</v>
      </c>
      <c r="H99" s="9">
        <v>0</v>
      </c>
      <c r="I99" s="14">
        <v>2463938.84</v>
      </c>
      <c r="J99" s="14">
        <v>16041913.3</v>
      </c>
      <c r="K99" s="9">
        <v>0.418</v>
      </c>
      <c r="L99" s="10"/>
      <c r="X99" s="11" t="s">
        <v>58</v>
      </c>
      <c r="Y99" s="94">
        <f>第十二期!DA62</f>
        <v>14.9221123428995</v>
      </c>
      <c r="Z99" s="94">
        <f>第十二期!DA63</f>
        <v>9.70982827380159</v>
      </c>
      <c r="AA99" s="94">
        <f>第十二期!DA64</f>
        <v>10.0032167432446</v>
      </c>
      <c r="AB99" s="94">
        <f>第十二期!DA65</f>
        <v>9.87335974414689</v>
      </c>
      <c r="AC99" s="126"/>
      <c r="AE99" s="11" t="s">
        <v>56</v>
      </c>
      <c r="AF99" s="292">
        <f>Z234</f>
        <v>3217.1372</v>
      </c>
      <c r="AG99" s="292">
        <f>AD234</f>
        <v>6542.5525</v>
      </c>
      <c r="AH99" s="292">
        <f>AH234</f>
        <v>9599.6959</v>
      </c>
      <c r="AI99" s="292">
        <f>AL234</f>
        <v>12383.4172</v>
      </c>
      <c r="AJ99" s="11" t="s">
        <v>56</v>
      </c>
      <c r="AK99" s="304">
        <f t="shared" si="56"/>
        <v>-17.1372000000001</v>
      </c>
      <c r="AL99" s="304">
        <f t="shared" si="56"/>
        <v>-192.552500000001</v>
      </c>
      <c r="AM99" s="304">
        <f t="shared" si="56"/>
        <v>450.304099999999</v>
      </c>
      <c r="AN99" s="304">
        <f t="shared" si="56"/>
        <v>666.5828</v>
      </c>
      <c r="AR99" s="185">
        <v>18</v>
      </c>
      <c r="AS99" s="308">
        <f t="shared" si="57"/>
        <v>2.09115135786719</v>
      </c>
      <c r="AT99" s="309">
        <f t="shared" si="57"/>
        <v>2.03749531930355</v>
      </c>
      <c r="AU99" s="309">
        <f t="shared" si="57"/>
        <v>1.21359565727598</v>
      </c>
      <c r="AV99" s="310">
        <f t="shared" si="57"/>
        <v>1.41933946759673</v>
      </c>
      <c r="AW99" s="308">
        <f t="shared" si="57"/>
        <v>0.824150479032557</v>
      </c>
      <c r="AX99" s="309">
        <f t="shared" si="57"/>
        <v>1.11791374266962</v>
      </c>
      <c r="AY99" s="309">
        <f t="shared" si="57"/>
        <v>0.185449219165865</v>
      </c>
      <c r="AZ99" s="310">
        <f t="shared" si="57"/>
        <v>0.287717081012888</v>
      </c>
      <c r="BA99" s="308">
        <f t="shared" si="57"/>
        <v>-0.694932252233559</v>
      </c>
      <c r="BB99" s="309">
        <f t="shared" si="57"/>
        <v>-0.668279548844621</v>
      </c>
      <c r="BC99" s="309">
        <f t="shared" si="57"/>
        <v>-1.18442901321498</v>
      </c>
      <c r="BD99" s="310">
        <f t="shared" si="57"/>
        <v>-1.22328107667926</v>
      </c>
      <c r="BE99" s="308">
        <f t="shared" si="57"/>
        <v>1.16277178949393</v>
      </c>
      <c r="BF99" s="309">
        <f t="shared" si="57"/>
        <v>1.58003915460461</v>
      </c>
      <c r="BG99" s="309">
        <f t="shared" si="57"/>
        <v>0.915484362142347</v>
      </c>
      <c r="BH99" s="310">
        <f t="shared" si="57"/>
        <v>1.67583899476782</v>
      </c>
      <c r="BI99" s="319">
        <f t="shared" si="52"/>
        <v>0.671251545872542</v>
      </c>
    </row>
    <row r="100" ht="18.75" customHeight="1" spans="2:61">
      <c r="B100" s="7"/>
      <c r="C100" s="25" t="s">
        <v>416</v>
      </c>
      <c r="D100" s="14">
        <v>470785</v>
      </c>
      <c r="E100" s="14">
        <v>3587046.82</v>
      </c>
      <c r="F100" s="14">
        <v>-3116261.82</v>
      </c>
      <c r="G100" s="14">
        <v>4426.71</v>
      </c>
      <c r="H100" s="9">
        <v>0</v>
      </c>
      <c r="I100" s="14">
        <v>-2709363.52</v>
      </c>
      <c r="J100" s="14">
        <v>8561038.87</v>
      </c>
      <c r="K100" s="9">
        <v>-2.136</v>
      </c>
      <c r="L100" s="10"/>
      <c r="AE100" s="11" t="s">
        <v>57</v>
      </c>
      <c r="AF100" s="292">
        <f>AA234</f>
        <v>3424.0592</v>
      </c>
      <c r="AG100" s="292">
        <f>AE234</f>
        <v>6916.4272</v>
      </c>
      <c r="AH100" s="292">
        <f>AI234</f>
        <v>9988.0365</v>
      </c>
      <c r="AI100" s="292">
        <f>AM234</f>
        <v>13348.939</v>
      </c>
      <c r="AJ100" s="11" t="s">
        <v>57</v>
      </c>
      <c r="AK100" s="304">
        <f t="shared" si="56"/>
        <v>25.9408000000003</v>
      </c>
      <c r="AL100" s="304">
        <f t="shared" si="56"/>
        <v>-366.4272</v>
      </c>
      <c r="AM100" s="304">
        <f t="shared" si="56"/>
        <v>261.963499999998</v>
      </c>
      <c r="AN100" s="304">
        <f t="shared" si="56"/>
        <v>101.061000000003</v>
      </c>
      <c r="AR100" s="185">
        <v>19</v>
      </c>
      <c r="AS100" s="308">
        <f t="shared" si="57"/>
        <v>-0.00500562848972418</v>
      </c>
      <c r="AT100" s="309">
        <f t="shared" si="57"/>
        <v>-0.840856277273246</v>
      </c>
      <c r="AU100" s="309">
        <f t="shared" si="57"/>
        <v>-1.4645770376466</v>
      </c>
      <c r="AV100" s="310">
        <f t="shared" si="57"/>
        <v>-1.50352127554993</v>
      </c>
      <c r="AW100" s="308">
        <f t="shared" si="57"/>
        <v>-1.07660997303909</v>
      </c>
      <c r="AX100" s="309">
        <f t="shared" si="57"/>
        <v>-1.00316272681733</v>
      </c>
      <c r="AY100" s="309">
        <f t="shared" si="57"/>
        <v>-0.624214180256166</v>
      </c>
      <c r="AZ100" s="310">
        <f t="shared" si="57"/>
        <v>-0.587735109692269</v>
      </c>
      <c r="BA100" s="308">
        <f t="shared" si="57"/>
        <v>-1.0646483322605</v>
      </c>
      <c r="BB100" s="309">
        <f t="shared" si="57"/>
        <v>-0.881549872246592</v>
      </c>
      <c r="BC100" s="309">
        <f t="shared" si="57"/>
        <v>-0.916216271773479</v>
      </c>
      <c r="BD100" s="310">
        <f t="shared" si="57"/>
        <v>-0.953326485148818</v>
      </c>
      <c r="BE100" s="308">
        <f t="shared" si="57"/>
        <v>-0.789129959132928</v>
      </c>
      <c r="BF100" s="309">
        <f t="shared" si="57"/>
        <v>-0.819507551973509</v>
      </c>
      <c r="BG100" s="309">
        <f t="shared" si="57"/>
        <v>-1.02829404720415</v>
      </c>
      <c r="BH100" s="310">
        <f t="shared" si="57"/>
        <v>-1.00545235866989</v>
      </c>
      <c r="BI100" s="319">
        <f t="shared" si="52"/>
        <v>-0.91023794294839</v>
      </c>
    </row>
    <row r="101" ht="18.75" customHeight="1" spans="2:61">
      <c r="B101" s="7"/>
      <c r="C101" s="25" t="s">
        <v>417</v>
      </c>
      <c r="D101" s="14">
        <v>6950230</v>
      </c>
      <c r="E101" s="14">
        <v>5892514.85</v>
      </c>
      <c r="F101" s="14">
        <v>1057715.15</v>
      </c>
      <c r="G101" s="14">
        <v>207300.98</v>
      </c>
      <c r="H101" s="9">
        <v>0</v>
      </c>
      <c r="I101" s="14">
        <v>6122383.14</v>
      </c>
      <c r="J101" s="14">
        <v>15312436.98</v>
      </c>
      <c r="K101" s="9">
        <v>0.056</v>
      </c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3478.9968</v>
      </c>
      <c r="AG101" s="292">
        <f>AF234</f>
        <v>6974.8422</v>
      </c>
      <c r="AH101" s="292">
        <f>AJ234</f>
        <v>9975.4673</v>
      </c>
      <c r="AI101" s="292">
        <f>AN234</f>
        <v>13426.4028</v>
      </c>
      <c r="AJ101" s="11" t="s">
        <v>58</v>
      </c>
      <c r="AK101" s="304">
        <f t="shared" si="56"/>
        <v>71.0031999999997</v>
      </c>
      <c r="AL101" s="304">
        <f t="shared" si="56"/>
        <v>-324.8422</v>
      </c>
      <c r="AM101" s="304">
        <f t="shared" si="56"/>
        <v>374.532700000003</v>
      </c>
      <c r="AN101" s="304">
        <f t="shared" si="56"/>
        <v>173.5972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 t="s">
        <v>418</v>
      </c>
      <c r="D102" s="14">
        <v>6549400</v>
      </c>
      <c r="E102" s="14">
        <v>5878709.27</v>
      </c>
      <c r="F102" s="14">
        <v>670690.73</v>
      </c>
      <c r="G102" s="14">
        <v>285844.42</v>
      </c>
      <c r="H102" s="14">
        <v>665452.16</v>
      </c>
      <c r="I102" s="14">
        <v>6149520.49</v>
      </c>
      <c r="J102" s="14">
        <v>14876082.03</v>
      </c>
      <c r="K102" s="9">
        <v>0.481</v>
      </c>
      <c r="L102" s="10"/>
      <c r="X102" s="280" t="s">
        <v>55</v>
      </c>
      <c r="Y102" s="94">
        <f t="shared" ref="Y102:AB105" si="58">(AF76-CJ19)/AF76</f>
        <v>0.409128510715609</v>
      </c>
      <c r="Z102" s="94">
        <f t="shared" si="58"/>
        <v>0.363851506842582</v>
      </c>
      <c r="AA102" s="94">
        <f t="shared" si="58"/>
        <v>0.367683817157508</v>
      </c>
      <c r="AB102" s="94">
        <f t="shared" si="58"/>
        <v>0.370892495552213</v>
      </c>
    </row>
    <row r="103" ht="18.75" customHeight="1" spans="2:36">
      <c r="B103" s="7"/>
      <c r="C103" s="25" t="s">
        <v>419</v>
      </c>
      <c r="D103" s="14">
        <v>7616536.65</v>
      </c>
      <c r="E103" s="14">
        <v>6783643.41</v>
      </c>
      <c r="F103" s="14">
        <v>832893.24</v>
      </c>
      <c r="G103" s="14">
        <v>185509.71</v>
      </c>
      <c r="H103" s="9">
        <v>0</v>
      </c>
      <c r="I103" s="14">
        <v>52733.2</v>
      </c>
      <c r="J103" s="14">
        <v>15238150.51</v>
      </c>
      <c r="K103" s="9">
        <v>-0.028</v>
      </c>
      <c r="L103" s="10"/>
      <c r="X103" s="281" t="s">
        <v>56</v>
      </c>
      <c r="Y103" s="94">
        <f t="shared" si="58"/>
        <v>0.421941010715609</v>
      </c>
      <c r="Z103" s="94">
        <f t="shared" si="58"/>
        <v>0.377079853299275</v>
      </c>
      <c r="AA103" s="94">
        <f t="shared" si="58"/>
        <v>0.378828095764473</v>
      </c>
      <c r="AB103" s="94">
        <f t="shared" si="58"/>
        <v>0.381467208195891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 t="s">
        <v>420</v>
      </c>
      <c r="D104" s="14">
        <v>7124806.3</v>
      </c>
      <c r="E104" s="14">
        <v>6158394.34</v>
      </c>
      <c r="F104" s="14">
        <v>966411.96</v>
      </c>
      <c r="G104" s="14">
        <v>264063.86</v>
      </c>
      <c r="H104" s="9">
        <v>0</v>
      </c>
      <c r="I104" s="14">
        <v>1145695.8</v>
      </c>
      <c r="J104" s="14">
        <v>15469572.11</v>
      </c>
      <c r="K104" s="9">
        <v>0.096</v>
      </c>
      <c r="L104" s="10"/>
      <c r="X104" s="281" t="s">
        <v>57</v>
      </c>
      <c r="Y104" s="94">
        <f t="shared" si="58"/>
        <v>0.418032241823173</v>
      </c>
      <c r="Z104" s="94">
        <f t="shared" si="58"/>
        <v>0.362970544801588</v>
      </c>
      <c r="AA104" s="94">
        <f t="shared" si="58"/>
        <v>0.365972913408093</v>
      </c>
      <c r="AB104" s="94">
        <f t="shared" si="58"/>
        <v>0.374286027283002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1824266.47216346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 t="s">
        <v>421</v>
      </c>
      <c r="D105" s="14">
        <v>6641241.4</v>
      </c>
      <c r="E105" s="14">
        <v>5629036.83</v>
      </c>
      <c r="F105" s="14">
        <v>1012204.57</v>
      </c>
      <c r="G105" s="14">
        <v>416710.1</v>
      </c>
      <c r="H105" s="14">
        <v>320484</v>
      </c>
      <c r="I105" s="14">
        <v>2719155.64</v>
      </c>
      <c r="J105" s="14">
        <v>15615197.59</v>
      </c>
      <c r="K105" s="9">
        <v>0.573</v>
      </c>
      <c r="L105" s="10"/>
      <c r="X105" s="281" t="s">
        <v>58</v>
      </c>
      <c r="Y105" s="94">
        <f t="shared" si="58"/>
        <v>0.420341192757732</v>
      </c>
      <c r="Z105" s="94">
        <f t="shared" si="58"/>
        <v>0.365031138112842</v>
      </c>
      <c r="AA105" s="94">
        <f t="shared" si="58"/>
        <v>0.367267861104633</v>
      </c>
      <c r="AB105" s="94">
        <f t="shared" si="58"/>
        <v>0.377510813746793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 t="s">
        <v>422</v>
      </c>
      <c r="D106" s="14">
        <v>5193610</v>
      </c>
      <c r="E106" s="14">
        <v>4983489.24</v>
      </c>
      <c r="F106" s="14">
        <v>210120.76</v>
      </c>
      <c r="G106" s="14">
        <v>169146.29</v>
      </c>
      <c r="H106" s="9">
        <v>0</v>
      </c>
      <c r="I106" s="14">
        <v>7499920.25</v>
      </c>
      <c r="J106" s="14">
        <v>15189227.94</v>
      </c>
      <c r="K106" s="9">
        <v>0.065</v>
      </c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3168400.65897596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 t="s">
        <v>423</v>
      </c>
      <c r="D107" s="14">
        <v>7258382.5</v>
      </c>
      <c r="E107" s="14">
        <v>6343918.57</v>
      </c>
      <c r="F107" s="14">
        <v>914463.93</v>
      </c>
      <c r="G107" s="14">
        <v>270409.15</v>
      </c>
      <c r="H107" s="14">
        <v>1040.4</v>
      </c>
      <c r="I107" s="14">
        <v>2743827.48</v>
      </c>
      <c r="J107" s="14">
        <v>15490329.48</v>
      </c>
      <c r="K107" s="9">
        <v>0.134</v>
      </c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>
        <f>IF(AS82="","",AVERAGE(AS82:AV82)*$AR$130)</f>
        <v>-0.00412703912195821</v>
      </c>
      <c r="AU107" s="314">
        <f>IF(AW82="","",AVERAGE(AW82:AZ82)*$AR$130)</f>
        <v>-0.00807304696528893</v>
      </c>
      <c r="AV107" s="314">
        <f>IF(BA82="","",AVERAGE(BA82:BD82)*$AR$130)</f>
        <v>0.16325193578662</v>
      </c>
      <c r="AW107" s="314">
        <f>IF(BE82="","",AVERAGE(BE82:BH82)*$AR$130)</f>
        <v>-0.0639522491810589</v>
      </c>
      <c r="AX107" s="190">
        <v>1</v>
      </c>
      <c r="AY107" s="314">
        <f>IF(BI82="","",BI82*$AR$130)</f>
        <v>0.0217749001295785</v>
      </c>
      <c r="AZ107" s="314">
        <f t="shared" ref="AZ107:BC126" si="59">AS183</f>
        <v>0.119849906460248</v>
      </c>
      <c r="BA107" s="314">
        <f t="shared" si="59"/>
        <v>0.133291796340619</v>
      </c>
      <c r="BB107" s="314">
        <f t="shared" si="59"/>
        <v>-0.04186482604591</v>
      </c>
      <c r="BC107" s="314">
        <f t="shared" si="59"/>
        <v>0.0977882401734486</v>
      </c>
      <c r="BD107" s="318"/>
      <c r="BE107" s="318"/>
      <c r="BF107" s="314">
        <f t="shared" ref="BF107:BF126" si="60">(BJ107-BL107-BI107)/0.607</f>
        <v>0.168336259713021</v>
      </c>
      <c r="BG107" s="314">
        <f t="shared" ref="BG107:BG126" si="61">SUM(AY107:BC107)</f>
        <v>0.330840017057984</v>
      </c>
      <c r="BH107" s="101"/>
      <c r="BI107" s="314">
        <f t="shared" ref="BI107:BI126" si="62">(BG107+0.5*BH107)*0.607</f>
        <v>0.200819890354196</v>
      </c>
      <c r="BJ107" s="323">
        <f t="shared" ref="BJ107:BJ126" si="63">K95</f>
        <v>0.203</v>
      </c>
      <c r="BK107" s="324"/>
      <c r="BL107" s="2">
        <f t="shared" ref="BL107:BL126" si="64">IF(I95&lt;E95,-0.1,0)</f>
        <v>-0.1</v>
      </c>
    </row>
    <row r="108" ht="18.75" customHeight="1" spans="2:64">
      <c r="B108" s="7"/>
      <c r="C108" s="25" t="s">
        <v>424</v>
      </c>
      <c r="D108" s="14">
        <v>5639600</v>
      </c>
      <c r="E108" s="14">
        <v>5108913.67</v>
      </c>
      <c r="F108" s="14">
        <v>530686.33</v>
      </c>
      <c r="G108" s="14">
        <v>50475.56</v>
      </c>
      <c r="H108" s="9">
        <v>0</v>
      </c>
      <c r="I108" s="14">
        <v>4726329.84</v>
      </c>
      <c r="J108" s="14">
        <v>14647522.15</v>
      </c>
      <c r="K108" s="9">
        <v>-0.292</v>
      </c>
      <c r="L108" s="10"/>
      <c r="X108" s="47" t="s">
        <v>55</v>
      </c>
      <c r="Y108" s="65">
        <f>IF(Y88*$Y$113-INT(Y88*$Y$113)&lt;0.5,INT(Y88*$Y$113),INT(Y88*$Y$113)+1)</f>
        <v>5</v>
      </c>
      <c r="Z108" s="65">
        <f>IF(Z88*$Z$113-INT(Z88*$Z$113)&lt;0.5,INT(Z88*$Z$113),INT(Z88*$Z$113)+1)</f>
        <v>5</v>
      </c>
      <c r="AA108" s="65">
        <f>IF(AA88*$AA$113-INT(AA88*$AA$113)&lt;0.5,INT(AA88*$AA$113),INT(AA88*$AA$113)+1)</f>
        <v>2</v>
      </c>
      <c r="AB108" s="65">
        <f>IF(AB88*$AB$113-INT(AB88*$AB$113)&lt;0.5,INT(AB88*$AB$113),INT(AB88*$AB$113)+1)</f>
        <v>2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>
        <f t="shared" ref="AT108:AT126" si="65">IF(AS83="","",AVERAGE(AS83:AV83)*$AR$130)</f>
        <v>-0.138227952201897</v>
      </c>
      <c r="AU108" s="314">
        <f t="shared" ref="AU108:AU126" si="66">IF(AW83="","",AVERAGE(AW83:AZ83)*$AR$130)</f>
        <v>-0.0312020755433606</v>
      </c>
      <c r="AV108" s="314">
        <f t="shared" ref="AV108:AV126" si="67">IF(BA83="","",AVERAGE(BA83:BD83)*$AR$130)</f>
        <v>0.220163206576775</v>
      </c>
      <c r="AW108" s="314">
        <f t="shared" ref="AW108:AW126" si="68">IF(BE83="","",AVERAGE(BE83:BH83)*$AR$130)</f>
        <v>0.21684256360057</v>
      </c>
      <c r="AX108" s="190">
        <v>2</v>
      </c>
      <c r="AY108" s="314">
        <f t="shared" ref="AY108:AY126" si="69">IF(BI83="","",BI83*$AR$130)</f>
        <v>0.0668939356080218</v>
      </c>
      <c r="AZ108" s="314">
        <f t="shared" si="59"/>
        <v>0.0669288302537084</v>
      </c>
      <c r="BA108" s="314">
        <f t="shared" si="59"/>
        <v>-0.0822738202302381</v>
      </c>
      <c r="BB108" s="314">
        <f t="shared" si="59"/>
        <v>-0.04186482604591</v>
      </c>
      <c r="BC108" s="314">
        <f t="shared" si="59"/>
        <v>0.0260710687348212</v>
      </c>
      <c r="BD108" s="318"/>
      <c r="BE108" s="318"/>
      <c r="BF108" s="314">
        <f t="shared" si="60"/>
        <v>-0.169198351417603</v>
      </c>
      <c r="BG108" s="314">
        <f t="shared" si="61"/>
        <v>0.0357551883204032</v>
      </c>
      <c r="BH108" s="101"/>
      <c r="BI108" s="314">
        <f t="shared" si="62"/>
        <v>0.0217033993104848</v>
      </c>
      <c r="BJ108" s="323">
        <f t="shared" si="63"/>
        <v>-0.181</v>
      </c>
      <c r="BK108" s="324"/>
      <c r="BL108" s="2">
        <f t="shared" si="64"/>
        <v>-0.1</v>
      </c>
    </row>
    <row r="109" ht="18.75" customHeight="1" spans="2:64">
      <c r="B109" s="7"/>
      <c r="C109" s="25" t="s">
        <v>425</v>
      </c>
      <c r="D109" s="14">
        <v>3453670</v>
      </c>
      <c r="E109" s="14">
        <v>3815324.4</v>
      </c>
      <c r="F109" s="14">
        <v>-361654.4</v>
      </c>
      <c r="G109" s="14">
        <v>4426.71</v>
      </c>
      <c r="H109" s="9">
        <v>0</v>
      </c>
      <c r="I109" s="14">
        <v>-3043641.9</v>
      </c>
      <c r="J109" s="14">
        <v>12089892.71</v>
      </c>
      <c r="K109" s="9">
        <v>-1.193</v>
      </c>
      <c r="L109" s="10"/>
      <c r="X109" s="11" t="s">
        <v>56</v>
      </c>
      <c r="Y109" s="65">
        <f>IF(Y89*$Y$113-INT(Y89*$Y$113)&lt;0.5,INT(Y89*$Y$113),INT(Y89*$Y$113)+1)</f>
        <v>5</v>
      </c>
      <c r="Z109" s="65">
        <f>IF(Z89*$Z$113-INT(Z89*$Z$113)&lt;0.5,INT(Z89*$Z$113),INT(Z89*$Z$113)+1)</f>
        <v>5</v>
      </c>
      <c r="AA109" s="65">
        <f>IF(AA89*$AA$113-INT(AA89*$AA$113)&lt;0.5,INT(AA89*$AA$113),INT(AA89*$AA$113)+1)</f>
        <v>2</v>
      </c>
      <c r="AB109" s="65">
        <f>IF(AB89*$AB$113-INT(AB89*$AB$113)&lt;0.5,INT(AB89*$AB$113),INT(AB89*$AB$113)+1)</f>
        <v>2</v>
      </c>
      <c r="AC109" s="48"/>
      <c r="AK109" s="42" t="s">
        <v>239</v>
      </c>
      <c r="AL109" s="145">
        <f>AA20</f>
        <v>270</v>
      </c>
      <c r="AR109" s="313"/>
      <c r="AS109" s="190">
        <v>3</v>
      </c>
      <c r="AT109" s="314">
        <f t="shared" si="65"/>
        <v>0.0857132238066746</v>
      </c>
      <c r="AU109" s="314">
        <f t="shared" si="66"/>
        <v>-0.0765538315997328</v>
      </c>
      <c r="AV109" s="314">
        <f t="shared" si="67"/>
        <v>-0.0369593535841556</v>
      </c>
      <c r="AW109" s="314">
        <f t="shared" si="68"/>
        <v>-0.00563273753096383</v>
      </c>
      <c r="AX109" s="190">
        <v>3</v>
      </c>
      <c r="AY109" s="314">
        <f t="shared" si="69"/>
        <v>-0.0083581747270444</v>
      </c>
      <c r="AZ109" s="314">
        <f t="shared" si="59"/>
        <v>0.13752238880072</v>
      </c>
      <c r="BA109" s="314">
        <f t="shared" si="59"/>
        <v>0.0427926545655389</v>
      </c>
      <c r="BB109" s="314">
        <f t="shared" si="59"/>
        <v>-0.0223091668653347</v>
      </c>
      <c r="BC109" s="314">
        <f t="shared" si="59"/>
        <v>0.0655527235417176</v>
      </c>
      <c r="BD109" s="318"/>
      <c r="BE109" s="318"/>
      <c r="BF109" s="314">
        <f t="shared" si="60"/>
        <v>-0.0175068503567832</v>
      </c>
      <c r="BG109" s="314">
        <f t="shared" si="61"/>
        <v>0.215200425315597</v>
      </c>
      <c r="BH109" s="101"/>
      <c r="BI109" s="314">
        <f t="shared" si="62"/>
        <v>0.130626658166567</v>
      </c>
      <c r="BJ109" s="323">
        <f t="shared" si="63"/>
        <v>0.02</v>
      </c>
      <c r="BK109" s="324"/>
      <c r="BL109" s="2">
        <f t="shared" si="64"/>
        <v>-0.1</v>
      </c>
    </row>
    <row r="110" ht="18.75" customHeight="1" spans="2:64">
      <c r="B110" s="7"/>
      <c r="C110" s="25" t="s">
        <v>426</v>
      </c>
      <c r="D110" s="14">
        <v>5145970</v>
      </c>
      <c r="E110" s="14">
        <v>4703639.82</v>
      </c>
      <c r="F110" s="14">
        <v>442330.18</v>
      </c>
      <c r="G110" s="14">
        <v>309508.01</v>
      </c>
      <c r="H110" s="9">
        <v>0</v>
      </c>
      <c r="I110" s="14">
        <v>2120078.33</v>
      </c>
      <c r="J110" s="14">
        <v>15603086.02</v>
      </c>
      <c r="K110" s="9">
        <v>0.191</v>
      </c>
      <c r="L110" s="10"/>
      <c r="X110" s="11" t="s">
        <v>57</v>
      </c>
      <c r="Y110" s="65">
        <f>IF(Y90*$Y$113-INT(Y90*$Y$113)&lt;0.5,INT(Y90*$Y$113),INT(Y90*$Y$113)+1)</f>
        <v>7</v>
      </c>
      <c r="Z110" s="65">
        <f>IF(Z90*$Z$113-INT(Z90*$Z$113)&lt;0.5,INT(Z90*$Z$113),INT(Z90*$Z$113)+1)</f>
        <v>7</v>
      </c>
      <c r="AA110" s="65">
        <f>IF(AA90*$AA$113-INT(AA90*$AA$113)&lt;0.5,INT(AA90*$AA$113),INT(AA90*$AA$113)+1)</f>
        <v>2</v>
      </c>
      <c r="AB110" s="65">
        <f>IF(AB90*$AB$113-INT(AB90*$AB$113)&lt;0.5,INT(AB90*$AB$113),INT(AB90*$AB$113)+1)</f>
        <v>2</v>
      </c>
      <c r="AC110" s="48"/>
      <c r="AE110" s="42" t="s">
        <v>246</v>
      </c>
      <c r="AF110" s="65">
        <f>SUM(AF64:AF67)*比赛参数!D26/1300</f>
        <v>37.3846153846154</v>
      </c>
      <c r="AG110" s="65">
        <f>SUM(AG64:AG67)*比赛参数!E26/1300</f>
        <v>106.153846153846</v>
      </c>
      <c r="AH110" s="65">
        <f>SUM(AH64:AH67)*比赛参数!F26/1300</f>
        <v>54.6615384615385</v>
      </c>
      <c r="AI110" s="65">
        <f>SUM(AI64:AI67)*比赛参数!G26/1300</f>
        <v>68</v>
      </c>
      <c r="AJ110" s="65">
        <f>SUM(AF110:AI110)</f>
        <v>266.2</v>
      </c>
      <c r="AK110" s="42" t="s">
        <v>246</v>
      </c>
      <c r="AL110" s="145">
        <f>SUM(AF110:AI110)</f>
        <v>266.2</v>
      </c>
      <c r="AR110" s="313"/>
      <c r="AS110" s="190">
        <v>4</v>
      </c>
      <c r="AT110" s="314">
        <f t="shared" si="65"/>
        <v>0.081265522943463</v>
      </c>
      <c r="AU110" s="314">
        <f t="shared" si="66"/>
        <v>-0.0497023375135817</v>
      </c>
      <c r="AV110" s="314">
        <f t="shared" si="67"/>
        <v>0.0548964725841906</v>
      </c>
      <c r="AW110" s="314">
        <f t="shared" si="68"/>
        <v>-0.0060304901048169</v>
      </c>
      <c r="AX110" s="190">
        <v>4</v>
      </c>
      <c r="AY110" s="314">
        <f t="shared" si="69"/>
        <v>0.0201072919773138</v>
      </c>
      <c r="AZ110" s="314">
        <f t="shared" si="59"/>
        <v>0.0809751266190927</v>
      </c>
      <c r="BA110" s="314">
        <f t="shared" si="59"/>
        <v>0.0447751047881495</v>
      </c>
      <c r="BB110" s="314">
        <f t="shared" si="59"/>
        <v>-0.0343805521814011</v>
      </c>
      <c r="BC110" s="314">
        <f t="shared" si="59"/>
        <v>0.0675571993419071</v>
      </c>
      <c r="BD110" s="318"/>
      <c r="BE110" s="318"/>
      <c r="BF110" s="314">
        <f t="shared" si="60"/>
        <v>0.0384287619096332</v>
      </c>
      <c r="BG110" s="314">
        <f t="shared" si="61"/>
        <v>0.179034170545062</v>
      </c>
      <c r="BH110" s="101"/>
      <c r="BI110" s="314">
        <f t="shared" si="62"/>
        <v>0.108673741520853</v>
      </c>
      <c r="BJ110" s="323">
        <f t="shared" si="63"/>
        <v>0.032</v>
      </c>
      <c r="BK110" s="324"/>
      <c r="BL110" s="2">
        <f t="shared" si="64"/>
        <v>-0.1</v>
      </c>
    </row>
    <row r="111" ht="18.75" customHeight="1" spans="2:64">
      <c r="B111" s="7"/>
      <c r="C111" s="25" t="s">
        <v>427</v>
      </c>
      <c r="D111" s="14">
        <v>6184535.82</v>
      </c>
      <c r="E111" s="14">
        <v>5979898.57</v>
      </c>
      <c r="F111" s="14">
        <v>204637.25</v>
      </c>
      <c r="G111" s="14">
        <v>59083.94</v>
      </c>
      <c r="H111" s="9">
        <v>0</v>
      </c>
      <c r="I111" s="14">
        <v>3585233.07</v>
      </c>
      <c r="J111" s="14">
        <v>14863790.54</v>
      </c>
      <c r="K111" s="9">
        <v>-0.226</v>
      </c>
      <c r="L111" s="10"/>
      <c r="X111" s="11" t="s">
        <v>58</v>
      </c>
      <c r="Y111" s="65">
        <f>IF(Y91*$Y$113-INT(Y91*$Y$113)&lt;0.5,INT(Y91*$Y$113),INT(Y91*$Y$113)+1)</f>
        <v>7</v>
      </c>
      <c r="Z111" s="65">
        <f>IF(Z91*$Z$113-INT(Z91*$Z$113)&lt;0.5,INT(Z91*$Z$113),INT(Z91*$Z$113)+1)</f>
        <v>7</v>
      </c>
      <c r="AA111" s="65">
        <f>IF(AA91*$AA$113-INT(AA91*$AA$113)&lt;0.5,INT(AA91*$AA$113),INT(AA91*$AA$113)+1)</f>
        <v>2</v>
      </c>
      <c r="AB111" s="65">
        <f>IF(AB91*$AB$113-INT(AB91*$AB$113)&lt;0.5,INT(AB91*$AB$113),INT(AB91*$AB$113)+1)</f>
        <v>2</v>
      </c>
      <c r="AC111" s="48"/>
      <c r="AE111" s="148" t="s">
        <v>253</v>
      </c>
      <c r="AF111" s="65">
        <f>(SUM(AF64:AF67)-SUM(AF104:AF107))*比赛参数!D26/1300</f>
        <v>37.3846153846154</v>
      </c>
      <c r="AG111" s="65">
        <f>(SUM(AG64:AG67)-SUM(AG104:AG107))*比赛参数!E26/1300</f>
        <v>106.153846153846</v>
      </c>
      <c r="AH111" s="65">
        <f>(SUM(AH64:AH67)-SUM(AH104:AH107))*比赛参数!F26/1300</f>
        <v>54.6615384615385</v>
      </c>
      <c r="AI111" s="65">
        <f>(SUM(AI64:AI67)-SUM(AI104:AI107))*比赛参数!G26/1300</f>
        <v>68</v>
      </c>
      <c r="AJ111" s="65">
        <f>SUM(AF111:AI111)</f>
        <v>266.2</v>
      </c>
      <c r="AK111" s="148" t="s">
        <v>253</v>
      </c>
      <c r="AL111" s="145">
        <f>AJ111</f>
        <v>266.2</v>
      </c>
      <c r="AR111" s="313"/>
      <c r="AS111" s="190">
        <v>5</v>
      </c>
      <c r="AT111" s="314">
        <f t="shared" si="65"/>
        <v>0.01674056508379</v>
      </c>
      <c r="AU111" s="314">
        <f t="shared" si="66"/>
        <v>0.124340689392433</v>
      </c>
      <c r="AV111" s="314">
        <f t="shared" si="67"/>
        <v>0.162659888469255</v>
      </c>
      <c r="AW111" s="314">
        <f t="shared" si="68"/>
        <v>-0.0348184404158728</v>
      </c>
      <c r="AX111" s="190">
        <v>5</v>
      </c>
      <c r="AY111" s="314">
        <f t="shared" si="69"/>
        <v>0.0672306756324013</v>
      </c>
      <c r="AZ111" s="314">
        <f t="shared" si="59"/>
        <v>0.140972320327653</v>
      </c>
      <c r="BA111" s="314">
        <f t="shared" si="59"/>
        <v>0.22903625004504</v>
      </c>
      <c r="BB111" s="314">
        <f t="shared" si="59"/>
        <v>-0.04186482604591</v>
      </c>
      <c r="BC111" s="314">
        <f t="shared" si="59"/>
        <v>0.128724072958148</v>
      </c>
      <c r="BD111" s="318"/>
      <c r="BE111" s="318"/>
      <c r="BF111" s="314">
        <f t="shared" si="60"/>
        <v>0.329278772321548</v>
      </c>
      <c r="BG111" s="314">
        <f t="shared" si="61"/>
        <v>0.524098492917332</v>
      </c>
      <c r="BH111" s="101"/>
      <c r="BI111" s="314">
        <f t="shared" si="62"/>
        <v>0.318127785200821</v>
      </c>
      <c r="BJ111" s="323">
        <f t="shared" si="63"/>
        <v>0.418</v>
      </c>
      <c r="BK111" s="324"/>
      <c r="BL111" s="2">
        <f t="shared" si="64"/>
        <v>-0.1</v>
      </c>
    </row>
    <row r="112" ht="18.75" customHeight="1" spans="2:64">
      <c r="B112" s="7"/>
      <c r="C112" s="25" t="s">
        <v>428</v>
      </c>
      <c r="D112" s="14">
        <v>7423541</v>
      </c>
      <c r="E112" s="14">
        <v>7156663.7</v>
      </c>
      <c r="F112" s="14">
        <v>266877.3</v>
      </c>
      <c r="G112" s="14">
        <v>17659.56</v>
      </c>
      <c r="H112" s="14">
        <v>39698.54</v>
      </c>
      <c r="I112" s="14">
        <v>5637061.6</v>
      </c>
      <c r="J112" s="14">
        <v>14676700.06</v>
      </c>
      <c r="K112" s="9">
        <v>-0.244</v>
      </c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>
        <f t="shared" si="65"/>
        <v>-0.235679559693835</v>
      </c>
      <c r="AU112" s="314">
        <f t="shared" si="66"/>
        <v>-0.310830712712458</v>
      </c>
      <c r="AV112" s="314">
        <f t="shared" si="67"/>
        <v>-0.261354156935611</v>
      </c>
      <c r="AW112" s="314">
        <f t="shared" si="68"/>
        <v>-0.338351131928567</v>
      </c>
      <c r="AX112" s="190">
        <v>6</v>
      </c>
      <c r="AY112" s="314">
        <f t="shared" si="69"/>
        <v>-0.286553890317618</v>
      </c>
      <c r="AZ112" s="314">
        <f t="shared" si="59"/>
        <v>-0.757049069310249</v>
      </c>
      <c r="BA112" s="314">
        <f t="shared" si="59"/>
        <v>-0.161277945217319</v>
      </c>
      <c r="BB112" s="314">
        <f t="shared" si="59"/>
        <v>-0.04186482604591</v>
      </c>
      <c r="BC112" s="314">
        <f t="shared" si="59"/>
        <v>-0.591769966382363</v>
      </c>
      <c r="BD112" s="318"/>
      <c r="BE112" s="318"/>
      <c r="BF112" s="314">
        <f t="shared" si="60"/>
        <v>-1.51568529119442</v>
      </c>
      <c r="BG112" s="314">
        <f t="shared" si="61"/>
        <v>-1.83851569727346</v>
      </c>
      <c r="BH112" s="101"/>
      <c r="BI112" s="314">
        <f t="shared" si="62"/>
        <v>-1.11597902824499</v>
      </c>
      <c r="BJ112" s="323">
        <f t="shared" si="63"/>
        <v>-2.136</v>
      </c>
      <c r="BK112" s="324"/>
      <c r="BL112" s="2">
        <f t="shared" si="64"/>
        <v>-0.1</v>
      </c>
    </row>
    <row r="113" ht="18.75" customHeight="1" spans="2:64">
      <c r="B113" s="7"/>
      <c r="C113" s="25" t="s">
        <v>429</v>
      </c>
      <c r="D113" s="14">
        <v>3053050</v>
      </c>
      <c r="E113" s="14">
        <v>3284716.35</v>
      </c>
      <c r="F113" s="14">
        <v>-231666.35</v>
      </c>
      <c r="G113" s="14">
        <v>4426.71</v>
      </c>
      <c r="H113" s="9">
        <v>0</v>
      </c>
      <c r="I113" s="14">
        <v>3848055.34</v>
      </c>
      <c r="J113" s="14">
        <v>14237563.03</v>
      </c>
      <c r="K113" s="9">
        <v>-0.524</v>
      </c>
      <c r="L113" s="10"/>
      <c r="X113" s="63" t="s">
        <v>110</v>
      </c>
      <c r="Y113" s="295">
        <f>Y122</f>
        <v>0.05</v>
      </c>
      <c r="Z113" s="295">
        <f>Z122</f>
        <v>0.05</v>
      </c>
      <c r="AA113" s="295">
        <f>AA122</f>
        <v>0.05</v>
      </c>
      <c r="AB113" s="295">
        <f>AB122</f>
        <v>0.05</v>
      </c>
      <c r="AC113" s="48"/>
      <c r="AR113" s="313"/>
      <c r="AS113" s="190">
        <v>7</v>
      </c>
      <c r="AT113" s="314">
        <f t="shared" si="65"/>
        <v>-0.116120988718181</v>
      </c>
      <c r="AU113" s="314">
        <f t="shared" si="66"/>
        <v>-0.0161791627960697</v>
      </c>
      <c r="AV113" s="314">
        <f t="shared" si="67"/>
        <v>0.0874039791199615</v>
      </c>
      <c r="AW113" s="314">
        <f t="shared" si="68"/>
        <v>0.230510444543949</v>
      </c>
      <c r="AX113" s="190">
        <v>7</v>
      </c>
      <c r="AY113" s="314">
        <f t="shared" si="69"/>
        <v>0.0464035680374151</v>
      </c>
      <c r="AZ113" s="314">
        <f t="shared" si="59"/>
        <v>0.13517336408242</v>
      </c>
      <c r="BA113" s="314">
        <f t="shared" si="59"/>
        <v>0.0140690496526767</v>
      </c>
      <c r="BB113" s="314">
        <f t="shared" si="59"/>
        <v>-0.04186482604591</v>
      </c>
      <c r="BC113" s="314">
        <f t="shared" si="59"/>
        <v>0.0584671337035144</v>
      </c>
      <c r="BD113" s="318"/>
      <c r="BE113" s="318"/>
      <c r="BF113" s="314">
        <f t="shared" si="60"/>
        <v>-0.11999128778267</v>
      </c>
      <c r="BG113" s="314">
        <f t="shared" si="61"/>
        <v>0.212248289430117</v>
      </c>
      <c r="BH113" s="101"/>
      <c r="BI113" s="314">
        <f t="shared" si="62"/>
        <v>0.128834711684081</v>
      </c>
      <c r="BJ113" s="323">
        <f t="shared" si="63"/>
        <v>0.056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>
        <f t="shared" si="65"/>
        <v>-0.197311291338792</v>
      </c>
      <c r="AU114" s="314">
        <f t="shared" si="66"/>
        <v>-0.0666089138960818</v>
      </c>
      <c r="AV114" s="314">
        <f t="shared" si="67"/>
        <v>0.227515653328089</v>
      </c>
      <c r="AW114" s="314">
        <f t="shared" si="68"/>
        <v>0.167514822830024</v>
      </c>
      <c r="AX114" s="190">
        <v>8</v>
      </c>
      <c r="AY114" s="314">
        <f t="shared" si="69"/>
        <v>0.0327775677308097</v>
      </c>
      <c r="AZ114" s="314">
        <f t="shared" si="59"/>
        <v>0.0524436623431254</v>
      </c>
      <c r="BA114" s="314">
        <f t="shared" si="59"/>
        <v>0.0819552146688309</v>
      </c>
      <c r="BB114" s="314">
        <f t="shared" si="59"/>
        <v>0.45617779487099</v>
      </c>
      <c r="BC114" s="314">
        <f t="shared" si="59"/>
        <v>0.0164411455047354</v>
      </c>
      <c r="BD114" s="318"/>
      <c r="BE114" s="318"/>
      <c r="BF114" s="314">
        <f t="shared" si="60"/>
        <v>0.152626361174754</v>
      </c>
      <c r="BG114" s="314">
        <f t="shared" si="61"/>
        <v>0.639795385118491</v>
      </c>
      <c r="BH114" s="101"/>
      <c r="BI114" s="314">
        <f t="shared" si="62"/>
        <v>0.388355798766924</v>
      </c>
      <c r="BJ114" s="323">
        <f t="shared" si="63"/>
        <v>0.481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>
        <f t="shared" si="65"/>
        <v>0.171974940295854</v>
      </c>
      <c r="AU115" s="314">
        <f t="shared" si="66"/>
        <v>0.366808918018546</v>
      </c>
      <c r="AV115" s="314">
        <f t="shared" si="67"/>
        <v>-0.143377989808042</v>
      </c>
      <c r="AW115" s="314">
        <f t="shared" si="68"/>
        <v>-0.0390462130076521</v>
      </c>
      <c r="AX115" s="190">
        <v>9</v>
      </c>
      <c r="AY115" s="314">
        <f t="shared" si="69"/>
        <v>0.0890899138746765</v>
      </c>
      <c r="AZ115" s="314">
        <f t="shared" si="59"/>
        <v>0.087115803376668</v>
      </c>
      <c r="BA115" s="314">
        <f t="shared" si="59"/>
        <v>-0.0047654418227613</v>
      </c>
      <c r="BB115" s="314">
        <f t="shared" si="59"/>
        <v>-0.04186482604591</v>
      </c>
      <c r="BC115" s="314">
        <f t="shared" si="59"/>
        <v>0.0513124943175077</v>
      </c>
      <c r="BD115" s="318"/>
      <c r="BE115" s="318"/>
      <c r="BF115" s="314">
        <f t="shared" si="60"/>
        <v>-0.0622717987248926</v>
      </c>
      <c r="BG115" s="314">
        <f t="shared" si="61"/>
        <v>0.180887943700181</v>
      </c>
      <c r="BH115" s="101"/>
      <c r="BI115" s="314">
        <f t="shared" si="62"/>
        <v>0.10979898182601</v>
      </c>
      <c r="BJ115" s="323">
        <f t="shared" si="63"/>
        <v>-0.028</v>
      </c>
      <c r="BK115" s="324"/>
      <c r="BL115" s="2">
        <f t="shared" si="64"/>
        <v>-0.1</v>
      </c>
    </row>
    <row r="116" ht="20.1" customHeight="1" spans="24:64">
      <c r="X116" s="47" t="s">
        <v>55</v>
      </c>
      <c r="Y116" s="296">
        <f>(AF76-CJ27-$AF$81-AK76)/(CJ27+$AF$81+AK76)</f>
        <v>0.383979162433563</v>
      </c>
      <c r="Z116" s="296">
        <f>(AG76-CK27-$AG$81-AK76)/(CK27+$AG$81+AK76)</f>
        <v>0.262384005994009</v>
      </c>
      <c r="AA116" s="296">
        <f>(AH76-CL27-$AH$81-AK76)/(CL27+$AH$81+AK76)</f>
        <v>0.2727307692305</v>
      </c>
      <c r="AB116" s="296">
        <f>(AI76-CM27-$AI$81-AK76)/(CM27+$AI$81+AK76)</f>
        <v>0.301232334974117</v>
      </c>
      <c r="AC116" s="48"/>
      <c r="AR116" s="313"/>
      <c r="AS116" s="190">
        <v>10</v>
      </c>
      <c r="AT116" s="314">
        <f t="shared" si="65"/>
        <v>0.0666004905080152</v>
      </c>
      <c r="AU116" s="314">
        <f t="shared" si="66"/>
        <v>0.053034061226242</v>
      </c>
      <c r="AV116" s="314">
        <f t="shared" si="67"/>
        <v>0.0854034130202052</v>
      </c>
      <c r="AW116" s="314">
        <f t="shared" si="68"/>
        <v>0.0157399729918739</v>
      </c>
      <c r="AX116" s="190">
        <v>10</v>
      </c>
      <c r="AY116" s="314">
        <f t="shared" si="69"/>
        <v>0.0551944844365841</v>
      </c>
      <c r="AZ116" s="314">
        <f t="shared" si="59"/>
        <v>0.11565654476506</v>
      </c>
      <c r="BA116" s="314">
        <f t="shared" si="59"/>
        <v>0.0631299799922717</v>
      </c>
      <c r="BB116" s="314">
        <f t="shared" si="59"/>
        <v>-0.04186482604591</v>
      </c>
      <c r="BC116" s="314">
        <f t="shared" si="59"/>
        <v>0.0736010496107214</v>
      </c>
      <c r="BD116" s="318"/>
      <c r="BE116" s="318"/>
      <c r="BF116" s="314">
        <f t="shared" si="60"/>
        <v>0.0571822730073353</v>
      </c>
      <c r="BG116" s="314">
        <f t="shared" si="61"/>
        <v>0.265717232758727</v>
      </c>
      <c r="BH116" s="101"/>
      <c r="BI116" s="314">
        <f t="shared" si="62"/>
        <v>0.161290360284547</v>
      </c>
      <c r="BJ116" s="323">
        <f t="shared" si="63"/>
        <v>0.096</v>
      </c>
      <c r="BK116" s="324"/>
      <c r="BL116" s="2">
        <f t="shared" si="64"/>
        <v>-0.1</v>
      </c>
    </row>
    <row r="117" ht="20.1" customHeight="1" spans="24:64">
      <c r="X117" s="11" t="s">
        <v>56</v>
      </c>
      <c r="Y117" s="296">
        <f>(AF77-CJ28-$AF$81-AK77)/(CJ28+$AF$81+AK77)</f>
        <v>0.438486505400026</v>
      </c>
      <c r="Z117" s="296">
        <f>(AG77-CK28-$AG$81-AK77)/(CK28+$AG$81+AK77)</f>
        <v>0.312306556288104</v>
      </c>
      <c r="AA117" s="296">
        <f>(AH77-CL28-$AH$81-AK77)/(CL28+$AH$81+AK77)</f>
        <v>0.317120570328422</v>
      </c>
      <c r="AB117" s="296">
        <f>(AI77-CM28-$AI$81-AK77)/(CM28+$AI$81+AK77)</f>
        <v>0.346545615063222</v>
      </c>
      <c r="AC117" s="48"/>
      <c r="AR117" s="313"/>
      <c r="AS117" s="190">
        <v>11</v>
      </c>
      <c r="AT117" s="314">
        <f t="shared" si="65"/>
        <v>0.0415698235052209</v>
      </c>
      <c r="AU117" s="314">
        <f t="shared" si="66"/>
        <v>0.0619104460814477</v>
      </c>
      <c r="AV117" s="314">
        <f t="shared" si="67"/>
        <v>-0.0548642229893448</v>
      </c>
      <c r="AW117" s="314">
        <f t="shared" si="68"/>
        <v>0.0618786520440807</v>
      </c>
      <c r="AX117" s="190">
        <v>11</v>
      </c>
      <c r="AY117" s="314">
        <f t="shared" si="69"/>
        <v>0.0276236746603511</v>
      </c>
      <c r="AZ117" s="314">
        <f t="shared" si="59"/>
        <v>0.125445097557579</v>
      </c>
      <c r="BA117" s="314">
        <f t="shared" si="59"/>
        <v>0.19506420438753</v>
      </c>
      <c r="BB117" s="314">
        <f t="shared" si="59"/>
        <v>0.197994176473417</v>
      </c>
      <c r="BC117" s="314">
        <f t="shared" si="59"/>
        <v>0.0876264541670844</v>
      </c>
      <c r="BD117" s="318"/>
      <c r="BE117" s="318"/>
      <c r="BF117" s="314">
        <f t="shared" si="60"/>
        <v>0.474977858981387</v>
      </c>
      <c r="BG117" s="314">
        <f t="shared" si="61"/>
        <v>0.633753607245961</v>
      </c>
      <c r="BH117" s="101"/>
      <c r="BI117" s="314">
        <f t="shared" si="62"/>
        <v>0.384688439598298</v>
      </c>
      <c r="BJ117" s="323">
        <f t="shared" si="63"/>
        <v>0.573</v>
      </c>
      <c r="BK117" s="324"/>
      <c r="BL117" s="2">
        <f t="shared" si="64"/>
        <v>-0.1</v>
      </c>
    </row>
    <row r="118" ht="20.1" customHeight="1" spans="24:64">
      <c r="X118" s="11" t="s">
        <v>57</v>
      </c>
      <c r="Y118" s="296">
        <f>(AF78-CJ29-$AF$81-AK78)/(CJ29+$AF$81+AK78)</f>
        <v>0.34901192534175</v>
      </c>
      <c r="Z118" s="296">
        <f>(AG78-CK29-$AG$81-AK78)/(CK29+$AG$81+AK78)</f>
        <v>0.239789311281127</v>
      </c>
      <c r="AA118" s="296">
        <f>(AH78-CL29-$AH$81-AK78)/(CL29+$AH$81+AK78)</f>
        <v>0.255331069717452</v>
      </c>
      <c r="AB118" s="296">
        <f>(AI78-CM29-$AI$81-AK78)/(CM29+$AI$81+AK78)</f>
        <v>0.290416899815989</v>
      </c>
      <c r="AC118" s="48"/>
      <c r="AR118" s="313"/>
      <c r="AS118" s="190">
        <v>12</v>
      </c>
      <c r="AT118" s="314">
        <f t="shared" si="65"/>
        <v>-0.110350063732239</v>
      </c>
      <c r="AU118" s="314">
        <f t="shared" si="66"/>
        <v>-0.024670756917956</v>
      </c>
      <c r="AV118" s="314">
        <f t="shared" si="67"/>
        <v>0.114972533190169</v>
      </c>
      <c r="AW118" s="314">
        <f t="shared" si="68"/>
        <v>-0.134094338070557</v>
      </c>
      <c r="AX118" s="190">
        <v>12</v>
      </c>
      <c r="AY118" s="314">
        <f t="shared" si="69"/>
        <v>-0.038535656382646</v>
      </c>
      <c r="AZ118" s="314">
        <f t="shared" si="59"/>
        <v>-0.0460070148729945</v>
      </c>
      <c r="BA118" s="314">
        <f t="shared" si="59"/>
        <v>-0.018908568611563</v>
      </c>
      <c r="BB118" s="314">
        <f t="shared" si="59"/>
        <v>-0.04186482604591</v>
      </c>
      <c r="BC118" s="314">
        <f t="shared" si="59"/>
        <v>0.0466006895139322</v>
      </c>
      <c r="BD118" s="318"/>
      <c r="BE118" s="318"/>
      <c r="BF118" s="314">
        <f t="shared" si="60"/>
        <v>0.205799396168539</v>
      </c>
      <c r="BG118" s="314">
        <f t="shared" si="61"/>
        <v>-0.0987153763991813</v>
      </c>
      <c r="BH118" s="101"/>
      <c r="BI118" s="314">
        <f t="shared" si="62"/>
        <v>-0.0599202334743031</v>
      </c>
      <c r="BJ118" s="323">
        <f t="shared" si="63"/>
        <v>0.065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>
        <f>(AF79-CJ30-$AF$81-AK79)/(CJ30+$AF$81+AK79)</f>
        <v>0.329854649481504</v>
      </c>
      <c r="Z119" s="296">
        <f>(AG79-CK30-$AG$81-AK79)/(CK30+$AG$81+AK79)</f>
        <v>0.232393889713933</v>
      </c>
      <c r="AA119" s="296">
        <f>(AH79-CL30-$AH$81-AK79)/(CL30+$AH$81+AK79)</f>
        <v>0.248253966079613</v>
      </c>
      <c r="AB119" s="296">
        <f>(AI79-CM30-$AI$81-AK79)/(CM30+$AI$81+AK79)</f>
        <v>0.287927890575246</v>
      </c>
      <c r="AC119" s="297"/>
      <c r="AR119" s="313"/>
      <c r="AS119" s="190">
        <v>13</v>
      </c>
      <c r="AT119" s="314">
        <f t="shared" si="65"/>
        <v>0.0790992393489929</v>
      </c>
      <c r="AU119" s="314">
        <f t="shared" si="66"/>
        <v>0.258292087346869</v>
      </c>
      <c r="AV119" s="314">
        <f t="shared" si="67"/>
        <v>0.0451142866414901</v>
      </c>
      <c r="AW119" s="314">
        <f t="shared" si="68"/>
        <v>-0.0441532887317511</v>
      </c>
      <c r="AX119" s="190">
        <v>13</v>
      </c>
      <c r="AY119" s="314">
        <f t="shared" si="69"/>
        <v>0.0845880811514002</v>
      </c>
      <c r="AZ119" s="314">
        <f t="shared" si="59"/>
        <v>0.104552219544848</v>
      </c>
      <c r="BA119" s="314">
        <f t="shared" si="59"/>
        <v>0.0686143005671708</v>
      </c>
      <c r="BB119" s="314">
        <f t="shared" si="59"/>
        <v>-0.0410861621930465</v>
      </c>
      <c r="BC119" s="314">
        <f t="shared" si="59"/>
        <v>0.0756002225011808</v>
      </c>
      <c r="BD119" s="318"/>
      <c r="BE119" s="318"/>
      <c r="BF119" s="314">
        <f t="shared" si="60"/>
        <v>0.0932338095981337</v>
      </c>
      <c r="BG119" s="314">
        <f t="shared" si="61"/>
        <v>0.292268661571553</v>
      </c>
      <c r="BH119" s="101"/>
      <c r="BI119" s="314">
        <f t="shared" si="62"/>
        <v>0.177407077573933</v>
      </c>
      <c r="BJ119" s="323">
        <f t="shared" si="63"/>
        <v>0.134</v>
      </c>
      <c r="BK119" s="324"/>
      <c r="BL119" s="2">
        <f t="shared" si="64"/>
        <v>-0.1</v>
      </c>
    </row>
    <row r="120" ht="20.1" customHeight="1" spans="44:64">
      <c r="AR120" s="313"/>
      <c r="AS120" s="190">
        <v>14</v>
      </c>
      <c r="AT120" s="314">
        <f t="shared" si="65"/>
        <v>0.166657497039876</v>
      </c>
      <c r="AU120" s="314">
        <f t="shared" si="66"/>
        <v>0.0147046994856646</v>
      </c>
      <c r="AV120" s="314">
        <f t="shared" si="67"/>
        <v>-0.15099959690288</v>
      </c>
      <c r="AW120" s="314">
        <f t="shared" si="68"/>
        <v>0.0462333528924887</v>
      </c>
      <c r="AX120" s="190">
        <v>14</v>
      </c>
      <c r="AY120" s="314">
        <f t="shared" si="69"/>
        <v>0.0191489881287874</v>
      </c>
      <c r="AZ120" s="314">
        <f t="shared" si="59"/>
        <v>0.0225165526941039</v>
      </c>
      <c r="BA120" s="314">
        <f t="shared" si="59"/>
        <v>-0.121477296940339</v>
      </c>
      <c r="BB120" s="314">
        <f t="shared" si="59"/>
        <v>-0.04186482604591</v>
      </c>
      <c r="BC120" s="314">
        <f t="shared" si="59"/>
        <v>-0.00557179331856487</v>
      </c>
      <c r="BD120" s="318"/>
      <c r="BE120" s="318"/>
      <c r="BF120" s="314">
        <f t="shared" si="60"/>
        <v>-0.18906134445218</v>
      </c>
      <c r="BG120" s="314">
        <f t="shared" si="61"/>
        <v>-0.127248375481922</v>
      </c>
      <c r="BH120" s="101"/>
      <c r="BI120" s="314">
        <f t="shared" si="62"/>
        <v>-0.0772397639175268</v>
      </c>
      <c r="BJ120" s="323">
        <f t="shared" si="63"/>
        <v>-0.292</v>
      </c>
      <c r="BK120" s="324"/>
      <c r="BL120" s="2">
        <f t="shared" si="64"/>
        <v>-0.1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>
        <f t="shared" si="65"/>
        <v>-0.178165308813036</v>
      </c>
      <c r="AU121" s="314">
        <f t="shared" si="66"/>
        <v>-0.174552942489884</v>
      </c>
      <c r="AV121" s="314">
        <f t="shared" si="67"/>
        <v>-0.11130064140257</v>
      </c>
      <c r="AW121" s="314">
        <f t="shared" si="68"/>
        <v>-0.0978449635415585</v>
      </c>
      <c r="AX121" s="190">
        <v>15</v>
      </c>
      <c r="AY121" s="314">
        <f t="shared" si="69"/>
        <v>-0.140465964061762</v>
      </c>
      <c r="AZ121" s="314">
        <f t="shared" si="59"/>
        <v>-0.168228730104136</v>
      </c>
      <c r="BA121" s="314">
        <f t="shared" si="59"/>
        <v>-0.161277945217319</v>
      </c>
      <c r="BB121" s="314">
        <f t="shared" si="59"/>
        <v>-0.04186482604591</v>
      </c>
      <c r="BC121" s="314">
        <f t="shared" si="59"/>
        <v>-0.251900853324162</v>
      </c>
      <c r="BD121" s="318"/>
      <c r="BE121" s="318"/>
      <c r="BF121" s="314">
        <f t="shared" si="60"/>
        <v>-1.03692065982991</v>
      </c>
      <c r="BG121" s="314">
        <f t="shared" si="61"/>
        <v>-0.76373831875329</v>
      </c>
      <c r="BH121" s="101"/>
      <c r="BI121" s="314">
        <f t="shared" si="62"/>
        <v>-0.463589159483247</v>
      </c>
      <c r="BJ121" s="323">
        <f t="shared" si="63"/>
        <v>-1.193</v>
      </c>
      <c r="BK121" s="324"/>
      <c r="BL121" s="2">
        <f t="shared" si="64"/>
        <v>-0.1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0.05</v>
      </c>
      <c r="Z122" s="299">
        <f>IF(1-(($AH$18-1)*Z125/10+0.95+(H43-0.95)*Z124)&gt;0,1-(($AH$18-1)*Z125/10+0.95+(H43-0.95)*Z124),0)</f>
        <v>0.05</v>
      </c>
      <c r="AA122" s="299">
        <f>1-(($AH$18-1)*AA125/10+0.95+(H44-0.95)*AA124)</f>
        <v>0.05</v>
      </c>
      <c r="AB122" s="299">
        <f>1-(($AH$18-1)*AB125/10+0.95+(H45-0.95)*AB124)</f>
        <v>0.05</v>
      </c>
      <c r="AR122" s="313"/>
      <c r="AS122" s="190">
        <v>16</v>
      </c>
      <c r="AT122" s="314">
        <f t="shared" si="65"/>
        <v>-0.0650889462721127</v>
      </c>
      <c r="AU122" s="314">
        <f t="shared" si="66"/>
        <v>-0.117558599999121</v>
      </c>
      <c r="AV122" s="314">
        <f t="shared" si="67"/>
        <v>-0.0429079325014001</v>
      </c>
      <c r="AW122" s="314">
        <f t="shared" si="68"/>
        <v>0.0143722367508053</v>
      </c>
      <c r="AX122" s="190">
        <v>16</v>
      </c>
      <c r="AY122" s="314">
        <f t="shared" si="69"/>
        <v>-0.0527958105054572</v>
      </c>
      <c r="AZ122" s="314">
        <f t="shared" si="59"/>
        <v>0.00362968778689107</v>
      </c>
      <c r="BA122" s="314">
        <f t="shared" si="59"/>
        <v>0.102407977822757</v>
      </c>
      <c r="BB122" s="314">
        <f t="shared" si="59"/>
        <v>-0.04186482604591</v>
      </c>
      <c r="BC122" s="314">
        <f t="shared" si="59"/>
        <v>0.0864599710141175</v>
      </c>
      <c r="BD122" s="318"/>
      <c r="BE122" s="318"/>
      <c r="BF122" s="314">
        <f t="shared" si="60"/>
        <v>0.381569919202725</v>
      </c>
      <c r="BG122" s="314">
        <f t="shared" si="61"/>
        <v>0.0978370000723985</v>
      </c>
      <c r="BH122" s="101"/>
      <c r="BI122" s="314">
        <f t="shared" si="62"/>
        <v>0.0593870590439459</v>
      </c>
      <c r="BJ122" s="323">
        <f t="shared" si="63"/>
        <v>0.191</v>
      </c>
      <c r="BK122" s="324"/>
      <c r="BL122" s="2">
        <f t="shared" si="64"/>
        <v>-0.1</v>
      </c>
    </row>
    <row r="123" ht="20.1" customHeight="1" spans="24:64">
      <c r="X123" s="282" t="s">
        <v>113</v>
      </c>
      <c r="Y123" s="299">
        <f>1-Y122</f>
        <v>0.95</v>
      </c>
      <c r="Z123" s="299">
        <f>1-Z122</f>
        <v>0.95</v>
      </c>
      <c r="AA123" s="299">
        <f>1-AA122</f>
        <v>0.95</v>
      </c>
      <c r="AB123" s="299">
        <f>1-AB122</f>
        <v>0.95</v>
      </c>
      <c r="AR123" s="313"/>
      <c r="AS123" s="190">
        <v>17</v>
      </c>
      <c r="AT123" s="314">
        <f t="shared" si="65"/>
        <v>0.224914037994517</v>
      </c>
      <c r="AU123" s="314">
        <f t="shared" si="66"/>
        <v>0.0297099089294787</v>
      </c>
      <c r="AV123" s="314">
        <f t="shared" si="67"/>
        <v>-0.0751176176276832</v>
      </c>
      <c r="AW123" s="314">
        <f t="shared" si="68"/>
        <v>-0.0526088325420516</v>
      </c>
      <c r="AX123" s="190">
        <v>17</v>
      </c>
      <c r="AY123" s="314">
        <f t="shared" si="69"/>
        <v>0.0317243741885652</v>
      </c>
      <c r="AZ123" s="314">
        <f t="shared" si="59"/>
        <v>-0.0471791609272007</v>
      </c>
      <c r="BA123" s="314">
        <f t="shared" si="59"/>
        <v>-0.114036956853353</v>
      </c>
      <c r="BB123" s="314">
        <f t="shared" si="59"/>
        <v>-0.04186482604591</v>
      </c>
      <c r="BC123" s="314">
        <f t="shared" si="59"/>
        <v>0.0152573339914584</v>
      </c>
      <c r="BD123" s="318"/>
      <c r="BE123" s="318"/>
      <c r="BF123" s="314">
        <f t="shared" si="60"/>
        <v>-0.0514790180603146</v>
      </c>
      <c r="BG123" s="314">
        <f t="shared" si="61"/>
        <v>-0.15609923564644</v>
      </c>
      <c r="BH123" s="101"/>
      <c r="BI123" s="314">
        <f t="shared" si="62"/>
        <v>-0.0947522360373891</v>
      </c>
      <c r="BJ123" s="323">
        <f t="shared" si="63"/>
        <v>-0.226</v>
      </c>
      <c r="BK123" s="324"/>
      <c r="BL123" s="2">
        <f t="shared" si="64"/>
        <v>-0.1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>
        <f t="shared" si="65"/>
        <v>0.253559317576629</v>
      </c>
      <c r="AU124" s="314">
        <f t="shared" si="66"/>
        <v>0.090571144570535</v>
      </c>
      <c r="AV124" s="314">
        <f t="shared" si="67"/>
        <v>-0.141409570911466</v>
      </c>
      <c r="AW124" s="314">
        <f t="shared" si="68"/>
        <v>0.200030036287826</v>
      </c>
      <c r="AX124" s="190">
        <v>18</v>
      </c>
      <c r="AY124" s="314">
        <f t="shared" si="69"/>
        <v>0.100687731880881</v>
      </c>
      <c r="AZ124" s="314">
        <f t="shared" si="59"/>
        <v>-0.0338748304853676</v>
      </c>
      <c r="BA124" s="314">
        <f t="shared" si="59"/>
        <v>-0.149840612720372</v>
      </c>
      <c r="BB124" s="314">
        <f t="shared" si="59"/>
        <v>-0.0121533515077939</v>
      </c>
      <c r="BC124" s="314">
        <f t="shared" si="59"/>
        <v>-0.00276162581313142</v>
      </c>
      <c r="BD124" s="318"/>
      <c r="BE124" s="318"/>
      <c r="BF124" s="314">
        <f t="shared" si="60"/>
        <v>-0.139289601304793</v>
      </c>
      <c r="BG124" s="314">
        <f t="shared" si="61"/>
        <v>-0.0979426886457839</v>
      </c>
      <c r="BH124" s="101"/>
      <c r="BI124" s="314">
        <f t="shared" si="62"/>
        <v>-0.0594512120079908</v>
      </c>
      <c r="BJ124" s="323">
        <f t="shared" si="63"/>
        <v>-0.244</v>
      </c>
      <c r="BK124" s="324"/>
      <c r="BL124" s="2">
        <f t="shared" si="64"/>
        <v>-0.1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>
        <f t="shared" si="65"/>
        <v>-0.143023508210981</v>
      </c>
      <c r="AU125" s="314">
        <f t="shared" si="66"/>
        <v>-0.123439574617682</v>
      </c>
      <c r="AV125" s="314">
        <f t="shared" si="67"/>
        <v>-0.143090286053602</v>
      </c>
      <c r="AW125" s="314">
        <f t="shared" si="68"/>
        <v>-0.136589396886768</v>
      </c>
      <c r="AX125" s="190">
        <v>19</v>
      </c>
      <c r="AY125" s="314">
        <f t="shared" si="69"/>
        <v>-0.136535691442258</v>
      </c>
      <c r="AZ125" s="314">
        <f t="shared" si="59"/>
        <v>-0.14044269891217</v>
      </c>
      <c r="BA125" s="314">
        <f t="shared" si="59"/>
        <v>-0.161277945217319</v>
      </c>
      <c r="BB125" s="314">
        <f t="shared" si="59"/>
        <v>-0.04186482604591</v>
      </c>
      <c r="BC125" s="314">
        <f t="shared" si="59"/>
        <v>-0.0450555602360751</v>
      </c>
      <c r="BD125" s="318"/>
      <c r="BE125" s="318"/>
      <c r="BF125" s="314">
        <f t="shared" si="60"/>
        <v>-0.338085222133088</v>
      </c>
      <c r="BG125" s="314">
        <f t="shared" si="61"/>
        <v>-0.525176721853733</v>
      </c>
      <c r="BH125" s="101"/>
      <c r="BI125" s="314">
        <f t="shared" si="62"/>
        <v>-0.318782270165216</v>
      </c>
      <c r="BJ125" s="323">
        <f t="shared" si="63"/>
        <v>-0.524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-0.1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102</v>
      </c>
      <c r="AC130" s="338">
        <f>AF65</f>
        <v>101</v>
      </c>
      <c r="AD130" s="338">
        <f>AF66</f>
        <v>141</v>
      </c>
      <c r="AE130" s="338">
        <f>AF67</f>
        <v>142</v>
      </c>
      <c r="AH130" s="101"/>
      <c r="AI130" s="101"/>
      <c r="AJ130" s="101"/>
      <c r="AK130" s="101"/>
      <c r="AL130" s="338">
        <f>AG64</f>
        <v>117</v>
      </c>
      <c r="AM130" s="338">
        <f>AG65</f>
        <v>110</v>
      </c>
      <c r="AN130" s="338">
        <f>AG66</f>
        <v>165</v>
      </c>
      <c r="AO130" s="338">
        <f>AG67</f>
        <v>160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3388</v>
      </c>
      <c r="Y131" s="335">
        <f t="shared" si="70"/>
        <v>3388</v>
      </c>
      <c r="Z131" s="335">
        <f t="shared" si="70"/>
        <v>3688</v>
      </c>
      <c r="AA131" s="335">
        <f t="shared" si="70"/>
        <v>3688</v>
      </c>
      <c r="AB131" s="339">
        <f t="shared" ref="AB131:AE150" si="71">INT(Y$232*D73+0.5)</f>
        <v>71</v>
      </c>
      <c r="AC131" s="339">
        <f t="shared" si="71"/>
        <v>75</v>
      </c>
      <c r="AD131" s="339">
        <f t="shared" si="71"/>
        <v>108</v>
      </c>
      <c r="AE131" s="339">
        <f t="shared" si="71"/>
        <v>125</v>
      </c>
      <c r="AF131" s="334" t="s">
        <v>403</v>
      </c>
      <c r="AG131" s="11">
        <v>1</v>
      </c>
      <c r="AH131" s="340">
        <f t="shared" ref="AH131:AK150" si="72">H50</f>
        <v>6688</v>
      </c>
      <c r="AI131" s="340">
        <f t="shared" si="72"/>
        <v>6688</v>
      </c>
      <c r="AJ131" s="340">
        <f t="shared" si="72"/>
        <v>7388</v>
      </c>
      <c r="AK131" s="340">
        <f t="shared" si="72"/>
        <v>7388</v>
      </c>
      <c r="AL131" s="341">
        <f t="shared" ref="AL131:AO150" si="73">INT(AC$232*H73+0.5)</f>
        <v>57</v>
      </c>
      <c r="AM131" s="341">
        <f t="shared" si="73"/>
        <v>59</v>
      </c>
      <c r="AN131" s="341">
        <f t="shared" si="73"/>
        <v>52</v>
      </c>
      <c r="AO131" s="341">
        <f t="shared" si="73"/>
        <v>60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3199</v>
      </c>
      <c r="Y132" s="335">
        <f t="shared" si="70"/>
        <v>3199</v>
      </c>
      <c r="Z132" s="335">
        <f t="shared" si="70"/>
        <v>3499</v>
      </c>
      <c r="AA132" s="335">
        <f t="shared" si="70"/>
        <v>3499</v>
      </c>
      <c r="AB132" s="339">
        <f t="shared" si="71"/>
        <v>40</v>
      </c>
      <c r="AC132" s="339">
        <f t="shared" si="71"/>
        <v>41</v>
      </c>
      <c r="AD132" s="339">
        <f t="shared" si="71"/>
        <v>54</v>
      </c>
      <c r="AE132" s="339">
        <f t="shared" si="71"/>
        <v>74</v>
      </c>
      <c r="AF132" s="336"/>
      <c r="AG132" s="11">
        <v>2</v>
      </c>
      <c r="AH132" s="340">
        <f t="shared" si="72"/>
        <v>6499</v>
      </c>
      <c r="AI132" s="340">
        <f t="shared" si="72"/>
        <v>6499</v>
      </c>
      <c r="AJ132" s="340">
        <f t="shared" si="72"/>
        <v>6699</v>
      </c>
      <c r="AK132" s="340">
        <f t="shared" si="72"/>
        <v>6699</v>
      </c>
      <c r="AL132" s="341">
        <f t="shared" si="73"/>
        <v>53</v>
      </c>
      <c r="AM132" s="341">
        <f t="shared" si="73"/>
        <v>55</v>
      </c>
      <c r="AN132" s="341">
        <f t="shared" si="73"/>
        <v>52</v>
      </c>
      <c r="AO132" s="341">
        <f t="shared" si="73"/>
        <v>52</v>
      </c>
      <c r="AR132" s="190">
        <v>1</v>
      </c>
      <c r="AS132" s="345">
        <f>IF(F95="","",F95)</f>
        <v>986029.26</v>
      </c>
      <c r="AT132" s="346">
        <f>IF(G95="","",G95)</f>
        <v>345240.2</v>
      </c>
      <c r="AU132" s="346">
        <f>IF(H95="","",H95)</f>
        <v>0</v>
      </c>
      <c r="AV132" s="346">
        <f>IF(J95="","",J95)</f>
        <v>15720707.2</v>
      </c>
      <c r="AW132" s="350"/>
      <c r="AX132" s="155"/>
      <c r="AY132" s="346">
        <f>IF(AU132="","",AU132+AX132)</f>
        <v>0</v>
      </c>
      <c r="AZ132" s="346">
        <f>IF(AV132="","",AV132-AX132)</f>
        <v>15720707.2</v>
      </c>
      <c r="BA132" s="190">
        <v>1</v>
      </c>
      <c r="BB132" s="351">
        <f t="shared" ref="BB132:BC151" si="74">(AY132-AY$153)/AY$178*BB$130</f>
        <v>-0.04186482604591</v>
      </c>
      <c r="BC132" s="318">
        <f t="shared" si="74"/>
        <v>0.0977882401734486</v>
      </c>
      <c r="BD132" s="352">
        <f t="shared" ref="BD132:BD151" si="75">BB132+BC132</f>
        <v>0.0559234141275385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3150</v>
      </c>
      <c r="Y133" s="335">
        <f t="shared" si="70"/>
        <v>3200</v>
      </c>
      <c r="Z133" s="335">
        <f t="shared" si="70"/>
        <v>3400</v>
      </c>
      <c r="AA133" s="335">
        <f t="shared" si="70"/>
        <v>3400</v>
      </c>
      <c r="AB133" s="339">
        <f t="shared" si="71"/>
        <v>102</v>
      </c>
      <c r="AC133" s="339">
        <f t="shared" si="71"/>
        <v>87</v>
      </c>
      <c r="AD133" s="339">
        <f t="shared" si="71"/>
        <v>145</v>
      </c>
      <c r="AE133" s="339">
        <f t="shared" si="71"/>
        <v>159</v>
      </c>
      <c r="AF133" s="336"/>
      <c r="AG133" s="11">
        <v>3</v>
      </c>
      <c r="AH133" s="340">
        <f t="shared" si="72"/>
        <v>6550</v>
      </c>
      <c r="AI133" s="340">
        <f t="shared" si="72"/>
        <v>6500</v>
      </c>
      <c r="AJ133" s="340">
        <f t="shared" si="72"/>
        <v>7000</v>
      </c>
      <c r="AK133" s="340">
        <f t="shared" si="72"/>
        <v>7100</v>
      </c>
      <c r="AL133" s="341">
        <f t="shared" si="73"/>
        <v>43</v>
      </c>
      <c r="AM133" s="341">
        <f t="shared" si="73"/>
        <v>43</v>
      </c>
      <c r="AN133" s="341">
        <f t="shared" si="73"/>
        <v>51</v>
      </c>
      <c r="AO133" s="341">
        <f t="shared" si="73"/>
        <v>47</v>
      </c>
      <c r="AR133" s="190">
        <v>2</v>
      </c>
      <c r="AS133" s="346">
        <f t="shared" ref="AS133:AU148" si="76">IF(F96="","",F96)</f>
        <v>738454.95</v>
      </c>
      <c r="AT133" s="346">
        <f t="shared" si="76"/>
        <v>95833.49</v>
      </c>
      <c r="AU133" s="346">
        <f t="shared" si="76"/>
        <v>0</v>
      </c>
      <c r="AV133" s="346">
        <f t="shared" ref="AV133:AV151" si="77">IF(J96="","",J96)</f>
        <v>14976069.32</v>
      </c>
      <c r="AX133" s="155"/>
      <c r="AY133" s="346">
        <f t="shared" ref="AY133:AY151" si="78">IF(AU133="","",AU133+AX133)</f>
        <v>0</v>
      </c>
      <c r="AZ133" s="346">
        <f t="shared" ref="AZ133:AZ151" si="79">IF(AV133="","",AV133-AX133)</f>
        <v>14976069.32</v>
      </c>
      <c r="BA133" s="190">
        <v>2</v>
      </c>
      <c r="BB133" s="351">
        <f t="shared" si="74"/>
        <v>-0.04186482604591</v>
      </c>
      <c r="BC133" s="318">
        <f t="shared" si="74"/>
        <v>0.0260710687348212</v>
      </c>
      <c r="BD133" s="352">
        <f t="shared" si="75"/>
        <v>-0.0157937573110888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3350</v>
      </c>
      <c r="Y134" s="335">
        <f t="shared" si="70"/>
        <v>3350</v>
      </c>
      <c r="Z134" s="335">
        <f t="shared" si="70"/>
        <v>3550</v>
      </c>
      <c r="AA134" s="335">
        <f t="shared" si="70"/>
        <v>3550</v>
      </c>
      <c r="AB134" s="339">
        <f t="shared" si="71"/>
        <v>92</v>
      </c>
      <c r="AC134" s="339">
        <f t="shared" si="71"/>
        <v>97</v>
      </c>
      <c r="AD134" s="339">
        <f t="shared" si="71"/>
        <v>136</v>
      </c>
      <c r="AE134" s="339">
        <f t="shared" si="71"/>
        <v>162</v>
      </c>
      <c r="AF134" s="336"/>
      <c r="AG134" s="11">
        <v>4</v>
      </c>
      <c r="AH134" s="340">
        <f t="shared" si="72"/>
        <v>6750</v>
      </c>
      <c r="AI134" s="340">
        <f t="shared" si="72"/>
        <v>6750</v>
      </c>
      <c r="AJ134" s="340">
        <f t="shared" si="72"/>
        <v>7100</v>
      </c>
      <c r="AK134" s="340">
        <f t="shared" si="72"/>
        <v>7150</v>
      </c>
      <c r="AL134" s="341">
        <f t="shared" si="73"/>
        <v>48</v>
      </c>
      <c r="AM134" s="341">
        <f t="shared" si="73"/>
        <v>48</v>
      </c>
      <c r="AN134" s="341">
        <f t="shared" si="73"/>
        <v>48</v>
      </c>
      <c r="AO134" s="341">
        <f t="shared" si="73"/>
        <v>58</v>
      </c>
      <c r="AR134" s="190">
        <v>3</v>
      </c>
      <c r="AS134" s="346">
        <f t="shared" si="76"/>
        <v>1068704.31</v>
      </c>
      <c r="AT134" s="346">
        <f t="shared" si="76"/>
        <v>240533.83</v>
      </c>
      <c r="AU134" s="346">
        <f t="shared" si="76"/>
        <v>26129</v>
      </c>
      <c r="AV134" s="346">
        <f t="shared" si="77"/>
        <v>15386006.51</v>
      </c>
      <c r="AX134" s="155"/>
      <c r="AY134" s="346">
        <f t="shared" si="78"/>
        <v>26129</v>
      </c>
      <c r="AZ134" s="346">
        <f t="shared" si="79"/>
        <v>15386006.51</v>
      </c>
      <c r="BA134" s="190">
        <v>3</v>
      </c>
      <c r="BB134" s="351">
        <f t="shared" si="74"/>
        <v>-0.0223091668653347</v>
      </c>
      <c r="BC134" s="318">
        <f t="shared" si="74"/>
        <v>0.0655527235417176</v>
      </c>
      <c r="BD134" s="352">
        <f t="shared" si="75"/>
        <v>0.0432435566763829</v>
      </c>
    </row>
    <row r="135" ht="20.1" customHeight="1" spans="22:56">
      <c r="V135" s="336"/>
      <c r="W135" s="11">
        <v>5</v>
      </c>
      <c r="X135" s="335">
        <f t="shared" si="70"/>
        <v>3425</v>
      </c>
      <c r="Y135" s="335">
        <f t="shared" si="70"/>
        <v>3425</v>
      </c>
      <c r="Z135" s="335">
        <f t="shared" si="70"/>
        <v>3530</v>
      </c>
      <c r="AA135" s="335">
        <f t="shared" si="70"/>
        <v>3580</v>
      </c>
      <c r="AB135" s="339">
        <f t="shared" si="71"/>
        <v>74</v>
      </c>
      <c r="AC135" s="339">
        <f t="shared" si="71"/>
        <v>78</v>
      </c>
      <c r="AD135" s="339">
        <f t="shared" si="71"/>
        <v>124</v>
      </c>
      <c r="AE135" s="339">
        <f t="shared" si="71"/>
        <v>131</v>
      </c>
      <c r="AF135" s="336"/>
      <c r="AG135" s="11">
        <v>5</v>
      </c>
      <c r="AH135" s="340">
        <f t="shared" si="72"/>
        <v>6500</v>
      </c>
      <c r="AI135" s="340">
        <f t="shared" si="72"/>
        <v>6500</v>
      </c>
      <c r="AJ135" s="340">
        <f t="shared" si="72"/>
        <v>6650</v>
      </c>
      <c r="AK135" s="340">
        <f t="shared" si="72"/>
        <v>7050</v>
      </c>
      <c r="AL135" s="341">
        <f t="shared" si="73"/>
        <v>67</v>
      </c>
      <c r="AM135" s="341">
        <f t="shared" si="73"/>
        <v>67</v>
      </c>
      <c r="AN135" s="341">
        <f t="shared" si="73"/>
        <v>115</v>
      </c>
      <c r="AO135" s="341">
        <f t="shared" si="73"/>
        <v>86</v>
      </c>
      <c r="AR135" s="190">
        <v>4</v>
      </c>
      <c r="AS135" s="346">
        <f t="shared" si="76"/>
        <v>804166.05</v>
      </c>
      <c r="AT135" s="346">
        <f t="shared" si="76"/>
        <v>242827.5</v>
      </c>
      <c r="AU135" s="346">
        <f t="shared" si="76"/>
        <v>10000</v>
      </c>
      <c r="AV135" s="346">
        <f t="shared" si="77"/>
        <v>15406818.94</v>
      </c>
      <c r="AX135" s="155"/>
      <c r="AY135" s="346">
        <f t="shared" si="78"/>
        <v>10000</v>
      </c>
      <c r="AZ135" s="346">
        <f t="shared" si="79"/>
        <v>15406818.94</v>
      </c>
      <c r="BA135" s="190">
        <v>4</v>
      </c>
      <c r="BB135" s="351">
        <f t="shared" si="74"/>
        <v>-0.0343805521814011</v>
      </c>
      <c r="BC135" s="318">
        <f t="shared" si="74"/>
        <v>0.0675571993419071</v>
      </c>
      <c r="BD135" s="352">
        <f t="shared" si="75"/>
        <v>0.033176647160506</v>
      </c>
    </row>
    <row r="136" ht="20.1" customHeight="1" spans="22:56">
      <c r="V136" s="336"/>
      <c r="W136" s="11">
        <v>6</v>
      </c>
      <c r="X136" s="335">
        <f t="shared" si="70"/>
        <v>3700</v>
      </c>
      <c r="Y136" s="335">
        <f t="shared" si="70"/>
        <v>3700</v>
      </c>
      <c r="Z136" s="335">
        <f t="shared" si="70"/>
        <v>4000</v>
      </c>
      <c r="AA136" s="335">
        <f t="shared" si="70"/>
        <v>4000</v>
      </c>
      <c r="AB136" s="339">
        <f t="shared" si="71"/>
        <v>17</v>
      </c>
      <c r="AC136" s="339">
        <f t="shared" si="71"/>
        <v>17</v>
      </c>
      <c r="AD136" s="339">
        <f t="shared" si="71"/>
        <v>24</v>
      </c>
      <c r="AE136" s="339">
        <f t="shared" si="71"/>
        <v>27</v>
      </c>
      <c r="AF136" s="336"/>
      <c r="AG136" s="11">
        <v>6</v>
      </c>
      <c r="AH136" s="340">
        <f t="shared" si="72"/>
        <v>6521</v>
      </c>
      <c r="AI136" s="340">
        <f t="shared" si="72"/>
        <v>6999</v>
      </c>
      <c r="AJ136" s="340">
        <f t="shared" si="72"/>
        <v>6999</v>
      </c>
      <c r="AK136" s="340">
        <f t="shared" si="72"/>
        <v>6521</v>
      </c>
      <c r="AL136" s="341">
        <f t="shared" si="73"/>
        <v>0</v>
      </c>
      <c r="AM136" s="341">
        <f t="shared" si="73"/>
        <v>15</v>
      </c>
      <c r="AN136" s="341">
        <f t="shared" si="73"/>
        <v>0</v>
      </c>
      <c r="AO136" s="341">
        <f t="shared" si="73"/>
        <v>0</v>
      </c>
      <c r="AR136" s="190">
        <v>5</v>
      </c>
      <c r="AS136" s="346">
        <f t="shared" si="76"/>
        <v>1084843.71</v>
      </c>
      <c r="AT136" s="346">
        <f t="shared" si="76"/>
        <v>456015.33</v>
      </c>
      <c r="AU136" s="346">
        <f t="shared" si="76"/>
        <v>0</v>
      </c>
      <c r="AV136" s="346">
        <f t="shared" si="77"/>
        <v>16041913.3</v>
      </c>
      <c r="AX136" s="155"/>
      <c r="AY136" s="346">
        <f t="shared" si="78"/>
        <v>0</v>
      </c>
      <c r="AZ136" s="346">
        <f t="shared" si="79"/>
        <v>16041913.3</v>
      </c>
      <c r="BA136" s="190">
        <v>5</v>
      </c>
      <c r="BB136" s="351">
        <f t="shared" si="74"/>
        <v>-0.04186482604591</v>
      </c>
      <c r="BC136" s="318">
        <f t="shared" si="74"/>
        <v>0.128724072958148</v>
      </c>
      <c r="BD136" s="352">
        <f t="shared" si="75"/>
        <v>0.0868592469122379</v>
      </c>
    </row>
    <row r="137" ht="20.1" customHeight="1" spans="22:56">
      <c r="V137" s="336"/>
      <c r="W137" s="11">
        <v>7</v>
      </c>
      <c r="X137" s="335">
        <f t="shared" si="70"/>
        <v>3499</v>
      </c>
      <c r="Y137" s="335">
        <f t="shared" si="70"/>
        <v>3499</v>
      </c>
      <c r="Z137" s="335">
        <f t="shared" si="70"/>
        <v>3659</v>
      </c>
      <c r="AA137" s="335">
        <f t="shared" si="70"/>
        <v>3659</v>
      </c>
      <c r="AB137" s="339">
        <f t="shared" si="71"/>
        <v>36</v>
      </c>
      <c r="AC137" s="339">
        <f t="shared" si="71"/>
        <v>38</v>
      </c>
      <c r="AD137" s="339">
        <f t="shared" si="71"/>
        <v>76</v>
      </c>
      <c r="AE137" s="339">
        <f t="shared" si="71"/>
        <v>92</v>
      </c>
      <c r="AF137" s="336"/>
      <c r="AG137" s="11">
        <v>7</v>
      </c>
      <c r="AH137" s="340">
        <f t="shared" si="72"/>
        <v>6350</v>
      </c>
      <c r="AI137" s="340">
        <f t="shared" si="72"/>
        <v>6350</v>
      </c>
      <c r="AJ137" s="340">
        <f t="shared" si="72"/>
        <v>7099</v>
      </c>
      <c r="AK137" s="340">
        <f t="shared" si="72"/>
        <v>6999</v>
      </c>
      <c r="AL137" s="341">
        <f t="shared" si="73"/>
        <v>56</v>
      </c>
      <c r="AM137" s="341">
        <f t="shared" si="73"/>
        <v>56</v>
      </c>
      <c r="AN137" s="341">
        <f t="shared" si="73"/>
        <v>50</v>
      </c>
      <c r="AO137" s="341">
        <f t="shared" si="73"/>
        <v>61</v>
      </c>
      <c r="AR137" s="190">
        <v>6</v>
      </c>
      <c r="AS137" s="346">
        <f t="shared" si="76"/>
        <v>-3116261.82</v>
      </c>
      <c r="AT137" s="346">
        <f t="shared" si="76"/>
        <v>4426.71</v>
      </c>
      <c r="AU137" s="346">
        <f t="shared" si="76"/>
        <v>0</v>
      </c>
      <c r="AV137" s="346">
        <f t="shared" si="77"/>
        <v>8561038.87</v>
      </c>
      <c r="AX137" s="155"/>
      <c r="AY137" s="346">
        <f t="shared" si="78"/>
        <v>0</v>
      </c>
      <c r="AZ137" s="346">
        <f t="shared" si="79"/>
        <v>8561038.87</v>
      </c>
      <c r="BA137" s="190">
        <v>6</v>
      </c>
      <c r="BB137" s="351">
        <f t="shared" si="74"/>
        <v>-0.04186482604591</v>
      </c>
      <c r="BC137" s="318">
        <f t="shared" si="74"/>
        <v>-0.591769966382363</v>
      </c>
      <c r="BD137" s="352">
        <f t="shared" si="75"/>
        <v>-0.633634792428273</v>
      </c>
    </row>
    <row r="138" ht="20.1" customHeight="1" spans="22:56">
      <c r="V138" s="336"/>
      <c r="W138" s="11">
        <v>8</v>
      </c>
      <c r="X138" s="335">
        <f t="shared" si="70"/>
        <v>3600</v>
      </c>
      <c r="Y138" s="335">
        <f t="shared" si="70"/>
        <v>3600</v>
      </c>
      <c r="Z138" s="335">
        <f t="shared" si="70"/>
        <v>3800</v>
      </c>
      <c r="AA138" s="335">
        <f t="shared" si="70"/>
        <v>4200</v>
      </c>
      <c r="AB138" s="339">
        <f t="shared" si="71"/>
        <v>25</v>
      </c>
      <c r="AC138" s="339">
        <f t="shared" si="71"/>
        <v>23</v>
      </c>
      <c r="AD138" s="339">
        <f t="shared" si="71"/>
        <v>66</v>
      </c>
      <c r="AE138" s="339">
        <f t="shared" si="71"/>
        <v>22</v>
      </c>
      <c r="AF138" s="336"/>
      <c r="AG138" s="11">
        <v>8</v>
      </c>
      <c r="AH138" s="340">
        <f t="shared" si="72"/>
        <v>6700</v>
      </c>
      <c r="AI138" s="340">
        <f t="shared" si="72"/>
        <v>6700</v>
      </c>
      <c r="AJ138" s="340">
        <f t="shared" si="72"/>
        <v>7300</v>
      </c>
      <c r="AK138" s="340">
        <f t="shared" si="72"/>
        <v>7300</v>
      </c>
      <c r="AL138" s="341">
        <f t="shared" si="73"/>
        <v>51</v>
      </c>
      <c r="AM138" s="341">
        <f t="shared" si="73"/>
        <v>50</v>
      </c>
      <c r="AN138" s="341">
        <f t="shared" si="73"/>
        <v>42</v>
      </c>
      <c r="AO138" s="341">
        <f t="shared" si="73"/>
        <v>42</v>
      </c>
      <c r="AR138" s="190">
        <v>7</v>
      </c>
      <c r="AS138" s="346">
        <f t="shared" si="76"/>
        <v>1057715.15</v>
      </c>
      <c r="AT138" s="346">
        <f t="shared" si="76"/>
        <v>207300.98</v>
      </c>
      <c r="AU138" s="346">
        <f t="shared" si="76"/>
        <v>0</v>
      </c>
      <c r="AV138" s="346">
        <f t="shared" si="77"/>
        <v>15312436.98</v>
      </c>
      <c r="AX138" s="155"/>
      <c r="AY138" s="346">
        <f t="shared" si="78"/>
        <v>0</v>
      </c>
      <c r="AZ138" s="346">
        <f t="shared" si="79"/>
        <v>15312436.98</v>
      </c>
      <c r="BA138" s="190">
        <v>7</v>
      </c>
      <c r="BB138" s="351">
        <f t="shared" si="74"/>
        <v>-0.04186482604591</v>
      </c>
      <c r="BC138" s="318">
        <f t="shared" si="74"/>
        <v>0.0584671337035144</v>
      </c>
      <c r="BD138" s="352">
        <f t="shared" si="75"/>
        <v>0.0166023076576044</v>
      </c>
    </row>
    <row r="139" ht="20.1" customHeight="1" spans="22:56">
      <c r="V139" s="336"/>
      <c r="W139" s="11">
        <v>9</v>
      </c>
      <c r="X139" s="335">
        <f t="shared" si="70"/>
        <v>3138</v>
      </c>
      <c r="Y139" s="335">
        <f t="shared" si="70"/>
        <v>3138</v>
      </c>
      <c r="Z139" s="335">
        <f t="shared" si="70"/>
        <v>3358</v>
      </c>
      <c r="AA139" s="335">
        <f t="shared" si="70"/>
        <v>3558</v>
      </c>
      <c r="AB139" s="339">
        <f t="shared" si="71"/>
        <v>128</v>
      </c>
      <c r="AC139" s="339">
        <f t="shared" si="71"/>
        <v>128</v>
      </c>
      <c r="AD139" s="339">
        <f t="shared" si="71"/>
        <v>172</v>
      </c>
      <c r="AE139" s="339">
        <f t="shared" si="71"/>
        <v>168</v>
      </c>
      <c r="AF139" s="336"/>
      <c r="AG139" s="11">
        <v>9</v>
      </c>
      <c r="AH139" s="340">
        <f t="shared" si="72"/>
        <v>6418</v>
      </c>
      <c r="AI139" s="340">
        <f t="shared" si="72"/>
        <v>6458</v>
      </c>
      <c r="AJ139" s="340">
        <f t="shared" si="72"/>
        <v>6658</v>
      </c>
      <c r="AK139" s="340">
        <f t="shared" si="72"/>
        <v>6718</v>
      </c>
      <c r="AL139" s="341">
        <f t="shared" si="73"/>
        <v>105</v>
      </c>
      <c r="AM139" s="341">
        <f t="shared" si="73"/>
        <v>103</v>
      </c>
      <c r="AN139" s="341">
        <f t="shared" si="73"/>
        <v>146</v>
      </c>
      <c r="AO139" s="341">
        <f t="shared" si="73"/>
        <v>154</v>
      </c>
      <c r="AR139" s="190">
        <v>8</v>
      </c>
      <c r="AS139" s="346">
        <f t="shared" si="76"/>
        <v>670690.73</v>
      </c>
      <c r="AT139" s="346">
        <f t="shared" si="76"/>
        <v>285844.42</v>
      </c>
      <c r="AU139" s="346">
        <f t="shared" si="76"/>
        <v>665452.16</v>
      </c>
      <c r="AV139" s="346">
        <f t="shared" si="77"/>
        <v>14876082.03</v>
      </c>
      <c r="AX139" s="155"/>
      <c r="AY139" s="346">
        <f t="shared" si="78"/>
        <v>665452.16</v>
      </c>
      <c r="AZ139" s="346">
        <f t="shared" si="79"/>
        <v>14876082.03</v>
      </c>
      <c r="BA139" s="190">
        <v>8</v>
      </c>
      <c r="BB139" s="351">
        <f t="shared" si="74"/>
        <v>0.45617779487099</v>
      </c>
      <c r="BC139" s="318">
        <f t="shared" si="74"/>
        <v>0.0164411455047354</v>
      </c>
      <c r="BD139" s="352">
        <f t="shared" si="75"/>
        <v>0.472618940375725</v>
      </c>
    </row>
    <row r="140" ht="20.1" customHeight="1" spans="22:56">
      <c r="V140" s="336"/>
      <c r="W140" s="11">
        <v>10</v>
      </c>
      <c r="X140" s="335">
        <f t="shared" si="70"/>
        <v>3300</v>
      </c>
      <c r="Y140" s="335">
        <f t="shared" si="70"/>
        <v>3300</v>
      </c>
      <c r="Z140" s="335">
        <f t="shared" si="70"/>
        <v>3600</v>
      </c>
      <c r="AA140" s="335">
        <f t="shared" si="70"/>
        <v>3650</v>
      </c>
      <c r="AB140" s="339">
        <f t="shared" si="71"/>
        <v>98</v>
      </c>
      <c r="AC140" s="339">
        <f t="shared" si="71"/>
        <v>104</v>
      </c>
      <c r="AD140" s="339">
        <f t="shared" si="71"/>
        <v>128</v>
      </c>
      <c r="AE140" s="339">
        <f t="shared" si="71"/>
        <v>133</v>
      </c>
      <c r="AF140" s="336"/>
      <c r="AG140" s="11">
        <v>10</v>
      </c>
      <c r="AH140" s="340">
        <f t="shared" si="72"/>
        <v>6700</v>
      </c>
      <c r="AI140" s="340">
        <f t="shared" si="72"/>
        <v>6700</v>
      </c>
      <c r="AJ140" s="340">
        <f t="shared" si="72"/>
        <v>7250</v>
      </c>
      <c r="AK140" s="340">
        <f t="shared" si="72"/>
        <v>7250</v>
      </c>
      <c r="AL140" s="341">
        <f t="shared" si="73"/>
        <v>63</v>
      </c>
      <c r="AM140" s="341">
        <f t="shared" si="73"/>
        <v>65</v>
      </c>
      <c r="AN140" s="341">
        <f t="shared" si="73"/>
        <v>68</v>
      </c>
      <c r="AO140" s="341">
        <f t="shared" si="73"/>
        <v>79</v>
      </c>
      <c r="AR140" s="190">
        <v>9</v>
      </c>
      <c r="AS140" s="346">
        <f t="shared" si="76"/>
        <v>832893.24</v>
      </c>
      <c r="AT140" s="346">
        <f t="shared" si="76"/>
        <v>185509.71</v>
      </c>
      <c r="AU140" s="346">
        <f t="shared" si="76"/>
        <v>0</v>
      </c>
      <c r="AV140" s="346">
        <f t="shared" si="77"/>
        <v>15238150.51</v>
      </c>
      <c r="AX140" s="155"/>
      <c r="AY140" s="346">
        <f t="shared" si="78"/>
        <v>0</v>
      </c>
      <c r="AZ140" s="346">
        <f t="shared" si="79"/>
        <v>15238150.51</v>
      </c>
      <c r="BA140" s="190">
        <v>9</v>
      </c>
      <c r="BB140" s="351">
        <f t="shared" si="74"/>
        <v>-0.04186482604591</v>
      </c>
      <c r="BC140" s="318">
        <f t="shared" si="74"/>
        <v>0.0513124943175077</v>
      </c>
      <c r="BD140" s="352">
        <f t="shared" si="75"/>
        <v>0.0094476682715977</v>
      </c>
    </row>
    <row r="141" ht="20.1" customHeight="1" spans="22:56">
      <c r="V141" s="336"/>
      <c r="W141" s="11">
        <v>11</v>
      </c>
      <c r="X141" s="335">
        <f t="shared" si="70"/>
        <v>3230</v>
      </c>
      <c r="Y141" s="335">
        <f t="shared" si="70"/>
        <v>3230</v>
      </c>
      <c r="Z141" s="335">
        <f t="shared" si="70"/>
        <v>3480</v>
      </c>
      <c r="AA141" s="335">
        <f t="shared" si="70"/>
        <v>3580</v>
      </c>
      <c r="AB141" s="339">
        <f t="shared" si="71"/>
        <v>88</v>
      </c>
      <c r="AC141" s="339">
        <f t="shared" si="71"/>
        <v>88</v>
      </c>
      <c r="AD141" s="339">
        <f t="shared" si="71"/>
        <v>129</v>
      </c>
      <c r="AE141" s="339">
        <f t="shared" si="71"/>
        <v>130</v>
      </c>
      <c r="AF141" s="336"/>
      <c r="AG141" s="11">
        <v>11</v>
      </c>
      <c r="AH141" s="340">
        <f t="shared" si="72"/>
        <v>6750</v>
      </c>
      <c r="AI141" s="340">
        <f t="shared" si="72"/>
        <v>6750</v>
      </c>
      <c r="AJ141" s="340">
        <f t="shared" si="72"/>
        <v>7000</v>
      </c>
      <c r="AK141" s="340">
        <f t="shared" si="72"/>
        <v>7100</v>
      </c>
      <c r="AL141" s="341">
        <f t="shared" si="73"/>
        <v>55</v>
      </c>
      <c r="AM141" s="341">
        <f t="shared" si="73"/>
        <v>56</v>
      </c>
      <c r="AN141" s="341">
        <f t="shared" si="73"/>
        <v>92</v>
      </c>
      <c r="AO141" s="341">
        <f t="shared" si="73"/>
        <v>89</v>
      </c>
      <c r="AR141" s="190">
        <v>10</v>
      </c>
      <c r="AS141" s="346">
        <f t="shared" si="76"/>
        <v>966411.96</v>
      </c>
      <c r="AT141" s="346">
        <f t="shared" si="76"/>
        <v>264063.86</v>
      </c>
      <c r="AU141" s="346">
        <f t="shared" si="76"/>
        <v>0</v>
      </c>
      <c r="AV141" s="346">
        <f t="shared" si="77"/>
        <v>15469572.11</v>
      </c>
      <c r="AX141" s="155"/>
      <c r="AY141" s="346">
        <f t="shared" si="78"/>
        <v>0</v>
      </c>
      <c r="AZ141" s="346">
        <f t="shared" si="79"/>
        <v>15469572.11</v>
      </c>
      <c r="BA141" s="190">
        <v>10</v>
      </c>
      <c r="BB141" s="351">
        <f t="shared" si="74"/>
        <v>-0.04186482604591</v>
      </c>
      <c r="BC141" s="318">
        <f t="shared" si="74"/>
        <v>0.0736010496107214</v>
      </c>
      <c r="BD141" s="352">
        <f t="shared" si="75"/>
        <v>0.0317362235648114</v>
      </c>
    </row>
    <row r="142" ht="20.1" customHeight="1" spans="22:56">
      <c r="V142" s="336"/>
      <c r="W142" s="11">
        <v>12</v>
      </c>
      <c r="X142" s="335">
        <f t="shared" si="70"/>
        <v>3300</v>
      </c>
      <c r="Y142" s="335">
        <f t="shared" si="70"/>
        <v>3550</v>
      </c>
      <c r="Z142" s="335">
        <f t="shared" si="70"/>
        <v>3650</v>
      </c>
      <c r="AA142" s="335">
        <f t="shared" si="70"/>
        <v>3600</v>
      </c>
      <c r="AB142" s="339">
        <f t="shared" si="71"/>
        <v>62</v>
      </c>
      <c r="AC142" s="339">
        <f t="shared" si="71"/>
        <v>33</v>
      </c>
      <c r="AD142" s="339">
        <f t="shared" si="71"/>
        <v>65</v>
      </c>
      <c r="AE142" s="339">
        <f t="shared" si="71"/>
        <v>83</v>
      </c>
      <c r="AF142" s="336"/>
      <c r="AG142" s="11">
        <v>12</v>
      </c>
      <c r="AH142" s="340">
        <f t="shared" si="72"/>
        <v>6550</v>
      </c>
      <c r="AI142" s="340">
        <f t="shared" si="72"/>
        <v>6550</v>
      </c>
      <c r="AJ142" s="340">
        <f t="shared" si="72"/>
        <v>6850</v>
      </c>
      <c r="AK142" s="340">
        <f t="shared" si="72"/>
        <v>6800</v>
      </c>
      <c r="AL142" s="341">
        <f t="shared" si="73"/>
        <v>48</v>
      </c>
      <c r="AM142" s="341">
        <f t="shared" si="73"/>
        <v>46</v>
      </c>
      <c r="AN142" s="341">
        <f t="shared" si="73"/>
        <v>61</v>
      </c>
      <c r="AO142" s="341">
        <f t="shared" si="73"/>
        <v>70</v>
      </c>
      <c r="AR142" s="190">
        <v>11</v>
      </c>
      <c r="AS142" s="346">
        <f t="shared" si="76"/>
        <v>1012204.57</v>
      </c>
      <c r="AT142" s="346">
        <f t="shared" si="76"/>
        <v>416710.1</v>
      </c>
      <c r="AU142" s="346">
        <f t="shared" si="76"/>
        <v>320484</v>
      </c>
      <c r="AV142" s="346">
        <f t="shared" si="77"/>
        <v>15615197.59</v>
      </c>
      <c r="AX142" s="155"/>
      <c r="AY142" s="346">
        <f t="shared" si="78"/>
        <v>320484</v>
      </c>
      <c r="AZ142" s="346">
        <f t="shared" si="79"/>
        <v>15615197.59</v>
      </c>
      <c r="BA142" s="190">
        <v>11</v>
      </c>
      <c r="BB142" s="351">
        <f t="shared" si="74"/>
        <v>0.197994176473417</v>
      </c>
      <c r="BC142" s="318">
        <f t="shared" si="74"/>
        <v>0.0876264541670844</v>
      </c>
      <c r="BD142" s="352">
        <f t="shared" si="75"/>
        <v>0.285620630640501</v>
      </c>
    </row>
    <row r="143" ht="20.1" customHeight="1" spans="22:56">
      <c r="V143" s="336"/>
      <c r="W143" s="11">
        <v>13</v>
      </c>
      <c r="X143" s="335">
        <f t="shared" si="70"/>
        <v>2850</v>
      </c>
      <c r="Y143" s="335">
        <f t="shared" si="70"/>
        <v>2840</v>
      </c>
      <c r="Z143" s="335">
        <f t="shared" si="70"/>
        <v>2960</v>
      </c>
      <c r="AA143" s="335">
        <f t="shared" si="70"/>
        <v>3150</v>
      </c>
      <c r="AB143" s="339">
        <f t="shared" si="71"/>
        <v>102</v>
      </c>
      <c r="AC143" s="339">
        <f t="shared" si="71"/>
        <v>98</v>
      </c>
      <c r="AD143" s="339">
        <f t="shared" si="71"/>
        <v>138</v>
      </c>
      <c r="AE143" s="339">
        <f t="shared" si="71"/>
        <v>143</v>
      </c>
      <c r="AF143" s="336"/>
      <c r="AG143" s="11">
        <v>13</v>
      </c>
      <c r="AH143" s="340">
        <f t="shared" si="72"/>
        <v>6390</v>
      </c>
      <c r="AI143" s="340">
        <f t="shared" si="72"/>
        <v>6410</v>
      </c>
      <c r="AJ143" s="340">
        <f t="shared" si="72"/>
        <v>6580</v>
      </c>
      <c r="AK143" s="340">
        <f t="shared" si="72"/>
        <v>6620</v>
      </c>
      <c r="AL143" s="341">
        <f t="shared" si="73"/>
        <v>91</v>
      </c>
      <c r="AM143" s="341">
        <f t="shared" si="73"/>
        <v>91</v>
      </c>
      <c r="AN143" s="341">
        <f t="shared" si="73"/>
        <v>126</v>
      </c>
      <c r="AO143" s="341">
        <f t="shared" si="73"/>
        <v>119</v>
      </c>
      <c r="AR143" s="190">
        <v>12</v>
      </c>
      <c r="AS143" s="346">
        <f t="shared" si="76"/>
        <v>210120.76</v>
      </c>
      <c r="AT143" s="346">
        <f t="shared" si="76"/>
        <v>169146.29</v>
      </c>
      <c r="AU143" s="346">
        <f t="shared" si="76"/>
        <v>0</v>
      </c>
      <c r="AV143" s="346">
        <f t="shared" si="77"/>
        <v>15189227.94</v>
      </c>
      <c r="AX143" s="155"/>
      <c r="AY143" s="346">
        <f t="shared" si="78"/>
        <v>0</v>
      </c>
      <c r="AZ143" s="346">
        <f t="shared" si="79"/>
        <v>15189227.94</v>
      </c>
      <c r="BA143" s="190">
        <v>12</v>
      </c>
      <c r="BB143" s="351">
        <f t="shared" si="74"/>
        <v>-0.04186482604591</v>
      </c>
      <c r="BC143" s="318">
        <f t="shared" si="74"/>
        <v>0.0466006895139322</v>
      </c>
      <c r="BD143" s="352">
        <f t="shared" si="75"/>
        <v>0.0047358634680222</v>
      </c>
    </row>
    <row r="144" ht="20.1" customHeight="1" spans="22:56">
      <c r="V144" s="336"/>
      <c r="W144" s="11">
        <v>14</v>
      </c>
      <c r="X144" s="335">
        <f t="shared" si="70"/>
        <v>3100</v>
      </c>
      <c r="Y144" s="335">
        <f t="shared" si="70"/>
        <v>3100</v>
      </c>
      <c r="Z144" s="335">
        <f t="shared" si="70"/>
        <v>3300</v>
      </c>
      <c r="AA144" s="335">
        <f t="shared" si="70"/>
        <v>3300</v>
      </c>
      <c r="AB144" s="339">
        <f t="shared" si="71"/>
        <v>119</v>
      </c>
      <c r="AC144" s="339">
        <f t="shared" si="71"/>
        <v>124</v>
      </c>
      <c r="AD144" s="339">
        <f t="shared" si="71"/>
        <v>165</v>
      </c>
      <c r="AE144" s="339">
        <f t="shared" si="71"/>
        <v>184</v>
      </c>
      <c r="AF144" s="336"/>
      <c r="AG144" s="11">
        <v>14</v>
      </c>
      <c r="AH144" s="340">
        <f t="shared" si="72"/>
        <v>6300</v>
      </c>
      <c r="AI144" s="340">
        <f t="shared" si="72"/>
        <v>6300</v>
      </c>
      <c r="AJ144" s="340">
        <f t="shared" si="72"/>
        <v>6700</v>
      </c>
      <c r="AK144" s="340">
        <f t="shared" si="72"/>
        <v>6700</v>
      </c>
      <c r="AL144" s="341">
        <f t="shared" si="73"/>
        <v>62</v>
      </c>
      <c r="AM144" s="341">
        <f t="shared" si="73"/>
        <v>48</v>
      </c>
      <c r="AN144" s="341">
        <f t="shared" si="73"/>
        <v>68</v>
      </c>
      <c r="AO144" s="341">
        <f t="shared" si="73"/>
        <v>74</v>
      </c>
      <c r="AR144" s="190">
        <v>13</v>
      </c>
      <c r="AS144" s="346">
        <f t="shared" si="76"/>
        <v>914463.93</v>
      </c>
      <c r="AT144" s="346">
        <f t="shared" si="76"/>
        <v>270409.15</v>
      </c>
      <c r="AU144" s="346">
        <f t="shared" si="76"/>
        <v>1040.4</v>
      </c>
      <c r="AV144" s="346">
        <f t="shared" si="77"/>
        <v>15490329.48</v>
      </c>
      <c r="AX144" s="155"/>
      <c r="AY144" s="346">
        <f t="shared" si="78"/>
        <v>1040.4</v>
      </c>
      <c r="AZ144" s="346">
        <f t="shared" si="79"/>
        <v>15490329.48</v>
      </c>
      <c r="BA144" s="190">
        <v>13</v>
      </c>
      <c r="BB144" s="351">
        <f t="shared" si="74"/>
        <v>-0.0410861621930465</v>
      </c>
      <c r="BC144" s="318">
        <f t="shared" si="74"/>
        <v>0.0756002225011808</v>
      </c>
      <c r="BD144" s="352">
        <f t="shared" si="75"/>
        <v>0.0345140603081342</v>
      </c>
    </row>
    <row r="145" ht="20.1" customHeight="1" spans="22:56">
      <c r="V145" s="336"/>
      <c r="W145" s="11">
        <v>15</v>
      </c>
      <c r="X145" s="335">
        <f t="shared" si="70"/>
        <v>3700</v>
      </c>
      <c r="Y145" s="335">
        <f t="shared" si="70"/>
        <v>3600</v>
      </c>
      <c r="Z145" s="335">
        <f t="shared" si="70"/>
        <v>3800</v>
      </c>
      <c r="AA145" s="335">
        <f t="shared" si="70"/>
        <v>3900</v>
      </c>
      <c r="AB145" s="339">
        <f t="shared" si="71"/>
        <v>23</v>
      </c>
      <c r="AC145" s="339">
        <f t="shared" si="71"/>
        <v>34</v>
      </c>
      <c r="AD145" s="339">
        <f t="shared" si="71"/>
        <v>56</v>
      </c>
      <c r="AE145" s="339">
        <f t="shared" si="71"/>
        <v>47</v>
      </c>
      <c r="AF145" s="336"/>
      <c r="AG145" s="11">
        <v>15</v>
      </c>
      <c r="AH145" s="340">
        <f t="shared" si="72"/>
        <v>7000</v>
      </c>
      <c r="AI145" s="340">
        <f t="shared" si="72"/>
        <v>6980</v>
      </c>
      <c r="AJ145" s="340">
        <f t="shared" si="72"/>
        <v>7399</v>
      </c>
      <c r="AK145" s="340">
        <f t="shared" si="72"/>
        <v>7499</v>
      </c>
      <c r="AL145" s="341">
        <f t="shared" si="73"/>
        <v>27</v>
      </c>
      <c r="AM145" s="341">
        <f t="shared" si="73"/>
        <v>27</v>
      </c>
      <c r="AN145" s="341">
        <f t="shared" si="73"/>
        <v>31</v>
      </c>
      <c r="AO145" s="341">
        <f t="shared" si="73"/>
        <v>30</v>
      </c>
      <c r="AR145" s="190">
        <v>14</v>
      </c>
      <c r="AS145" s="346">
        <f t="shared" si="76"/>
        <v>530686.33</v>
      </c>
      <c r="AT145" s="346">
        <f t="shared" si="76"/>
        <v>50475.56</v>
      </c>
      <c r="AU145" s="346">
        <f t="shared" si="76"/>
        <v>0</v>
      </c>
      <c r="AV145" s="346">
        <f t="shared" si="77"/>
        <v>14647522.15</v>
      </c>
      <c r="AX145" s="155"/>
      <c r="AY145" s="346">
        <f t="shared" si="78"/>
        <v>0</v>
      </c>
      <c r="AZ145" s="346">
        <f t="shared" si="79"/>
        <v>14647522.15</v>
      </c>
      <c r="BA145" s="190">
        <v>14</v>
      </c>
      <c r="BB145" s="351">
        <f t="shared" si="74"/>
        <v>-0.04186482604591</v>
      </c>
      <c r="BC145" s="318">
        <f t="shared" si="74"/>
        <v>-0.00557179331856487</v>
      </c>
      <c r="BD145" s="352">
        <f t="shared" si="75"/>
        <v>-0.0474366193644749</v>
      </c>
    </row>
    <row r="146" ht="20.1" customHeight="1" spans="22:56">
      <c r="V146" s="336"/>
      <c r="W146" s="11">
        <v>16</v>
      </c>
      <c r="X146" s="335">
        <f t="shared" si="70"/>
        <v>3380</v>
      </c>
      <c r="Y146" s="335">
        <f t="shared" si="70"/>
        <v>3380</v>
      </c>
      <c r="Z146" s="335">
        <f t="shared" si="70"/>
        <v>3730</v>
      </c>
      <c r="AA146" s="335">
        <f t="shared" si="70"/>
        <v>3830</v>
      </c>
      <c r="AB146" s="339">
        <f t="shared" si="71"/>
        <v>63</v>
      </c>
      <c r="AC146" s="339">
        <f t="shared" si="71"/>
        <v>69</v>
      </c>
      <c r="AD146" s="339">
        <f t="shared" si="71"/>
        <v>93</v>
      </c>
      <c r="AE146" s="339">
        <f t="shared" si="71"/>
        <v>73</v>
      </c>
      <c r="AF146" s="336"/>
      <c r="AG146" s="11">
        <v>16</v>
      </c>
      <c r="AH146" s="340">
        <f t="shared" si="72"/>
        <v>7000</v>
      </c>
      <c r="AI146" s="340">
        <f t="shared" si="72"/>
        <v>7000</v>
      </c>
      <c r="AJ146" s="340">
        <f t="shared" si="72"/>
        <v>7300</v>
      </c>
      <c r="AK146" s="340">
        <f t="shared" si="72"/>
        <v>7400</v>
      </c>
      <c r="AL146" s="341">
        <f t="shared" si="73"/>
        <v>29</v>
      </c>
      <c r="AM146" s="341">
        <f t="shared" si="73"/>
        <v>30</v>
      </c>
      <c r="AN146" s="341">
        <f t="shared" si="73"/>
        <v>55</v>
      </c>
      <c r="AO146" s="341">
        <f t="shared" si="73"/>
        <v>48</v>
      </c>
      <c r="AR146" s="190">
        <v>15</v>
      </c>
      <c r="AS146" s="346">
        <f t="shared" si="76"/>
        <v>-361654.4</v>
      </c>
      <c r="AT146" s="346">
        <f t="shared" si="76"/>
        <v>4426.71</v>
      </c>
      <c r="AU146" s="346">
        <f t="shared" si="76"/>
        <v>0</v>
      </c>
      <c r="AV146" s="346">
        <f t="shared" si="77"/>
        <v>12089892.71</v>
      </c>
      <c r="AX146" s="155"/>
      <c r="AY146" s="346">
        <f t="shared" si="78"/>
        <v>0</v>
      </c>
      <c r="AZ146" s="346">
        <f t="shared" si="79"/>
        <v>12089892.71</v>
      </c>
      <c r="BA146" s="190">
        <v>15</v>
      </c>
      <c r="BB146" s="351">
        <f t="shared" si="74"/>
        <v>-0.04186482604591</v>
      </c>
      <c r="BC146" s="318">
        <f t="shared" si="74"/>
        <v>-0.251900853324162</v>
      </c>
      <c r="BD146" s="352">
        <f t="shared" si="75"/>
        <v>-0.293765679370072</v>
      </c>
    </row>
    <row r="147" ht="20.1" customHeight="1" spans="22:56">
      <c r="V147" s="336"/>
      <c r="W147" s="11">
        <v>17</v>
      </c>
      <c r="X147" s="335">
        <f t="shared" si="70"/>
        <v>3170</v>
      </c>
      <c r="Y147" s="335">
        <f t="shared" si="70"/>
        <v>3170</v>
      </c>
      <c r="Z147" s="335">
        <f t="shared" si="70"/>
        <v>3230</v>
      </c>
      <c r="AA147" s="335">
        <f t="shared" si="70"/>
        <v>3230</v>
      </c>
      <c r="AB147" s="339">
        <f t="shared" si="71"/>
        <v>140</v>
      </c>
      <c r="AC147" s="339">
        <f t="shared" si="71"/>
        <v>148</v>
      </c>
      <c r="AD147" s="339">
        <f t="shared" si="71"/>
        <v>234</v>
      </c>
      <c r="AE147" s="339">
        <f t="shared" si="71"/>
        <v>141</v>
      </c>
      <c r="AF147" s="336"/>
      <c r="AG147" s="11">
        <v>17</v>
      </c>
      <c r="AH147" s="340">
        <f t="shared" si="72"/>
        <v>6350</v>
      </c>
      <c r="AI147" s="340">
        <f t="shared" si="72"/>
        <v>6350</v>
      </c>
      <c r="AJ147" s="340">
        <f t="shared" si="72"/>
        <v>6988</v>
      </c>
      <c r="AK147" s="340">
        <f t="shared" si="72"/>
        <v>6988</v>
      </c>
      <c r="AL147" s="341">
        <f t="shared" si="73"/>
        <v>58</v>
      </c>
      <c r="AM147" s="341">
        <f t="shared" si="73"/>
        <v>53</v>
      </c>
      <c r="AN147" s="341">
        <f t="shared" si="73"/>
        <v>77</v>
      </c>
      <c r="AO147" s="341">
        <f t="shared" si="73"/>
        <v>76</v>
      </c>
      <c r="AR147" s="190">
        <v>16</v>
      </c>
      <c r="AS147" s="346">
        <f t="shared" si="76"/>
        <v>442330.18</v>
      </c>
      <c r="AT147" s="346">
        <f t="shared" si="76"/>
        <v>309508.01</v>
      </c>
      <c r="AU147" s="346">
        <f t="shared" si="76"/>
        <v>0</v>
      </c>
      <c r="AV147" s="346">
        <f t="shared" si="77"/>
        <v>15603086.02</v>
      </c>
      <c r="AX147" s="155"/>
      <c r="AY147" s="346">
        <f t="shared" si="78"/>
        <v>0</v>
      </c>
      <c r="AZ147" s="346">
        <f t="shared" si="79"/>
        <v>15603086.02</v>
      </c>
      <c r="BA147" s="190">
        <v>16</v>
      </c>
      <c r="BB147" s="351">
        <f t="shared" si="74"/>
        <v>-0.04186482604591</v>
      </c>
      <c r="BC147" s="318">
        <f t="shared" si="74"/>
        <v>0.0864599710141175</v>
      </c>
      <c r="BD147" s="352">
        <f t="shared" si="75"/>
        <v>0.0445951449682075</v>
      </c>
    </row>
    <row r="148" ht="20.1" customHeight="1" spans="22:56">
      <c r="V148" s="336"/>
      <c r="W148" s="11">
        <v>18</v>
      </c>
      <c r="X148" s="335">
        <f t="shared" si="70"/>
        <v>3000</v>
      </c>
      <c r="Y148" s="335">
        <f t="shared" si="70"/>
        <v>3000</v>
      </c>
      <c r="Z148" s="335">
        <f t="shared" si="70"/>
        <v>3088</v>
      </c>
      <c r="AA148" s="335">
        <f t="shared" si="70"/>
        <v>3088</v>
      </c>
      <c r="AB148" s="339">
        <f t="shared" si="71"/>
        <v>164</v>
      </c>
      <c r="AC148" s="339">
        <f t="shared" si="71"/>
        <v>164</v>
      </c>
      <c r="AD148" s="339">
        <f t="shared" si="71"/>
        <v>177</v>
      </c>
      <c r="AE148" s="339">
        <f t="shared" si="71"/>
        <v>185</v>
      </c>
      <c r="AF148" s="336"/>
      <c r="AG148" s="11">
        <v>18</v>
      </c>
      <c r="AH148" s="340">
        <f t="shared" si="72"/>
        <v>6500</v>
      </c>
      <c r="AI148" s="340">
        <f t="shared" si="72"/>
        <v>6500</v>
      </c>
      <c r="AJ148" s="340">
        <f t="shared" si="72"/>
        <v>6899</v>
      </c>
      <c r="AK148" s="340">
        <f t="shared" si="72"/>
        <v>6899</v>
      </c>
      <c r="AL148" s="341">
        <f t="shared" si="73"/>
        <v>72</v>
      </c>
      <c r="AM148" s="341">
        <f t="shared" si="73"/>
        <v>77</v>
      </c>
      <c r="AN148" s="341">
        <f t="shared" si="73"/>
        <v>72</v>
      </c>
      <c r="AO148" s="341">
        <f t="shared" si="73"/>
        <v>76</v>
      </c>
      <c r="AR148" s="190">
        <v>17</v>
      </c>
      <c r="AS148" s="346">
        <f t="shared" si="76"/>
        <v>204637.25</v>
      </c>
      <c r="AT148" s="346">
        <f t="shared" si="76"/>
        <v>59083.94</v>
      </c>
      <c r="AU148" s="346">
        <f t="shared" si="76"/>
        <v>0</v>
      </c>
      <c r="AV148" s="346">
        <f t="shared" si="77"/>
        <v>14863790.54</v>
      </c>
      <c r="AX148" s="155"/>
      <c r="AY148" s="346">
        <f t="shared" si="78"/>
        <v>0</v>
      </c>
      <c r="AZ148" s="346">
        <f t="shared" si="79"/>
        <v>14863790.54</v>
      </c>
      <c r="BA148" s="190">
        <v>17</v>
      </c>
      <c r="BB148" s="351">
        <f t="shared" si="74"/>
        <v>-0.04186482604591</v>
      </c>
      <c r="BC148" s="318">
        <f t="shared" si="74"/>
        <v>0.0152573339914584</v>
      </c>
      <c r="BD148" s="352">
        <f t="shared" si="75"/>
        <v>-0.0266074920544516</v>
      </c>
    </row>
    <row r="149" ht="20.1" customHeight="1" spans="22:56">
      <c r="V149" s="336"/>
      <c r="W149" s="11">
        <v>19</v>
      </c>
      <c r="X149" s="335">
        <f t="shared" si="70"/>
        <v>3050</v>
      </c>
      <c r="Y149" s="335">
        <f t="shared" si="70"/>
        <v>3050</v>
      </c>
      <c r="Z149" s="335">
        <f t="shared" si="70"/>
        <v>3150</v>
      </c>
      <c r="AA149" s="335">
        <f t="shared" si="70"/>
        <v>3350</v>
      </c>
      <c r="AB149" s="339">
        <f t="shared" si="71"/>
        <v>80</v>
      </c>
      <c r="AC149" s="339">
        <f t="shared" si="71"/>
        <v>43</v>
      </c>
      <c r="AD149" s="339">
        <f t="shared" si="71"/>
        <v>33</v>
      </c>
      <c r="AE149" s="339">
        <f t="shared" si="71"/>
        <v>33</v>
      </c>
      <c r="AF149" s="336"/>
      <c r="AG149" s="11">
        <v>19</v>
      </c>
      <c r="AH149" s="340">
        <f t="shared" si="72"/>
        <v>6000</v>
      </c>
      <c r="AI149" s="340">
        <f t="shared" si="72"/>
        <v>6000</v>
      </c>
      <c r="AJ149" s="340">
        <f t="shared" si="72"/>
        <v>7000</v>
      </c>
      <c r="AK149" s="340">
        <f t="shared" si="72"/>
        <v>7000</v>
      </c>
      <c r="AL149" s="341">
        <f t="shared" si="73"/>
        <v>29</v>
      </c>
      <c r="AM149" s="341">
        <f t="shared" si="73"/>
        <v>33</v>
      </c>
      <c r="AN149" s="341">
        <f t="shared" si="73"/>
        <v>45</v>
      </c>
      <c r="AO149" s="341">
        <f t="shared" si="73"/>
        <v>48</v>
      </c>
      <c r="AR149" s="190">
        <v>18</v>
      </c>
      <c r="AS149" s="346">
        <f t="shared" ref="AS149:AU151" si="80">IF(F112="","",F112)</f>
        <v>266877.3</v>
      </c>
      <c r="AT149" s="346">
        <f t="shared" si="80"/>
        <v>17659.56</v>
      </c>
      <c r="AU149" s="346">
        <f t="shared" si="80"/>
        <v>39698.54</v>
      </c>
      <c r="AV149" s="346">
        <f t="shared" si="77"/>
        <v>14676700.06</v>
      </c>
      <c r="AX149" s="155"/>
      <c r="AY149" s="346">
        <f t="shared" si="78"/>
        <v>39698.54</v>
      </c>
      <c r="AZ149" s="346">
        <f t="shared" si="79"/>
        <v>14676700.06</v>
      </c>
      <c r="BA149" s="190">
        <v>18</v>
      </c>
      <c r="BB149" s="351">
        <f t="shared" si="74"/>
        <v>-0.0121533515077939</v>
      </c>
      <c r="BC149" s="318">
        <f t="shared" si="74"/>
        <v>-0.00276162581313142</v>
      </c>
      <c r="BD149" s="352">
        <f t="shared" si="75"/>
        <v>-0.0149149773209253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>
        <f t="shared" si="71"/>
        <v>0</v>
      </c>
      <c r="AC150" s="339">
        <f t="shared" si="71"/>
        <v>0</v>
      </c>
      <c r="AD150" s="339">
        <f t="shared" si="71"/>
        <v>0</v>
      </c>
      <c r="AE150" s="339">
        <f t="shared" si="71"/>
        <v>0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>
        <f t="shared" si="73"/>
        <v>0</v>
      </c>
      <c r="AM150" s="341">
        <f t="shared" si="73"/>
        <v>0</v>
      </c>
      <c r="AN150" s="341">
        <f t="shared" si="73"/>
        <v>0</v>
      </c>
      <c r="AO150" s="341">
        <f t="shared" si="73"/>
        <v>0</v>
      </c>
      <c r="AR150" s="190">
        <v>19</v>
      </c>
      <c r="AS150" s="346">
        <f t="shared" si="80"/>
        <v>-231666.35</v>
      </c>
      <c r="AT150" s="346">
        <f t="shared" si="80"/>
        <v>4426.71</v>
      </c>
      <c r="AU150" s="346">
        <f t="shared" si="80"/>
        <v>0</v>
      </c>
      <c r="AV150" s="346">
        <f t="shared" si="77"/>
        <v>14237563.03</v>
      </c>
      <c r="AX150" s="155"/>
      <c r="AY150" s="346">
        <f t="shared" si="78"/>
        <v>0</v>
      </c>
      <c r="AZ150" s="346">
        <f t="shared" si="79"/>
        <v>14237563.03</v>
      </c>
      <c r="BA150" s="190">
        <v>19</v>
      </c>
      <c r="BB150" s="351">
        <f t="shared" si="74"/>
        <v>-0.04186482604591</v>
      </c>
      <c r="BC150" s="318">
        <f t="shared" si="74"/>
        <v>-0.0450555602360751</v>
      </c>
      <c r="BD150" s="352">
        <f t="shared" si="75"/>
        <v>-0.0869203862819851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41</v>
      </c>
      <c r="AC153" s="338">
        <f>AH65</f>
        <v>42</v>
      </c>
      <c r="AD153" s="338">
        <f>AH66</f>
        <v>47</v>
      </c>
      <c r="AE153" s="338">
        <f>AH67</f>
        <v>57</v>
      </c>
      <c r="AH153" s="101"/>
      <c r="AI153" s="101"/>
      <c r="AJ153" s="101"/>
      <c r="AK153" s="101"/>
      <c r="AL153" s="338">
        <f>AI64</f>
        <v>38</v>
      </c>
      <c r="AM153" s="338">
        <f>AI65</f>
        <v>38</v>
      </c>
      <c r="AN153" s="338">
        <f>AI66</f>
        <v>47</v>
      </c>
      <c r="AO153" s="338">
        <f>AI67</f>
        <v>47</v>
      </c>
      <c r="AR153" s="2" t="s">
        <v>25</v>
      </c>
      <c r="AS153" s="2">
        <f>SUM(AS132:AS151)/比赛参数!$G$4</f>
        <v>425349.847894737</v>
      </c>
      <c r="AT153" s="2">
        <f>SUM(AT132:AT151)/比赛参数!$G$4</f>
        <v>191023.266315789</v>
      </c>
      <c r="AU153" s="2">
        <f>SUM(AU132:AU151)/比赛参数!$G$4</f>
        <v>55937.0578947368</v>
      </c>
      <c r="AV153" s="2">
        <f>SUM(AV132:AV151)/比赛参数!$G$4</f>
        <v>14705373.9626316</v>
      </c>
      <c r="AY153" s="2">
        <f>SUM(AY132:AY151)/比赛参数!$G$4</f>
        <v>55937.0578947368</v>
      </c>
      <c r="AZ153" s="2">
        <f>SUM(AZ132:AZ151)/比赛参数!$G$4</f>
        <v>14705373.9626316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9488</v>
      </c>
      <c r="Y154" s="335">
        <f t="shared" si="81"/>
        <v>9488</v>
      </c>
      <c r="Z154" s="335">
        <f t="shared" si="81"/>
        <v>10088</v>
      </c>
      <c r="AA154" s="335">
        <f t="shared" si="81"/>
        <v>9888</v>
      </c>
      <c r="AB154" s="339">
        <f t="shared" ref="AB154:AE173" si="82">INT(AG$232*L73+0.5)</f>
        <v>46</v>
      </c>
      <c r="AC154" s="339">
        <f t="shared" si="82"/>
        <v>47</v>
      </c>
      <c r="AD154" s="339">
        <f t="shared" si="82"/>
        <v>56</v>
      </c>
      <c r="AE154" s="339">
        <f t="shared" si="82"/>
        <v>66</v>
      </c>
      <c r="AF154" s="334" t="s">
        <v>24</v>
      </c>
      <c r="AG154" s="11">
        <v>1</v>
      </c>
      <c r="AH154" s="340">
        <f t="shared" ref="AH154:AK173" si="83">P50</f>
        <v>12888</v>
      </c>
      <c r="AI154" s="340">
        <f t="shared" si="83"/>
        <v>12888</v>
      </c>
      <c r="AJ154" s="340">
        <f t="shared" si="83"/>
        <v>14088</v>
      </c>
      <c r="AK154" s="340">
        <f t="shared" si="83"/>
        <v>14088</v>
      </c>
      <c r="AL154" s="341">
        <f t="shared" ref="AL154:AO173" si="84">INT(AK$232*P73+0.5)</f>
        <v>23</v>
      </c>
      <c r="AM154" s="341">
        <f t="shared" si="84"/>
        <v>23</v>
      </c>
      <c r="AN154" s="341">
        <f t="shared" si="84"/>
        <v>28</v>
      </c>
      <c r="AO154" s="341">
        <f t="shared" si="84"/>
        <v>28</v>
      </c>
    </row>
    <row r="155" ht="20.1" customHeight="1" spans="22:41">
      <c r="V155" s="336"/>
      <c r="W155" s="11">
        <v>2</v>
      </c>
      <c r="X155" s="335">
        <f t="shared" si="81"/>
        <v>9499</v>
      </c>
      <c r="Y155" s="335">
        <f t="shared" si="81"/>
        <v>9499</v>
      </c>
      <c r="Z155" s="335">
        <f t="shared" si="81"/>
        <v>9999</v>
      </c>
      <c r="AA155" s="335">
        <f t="shared" si="81"/>
        <v>9999</v>
      </c>
      <c r="AB155" s="339">
        <f t="shared" si="82"/>
        <v>78</v>
      </c>
      <c r="AC155" s="339">
        <f t="shared" si="82"/>
        <v>80</v>
      </c>
      <c r="AD155" s="339">
        <f t="shared" si="82"/>
        <v>40</v>
      </c>
      <c r="AE155" s="339">
        <f t="shared" si="82"/>
        <v>46</v>
      </c>
      <c r="AF155" s="336"/>
      <c r="AG155" s="11">
        <v>2</v>
      </c>
      <c r="AH155" s="340">
        <f t="shared" si="83"/>
        <v>12099</v>
      </c>
      <c r="AI155" s="340">
        <f t="shared" si="83"/>
        <v>12099</v>
      </c>
      <c r="AJ155" s="340">
        <f t="shared" si="83"/>
        <v>13299</v>
      </c>
      <c r="AK155" s="340">
        <f t="shared" si="83"/>
        <v>13299</v>
      </c>
      <c r="AL155" s="341">
        <f t="shared" si="84"/>
        <v>68</v>
      </c>
      <c r="AM155" s="341">
        <f t="shared" si="84"/>
        <v>67</v>
      </c>
      <c r="AN155" s="341">
        <f t="shared" si="84"/>
        <v>48</v>
      </c>
      <c r="AO155" s="341">
        <f t="shared" si="84"/>
        <v>33</v>
      </c>
    </row>
    <row r="156" ht="20.1" customHeight="1" spans="22:44">
      <c r="V156" s="336"/>
      <c r="W156" s="11">
        <v>3</v>
      </c>
      <c r="X156" s="335">
        <f t="shared" si="81"/>
        <v>9400</v>
      </c>
      <c r="Y156" s="335">
        <f t="shared" si="81"/>
        <v>9400</v>
      </c>
      <c r="Z156" s="335">
        <f t="shared" si="81"/>
        <v>9750</v>
      </c>
      <c r="AA156" s="335">
        <f t="shared" si="81"/>
        <v>9850</v>
      </c>
      <c r="AB156" s="339">
        <f t="shared" si="82"/>
        <v>24</v>
      </c>
      <c r="AC156" s="339">
        <f t="shared" si="82"/>
        <v>24</v>
      </c>
      <c r="AD156" s="339">
        <f t="shared" si="82"/>
        <v>36</v>
      </c>
      <c r="AE156" s="339">
        <f t="shared" si="82"/>
        <v>31</v>
      </c>
      <c r="AF156" s="336"/>
      <c r="AG156" s="11">
        <v>3</v>
      </c>
      <c r="AH156" s="340">
        <f t="shared" si="83"/>
        <v>12500</v>
      </c>
      <c r="AI156" s="340">
        <f t="shared" si="83"/>
        <v>12600</v>
      </c>
      <c r="AJ156" s="340">
        <f t="shared" si="83"/>
        <v>13150</v>
      </c>
      <c r="AK156" s="340">
        <f t="shared" si="83"/>
        <v>13200</v>
      </c>
      <c r="AL156" s="341">
        <f t="shared" si="84"/>
        <v>24</v>
      </c>
      <c r="AM156" s="341">
        <f t="shared" si="84"/>
        <v>24</v>
      </c>
      <c r="AN156" s="341">
        <f t="shared" si="84"/>
        <v>37</v>
      </c>
      <c r="AO156" s="341">
        <f t="shared" si="84"/>
        <v>37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9650</v>
      </c>
      <c r="Y157" s="335">
        <f t="shared" si="81"/>
        <v>9650</v>
      </c>
      <c r="Z157" s="335">
        <f t="shared" si="81"/>
        <v>10100</v>
      </c>
      <c r="AA157" s="335">
        <f t="shared" si="81"/>
        <v>10100</v>
      </c>
      <c r="AB157" s="339">
        <f t="shared" si="82"/>
        <v>38</v>
      </c>
      <c r="AC157" s="339">
        <f t="shared" si="82"/>
        <v>38</v>
      </c>
      <c r="AD157" s="339">
        <f t="shared" si="82"/>
        <v>38</v>
      </c>
      <c r="AE157" s="339">
        <f t="shared" si="82"/>
        <v>47</v>
      </c>
      <c r="AF157" s="336"/>
      <c r="AG157" s="11">
        <v>4</v>
      </c>
      <c r="AH157" s="340">
        <f t="shared" si="83"/>
        <v>12450</v>
      </c>
      <c r="AI157" s="340">
        <f t="shared" si="83"/>
        <v>12450</v>
      </c>
      <c r="AJ157" s="340">
        <f t="shared" si="83"/>
        <v>13600</v>
      </c>
      <c r="AK157" s="340">
        <f t="shared" si="83"/>
        <v>13600</v>
      </c>
      <c r="AL157" s="341">
        <f t="shared" si="84"/>
        <v>29</v>
      </c>
      <c r="AM157" s="341">
        <f t="shared" si="84"/>
        <v>29</v>
      </c>
      <c r="AN157" s="341">
        <f t="shared" si="84"/>
        <v>30</v>
      </c>
      <c r="AO157" s="341">
        <f t="shared" si="84"/>
        <v>36</v>
      </c>
      <c r="AR157" s="2">
        <v>1</v>
      </c>
      <c r="AS157" s="2">
        <f>IF(AS132="","",(AS132-AS$153)^2)</f>
        <v>314361403158.704</v>
      </c>
      <c r="AT157" s="2">
        <f>IF(AT132="","",(AT132-AT$153)^2)</f>
        <v>23782862634.9602</v>
      </c>
      <c r="AU157" s="2">
        <f>IF(AU132="","",(AU132-AU$153)^2)</f>
        <v>3128954445.91914</v>
      </c>
      <c r="AV157" s="2">
        <f>IF(AV132="","",(AV132-AV$153)^2)</f>
        <v>1030901582905.04</v>
      </c>
      <c r="AY157" s="2">
        <f>IF(AY132="","",(AY132-AY$153)^2)</f>
        <v>3128954445.91914</v>
      </c>
      <c r="AZ157" s="2">
        <f>IF(AZ132="","",(AZ132-AZ$153)^2)</f>
        <v>1030901582905.04</v>
      </c>
    </row>
    <row r="158" ht="20.1" customHeight="1" spans="22:52">
      <c r="V158" s="336"/>
      <c r="W158" s="11">
        <v>5</v>
      </c>
      <c r="X158" s="335">
        <f t="shared" si="81"/>
        <v>9200</v>
      </c>
      <c r="Y158" s="335">
        <f t="shared" si="81"/>
        <v>9250</v>
      </c>
      <c r="Z158" s="335">
        <f t="shared" si="81"/>
        <v>10150</v>
      </c>
      <c r="AA158" s="335">
        <f t="shared" si="81"/>
        <v>10100</v>
      </c>
      <c r="AB158" s="339">
        <f t="shared" si="82"/>
        <v>60</v>
      </c>
      <c r="AC158" s="339">
        <f t="shared" si="82"/>
        <v>59</v>
      </c>
      <c r="AD158" s="339">
        <f t="shared" si="82"/>
        <v>46</v>
      </c>
      <c r="AE158" s="339">
        <f t="shared" si="82"/>
        <v>50</v>
      </c>
      <c r="AF158" s="336"/>
      <c r="AG158" s="11">
        <v>5</v>
      </c>
      <c r="AH158" s="340">
        <f t="shared" si="83"/>
        <v>13500</v>
      </c>
      <c r="AI158" s="340">
        <f t="shared" si="83"/>
        <v>13500</v>
      </c>
      <c r="AJ158" s="340">
        <f t="shared" si="83"/>
        <v>14200</v>
      </c>
      <c r="AK158" s="340">
        <f t="shared" si="83"/>
        <v>14350</v>
      </c>
      <c r="AL158" s="341">
        <f t="shared" si="84"/>
        <v>27</v>
      </c>
      <c r="AM158" s="341">
        <f t="shared" si="84"/>
        <v>29</v>
      </c>
      <c r="AN158" s="341">
        <f t="shared" si="84"/>
        <v>29</v>
      </c>
      <c r="AO158" s="341">
        <f t="shared" si="84"/>
        <v>29</v>
      </c>
      <c r="AR158" s="2">
        <v>2</v>
      </c>
      <c r="AS158" s="2">
        <f t="shared" ref="AS158:AV173" si="85">IF(AS133="","",(AS133-AS$153)^2)</f>
        <v>98034804964.3473</v>
      </c>
      <c r="AT158" s="2">
        <f t="shared" si="85"/>
        <v>9061093515.05003</v>
      </c>
      <c r="AU158" s="2">
        <f t="shared" si="85"/>
        <v>3128954445.91914</v>
      </c>
      <c r="AV158" s="2">
        <f t="shared" si="85"/>
        <v>73275976500.817</v>
      </c>
      <c r="AY158" s="2">
        <f t="shared" ref="AY158:AZ173" si="86">IF(AY133="","",(AY133-AY$153)^2)</f>
        <v>3128954445.91914</v>
      </c>
      <c r="AZ158" s="2">
        <f t="shared" si="86"/>
        <v>73275976500.817</v>
      </c>
    </row>
    <row r="159" ht="20.1" customHeight="1" spans="22:52">
      <c r="V159" s="336"/>
      <c r="W159" s="11">
        <v>6</v>
      </c>
      <c r="X159" s="335">
        <f t="shared" si="81"/>
        <v>11000</v>
      </c>
      <c r="Y159" s="335">
        <f t="shared" si="81"/>
        <v>12000</v>
      </c>
      <c r="Z159" s="335">
        <f t="shared" si="81"/>
        <v>12000</v>
      </c>
      <c r="AA159" s="335">
        <f t="shared" si="81"/>
        <v>11000</v>
      </c>
      <c r="AB159" s="339">
        <f t="shared" si="82"/>
        <v>0</v>
      </c>
      <c r="AC159" s="339">
        <f t="shared" si="82"/>
        <v>1</v>
      </c>
      <c r="AD159" s="339">
        <f t="shared" si="82"/>
        <v>2</v>
      </c>
      <c r="AE159" s="339">
        <f t="shared" si="82"/>
        <v>0</v>
      </c>
      <c r="AF159" s="336"/>
      <c r="AG159" s="11">
        <v>6</v>
      </c>
      <c r="AH159" s="340">
        <f t="shared" si="83"/>
        <v>9999</v>
      </c>
      <c r="AI159" s="340">
        <f t="shared" si="83"/>
        <v>9999</v>
      </c>
      <c r="AJ159" s="340">
        <f t="shared" si="83"/>
        <v>11999</v>
      </c>
      <c r="AK159" s="340">
        <f t="shared" si="83"/>
        <v>11999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>
        <f t="shared" si="85"/>
        <v>413904963910.753</v>
      </c>
      <c r="AT159" s="2">
        <f t="shared" si="85"/>
        <v>2451295916.32827</v>
      </c>
      <c r="AU159" s="2">
        <f t="shared" si="85"/>
        <v>888520315.455984</v>
      </c>
      <c r="AV159" s="2">
        <f t="shared" si="85"/>
        <v>463260664537.225</v>
      </c>
      <c r="AY159" s="2">
        <f t="shared" si="86"/>
        <v>888520315.455984</v>
      </c>
      <c r="AZ159" s="2">
        <f t="shared" si="86"/>
        <v>463260664537.225</v>
      </c>
    </row>
    <row r="160" ht="20.1" customHeight="1" spans="22:52">
      <c r="V160" s="336"/>
      <c r="W160" s="11">
        <v>7</v>
      </c>
      <c r="X160" s="335">
        <f t="shared" si="81"/>
        <v>9499</v>
      </c>
      <c r="Y160" s="335">
        <f t="shared" si="81"/>
        <v>9499</v>
      </c>
      <c r="Z160" s="335">
        <f t="shared" si="81"/>
        <v>9599</v>
      </c>
      <c r="AA160" s="335">
        <f t="shared" si="81"/>
        <v>9599</v>
      </c>
      <c r="AB160" s="339">
        <f t="shared" si="82"/>
        <v>31</v>
      </c>
      <c r="AC160" s="339">
        <f t="shared" si="82"/>
        <v>31</v>
      </c>
      <c r="AD160" s="339">
        <f t="shared" si="82"/>
        <v>60</v>
      </c>
      <c r="AE160" s="339">
        <f t="shared" si="82"/>
        <v>55</v>
      </c>
      <c r="AF160" s="336"/>
      <c r="AG160" s="11">
        <v>7</v>
      </c>
      <c r="AH160" s="340">
        <f t="shared" si="83"/>
        <v>11899</v>
      </c>
      <c r="AI160" s="340">
        <f t="shared" si="83"/>
        <v>11899</v>
      </c>
      <c r="AJ160" s="340">
        <f t="shared" si="83"/>
        <v>13299</v>
      </c>
      <c r="AK160" s="340">
        <f t="shared" si="83"/>
        <v>13299</v>
      </c>
      <c r="AL160" s="341">
        <f t="shared" si="84"/>
        <v>67</v>
      </c>
      <c r="AM160" s="341">
        <f t="shared" si="84"/>
        <v>67</v>
      </c>
      <c r="AN160" s="341">
        <f t="shared" si="84"/>
        <v>43</v>
      </c>
      <c r="AO160" s="341">
        <f t="shared" si="84"/>
        <v>43</v>
      </c>
      <c r="AR160" s="2">
        <v>4</v>
      </c>
      <c r="AS160" s="2">
        <f t="shared" si="85"/>
        <v>143501714977.456</v>
      </c>
      <c r="AT160" s="2">
        <f t="shared" si="85"/>
        <v>2683678627.60829</v>
      </c>
      <c r="AU160" s="2">
        <f t="shared" si="85"/>
        <v>2110213288.02441</v>
      </c>
      <c r="AV160" s="2">
        <f t="shared" si="85"/>
        <v>492025056275.383</v>
      </c>
      <c r="AY160" s="2">
        <f t="shared" si="86"/>
        <v>2110213288.02441</v>
      </c>
      <c r="AZ160" s="2">
        <f t="shared" si="86"/>
        <v>492025056275.383</v>
      </c>
    </row>
    <row r="161" ht="20.1" customHeight="1" spans="22:52">
      <c r="V161" s="336"/>
      <c r="W161" s="11">
        <v>8</v>
      </c>
      <c r="X161" s="335">
        <f t="shared" si="81"/>
        <v>9500</v>
      </c>
      <c r="Y161" s="335">
        <f t="shared" si="81"/>
        <v>9500</v>
      </c>
      <c r="Z161" s="335">
        <f t="shared" si="81"/>
        <v>9700</v>
      </c>
      <c r="AA161" s="335">
        <f t="shared" si="81"/>
        <v>9700</v>
      </c>
      <c r="AB161" s="339">
        <f t="shared" si="82"/>
        <v>51</v>
      </c>
      <c r="AC161" s="339">
        <f t="shared" si="82"/>
        <v>52</v>
      </c>
      <c r="AD161" s="339">
        <f t="shared" si="82"/>
        <v>73</v>
      </c>
      <c r="AE161" s="339">
        <f t="shared" si="82"/>
        <v>71</v>
      </c>
      <c r="AF161" s="336"/>
      <c r="AG161" s="11">
        <v>8</v>
      </c>
      <c r="AH161" s="340">
        <f t="shared" si="83"/>
        <v>12400</v>
      </c>
      <c r="AI161" s="340">
        <f t="shared" si="83"/>
        <v>12400</v>
      </c>
      <c r="AJ161" s="340">
        <f t="shared" si="83"/>
        <v>13000</v>
      </c>
      <c r="AK161" s="340">
        <f t="shared" si="83"/>
        <v>13000</v>
      </c>
      <c r="AL161" s="341">
        <f t="shared" si="84"/>
        <v>42</v>
      </c>
      <c r="AM161" s="341">
        <f t="shared" si="84"/>
        <v>42</v>
      </c>
      <c r="AN161" s="341">
        <f t="shared" si="84"/>
        <v>52</v>
      </c>
      <c r="AO161" s="341">
        <f t="shared" si="84"/>
        <v>52</v>
      </c>
      <c r="AR161" s="2">
        <v>5</v>
      </c>
      <c r="AS161" s="2">
        <f t="shared" si="85"/>
        <v>434932154154.516</v>
      </c>
      <c r="AT161" s="2">
        <f t="shared" si="85"/>
        <v>70220793815.6167</v>
      </c>
      <c r="AU161" s="2">
        <f t="shared" si="85"/>
        <v>3128954445.91914</v>
      </c>
      <c r="AV161" s="2">
        <f t="shared" si="85"/>
        <v>1786337400333.22</v>
      </c>
      <c r="AY161" s="2">
        <f t="shared" si="86"/>
        <v>3128954445.91914</v>
      </c>
      <c r="AZ161" s="2">
        <f t="shared" si="86"/>
        <v>1786337400333.22</v>
      </c>
    </row>
    <row r="162" ht="20.1" customHeight="1" spans="22:52">
      <c r="V162" s="336"/>
      <c r="W162" s="11">
        <v>9</v>
      </c>
      <c r="X162" s="335">
        <f t="shared" si="81"/>
        <v>10448</v>
      </c>
      <c r="Y162" s="335">
        <f t="shared" si="81"/>
        <v>10448</v>
      </c>
      <c r="Z162" s="335">
        <f t="shared" si="81"/>
        <v>11358</v>
      </c>
      <c r="AA162" s="335">
        <f t="shared" si="81"/>
        <v>11398</v>
      </c>
      <c r="AB162" s="339">
        <f t="shared" si="82"/>
        <v>17</v>
      </c>
      <c r="AC162" s="339">
        <f t="shared" si="82"/>
        <v>18</v>
      </c>
      <c r="AD162" s="339">
        <f t="shared" si="82"/>
        <v>14</v>
      </c>
      <c r="AE162" s="339">
        <f t="shared" si="82"/>
        <v>13</v>
      </c>
      <c r="AF162" s="336"/>
      <c r="AG162" s="11">
        <v>9</v>
      </c>
      <c r="AH162" s="340">
        <f t="shared" si="83"/>
        <v>13298</v>
      </c>
      <c r="AI162" s="340">
        <f t="shared" si="83"/>
        <v>13298</v>
      </c>
      <c r="AJ162" s="340">
        <f t="shared" si="83"/>
        <v>14998</v>
      </c>
      <c r="AK162" s="340">
        <f t="shared" si="83"/>
        <v>15138</v>
      </c>
      <c r="AL162" s="341">
        <f t="shared" si="84"/>
        <v>31</v>
      </c>
      <c r="AM162" s="341">
        <f t="shared" si="84"/>
        <v>31</v>
      </c>
      <c r="AN162" s="341">
        <f t="shared" si="84"/>
        <v>29</v>
      </c>
      <c r="AO162" s="341">
        <f t="shared" si="84"/>
        <v>23</v>
      </c>
      <c r="AR162" s="2">
        <v>6</v>
      </c>
      <c r="AS162" s="2">
        <f t="shared" si="85"/>
        <v>12543013206168.1</v>
      </c>
      <c r="AT162" s="2">
        <f t="shared" si="85"/>
        <v>34818274828.9116</v>
      </c>
      <c r="AU162" s="2">
        <f t="shared" si="85"/>
        <v>3128954445.91914</v>
      </c>
      <c r="AV162" s="2">
        <f t="shared" si="85"/>
        <v>37752853730543.9</v>
      </c>
      <c r="AY162" s="2">
        <f t="shared" si="86"/>
        <v>3128954445.91914</v>
      </c>
      <c r="AZ162" s="2">
        <f t="shared" si="86"/>
        <v>37752853730543.9</v>
      </c>
    </row>
    <row r="163" ht="20.1" customHeight="1" spans="22:52">
      <c r="V163" s="336"/>
      <c r="W163" s="11">
        <v>10</v>
      </c>
      <c r="X163" s="335">
        <f t="shared" si="81"/>
        <v>10000</v>
      </c>
      <c r="Y163" s="335">
        <f t="shared" si="81"/>
        <v>10000</v>
      </c>
      <c r="Z163" s="335">
        <f t="shared" si="81"/>
        <v>10300</v>
      </c>
      <c r="AA163" s="335">
        <f t="shared" si="81"/>
        <v>10300</v>
      </c>
      <c r="AB163" s="339">
        <f t="shared" si="82"/>
        <v>32</v>
      </c>
      <c r="AC163" s="339">
        <f t="shared" si="82"/>
        <v>34</v>
      </c>
      <c r="AD163" s="339">
        <f t="shared" si="82"/>
        <v>56</v>
      </c>
      <c r="AE163" s="339">
        <f t="shared" si="82"/>
        <v>54</v>
      </c>
      <c r="AF163" s="336"/>
      <c r="AG163" s="11">
        <v>10</v>
      </c>
      <c r="AH163" s="340">
        <f t="shared" si="83"/>
        <v>13100</v>
      </c>
      <c r="AI163" s="340">
        <f t="shared" si="83"/>
        <v>13100</v>
      </c>
      <c r="AJ163" s="340">
        <f t="shared" si="83"/>
        <v>13900</v>
      </c>
      <c r="AK163" s="340">
        <f t="shared" si="83"/>
        <v>13900</v>
      </c>
      <c r="AL163" s="341">
        <f t="shared" si="84"/>
        <v>26</v>
      </c>
      <c r="AM163" s="341">
        <f t="shared" si="84"/>
        <v>26</v>
      </c>
      <c r="AN163" s="341">
        <f t="shared" si="84"/>
        <v>37</v>
      </c>
      <c r="AO163" s="341">
        <f t="shared" si="84"/>
        <v>41</v>
      </c>
      <c r="AR163" s="2">
        <v>7</v>
      </c>
      <c r="AS163" s="2">
        <f t="shared" si="85"/>
        <v>399885875306.681</v>
      </c>
      <c r="AT163" s="2">
        <f t="shared" si="85"/>
        <v>264963962.785136</v>
      </c>
      <c r="AU163" s="2">
        <f t="shared" si="85"/>
        <v>3128954445.91914</v>
      </c>
      <c r="AV163" s="2">
        <f t="shared" si="85"/>
        <v>368525507056.452</v>
      </c>
      <c r="AY163" s="2">
        <f t="shared" si="86"/>
        <v>3128954445.91914</v>
      </c>
      <c r="AZ163" s="2">
        <f t="shared" si="86"/>
        <v>368525507056.452</v>
      </c>
    </row>
    <row r="164" ht="20.1" customHeight="1" spans="22:52">
      <c r="V164" s="336"/>
      <c r="W164" s="11">
        <v>11</v>
      </c>
      <c r="X164" s="335">
        <f t="shared" si="81"/>
        <v>10200</v>
      </c>
      <c r="Y164" s="335">
        <f t="shared" si="81"/>
        <v>10200</v>
      </c>
      <c r="Z164" s="335">
        <f t="shared" si="81"/>
        <v>10300</v>
      </c>
      <c r="AA164" s="335">
        <f t="shared" si="81"/>
        <v>10500</v>
      </c>
      <c r="AB164" s="339">
        <f t="shared" si="82"/>
        <v>18</v>
      </c>
      <c r="AC164" s="339">
        <f t="shared" si="82"/>
        <v>19</v>
      </c>
      <c r="AD164" s="339">
        <f t="shared" si="82"/>
        <v>38</v>
      </c>
      <c r="AE164" s="339">
        <f t="shared" si="82"/>
        <v>31</v>
      </c>
      <c r="AF164" s="336"/>
      <c r="AG164" s="11">
        <v>11</v>
      </c>
      <c r="AH164" s="340">
        <f t="shared" si="83"/>
        <v>13100</v>
      </c>
      <c r="AI164" s="340">
        <f t="shared" si="83"/>
        <v>13100</v>
      </c>
      <c r="AJ164" s="340">
        <f t="shared" si="83"/>
        <v>13500</v>
      </c>
      <c r="AK164" s="340">
        <f t="shared" si="83"/>
        <v>13650</v>
      </c>
      <c r="AL164" s="341">
        <f t="shared" si="84"/>
        <v>29</v>
      </c>
      <c r="AM164" s="341">
        <f t="shared" si="84"/>
        <v>29</v>
      </c>
      <c r="AN164" s="341">
        <f t="shared" si="84"/>
        <v>47</v>
      </c>
      <c r="AO164" s="341">
        <f t="shared" si="84"/>
        <v>42</v>
      </c>
      <c r="AR164" s="2">
        <v>8</v>
      </c>
      <c r="AS164" s="2">
        <f t="shared" si="85"/>
        <v>60192148432.1887</v>
      </c>
      <c r="AT164" s="2">
        <f t="shared" si="85"/>
        <v>8991051186.00467</v>
      </c>
      <c r="AU164" s="2">
        <f t="shared" si="85"/>
        <v>371508659694.389</v>
      </c>
      <c r="AV164" s="2">
        <f t="shared" si="85"/>
        <v>29141244264.661</v>
      </c>
      <c r="AY164" s="2">
        <f t="shared" si="86"/>
        <v>371508659694.389</v>
      </c>
      <c r="AZ164" s="2">
        <f t="shared" si="86"/>
        <v>29141244264.661</v>
      </c>
    </row>
    <row r="165" ht="20.1" customHeight="1" spans="22:52">
      <c r="V165" s="336"/>
      <c r="W165" s="11">
        <v>12</v>
      </c>
      <c r="X165" s="335">
        <f t="shared" si="81"/>
        <v>8900</v>
      </c>
      <c r="Y165" s="335">
        <f t="shared" si="81"/>
        <v>8950</v>
      </c>
      <c r="Z165" s="335">
        <f t="shared" si="81"/>
        <v>8550</v>
      </c>
      <c r="AA165" s="335">
        <f t="shared" si="81"/>
        <v>8660</v>
      </c>
      <c r="AB165" s="339">
        <f t="shared" si="82"/>
        <v>48</v>
      </c>
      <c r="AC165" s="339">
        <f t="shared" si="82"/>
        <v>46</v>
      </c>
      <c r="AD165" s="339">
        <f t="shared" si="82"/>
        <v>48</v>
      </c>
      <c r="AE165" s="339">
        <f t="shared" si="82"/>
        <v>49</v>
      </c>
      <c r="AF165" s="336"/>
      <c r="AG165" s="11">
        <v>12</v>
      </c>
      <c r="AH165" s="340">
        <f t="shared" si="83"/>
        <v>12100</v>
      </c>
      <c r="AI165" s="340">
        <f t="shared" si="83"/>
        <v>12200</v>
      </c>
      <c r="AJ165" s="340">
        <f t="shared" si="83"/>
        <v>13100</v>
      </c>
      <c r="AK165" s="340">
        <f t="shared" si="83"/>
        <v>13600</v>
      </c>
      <c r="AL165" s="341">
        <f t="shared" si="84"/>
        <v>24</v>
      </c>
      <c r="AM165" s="341">
        <f t="shared" si="84"/>
        <v>24</v>
      </c>
      <c r="AN165" s="341">
        <f t="shared" si="84"/>
        <v>17</v>
      </c>
      <c r="AO165" s="341">
        <f t="shared" si="84"/>
        <v>14</v>
      </c>
      <c r="AR165" s="2">
        <v>9</v>
      </c>
      <c r="AS165" s="2">
        <f t="shared" si="85"/>
        <v>166091616448.664</v>
      </c>
      <c r="AT165" s="2">
        <f t="shared" si="85"/>
        <v>30399303.2473819</v>
      </c>
      <c r="AU165" s="2">
        <f t="shared" si="85"/>
        <v>3128954445.91914</v>
      </c>
      <c r="AV165" s="2">
        <f t="shared" si="85"/>
        <v>283850849425.815</v>
      </c>
      <c r="AY165" s="2">
        <f t="shared" si="86"/>
        <v>3128954445.91914</v>
      </c>
      <c r="AZ165" s="2">
        <f t="shared" si="86"/>
        <v>283850849425.815</v>
      </c>
    </row>
    <row r="166" ht="20.1" customHeight="1" spans="22:52">
      <c r="V166" s="336"/>
      <c r="W166" s="11">
        <v>13</v>
      </c>
      <c r="X166" s="335">
        <f t="shared" si="81"/>
        <v>9700</v>
      </c>
      <c r="Y166" s="335">
        <f t="shared" si="81"/>
        <v>9700</v>
      </c>
      <c r="Z166" s="335">
        <f t="shared" si="81"/>
        <v>10100</v>
      </c>
      <c r="AA166" s="335">
        <f t="shared" si="81"/>
        <v>10100</v>
      </c>
      <c r="AB166" s="339">
        <f t="shared" si="82"/>
        <v>32</v>
      </c>
      <c r="AC166" s="339">
        <f t="shared" si="82"/>
        <v>29</v>
      </c>
      <c r="AD166" s="339">
        <f t="shared" si="82"/>
        <v>48</v>
      </c>
      <c r="AE166" s="339">
        <f t="shared" si="82"/>
        <v>47</v>
      </c>
      <c r="AF166" s="336"/>
      <c r="AG166" s="11">
        <v>13</v>
      </c>
      <c r="AH166" s="340">
        <f t="shared" si="83"/>
        <v>12900</v>
      </c>
      <c r="AI166" s="340">
        <f t="shared" si="83"/>
        <v>12900</v>
      </c>
      <c r="AJ166" s="340">
        <f t="shared" si="83"/>
        <v>13400</v>
      </c>
      <c r="AK166" s="340">
        <f t="shared" si="83"/>
        <v>13700</v>
      </c>
      <c r="AL166" s="341">
        <f t="shared" si="84"/>
        <v>26</v>
      </c>
      <c r="AM166" s="341">
        <f t="shared" si="84"/>
        <v>26</v>
      </c>
      <c r="AN166" s="341">
        <f t="shared" si="84"/>
        <v>29</v>
      </c>
      <c r="AO166" s="341">
        <f t="shared" si="84"/>
        <v>29</v>
      </c>
      <c r="AR166" s="2">
        <v>10</v>
      </c>
      <c r="AS166" s="2">
        <f t="shared" si="85"/>
        <v>292748209155.808</v>
      </c>
      <c r="AT166" s="2">
        <f t="shared" si="85"/>
        <v>5334928325.74193</v>
      </c>
      <c r="AU166" s="2">
        <f t="shared" si="85"/>
        <v>3128954445.91914</v>
      </c>
      <c r="AV166" s="2">
        <f t="shared" si="85"/>
        <v>583998808441.325</v>
      </c>
      <c r="AY166" s="2">
        <f t="shared" si="86"/>
        <v>3128954445.91914</v>
      </c>
      <c r="AZ166" s="2">
        <f t="shared" si="86"/>
        <v>583998808441.325</v>
      </c>
    </row>
    <row r="167" ht="19.5" customHeight="1" spans="22:52">
      <c r="V167" s="336"/>
      <c r="W167" s="11">
        <v>14</v>
      </c>
      <c r="X167" s="335">
        <f t="shared" si="81"/>
        <v>9100</v>
      </c>
      <c r="Y167" s="335">
        <f t="shared" si="81"/>
        <v>9100</v>
      </c>
      <c r="Z167" s="335">
        <f t="shared" si="81"/>
        <v>11000</v>
      </c>
      <c r="AA167" s="335">
        <f t="shared" si="81"/>
        <v>10000</v>
      </c>
      <c r="AB167" s="339">
        <f t="shared" si="82"/>
        <v>10</v>
      </c>
      <c r="AC167" s="339">
        <f t="shared" si="82"/>
        <v>10</v>
      </c>
      <c r="AD167" s="339">
        <f t="shared" si="82"/>
        <v>10</v>
      </c>
      <c r="AE167" s="339">
        <f t="shared" si="82"/>
        <v>28</v>
      </c>
      <c r="AF167" s="336"/>
      <c r="AG167" s="11">
        <v>14</v>
      </c>
      <c r="AH167" s="340">
        <f t="shared" si="83"/>
        <v>10100</v>
      </c>
      <c r="AI167" s="340">
        <f t="shared" si="83"/>
        <v>10100</v>
      </c>
      <c r="AJ167" s="340">
        <f t="shared" si="83"/>
        <v>11100</v>
      </c>
      <c r="AK167" s="340">
        <f t="shared" si="83"/>
        <v>11100</v>
      </c>
      <c r="AL167" s="341">
        <f t="shared" si="84"/>
        <v>26</v>
      </c>
      <c r="AM167" s="341">
        <f t="shared" si="84"/>
        <v>32</v>
      </c>
      <c r="AN167" s="341">
        <f t="shared" si="84"/>
        <v>48</v>
      </c>
      <c r="AO167" s="341">
        <f t="shared" si="84"/>
        <v>36</v>
      </c>
      <c r="AR167" s="2">
        <v>11</v>
      </c>
      <c r="AS167" s="2">
        <f t="shared" si="85"/>
        <v>344398464857.246</v>
      </c>
      <c r="AT167" s="2">
        <f t="shared" si="85"/>
        <v>50934546898.4045</v>
      </c>
      <c r="AU167" s="2">
        <f t="shared" si="85"/>
        <v>69985084577.2454</v>
      </c>
      <c r="AV167" s="2">
        <f t="shared" si="85"/>
        <v>827779032917.83</v>
      </c>
      <c r="AY167" s="2">
        <f t="shared" si="86"/>
        <v>69985084577.2454</v>
      </c>
      <c r="AZ167" s="2">
        <f t="shared" si="86"/>
        <v>827779032917.83</v>
      </c>
    </row>
    <row r="168" ht="19.5" customHeight="1" spans="22:52">
      <c r="V168" s="336"/>
      <c r="W168" s="11">
        <v>15</v>
      </c>
      <c r="X168" s="335">
        <f t="shared" si="81"/>
        <v>9600</v>
      </c>
      <c r="Y168" s="335">
        <f t="shared" si="81"/>
        <v>9599</v>
      </c>
      <c r="Z168" s="335">
        <f t="shared" si="81"/>
        <v>9899</v>
      </c>
      <c r="AA168" s="335">
        <f t="shared" si="81"/>
        <v>9999</v>
      </c>
      <c r="AB168" s="339">
        <f t="shared" si="82"/>
        <v>21</v>
      </c>
      <c r="AC168" s="339">
        <f t="shared" si="82"/>
        <v>19</v>
      </c>
      <c r="AD168" s="339">
        <f t="shared" si="82"/>
        <v>19</v>
      </c>
      <c r="AE168" s="339">
        <f t="shared" si="82"/>
        <v>19</v>
      </c>
      <c r="AF168" s="336"/>
      <c r="AG168" s="11">
        <v>15</v>
      </c>
      <c r="AH168" s="340">
        <f t="shared" si="83"/>
        <v>12799</v>
      </c>
      <c r="AI168" s="340">
        <f t="shared" si="83"/>
        <v>12599</v>
      </c>
      <c r="AJ168" s="340">
        <f t="shared" si="83"/>
        <v>13499</v>
      </c>
      <c r="AK168" s="340">
        <f t="shared" si="83"/>
        <v>13499</v>
      </c>
      <c r="AL168" s="341">
        <f t="shared" si="84"/>
        <v>24</v>
      </c>
      <c r="AM168" s="341">
        <f t="shared" si="84"/>
        <v>24</v>
      </c>
      <c r="AN168" s="341">
        <f t="shared" si="84"/>
        <v>19</v>
      </c>
      <c r="AO168" s="341">
        <f t="shared" si="84"/>
        <v>24</v>
      </c>
      <c r="AR168" s="2">
        <v>12</v>
      </c>
      <c r="AS168" s="2">
        <f t="shared" si="85"/>
        <v>46323560276.0003</v>
      </c>
      <c r="AT168" s="2">
        <f t="shared" si="85"/>
        <v>478602092.721612</v>
      </c>
      <c r="AU168" s="2">
        <f t="shared" si="85"/>
        <v>3128954445.91914</v>
      </c>
      <c r="AV168" s="2">
        <f t="shared" si="85"/>
        <v>234114671415.239</v>
      </c>
      <c r="AY168" s="2">
        <f t="shared" si="86"/>
        <v>3128954445.91914</v>
      </c>
      <c r="AZ168" s="2">
        <f t="shared" si="86"/>
        <v>234114671415.239</v>
      </c>
    </row>
    <row r="169" ht="19.5" customHeight="1" spans="22:52">
      <c r="V169" s="336"/>
      <c r="W169" s="11">
        <v>16</v>
      </c>
      <c r="X169" s="335">
        <f t="shared" si="81"/>
        <v>10150</v>
      </c>
      <c r="Y169" s="335">
        <f t="shared" si="81"/>
        <v>10150</v>
      </c>
      <c r="Z169" s="335">
        <f t="shared" si="81"/>
        <v>10500</v>
      </c>
      <c r="AA169" s="335">
        <f t="shared" si="81"/>
        <v>10550</v>
      </c>
      <c r="AB169" s="339">
        <f t="shared" si="82"/>
        <v>20</v>
      </c>
      <c r="AC169" s="339">
        <f t="shared" si="82"/>
        <v>21</v>
      </c>
      <c r="AD169" s="339">
        <f t="shared" si="82"/>
        <v>39</v>
      </c>
      <c r="AE169" s="339">
        <f t="shared" si="82"/>
        <v>32</v>
      </c>
      <c r="AF169" s="336"/>
      <c r="AG169" s="11">
        <v>16</v>
      </c>
      <c r="AH169" s="340">
        <f t="shared" si="83"/>
        <v>12200</v>
      </c>
      <c r="AI169" s="340">
        <f t="shared" si="83"/>
        <v>12200</v>
      </c>
      <c r="AJ169" s="340">
        <f t="shared" si="83"/>
        <v>14000</v>
      </c>
      <c r="AK169" s="340">
        <f t="shared" si="83"/>
        <v>13350</v>
      </c>
      <c r="AL169" s="341">
        <f t="shared" si="84"/>
        <v>43</v>
      </c>
      <c r="AM169" s="341">
        <f t="shared" si="84"/>
        <v>43</v>
      </c>
      <c r="AN169" s="341">
        <f t="shared" si="84"/>
        <v>24</v>
      </c>
      <c r="AO169" s="341">
        <f t="shared" si="84"/>
        <v>27</v>
      </c>
      <c r="AR169" s="2">
        <v>13</v>
      </c>
      <c r="AS169" s="2">
        <f t="shared" si="85"/>
        <v>239232585313.674</v>
      </c>
      <c r="AT169" s="2">
        <f t="shared" si="85"/>
        <v>6302118528.32301</v>
      </c>
      <c r="AU169" s="2">
        <f t="shared" si="85"/>
        <v>3013643048.01177</v>
      </c>
      <c r="AV169" s="2">
        <f t="shared" si="85"/>
        <v>616155164247.125</v>
      </c>
      <c r="AY169" s="2">
        <f t="shared" si="86"/>
        <v>3013643048.01177</v>
      </c>
      <c r="AZ169" s="2">
        <f t="shared" si="86"/>
        <v>616155164247.125</v>
      </c>
    </row>
    <row r="170" ht="19.5" customHeight="1" spans="22:52">
      <c r="V170" s="336"/>
      <c r="W170" s="11">
        <v>17</v>
      </c>
      <c r="X170" s="335">
        <f t="shared" si="81"/>
        <v>10500</v>
      </c>
      <c r="Y170" s="335">
        <f t="shared" si="81"/>
        <v>10500</v>
      </c>
      <c r="Z170" s="335">
        <f t="shared" si="81"/>
        <v>10680</v>
      </c>
      <c r="AA170" s="335">
        <f t="shared" si="81"/>
        <v>10680</v>
      </c>
      <c r="AB170" s="339">
        <f t="shared" si="82"/>
        <v>20</v>
      </c>
      <c r="AC170" s="339">
        <f t="shared" si="82"/>
        <v>20</v>
      </c>
      <c r="AD170" s="339">
        <f t="shared" si="82"/>
        <v>29</v>
      </c>
      <c r="AE170" s="339">
        <f t="shared" si="82"/>
        <v>27</v>
      </c>
      <c r="AF170" s="336"/>
      <c r="AG170" s="11">
        <v>17</v>
      </c>
      <c r="AH170" s="340">
        <f t="shared" si="83"/>
        <v>13500</v>
      </c>
      <c r="AI170" s="340">
        <f t="shared" si="83"/>
        <v>13500</v>
      </c>
      <c r="AJ170" s="340">
        <f t="shared" si="83"/>
        <v>14300</v>
      </c>
      <c r="AK170" s="340">
        <f t="shared" si="83"/>
        <v>14300</v>
      </c>
      <c r="AL170" s="341">
        <f t="shared" si="84"/>
        <v>21</v>
      </c>
      <c r="AM170" s="341">
        <f t="shared" si="84"/>
        <v>21</v>
      </c>
      <c r="AN170" s="341">
        <f t="shared" si="84"/>
        <v>32</v>
      </c>
      <c r="AO170" s="341">
        <f t="shared" si="84"/>
        <v>31</v>
      </c>
      <c r="AR170" s="2">
        <v>14</v>
      </c>
      <c r="AS170" s="2">
        <f t="shared" si="85"/>
        <v>11095774462.3124</v>
      </c>
      <c r="AT170" s="2">
        <f t="shared" si="85"/>
        <v>19753657750.6294</v>
      </c>
      <c r="AU170" s="2">
        <f t="shared" si="85"/>
        <v>3128954445.91914</v>
      </c>
      <c r="AV170" s="2">
        <f t="shared" si="85"/>
        <v>3346832224.75934</v>
      </c>
      <c r="AY170" s="2">
        <f t="shared" si="86"/>
        <v>3128954445.91914</v>
      </c>
      <c r="AZ170" s="2">
        <f t="shared" si="86"/>
        <v>3346832224.75934</v>
      </c>
    </row>
    <row r="171" ht="19.5" customHeight="1" spans="22:52">
      <c r="V171" s="336"/>
      <c r="W171" s="11">
        <v>18</v>
      </c>
      <c r="X171" s="335">
        <f t="shared" si="81"/>
        <v>10399</v>
      </c>
      <c r="Y171" s="335">
        <f t="shared" si="81"/>
        <v>10399</v>
      </c>
      <c r="Z171" s="335">
        <f t="shared" si="81"/>
        <v>10999</v>
      </c>
      <c r="AA171" s="335">
        <f t="shared" si="81"/>
        <v>10999</v>
      </c>
      <c r="AB171" s="339">
        <f t="shared" si="82"/>
        <v>17</v>
      </c>
      <c r="AC171" s="339">
        <f t="shared" si="82"/>
        <v>18</v>
      </c>
      <c r="AD171" s="339">
        <f t="shared" si="82"/>
        <v>14</v>
      </c>
      <c r="AE171" s="339">
        <f t="shared" si="82"/>
        <v>14</v>
      </c>
      <c r="AF171" s="336"/>
      <c r="AG171" s="11">
        <v>18</v>
      </c>
      <c r="AH171" s="340">
        <f t="shared" si="83"/>
        <v>12599</v>
      </c>
      <c r="AI171" s="340">
        <f t="shared" si="83"/>
        <v>12599</v>
      </c>
      <c r="AJ171" s="340">
        <f t="shared" si="83"/>
        <v>13299</v>
      </c>
      <c r="AK171" s="340">
        <f t="shared" si="83"/>
        <v>13299</v>
      </c>
      <c r="AL171" s="341">
        <f t="shared" si="84"/>
        <v>50</v>
      </c>
      <c r="AM171" s="341">
        <f t="shared" si="84"/>
        <v>58</v>
      </c>
      <c r="AN171" s="341">
        <f t="shared" si="84"/>
        <v>44</v>
      </c>
      <c r="AO171" s="341">
        <f t="shared" si="84"/>
        <v>52</v>
      </c>
      <c r="AR171" s="2">
        <v>15</v>
      </c>
      <c r="AS171" s="2">
        <f t="shared" si="85"/>
        <v>619375686204.36</v>
      </c>
      <c r="AT171" s="2">
        <f t="shared" si="85"/>
        <v>34818274828.9116</v>
      </c>
      <c r="AU171" s="2">
        <f t="shared" si="85"/>
        <v>3128954445.91914</v>
      </c>
      <c r="AV171" s="2">
        <f t="shared" si="85"/>
        <v>6840742182867.25</v>
      </c>
      <c r="AY171" s="2">
        <f t="shared" si="86"/>
        <v>3128954445.91914</v>
      </c>
      <c r="AZ171" s="2">
        <f t="shared" si="86"/>
        <v>6840742182867.25</v>
      </c>
    </row>
    <row r="172" ht="19.5" customHeight="1" spans="22:52">
      <c r="V172" s="336"/>
      <c r="W172" s="11">
        <v>19</v>
      </c>
      <c r="X172" s="335">
        <f t="shared" si="81"/>
        <v>8700</v>
      </c>
      <c r="Y172" s="335">
        <f t="shared" si="81"/>
        <v>9000</v>
      </c>
      <c r="Z172" s="335">
        <f t="shared" si="81"/>
        <v>9100</v>
      </c>
      <c r="AA172" s="335">
        <f t="shared" si="81"/>
        <v>9500</v>
      </c>
      <c r="AB172" s="339">
        <f t="shared" si="82"/>
        <v>10</v>
      </c>
      <c r="AC172" s="339">
        <f t="shared" si="82"/>
        <v>14</v>
      </c>
      <c r="AD172" s="339">
        <f t="shared" si="82"/>
        <v>19</v>
      </c>
      <c r="AE172" s="339">
        <f t="shared" si="82"/>
        <v>19</v>
      </c>
      <c r="AF172" s="336"/>
      <c r="AG172" s="11">
        <v>19</v>
      </c>
      <c r="AH172" s="340">
        <f t="shared" si="83"/>
        <v>12000</v>
      </c>
      <c r="AI172" s="340">
        <f t="shared" si="83"/>
        <v>10500</v>
      </c>
      <c r="AJ172" s="340">
        <f t="shared" si="83"/>
        <v>11500</v>
      </c>
      <c r="AK172" s="340">
        <f t="shared" si="83"/>
        <v>12000</v>
      </c>
      <c r="AL172" s="341">
        <f t="shared" si="84"/>
        <v>19</v>
      </c>
      <c r="AM172" s="341">
        <f t="shared" si="84"/>
        <v>19</v>
      </c>
      <c r="AN172" s="341">
        <f t="shared" si="84"/>
        <v>19</v>
      </c>
      <c r="AO172" s="341">
        <f t="shared" si="84"/>
        <v>19</v>
      </c>
      <c r="AR172" s="2">
        <v>16</v>
      </c>
      <c r="AS172" s="2">
        <f t="shared" si="85"/>
        <v>288331678.405032</v>
      </c>
      <c r="AT172" s="2">
        <f t="shared" si="85"/>
        <v>14038634485.9131</v>
      </c>
      <c r="AU172" s="2">
        <f t="shared" si="85"/>
        <v>3128954445.91914</v>
      </c>
      <c r="AV172" s="2">
        <f t="shared" si="85"/>
        <v>805886937944.641</v>
      </c>
      <c r="AY172" s="2">
        <f t="shared" si="86"/>
        <v>3128954445.91914</v>
      </c>
      <c r="AZ172" s="2">
        <f t="shared" si="86"/>
        <v>805886937944.641</v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>
        <f t="shared" si="85"/>
        <v>48714050869.4438</v>
      </c>
      <c r="AT173" s="2">
        <f t="shared" si="85"/>
        <v>17407985828.6644</v>
      </c>
      <c r="AU173" s="2">
        <f t="shared" si="85"/>
        <v>3128954445.91914</v>
      </c>
      <c r="AV173" s="2">
        <f t="shared" si="85"/>
        <v>25095811985.1245</v>
      </c>
      <c r="AY173" s="2">
        <f t="shared" si="86"/>
        <v>3128954445.91914</v>
      </c>
      <c r="AZ173" s="2">
        <f t="shared" si="86"/>
        <v>25095811985.1245</v>
      </c>
    </row>
    <row r="174" ht="19.5" customHeight="1" spans="44:52">
      <c r="AR174" s="2">
        <v>18</v>
      </c>
      <c r="AS174" s="2">
        <f t="shared" ref="AS174:AV176" si="87">IF(AS149="","",(AS149-AS$153)^2)</f>
        <v>25113548436.2497</v>
      </c>
      <c r="AT174" s="2">
        <f t="shared" si="87"/>
        <v>30054974667.5473</v>
      </c>
      <c r="AU174" s="2">
        <f t="shared" si="87"/>
        <v>263689463.417689</v>
      </c>
      <c r="AV174" s="2">
        <f t="shared" si="87"/>
        <v>822192692.125271</v>
      </c>
      <c r="AY174" s="2">
        <f t="shared" ref="AY174:AZ176" si="88">IF(AY149="","",(AY149-AY$153)^2)</f>
        <v>263689463.417689</v>
      </c>
      <c r="AZ174" s="2">
        <f t="shared" si="88"/>
        <v>822192692.125271</v>
      </c>
    </row>
    <row r="175" ht="19.5" customHeight="1" spans="44:52">
      <c r="AR175" s="2">
        <v>19</v>
      </c>
      <c r="AS175" s="2">
        <f t="shared" si="87"/>
        <v>431670284296.056</v>
      </c>
      <c r="AT175" s="2">
        <f t="shared" si="87"/>
        <v>34818274828.9116</v>
      </c>
      <c r="AU175" s="2">
        <f t="shared" si="87"/>
        <v>3128954445.91914</v>
      </c>
      <c r="AV175" s="2">
        <f t="shared" si="87"/>
        <v>218847068689.629</v>
      </c>
      <c r="AY175" s="2">
        <f t="shared" si="88"/>
        <v>3128954445.91914</v>
      </c>
      <c r="AZ175" s="2">
        <f t="shared" si="88"/>
        <v>218847068689.629</v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935635.961119804</v>
      </c>
      <c r="AT178" s="2">
        <f>(SUM(AT157:AT176)/比赛参数!$G$4)^0.5</f>
        <v>138838.492316618</v>
      </c>
      <c r="AU178" s="2">
        <f>(SUM(AU157:AU176)/比赛参数!$G$4)^0.5</f>
        <v>160336.195831971</v>
      </c>
      <c r="AV178" s="2">
        <f>(SUM(AV157:AV176)/比赛参数!$G$4)^0.5</f>
        <v>1661276.62887481</v>
      </c>
      <c r="AY178" s="2">
        <f>(SUM(AY157:AY176)/比赛参数!$G$4)^0.5</f>
        <v>160336.195831971</v>
      </c>
      <c r="AZ178" s="2">
        <f>(SUM(AZ157:AZ176)/比赛参数!$G$4)^0.5</f>
        <v>1661276.62887481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>
        <f t="shared" ref="AS183:AV198" si="89">IF(AS132="","",(AS132-AS$153)/AS$178*AS$181)</f>
        <v>0.119849906460248</v>
      </c>
      <c r="AT183" s="318">
        <f t="shared" si="89"/>
        <v>0.133291796340619</v>
      </c>
      <c r="AU183" s="318">
        <f t="shared" si="89"/>
        <v>-0.04186482604591</v>
      </c>
      <c r="AV183" s="318">
        <f t="shared" si="89"/>
        <v>0.0977882401734486</v>
      </c>
    </row>
    <row r="184" customHeight="1" spans="44:48">
      <c r="AR184" s="347">
        <v>2</v>
      </c>
      <c r="AS184" s="318">
        <f t="shared" si="89"/>
        <v>0.0669288302537084</v>
      </c>
      <c r="AT184" s="318">
        <f t="shared" si="89"/>
        <v>-0.0822738202302381</v>
      </c>
      <c r="AU184" s="318">
        <f t="shared" si="89"/>
        <v>-0.04186482604591</v>
      </c>
      <c r="AV184" s="318">
        <f t="shared" si="89"/>
        <v>0.0260710687348212</v>
      </c>
    </row>
    <row r="185" customHeight="1" spans="44:48">
      <c r="AR185" s="347">
        <v>3</v>
      </c>
      <c r="AS185" s="318">
        <f t="shared" si="89"/>
        <v>0.13752238880072</v>
      </c>
      <c r="AT185" s="318">
        <f t="shared" si="89"/>
        <v>0.0427926545655389</v>
      </c>
      <c r="AU185" s="318">
        <f t="shared" si="89"/>
        <v>-0.0223091668653347</v>
      </c>
      <c r="AV185" s="318">
        <f t="shared" si="89"/>
        <v>0.0655527235417176</v>
      </c>
    </row>
    <row r="186" customHeight="1" spans="44:48">
      <c r="AR186" s="347">
        <v>4</v>
      </c>
      <c r="AS186" s="318">
        <f t="shared" si="89"/>
        <v>0.0809751266190927</v>
      </c>
      <c r="AT186" s="318">
        <f t="shared" si="89"/>
        <v>0.0447751047881495</v>
      </c>
      <c r="AU186" s="318">
        <f t="shared" si="89"/>
        <v>-0.0343805521814011</v>
      </c>
      <c r="AV186" s="318">
        <f t="shared" si="89"/>
        <v>0.0675571993419071</v>
      </c>
    </row>
    <row r="187" customHeight="1" spans="44:48">
      <c r="AR187" s="347">
        <v>5</v>
      </c>
      <c r="AS187" s="318">
        <f t="shared" si="89"/>
        <v>0.140972320327653</v>
      </c>
      <c r="AT187" s="318">
        <f t="shared" si="89"/>
        <v>0.22903625004504</v>
      </c>
      <c r="AU187" s="318">
        <f t="shared" si="89"/>
        <v>-0.04186482604591</v>
      </c>
      <c r="AV187" s="318">
        <f t="shared" si="89"/>
        <v>0.128724072958148</v>
      </c>
    </row>
    <row r="188" customHeight="1" spans="44:48">
      <c r="AR188" s="347">
        <v>6</v>
      </c>
      <c r="AS188" s="318">
        <f t="shared" si="89"/>
        <v>-0.757049069310249</v>
      </c>
      <c r="AT188" s="318">
        <f t="shared" si="89"/>
        <v>-0.161277945217319</v>
      </c>
      <c r="AU188" s="318">
        <f t="shared" si="89"/>
        <v>-0.04186482604591</v>
      </c>
      <c r="AV188" s="318">
        <f t="shared" si="89"/>
        <v>-0.591769966382363</v>
      </c>
    </row>
    <row r="189" customHeight="1" spans="44:48">
      <c r="AR189" s="347">
        <v>7</v>
      </c>
      <c r="AS189" s="318">
        <f t="shared" si="89"/>
        <v>0.13517336408242</v>
      </c>
      <c r="AT189" s="318">
        <f t="shared" si="89"/>
        <v>0.0140690496526767</v>
      </c>
      <c r="AU189" s="318">
        <f t="shared" si="89"/>
        <v>-0.04186482604591</v>
      </c>
      <c r="AV189" s="318">
        <f t="shared" si="89"/>
        <v>0.0584671337035144</v>
      </c>
    </row>
    <row r="190" customHeight="1" spans="44:48">
      <c r="AR190" s="347">
        <v>8</v>
      </c>
      <c r="AS190" s="318">
        <f t="shared" si="89"/>
        <v>0.0524436623431254</v>
      </c>
      <c r="AT190" s="318">
        <f t="shared" si="89"/>
        <v>0.0819552146688309</v>
      </c>
      <c r="AU190" s="318">
        <f t="shared" si="89"/>
        <v>0.45617779487099</v>
      </c>
      <c r="AV190" s="318">
        <f t="shared" si="89"/>
        <v>0.0164411455047354</v>
      </c>
    </row>
    <row r="191" customHeight="1" spans="44:48">
      <c r="AR191" s="347">
        <v>9</v>
      </c>
      <c r="AS191" s="318">
        <f t="shared" si="89"/>
        <v>0.087115803376668</v>
      </c>
      <c r="AT191" s="318">
        <f t="shared" si="89"/>
        <v>-0.0047654418227613</v>
      </c>
      <c r="AU191" s="318">
        <f t="shared" si="89"/>
        <v>-0.04186482604591</v>
      </c>
      <c r="AV191" s="318">
        <f t="shared" si="89"/>
        <v>0.0513124943175077</v>
      </c>
    </row>
    <row r="192" customHeight="1" spans="44:48">
      <c r="AR192" s="347">
        <v>10</v>
      </c>
      <c r="AS192" s="318">
        <f t="shared" si="89"/>
        <v>0.11565654476506</v>
      </c>
      <c r="AT192" s="318">
        <f t="shared" si="89"/>
        <v>0.0631299799922717</v>
      </c>
      <c r="AU192" s="318">
        <f t="shared" si="89"/>
        <v>-0.04186482604591</v>
      </c>
      <c r="AV192" s="318">
        <f t="shared" si="89"/>
        <v>0.0736010496107214</v>
      </c>
    </row>
    <row r="193" customHeight="1" spans="44:48">
      <c r="AR193" s="347">
        <v>11</v>
      </c>
      <c r="AS193" s="318">
        <f t="shared" si="89"/>
        <v>0.125445097557579</v>
      </c>
      <c r="AT193" s="318">
        <f t="shared" si="89"/>
        <v>0.19506420438753</v>
      </c>
      <c r="AU193" s="318">
        <f t="shared" si="89"/>
        <v>0.197994176473417</v>
      </c>
      <c r="AV193" s="318">
        <f t="shared" si="89"/>
        <v>0.0876264541670844</v>
      </c>
    </row>
    <row r="194" customHeight="1" spans="44:48">
      <c r="AR194" s="347">
        <v>12</v>
      </c>
      <c r="AS194" s="318">
        <f t="shared" si="89"/>
        <v>-0.0460070148729945</v>
      </c>
      <c r="AT194" s="318">
        <f t="shared" si="89"/>
        <v>-0.018908568611563</v>
      </c>
      <c r="AU194" s="318">
        <f t="shared" si="89"/>
        <v>-0.04186482604591</v>
      </c>
      <c r="AV194" s="318">
        <f t="shared" si="89"/>
        <v>0.0466006895139322</v>
      </c>
    </row>
    <row r="195" customHeight="1" spans="44:48">
      <c r="AR195" s="347">
        <v>13</v>
      </c>
      <c r="AS195" s="318">
        <f t="shared" si="89"/>
        <v>0.104552219544848</v>
      </c>
      <c r="AT195" s="318">
        <f t="shared" si="89"/>
        <v>0.0686143005671708</v>
      </c>
      <c r="AU195" s="318">
        <f t="shared" si="89"/>
        <v>-0.0410861621930465</v>
      </c>
      <c r="AV195" s="318">
        <f t="shared" si="89"/>
        <v>0.0756002225011808</v>
      </c>
    </row>
    <row r="196" customHeight="1" spans="44:48">
      <c r="AR196" s="347">
        <v>14</v>
      </c>
      <c r="AS196" s="318">
        <f t="shared" si="89"/>
        <v>0.0225165526941039</v>
      </c>
      <c r="AT196" s="318">
        <f t="shared" si="89"/>
        <v>-0.121477296940339</v>
      </c>
      <c r="AU196" s="318">
        <f t="shared" si="89"/>
        <v>-0.04186482604591</v>
      </c>
      <c r="AV196" s="318">
        <f t="shared" si="89"/>
        <v>-0.00557179331856487</v>
      </c>
    </row>
    <row r="197" ht="19.5" customHeight="1" spans="44:48">
      <c r="AR197" s="347">
        <v>15</v>
      </c>
      <c r="AS197" s="318">
        <f t="shared" si="89"/>
        <v>-0.168228730104136</v>
      </c>
      <c r="AT197" s="318">
        <f t="shared" si="89"/>
        <v>-0.161277945217319</v>
      </c>
      <c r="AU197" s="318">
        <f t="shared" si="89"/>
        <v>-0.04186482604591</v>
      </c>
      <c r="AV197" s="318">
        <f t="shared" si="89"/>
        <v>-0.251900853324162</v>
      </c>
    </row>
    <row r="198" ht="19.5" customHeight="1" spans="44:48">
      <c r="AR198" s="347">
        <v>16</v>
      </c>
      <c r="AS198" s="318">
        <f t="shared" si="89"/>
        <v>0.00362968778689107</v>
      </c>
      <c r="AT198" s="318">
        <f t="shared" si="89"/>
        <v>0.102407977822757</v>
      </c>
      <c r="AU198" s="318">
        <f t="shared" si="89"/>
        <v>-0.04186482604591</v>
      </c>
      <c r="AV198" s="318">
        <f t="shared" si="89"/>
        <v>0.0864599710141175</v>
      </c>
    </row>
    <row r="199" ht="19.5" customHeight="1" spans="44:48">
      <c r="AR199" s="347">
        <v>17</v>
      </c>
      <c r="AS199" s="318">
        <f t="shared" ref="AS199:AV202" si="90">IF(AS148="","",(AS148-AS$153)/AS$178*AS$181)</f>
        <v>-0.0471791609272007</v>
      </c>
      <c r="AT199" s="318">
        <f>IF(AT148="","",(AT148-AT$153)/AT$178*AT$181)</f>
        <v>-0.114036956853353</v>
      </c>
      <c r="AU199" s="318">
        <f>IF(AU148="","",(AU148-AU$153)/AU$178*AU$181)</f>
        <v>-0.04186482604591</v>
      </c>
      <c r="AV199" s="318">
        <f>IF(AV148="","",(AV148-AV$153)/AV$178*AV$181)</f>
        <v>0.0152573339914584</v>
      </c>
    </row>
    <row r="200" ht="19.5" customHeight="1" spans="44:48">
      <c r="AR200" s="347">
        <v>18</v>
      </c>
      <c r="AS200" s="318">
        <f t="shared" si="90"/>
        <v>-0.0338748304853676</v>
      </c>
      <c r="AT200" s="318">
        <f t="shared" si="90"/>
        <v>-0.149840612720372</v>
      </c>
      <c r="AU200" s="318">
        <f t="shared" si="90"/>
        <v>-0.0121533515077939</v>
      </c>
      <c r="AV200" s="318">
        <f t="shared" si="90"/>
        <v>-0.00276162581313142</v>
      </c>
    </row>
    <row r="201" ht="19.5" customHeight="1" spans="44:48">
      <c r="AR201" s="347">
        <v>19</v>
      </c>
      <c r="AS201" s="318">
        <f t="shared" si="90"/>
        <v>-0.14044269891217</v>
      </c>
      <c r="AT201" s="318">
        <f t="shared" si="90"/>
        <v>-0.161277945217319</v>
      </c>
      <c r="AU201" s="318">
        <f t="shared" si="90"/>
        <v>-0.04186482604591</v>
      </c>
      <c r="AV201" s="318">
        <f t="shared" si="90"/>
        <v>-0.0450555602360751</v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88</v>
      </c>
      <c r="Z231" s="65">
        <f>G25</f>
        <v>88</v>
      </c>
      <c r="AA231" s="65">
        <f>G26</f>
        <v>129</v>
      </c>
      <c r="AB231" s="65">
        <f>G27</f>
        <v>130</v>
      </c>
      <c r="AC231" s="65">
        <f>G28</f>
        <v>55</v>
      </c>
      <c r="AD231" s="65">
        <f>G29</f>
        <v>56</v>
      </c>
      <c r="AE231" s="65">
        <f>G30</f>
        <v>92</v>
      </c>
      <c r="AF231" s="65">
        <f>G31</f>
        <v>89</v>
      </c>
      <c r="AG231" s="65">
        <f>G32</f>
        <v>18</v>
      </c>
      <c r="AH231" s="65">
        <f>G33</f>
        <v>19</v>
      </c>
      <c r="AI231" s="65">
        <f>G34</f>
        <v>38</v>
      </c>
      <c r="AJ231" s="65">
        <f>G35</f>
        <v>31</v>
      </c>
      <c r="AK231" s="65">
        <f>G36</f>
        <v>29</v>
      </c>
      <c r="AL231" s="65">
        <f>G37</f>
        <v>29</v>
      </c>
      <c r="AM231" s="65">
        <f>G38</f>
        <v>47</v>
      </c>
      <c r="AN231" s="65">
        <f>G39</f>
        <v>42</v>
      </c>
    </row>
    <row r="232" customHeight="1" spans="24:40">
      <c r="X232" s="11" t="s">
        <v>406</v>
      </c>
      <c r="Y232" s="65">
        <f t="shared" ref="Y232:AF232" si="91">INT(Y231/DS37+0.5)</f>
        <v>1525</v>
      </c>
      <c r="Z232" s="65">
        <f t="shared" si="91"/>
        <v>1489</v>
      </c>
      <c r="AA232" s="65">
        <f t="shared" si="91"/>
        <v>2122</v>
      </c>
      <c r="AB232" s="65">
        <f t="shared" si="91"/>
        <v>2110</v>
      </c>
      <c r="AC232" s="65">
        <f t="shared" si="91"/>
        <v>1015</v>
      </c>
      <c r="AD232" s="65">
        <f t="shared" si="91"/>
        <v>1022</v>
      </c>
      <c r="AE232" s="65">
        <f t="shared" si="91"/>
        <v>1252</v>
      </c>
      <c r="AF232" s="65">
        <f t="shared" si="91"/>
        <v>1270</v>
      </c>
      <c r="AG232" s="65">
        <f t="shared" ref="AG232:AN232" si="92">IF(EA37&gt;0,INT(AG231/EA37+0.5),0)</f>
        <v>573</v>
      </c>
      <c r="AH232" s="65">
        <f t="shared" si="92"/>
        <v>579</v>
      </c>
      <c r="AI232" s="65">
        <f t="shared" si="92"/>
        <v>685</v>
      </c>
      <c r="AJ232" s="65">
        <f t="shared" si="92"/>
        <v>700</v>
      </c>
      <c r="AK232" s="65">
        <f t="shared" si="92"/>
        <v>599</v>
      </c>
      <c r="AL232" s="65">
        <f t="shared" si="92"/>
        <v>614</v>
      </c>
      <c r="AM232" s="65">
        <f t="shared" si="92"/>
        <v>612</v>
      </c>
      <c r="AN232" s="65">
        <f t="shared" si="92"/>
        <v>596</v>
      </c>
    </row>
    <row r="233" customHeight="1" spans="24:40">
      <c r="X233" s="11" t="s">
        <v>407</v>
      </c>
      <c r="Y233" s="113">
        <f>SUM(AB131:AB150)/比赛参数!$G$4</f>
        <v>80.2105263157895</v>
      </c>
      <c r="Z233" s="113">
        <f>SUM(AC131:AC150)/比赛参数!$G$4</f>
        <v>78.3684210526316</v>
      </c>
      <c r="AA233" s="113">
        <f>SUM(AD131:AD150)/比赛参数!$G$4</f>
        <v>111.736842105263</v>
      </c>
      <c r="AB233" s="113">
        <f>SUM(AE131:AE150)/比赛参数!$G$4</f>
        <v>111.157894736842</v>
      </c>
      <c r="AC233" s="113">
        <f>SUM(AL131:AL150)/比赛参数!$G$4</f>
        <v>53.3684210526316</v>
      </c>
      <c r="AD233" s="113">
        <f>SUM(AM131:AM150)/比赛参数!$G$4</f>
        <v>53.7894736842105</v>
      </c>
      <c r="AE233" s="113">
        <f>SUM(AN131:AN150)/比赛参数!$G$4</f>
        <v>65.8421052631579</v>
      </c>
      <c r="AF233" s="113">
        <f>SUM(AO131:AO150)/比赛参数!$G$4</f>
        <v>66.7894736842105</v>
      </c>
      <c r="AG233" s="113">
        <f>SUM(AB154:AB173)/比赛参数!$G$4</f>
        <v>30.1578947368421</v>
      </c>
      <c r="AH233" s="113">
        <f>SUM(AC154:AC173)/比赛参数!$G$4</f>
        <v>30.5263157894737</v>
      </c>
      <c r="AI233" s="113">
        <f>SUM(AD154:AD173)/比赛参数!$G$4</f>
        <v>36.0526315789474</v>
      </c>
      <c r="AJ233" s="113">
        <f>SUM(AE154:AE173)/比赛参数!$G$4</f>
        <v>36.7894736842105</v>
      </c>
      <c r="AK233" s="113">
        <f>SUM(AL154:AL173)/比赛参数!$G$4</f>
        <v>31.5263157894737</v>
      </c>
      <c r="AL233" s="113">
        <f>SUM(AM154:AM173)/比赛参数!$G$4</f>
        <v>32.3157894736842</v>
      </c>
      <c r="AM233" s="113">
        <f>SUM(AN154:AN173)/比赛参数!$G$4</f>
        <v>32.2105263157895</v>
      </c>
      <c r="AN233" s="113">
        <f>SUM(AO154:AO173)/比赛参数!$G$4</f>
        <v>31.3684210526316</v>
      </c>
    </row>
    <row r="234" customHeight="1" spans="24:40">
      <c r="X234" s="11" t="s">
        <v>408</v>
      </c>
      <c r="Y234" s="304">
        <f t="shared" ref="Y234:AN234" si="93">SUMPRODUCT(D50:D69,D73:D92)</f>
        <v>3203.231</v>
      </c>
      <c r="Z234" s="304">
        <f t="shared" si="93"/>
        <v>3217.1372</v>
      </c>
      <c r="AA234" s="304">
        <f t="shared" si="93"/>
        <v>3424.0592</v>
      </c>
      <c r="AB234" s="304">
        <f t="shared" si="93"/>
        <v>3478.9968</v>
      </c>
      <c r="AC234" s="304">
        <f t="shared" si="93"/>
        <v>6526.7693</v>
      </c>
      <c r="AD234" s="304">
        <f t="shared" si="93"/>
        <v>6542.5525</v>
      </c>
      <c r="AE234" s="304">
        <f t="shared" si="93"/>
        <v>6916.4272</v>
      </c>
      <c r="AF234" s="304">
        <f t="shared" si="93"/>
        <v>6974.8422</v>
      </c>
      <c r="AG234" s="304">
        <f t="shared" si="93"/>
        <v>9579.0521</v>
      </c>
      <c r="AH234" s="304">
        <f t="shared" si="93"/>
        <v>9599.6959</v>
      </c>
      <c r="AI234" s="304">
        <f t="shared" si="93"/>
        <v>9988.0365</v>
      </c>
      <c r="AJ234" s="304">
        <f t="shared" si="93"/>
        <v>9975.4673</v>
      </c>
      <c r="AK234" s="304">
        <f t="shared" si="93"/>
        <v>12451.8466</v>
      </c>
      <c r="AL234" s="304">
        <f t="shared" si="93"/>
        <v>12383.4172</v>
      </c>
      <c r="AM234" s="304">
        <f t="shared" si="93"/>
        <v>13348.939</v>
      </c>
      <c r="AN234" s="304">
        <f t="shared" si="93"/>
        <v>13426.4028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26.7689999999998</v>
      </c>
      <c r="Z235" s="113">
        <f t="shared" si="94"/>
        <v>12.8627999999999</v>
      </c>
      <c r="AA235" s="113">
        <f t="shared" si="94"/>
        <v>55.9408000000003</v>
      </c>
      <c r="AB235" s="113">
        <f t="shared" si="94"/>
        <v>101.0032</v>
      </c>
      <c r="AC235" s="113">
        <f t="shared" si="94"/>
        <v>223.2307</v>
      </c>
      <c r="AD235" s="113">
        <f t="shared" si="94"/>
        <v>207.447499999999</v>
      </c>
      <c r="AE235" s="113">
        <f t="shared" si="94"/>
        <v>83.5727999999999</v>
      </c>
      <c r="AF235" s="113">
        <f t="shared" si="94"/>
        <v>125.1578</v>
      </c>
      <c r="AG235" s="113">
        <f t="shared" si="94"/>
        <v>620.947899999999</v>
      </c>
      <c r="AH235" s="113">
        <f t="shared" si="94"/>
        <v>600.304099999999</v>
      </c>
      <c r="AI235" s="113">
        <f t="shared" si="94"/>
        <v>311.963499999998</v>
      </c>
      <c r="AJ235" s="113">
        <f t="shared" si="94"/>
        <v>524.532700000003</v>
      </c>
      <c r="AK235" s="113">
        <f t="shared" si="94"/>
        <v>648.153400000001</v>
      </c>
      <c r="AL235" s="113">
        <f t="shared" si="94"/>
        <v>716.5828</v>
      </c>
      <c r="AM235" s="113">
        <f t="shared" si="94"/>
        <v>151.061000000003</v>
      </c>
      <c r="AN235" s="113">
        <f t="shared" si="94"/>
        <v>223.5972</v>
      </c>
    </row>
    <row r="236" customHeight="1" spans="24:40">
      <c r="X236" s="2" t="s">
        <v>410</v>
      </c>
      <c r="Y236" s="114">
        <f t="shared" ref="Y236:AN236" si="95">Y235/Y234</f>
        <v>0.00835687466810848</v>
      </c>
      <c r="Z236" s="114">
        <f t="shared" si="95"/>
        <v>0.00399821306968191</v>
      </c>
      <c r="AA236" s="114">
        <f t="shared" si="95"/>
        <v>0.0163375679953198</v>
      </c>
      <c r="AB236" s="114">
        <f t="shared" si="95"/>
        <v>0.029032277350758</v>
      </c>
      <c r="AC236" s="114">
        <f t="shared" si="95"/>
        <v>0.0342023273290815</v>
      </c>
      <c r="AD236" s="114">
        <f t="shared" si="95"/>
        <v>0.0317074261154189</v>
      </c>
      <c r="AE236" s="114">
        <f t="shared" si="95"/>
        <v>0.0120832327997322</v>
      </c>
      <c r="AF236" s="114">
        <f t="shared" si="95"/>
        <v>0.0179441765721954</v>
      </c>
      <c r="AG236" s="114">
        <f t="shared" si="95"/>
        <v>0.0648235225696287</v>
      </c>
      <c r="AH236" s="114">
        <f t="shared" si="95"/>
        <v>0.0625336579672278</v>
      </c>
      <c r="AI236" s="114">
        <f t="shared" si="95"/>
        <v>0.0312337164566827</v>
      </c>
      <c r="AJ236" s="114">
        <f t="shared" si="95"/>
        <v>0.0525822685018479</v>
      </c>
      <c r="AK236" s="114">
        <f t="shared" si="95"/>
        <v>0.0520527935189951</v>
      </c>
      <c r="AL236" s="114">
        <f t="shared" si="95"/>
        <v>0.0578663214221677</v>
      </c>
      <c r="AM236" s="114">
        <f t="shared" si="95"/>
        <v>0.0113163300843613</v>
      </c>
      <c r="AN236" s="114">
        <f t="shared" si="95"/>
        <v>0.0166535447603285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(第十二期!#REF!-$BE$54)&lt;0</formula>
    </cfRule>
  </conditionalFormatting>
  <conditionalFormatting sqref="BF132:BF133">
    <cfRule type="expression" dxfId="6" priority="26" stopIfTrue="1">
      <formula>(第十二期!#REF!-$BF$54)&lt;0</formula>
    </cfRule>
  </conditionalFormatting>
  <conditionalFormatting sqref="BG132:BG133">
    <cfRule type="expression" dxfId="6" priority="25" stopIfTrue="1">
      <formula>(第十二期!#REF!-$BG$54)&lt;0</formula>
    </cfRule>
  </conditionalFormatting>
  <conditionalFormatting sqref="BH132:BH133">
    <cfRule type="expression" dxfId="6" priority="24" stopIfTrue="1">
      <formula>(第十二期!#REF!-$BH$54)&lt;0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zoomScale="57" zoomScaleNormal="57" topLeftCell="BF1" workbookViewId="0">
      <selection activeCell="BS10" sqref="BS10:BV10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393</v>
      </c>
      <c r="E4" s="9">
        <v>6</v>
      </c>
      <c r="F4" s="10"/>
      <c r="G4" s="11" t="s">
        <v>153</v>
      </c>
      <c r="H4" s="12">
        <v>754177</v>
      </c>
      <c r="W4" s="43">
        <f>AC4-X4</f>
        <v>44.5</v>
      </c>
      <c r="X4" s="32">
        <f>SUM(AF70:AF73)</f>
        <v>543</v>
      </c>
      <c r="Y4" s="67">
        <f>AVERAGE(Y76:Y79)</f>
        <v>0.0827933429611478</v>
      </c>
      <c r="Z4" s="67">
        <f>1/比赛参数!$G$4</f>
        <v>0.0526315789473684</v>
      </c>
      <c r="AA4" s="68">
        <f>(AC4-X4)/X4</f>
        <v>0.0819521178637201</v>
      </c>
      <c r="AB4" s="69">
        <f>SUM(Y232:AB232)/比赛参数!$G$4</f>
        <v>370.052631578947</v>
      </c>
      <c r="AC4" s="70">
        <f>AN4+SUM(Y57:Y60)-SUM(AF57:AF60)-SUM(Y108:Y111)</f>
        <v>587.5</v>
      </c>
      <c r="AD4" s="2">
        <v>571</v>
      </c>
      <c r="AE4" s="71">
        <f>DK29</f>
        <v>14.069881141046</v>
      </c>
      <c r="AF4" s="72">
        <f>DK41</f>
        <v>19.4784548335975</v>
      </c>
      <c r="AG4" s="71">
        <f>DQ29</f>
        <v>11.7249009508716</v>
      </c>
      <c r="AH4" s="77">
        <f>DK35*15</f>
        <v>10.8514404460251</v>
      </c>
      <c r="AJ4" s="72">
        <f>DD29</f>
        <v>6.37789832987931</v>
      </c>
      <c r="AK4" s="77">
        <f>DD35*15</f>
        <v>3.52374377705804</v>
      </c>
      <c r="AL4" s="132">
        <f>CJ24/比赛参数!D26</f>
        <v>19.6927147135997</v>
      </c>
      <c r="AM4" s="32">
        <f>AF68</f>
        <v>587</v>
      </c>
      <c r="AN4" s="32">
        <f>Y93</f>
        <v>631.5</v>
      </c>
      <c r="AO4" s="32">
        <f>AC9+D42-Y92</f>
        <v>164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309</v>
      </c>
      <c r="E5" s="9">
        <v>6</v>
      </c>
      <c r="F5" s="10"/>
      <c r="G5" s="11" t="s">
        <v>155</v>
      </c>
      <c r="H5" s="13">
        <v>399861.6</v>
      </c>
      <c r="M5" s="27"/>
      <c r="N5" s="28"/>
      <c r="O5" s="29"/>
      <c r="P5" s="29"/>
      <c r="Q5" s="44"/>
      <c r="W5" s="43">
        <f>AC5-X5</f>
        <v>-49.5</v>
      </c>
      <c r="X5" s="32">
        <f>SUM(AG70:AG73)</f>
        <v>555</v>
      </c>
      <c r="Y5" s="67">
        <f>AVERAGE(Z76:Z79)</f>
        <v>0.0938343067770734</v>
      </c>
      <c r="Z5" s="67">
        <f>1/比赛参数!$G$4</f>
        <v>0.0526315789473684</v>
      </c>
      <c r="AA5" s="68">
        <f>(AC5-X5)/X5</f>
        <v>-0.0891891891891892</v>
      </c>
      <c r="AB5" s="69">
        <f>SUM(AC232:AF232)/比赛参数!$G$4</f>
        <v>281</v>
      </c>
      <c r="AC5" s="70">
        <f>AN5+SUM(Z57:Z60)-SUM(AG57:AG60)-SUM(Z108:Z111)</f>
        <v>505.5</v>
      </c>
      <c r="AD5" s="2">
        <v>679.25</v>
      </c>
      <c r="AE5" s="71">
        <f>DK30</f>
        <v>11.8037288135593</v>
      </c>
      <c r="AF5" s="72">
        <f>DK42</f>
        <v>14.4190960451977</v>
      </c>
      <c r="AG5" s="71">
        <f>DQ30</f>
        <v>19.6728813559322</v>
      </c>
      <c r="AH5" s="77">
        <f>DK36*15</f>
        <v>12.2850878479497</v>
      </c>
      <c r="AJ5" s="72">
        <f>DD30</f>
        <v>4.11110473707084</v>
      </c>
      <c r="AK5" s="77">
        <f>DD36*15</f>
        <v>2.7886722943261</v>
      </c>
      <c r="AL5" s="132">
        <f>CK24/比赛参数!E26</f>
        <v>16.400717865436</v>
      </c>
      <c r="AM5" s="32">
        <f>AG68</f>
        <v>505</v>
      </c>
      <c r="AN5" s="32">
        <f>Z93</f>
        <v>531.5</v>
      </c>
      <c r="AO5" s="32">
        <f>AC10+D43-Z92</f>
        <v>134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369634</v>
      </c>
      <c r="E6" s="9">
        <v>15</v>
      </c>
      <c r="F6" s="10"/>
      <c r="M6" s="30"/>
      <c r="N6" s="31" t="s">
        <v>162</v>
      </c>
      <c r="O6" s="32">
        <f>K8+Y18-AA18</f>
        <v>443</v>
      </c>
      <c r="P6" s="33" t="s">
        <v>163</v>
      </c>
      <c r="Q6" s="32">
        <f>AH15</f>
        <v>993843</v>
      </c>
      <c r="W6" s="43">
        <f>AC6-X6</f>
        <v>133</v>
      </c>
      <c r="X6" s="32">
        <f>SUM(AH70:AH73)</f>
        <v>129</v>
      </c>
      <c r="Y6" s="67">
        <f>AVERAGE(AA76:AA79)</f>
        <v>0.0840501714454632</v>
      </c>
      <c r="Z6" s="67">
        <f>1/比赛参数!$G$4</f>
        <v>0.0526315789473684</v>
      </c>
      <c r="AA6" s="68">
        <f>(AC6-X6)/X6</f>
        <v>1.03100775193798</v>
      </c>
      <c r="AB6" s="69">
        <f>SUM(AG232:AJ232)/比赛参数!$G$4</f>
        <v>162.526315789474</v>
      </c>
      <c r="AC6" s="70">
        <f>AN6+SUM(AA57:AA60)-SUM(AH57:AH60)-SUM(AA108:AA111)</f>
        <v>262</v>
      </c>
      <c r="AD6" s="2">
        <v>294</v>
      </c>
      <c r="AE6" s="71">
        <f>DK31</f>
        <v>13.3710526315789</v>
      </c>
      <c r="AF6" s="72">
        <f>DK43</f>
        <v>12.9447368421053</v>
      </c>
      <c r="AG6" s="71">
        <f>DQ31</f>
        <v>31.75625</v>
      </c>
      <c r="AH6" s="77">
        <f>DK37*15</f>
        <v>15.5010137271306</v>
      </c>
      <c r="AJ6" s="72">
        <f>DD31</f>
        <v>5.67874493927125</v>
      </c>
      <c r="AK6" s="77">
        <f>DD37*15</f>
        <v>4.12859371148257</v>
      </c>
      <c r="AL6" s="132">
        <f>CL24/比赛参数!F26</f>
        <v>16.3196802793305</v>
      </c>
      <c r="AM6" s="32">
        <f>AH68</f>
        <v>258</v>
      </c>
      <c r="AN6" s="32">
        <f>AA93</f>
        <v>214</v>
      </c>
      <c r="AO6" s="32">
        <f>AC11+D44-AA92</f>
        <v>60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120</v>
      </c>
      <c r="DW6" s="251">
        <f t="shared" ref="DW6:DX21" si="1">I24</f>
        <v>5</v>
      </c>
      <c r="DX6" s="251">
        <f t="shared" si="1"/>
        <v>0</v>
      </c>
    </row>
    <row r="7" customHeight="1" spans="2:128">
      <c r="B7" s="7"/>
      <c r="C7" s="8" t="s">
        <v>166</v>
      </c>
      <c r="D7" s="14">
        <v>2608359.7</v>
      </c>
      <c r="E7" s="9">
        <v>14</v>
      </c>
      <c r="F7" s="10"/>
      <c r="M7" s="30"/>
      <c r="N7" s="31" t="s">
        <v>154</v>
      </c>
      <c r="O7" s="32"/>
      <c r="P7" s="33" t="s">
        <v>167</v>
      </c>
      <c r="Q7" s="32">
        <f>BS58</f>
        <v>437570.45</v>
      </c>
      <c r="W7" s="43">
        <f>AC7-X7</f>
        <v>54.5</v>
      </c>
      <c r="X7" s="32">
        <f>SUM(AI70:AI73)</f>
        <v>161</v>
      </c>
      <c r="Y7" s="67">
        <f>AVERAGE(AB76:AB79)</f>
        <v>0.0791008326969027</v>
      </c>
      <c r="Z7" s="67">
        <f>1/比赛参数!$G$4</f>
        <v>0.0526315789473684</v>
      </c>
      <c r="AA7" s="68">
        <f>(AC7-X7)/X7</f>
        <v>0.338509316770186</v>
      </c>
      <c r="AB7" s="69">
        <f>SUM(AK232:AN232)/比赛参数!$G$4</f>
        <v>142.894736842105</v>
      </c>
      <c r="AC7" s="70">
        <f>AN7+SUM(AB57:AB60)-SUM(AI57:AI60)-SUM(AB108:AB111)</f>
        <v>215.5</v>
      </c>
      <c r="AE7" s="71">
        <f>DK32</f>
        <v>13.2628917378917</v>
      </c>
      <c r="AF7" s="72">
        <f>DK44</f>
        <v>12.182264957265</v>
      </c>
      <c r="AG7" s="71">
        <f>DQ32</f>
        <v>38.3150205761317</v>
      </c>
      <c r="AH7" s="77">
        <f>DK38*15</f>
        <v>16.3347168704805</v>
      </c>
      <c r="AJ7" s="72">
        <f>DD32</f>
        <v>5.57058404558405</v>
      </c>
      <c r="AK7" s="77">
        <f>DD38*15</f>
        <v>4.20364723513676</v>
      </c>
      <c r="AL7" s="132">
        <f>CM24/比赛参数!G26</f>
        <v>16.23842047008</v>
      </c>
      <c r="AM7" s="32">
        <f>AI68</f>
        <v>215</v>
      </c>
      <c r="AN7" s="32">
        <f>AB93</f>
        <v>216.5</v>
      </c>
      <c r="AO7" s="32">
        <f>AC12+D45-AB92</f>
        <v>57</v>
      </c>
      <c r="AR7" s="174" t="s">
        <v>107</v>
      </c>
      <c r="BR7" s="197" t="s">
        <v>21</v>
      </c>
      <c r="BS7" s="198">
        <f>第十三期!AF76</f>
        <v>3250</v>
      </c>
      <c r="BT7" s="198">
        <f>第十三期!AF77</f>
        <v>3250</v>
      </c>
      <c r="BU7" s="198">
        <f>第十三期!AF78</f>
        <v>3400</v>
      </c>
      <c r="BV7" s="198">
        <f>第十三期!AF79</f>
        <v>3450</v>
      </c>
      <c r="BW7" s="200">
        <f>第十三期!$AF$80</f>
        <v>63100</v>
      </c>
      <c r="DT7" s="252" t="s">
        <v>21</v>
      </c>
      <c r="DU7" s="250">
        <v>2</v>
      </c>
      <c r="DV7" s="251">
        <f t="shared" si="0"/>
        <v>121</v>
      </c>
      <c r="DW7" s="251">
        <f t="shared" si="1"/>
        <v>6</v>
      </c>
      <c r="DX7" s="251">
        <f t="shared" si="1"/>
        <v>0</v>
      </c>
    </row>
    <row r="8" customHeight="1" spans="2:128">
      <c r="B8" s="7"/>
      <c r="C8" s="8" t="s">
        <v>168</v>
      </c>
      <c r="D8" s="14">
        <v>7936000</v>
      </c>
      <c r="E8" s="9">
        <v>8</v>
      </c>
      <c r="F8" s="10"/>
      <c r="J8" s="11" t="s">
        <v>162</v>
      </c>
      <c r="K8" s="34">
        <f>D4</f>
        <v>393</v>
      </c>
      <c r="M8" s="30"/>
      <c r="N8" s="31" t="s">
        <v>161</v>
      </c>
      <c r="O8" s="32">
        <f>AL23</f>
        <v>420842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第十三期!$AG$76</f>
        <v>6400</v>
      </c>
      <c r="BT8" s="198">
        <f>第十三期!$AG$77</f>
        <v>6400</v>
      </c>
      <c r="BU8" s="198">
        <f>第十三期!$AG$78</f>
        <v>6620</v>
      </c>
      <c r="BV8" s="198">
        <f>第十三期!$AG$79</f>
        <v>6700</v>
      </c>
      <c r="BW8" s="200">
        <f>第十三期!$AG$80</f>
        <v>105800</v>
      </c>
      <c r="BX8" s="173"/>
      <c r="DT8" s="253" t="s">
        <v>21</v>
      </c>
      <c r="DU8" s="254">
        <v>3</v>
      </c>
      <c r="DV8" s="255">
        <f t="shared" si="0"/>
        <v>160</v>
      </c>
      <c r="DW8" s="255">
        <f t="shared" si="1"/>
        <v>3</v>
      </c>
      <c r="DX8" s="255">
        <f t="shared" si="1"/>
        <v>0</v>
      </c>
    </row>
    <row r="9" customHeight="1" spans="2:128">
      <c r="B9" s="7"/>
      <c r="C9" s="8" t="s">
        <v>187</v>
      </c>
      <c r="D9" s="14">
        <v>8595983</v>
      </c>
      <c r="E9" s="9">
        <v>8</v>
      </c>
      <c r="F9" s="10"/>
      <c r="J9" s="11" t="s">
        <v>154</v>
      </c>
      <c r="K9" s="34">
        <f>D5</f>
        <v>309</v>
      </c>
      <c r="M9" s="36" t="s">
        <v>188</v>
      </c>
      <c r="N9" s="31" t="s">
        <v>189</v>
      </c>
      <c r="O9" s="32">
        <f>AJ20</f>
        <v>6108538.98217115</v>
      </c>
      <c r="P9" s="35"/>
      <c r="Q9" s="45"/>
      <c r="X9" s="47" t="s">
        <v>190</v>
      </c>
      <c r="Y9" s="75">
        <v>654</v>
      </c>
      <c r="Z9" s="75"/>
      <c r="AA9" s="75"/>
      <c r="AB9" s="75"/>
      <c r="AC9" s="76">
        <f>SUM(Y9:AB9)</f>
        <v>654</v>
      </c>
      <c r="AE9" s="72">
        <f>SUMPRODUCT(Y96:Y99,AF64:AF67)/SUM(AF64:AF67)</f>
        <v>13.8728730206422</v>
      </c>
      <c r="AF9" s="77">
        <f>CC24*15</f>
        <v>10.5848016317407</v>
      </c>
      <c r="AG9" s="133">
        <f>SUMPRODUCT(Y102:Y105,AF64:AF67)/SUM(AF64:AF67)*20</f>
        <v>8.27088633107674</v>
      </c>
      <c r="AH9" s="32">
        <f>AC9*比赛参数!D26</f>
        <v>65400</v>
      </c>
      <c r="AI9" s="134">
        <f>第十三期!DB56</f>
        <v>1385.93508741346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>
        <f>SUM(AB131:AE131)*比赛参数!$D$26+SUM(AL131:AO131)*比赛参数!$E$26+SUM(AB154:AE154)*比赛参数!$F$26+SUM(AL154:AO154)*比赛参数!$G$26</f>
        <v>345760</v>
      </c>
      <c r="AT9" s="55">
        <f t="shared" ref="AT9:AT28" si="3">AS9/1300</f>
        <v>265.969230769231</v>
      </c>
      <c r="AU9" s="175">
        <f t="shared" ref="AU9:AU28" si="4">F95</f>
        <v>1833149.08</v>
      </c>
      <c r="AV9" s="176">
        <f t="shared" ref="AV9:AV28" si="5">AU9/AS9</f>
        <v>5.30179627487274</v>
      </c>
      <c r="AW9" s="175">
        <f t="shared" ref="AW9:AW28" si="6">E95</f>
        <v>7682854.92</v>
      </c>
      <c r="AX9" s="192">
        <f t="shared" ref="AX9:AX28" si="7">AU9/AW9</f>
        <v>0.238602589673788</v>
      </c>
      <c r="AY9" s="65">
        <f t="shared" ref="AY9:AY28" si="8">X131*AB131+Y131*AC131+Z131*AD131+AA131*AE131+AH131*AL131+AI131*AM131+AJ131*AN131+AK131*AO131+X154*AB154+Y154*AC154+Z154*AD154+AA154*AE154+AH154*AL154+AI154*AM154+AJ154*AN154+AK154*AO154</f>
        <v>9357204</v>
      </c>
      <c r="AZ9" s="193">
        <f t="shared" ref="AZ9:AZ28" si="9">D95</f>
        <v>9516004</v>
      </c>
      <c r="BA9" s="65">
        <f t="shared" ref="BA9:BA28" si="10">AZ9-AY9</f>
        <v>158800</v>
      </c>
      <c r="BB9" s="65">
        <f>IF(BA9&lt;比赛参数!$K$34,0,IF(BA9&lt;比赛参数!$K$35,BA9/(1-比赛参数!$E$36),IF(BA9&lt;比赛参数!$K$36,BA9/(1-比赛参数!$E$34))))</f>
        <v>1985000</v>
      </c>
      <c r="BC9" s="65">
        <f t="shared" ref="BC9:BC28" si="11">AU9-BA9</f>
        <v>1674349.08</v>
      </c>
      <c r="BD9" s="101"/>
      <c r="BE9" s="65">
        <f t="shared" ref="BE9:BE28" si="12">BC9-BD9</f>
        <v>1674349.08</v>
      </c>
      <c r="BF9" s="176">
        <f t="shared" ref="BF9:BF28" si="13">BE9/AS9</f>
        <v>4.84251816288755</v>
      </c>
      <c r="BQ9" s="173"/>
      <c r="BR9" s="196" t="s">
        <v>23</v>
      </c>
      <c r="BS9" s="198">
        <f>第十三期!$AH$76</f>
        <v>9850</v>
      </c>
      <c r="BT9" s="198">
        <f>第十三期!$AH$77</f>
        <v>9850</v>
      </c>
      <c r="BU9" s="198">
        <f>第十三期!$AH$78</f>
        <v>10100</v>
      </c>
      <c r="BV9" s="198">
        <f>第十三期!$AH$79</f>
        <v>10100</v>
      </c>
      <c r="BW9" s="200">
        <f>第十三期!$AH$80</f>
        <v>82500</v>
      </c>
      <c r="BX9" s="173"/>
      <c r="DT9" s="256" t="s">
        <v>21</v>
      </c>
      <c r="DU9" s="257">
        <v>4</v>
      </c>
      <c r="DV9" s="258">
        <f t="shared" si="0"/>
        <v>142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191</v>
      </c>
      <c r="D10" s="9">
        <v>0</v>
      </c>
      <c r="E10" s="9">
        <v>2</v>
      </c>
      <c r="F10" s="10"/>
      <c r="J10" s="11" t="s">
        <v>161</v>
      </c>
      <c r="K10" s="34">
        <f>D6</f>
        <v>369634</v>
      </c>
      <c r="M10" s="30"/>
      <c r="N10" s="31" t="s">
        <v>168</v>
      </c>
      <c r="O10" s="37"/>
      <c r="P10" s="35"/>
      <c r="Q10" s="45"/>
      <c r="X10" s="11" t="s">
        <v>192</v>
      </c>
      <c r="Y10" s="75">
        <v>381</v>
      </c>
      <c r="Z10" s="75"/>
      <c r="AA10" s="75">
        <v>153</v>
      </c>
      <c r="AB10" s="75"/>
      <c r="AC10" s="76">
        <f>SUM(Y10:AB10)</f>
        <v>534</v>
      </c>
      <c r="AE10" s="72">
        <f>SUMPRODUCT(Z96:Z99,AG64:AG67)/SUM(AG64:AG67)</f>
        <v>9.8212227286234</v>
      </c>
      <c r="AF10" s="77">
        <f>CD24*15</f>
        <v>8.98608271231797</v>
      </c>
      <c r="AG10" s="133">
        <f>SUMPRODUCT(Z102:Z105,AG64:AG67)/SUM(AG64:AG67)*20</f>
        <v>7.4919325928707</v>
      </c>
      <c r="AH10" s="32">
        <f>AC10*比赛参数!E26</f>
        <v>133500</v>
      </c>
      <c r="AI10" s="134">
        <f>第十三期!DB57</f>
        <v>2449.50766235387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>
        <f>SUM(AB132:AE132)*比赛参数!$D$26+SUM(AL132:AO132)*比赛参数!$E$26+SUM(AB155:AE155)*比赛参数!$F$26+SUM(AL155:AO155)*比赛参数!$G$26</f>
        <v>239210</v>
      </c>
      <c r="AT10" s="55">
        <f t="shared" si="3"/>
        <v>184.007692307692</v>
      </c>
      <c r="AU10" s="175">
        <f t="shared" si="4"/>
        <v>490537.51</v>
      </c>
      <c r="AV10" s="176">
        <f t="shared" si="5"/>
        <v>2.0506563688809</v>
      </c>
      <c r="AW10" s="175">
        <f t="shared" si="6"/>
        <v>5860679.49</v>
      </c>
      <c r="AX10" s="192">
        <f t="shared" si="7"/>
        <v>0.0836997673797036</v>
      </c>
      <c r="AY10" s="65">
        <f t="shared" si="8"/>
        <v>6338117</v>
      </c>
      <c r="AZ10" s="193">
        <f t="shared" si="9"/>
        <v>6351217</v>
      </c>
      <c r="BA10" s="65">
        <f t="shared" si="10"/>
        <v>13100</v>
      </c>
      <c r="BB10" s="65">
        <f>IF(BA10&lt;比赛参数!$K$34,0,IF(BA10&lt;比赛参数!$K$35,BA10/(1-比赛参数!$E$36),IF(BA10&lt;比赛参数!$K$36,BA10/(1-比赛参数!$E$34))))</f>
        <v>0</v>
      </c>
      <c r="BC10" s="65">
        <f t="shared" si="11"/>
        <v>477437.51</v>
      </c>
      <c r="BD10" s="101"/>
      <c r="BE10" s="65">
        <f t="shared" si="12"/>
        <v>477437.51</v>
      </c>
      <c r="BF10" s="176">
        <f t="shared" si="13"/>
        <v>1.9958927720413</v>
      </c>
      <c r="BQ10" s="173"/>
      <c r="BR10" s="196" t="s">
        <v>24</v>
      </c>
      <c r="BS10" s="198">
        <f>第十三期!$AI$76</f>
        <v>12950</v>
      </c>
      <c r="BT10" s="198">
        <f>第十三期!$AI$77</f>
        <v>12950</v>
      </c>
      <c r="BU10" s="198">
        <f>第十三期!$AI$78</f>
        <v>13350</v>
      </c>
      <c r="BV10" s="198">
        <f>第十三期!$AI$79</f>
        <v>13500</v>
      </c>
      <c r="BW10" s="200">
        <f>第十三期!$AI$80</f>
        <v>91000</v>
      </c>
      <c r="BX10" s="173"/>
      <c r="DT10" s="249" t="s">
        <v>22</v>
      </c>
      <c r="DU10" s="260">
        <v>1</v>
      </c>
      <c r="DV10" s="261">
        <f t="shared" si="0"/>
        <v>117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193</v>
      </c>
      <c r="D11" s="14">
        <v>7407696.7</v>
      </c>
      <c r="E11" s="9">
        <v>3</v>
      </c>
      <c r="F11" s="10"/>
      <c r="J11" s="11" t="s">
        <v>166</v>
      </c>
      <c r="K11" s="34">
        <f>D7</f>
        <v>2608359.7</v>
      </c>
      <c r="M11" s="36" t="s">
        <v>194</v>
      </c>
      <c r="N11" s="32" t="s">
        <v>195</v>
      </c>
      <c r="O11" s="32">
        <f>AL14</f>
        <v>4944782</v>
      </c>
      <c r="P11" s="35"/>
      <c r="Q11" s="45"/>
      <c r="X11" s="11" t="s">
        <v>196</v>
      </c>
      <c r="Y11" s="75"/>
      <c r="Z11" s="75"/>
      <c r="AA11" s="75">
        <v>181</v>
      </c>
      <c r="AB11" s="75">
        <v>43</v>
      </c>
      <c r="AC11" s="76">
        <f>SUM(Y11:AB11)</f>
        <v>224</v>
      </c>
      <c r="AE11" s="72">
        <f>SUMPRODUCT(AA96:AA99,AH64:AH67)/SUM(AH64:AH67)</f>
        <v>9.97111939427214</v>
      </c>
      <c r="AF11" s="77">
        <f>CE24*15</f>
        <v>9.16849628851872</v>
      </c>
      <c r="AG11" s="133">
        <f>SUMPRODUCT(AA102:AA105,AH64:AH67)/SUM(AH64:AH67)*20</f>
        <v>7.5861513695045</v>
      </c>
      <c r="AH11" s="32">
        <f>AC11*比赛参数!F26</f>
        <v>85120</v>
      </c>
      <c r="AI11" s="134">
        <f>第十三期!DB58</f>
        <v>3788.51761788543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>
        <f>SUM(AB133:AE133)*比赛参数!$D$26+SUM(AL133:AO133)*比赛参数!$E$26+SUM(AB156:AE156)*比赛参数!$F$26+SUM(AL156:AO156)*比赛参数!$G$26</f>
        <v>213700</v>
      </c>
      <c r="AT11" s="55">
        <f t="shared" si="3"/>
        <v>164.384615384615</v>
      </c>
      <c r="AU11" s="175">
        <f t="shared" si="4"/>
        <v>1114434.89</v>
      </c>
      <c r="AV11" s="176">
        <f t="shared" si="5"/>
        <v>5.21495035095929</v>
      </c>
      <c r="AW11" s="175">
        <f t="shared" si="6"/>
        <v>4793985.11</v>
      </c>
      <c r="AX11" s="192">
        <f t="shared" si="7"/>
        <v>0.232465238090821</v>
      </c>
      <c r="AY11" s="65">
        <f t="shared" si="8"/>
        <v>5866420</v>
      </c>
      <c r="AZ11" s="193">
        <f t="shared" si="9"/>
        <v>5908420</v>
      </c>
      <c r="BA11" s="65">
        <f t="shared" si="10"/>
        <v>42000</v>
      </c>
      <c r="BB11" s="65">
        <f>IF(BA11&lt;比赛参数!$K$34,0,IF(BA11&lt;比赛参数!$K$35,BA11/(1-比赛参数!$E$36),IF(BA11&lt;比赛参数!$K$36,BA11/(1-比赛参数!$E$34))))</f>
        <v>1400000</v>
      </c>
      <c r="BC11" s="65">
        <f t="shared" si="11"/>
        <v>1072434.89</v>
      </c>
      <c r="BD11" s="101"/>
      <c r="BE11" s="65">
        <f t="shared" si="12"/>
        <v>1072434.89</v>
      </c>
      <c r="BF11" s="176">
        <f t="shared" si="13"/>
        <v>5.01841314927468</v>
      </c>
      <c r="BQ11" s="173"/>
      <c r="BR11" s="199" t="s">
        <v>197</v>
      </c>
      <c r="BS11" s="200">
        <f>第十三期!$AJ$76</f>
        <v>70000</v>
      </c>
      <c r="BT11" s="200">
        <f>第十三期!$AJ$77</f>
        <v>69700</v>
      </c>
      <c r="BU11" s="200">
        <f>第十三期!$AJ$78</f>
        <v>98700</v>
      </c>
      <c r="BV11" s="200">
        <f>第十三期!$AJ$79</f>
        <v>104200</v>
      </c>
      <c r="BW11" s="210"/>
      <c r="BX11" s="173"/>
      <c r="DT11" s="252" t="s">
        <v>22</v>
      </c>
      <c r="DU11" s="250">
        <v>2</v>
      </c>
      <c r="DV11" s="251">
        <f t="shared" si="0"/>
        <v>110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198</v>
      </c>
      <c r="D12" s="14">
        <v>1900000</v>
      </c>
      <c r="E12" s="9">
        <v>13</v>
      </c>
      <c r="F12" s="10"/>
      <c r="J12" s="11" t="s">
        <v>187</v>
      </c>
      <c r="K12" s="34">
        <f>D9</f>
        <v>8595983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103</v>
      </c>
      <c r="AB12" s="75">
        <v>123</v>
      </c>
      <c r="AC12" s="78">
        <f>SUM(Y12:AB12)</f>
        <v>226</v>
      </c>
      <c r="AE12" s="72">
        <f>SUMPRODUCT(AB96:AB99,AI64:AI67)/SUM(AI64:AI67)</f>
        <v>9.18376199861414</v>
      </c>
      <c r="AF12" s="77">
        <f>CF24*15</f>
        <v>8.48386553533939</v>
      </c>
      <c r="AG12" s="133">
        <f>SUMPRODUCT(AB102:AB105,AI64:AI67)/SUM(AI64:AI67)*20</f>
        <v>7.22483511311519</v>
      </c>
      <c r="AH12" s="32">
        <f>AC12*比赛参数!G26</f>
        <v>117520</v>
      </c>
      <c r="AI12" s="134">
        <f>第十三期!DB59</f>
        <v>4764.07484393051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>
        <f>SUM(AB134:AE134)*比赛参数!$D$26+SUM(AL134:AO134)*比赛参数!$E$26+SUM(AB157:AE157)*比赛参数!$F$26+SUM(AL157:AO157)*比赛参数!$G$26</f>
        <v>318630</v>
      </c>
      <c r="AT12" s="55">
        <f t="shared" si="3"/>
        <v>245.1</v>
      </c>
      <c r="AU12" s="175">
        <f t="shared" si="4"/>
        <v>1403099.25</v>
      </c>
      <c r="AV12" s="176">
        <f t="shared" si="5"/>
        <v>4.40353780246681</v>
      </c>
      <c r="AW12" s="175">
        <f t="shared" si="6"/>
        <v>7473775.75</v>
      </c>
      <c r="AX12" s="192">
        <f t="shared" si="7"/>
        <v>0.187736332602701</v>
      </c>
      <c r="AY12" s="65">
        <f t="shared" si="8"/>
        <v>8720775</v>
      </c>
      <c r="AZ12" s="193">
        <f t="shared" si="9"/>
        <v>8876875</v>
      </c>
      <c r="BA12" s="65">
        <f t="shared" si="10"/>
        <v>156100</v>
      </c>
      <c r="BB12" s="65">
        <f>IF(BA12&lt;比赛参数!$K$34,0,IF(BA12&lt;比赛参数!$K$35,BA12/(1-比赛参数!$E$36),IF(BA12&lt;比赛参数!$K$36,BA12/(1-比赛参数!$E$34))))</f>
        <v>1951250</v>
      </c>
      <c r="BC12" s="65">
        <f t="shared" si="11"/>
        <v>1246999.25</v>
      </c>
      <c r="BD12" s="101"/>
      <c r="BE12" s="65">
        <f t="shared" si="12"/>
        <v>1246999.25</v>
      </c>
      <c r="BF12" s="176">
        <f t="shared" si="13"/>
        <v>3.91362787559238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168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100</v>
      </c>
      <c r="D13" s="14">
        <v>1583845.38</v>
      </c>
      <c r="E13" s="9">
        <v>4</v>
      </c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7963969.25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260.826923076923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135.480769230769</v>
      </c>
      <c r="AB13" s="79">
        <f>(AB9*比赛参数!D27+AB10*比赛参数!E27+AB11*比赛参数!F27+AB12*比赛参数!G27)/260</f>
        <v>111.615384615385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第十三期!BU86</f>
        <v>8716648.23140385</v>
      </c>
      <c r="AG13" s="135" t="s">
        <v>203</v>
      </c>
      <c r="AH13" s="136">
        <f>第十三期!BV76</f>
        <v>300.667250000406</v>
      </c>
      <c r="AI13" s="42" t="s">
        <v>204</v>
      </c>
      <c r="AJ13" s="137">
        <f>SUMPRODUCT(AE4:AE7,AH9:AH12)</f>
        <v>5192767.06027161</v>
      </c>
      <c r="AL13" s="48"/>
      <c r="AQ13" s="173"/>
      <c r="AR13" s="11">
        <v>5</v>
      </c>
      <c r="AS13" s="65">
        <f>SUM(AB135:AE135)*比赛参数!$D$26+SUM(AL135:AO135)*比赛参数!$E$26+SUM(AB158:AE158)*比赛参数!$F$26+SUM(AL158:AO158)*比赛参数!$G$26</f>
        <v>346370</v>
      </c>
      <c r="AT13" s="55">
        <f t="shared" si="3"/>
        <v>266.438461538462</v>
      </c>
      <c r="AU13" s="175">
        <f t="shared" si="4"/>
        <v>1838765</v>
      </c>
      <c r="AV13" s="176">
        <f t="shared" si="5"/>
        <v>5.30867280653636</v>
      </c>
      <c r="AW13" s="175">
        <f t="shared" si="6"/>
        <v>7695302.48</v>
      </c>
      <c r="AX13" s="192">
        <f t="shared" si="7"/>
        <v>0.238946422805202</v>
      </c>
      <c r="AY13" s="65">
        <f t="shared" si="8"/>
        <v>9369905</v>
      </c>
      <c r="AZ13" s="193">
        <f t="shared" si="9"/>
        <v>9534067.48</v>
      </c>
      <c r="BA13" s="65">
        <f t="shared" si="10"/>
        <v>164162.48</v>
      </c>
      <c r="BB13" s="65" t="b">
        <f>IF(BA13&lt;比赛参数!$K$34,0,IF(BA13&lt;比赛参数!$K$35,BA13/(1-比赛参数!$E$36),IF(BA13&lt;比赛参数!$K$36,BA13/(1-比赛参数!$E$34))))</f>
        <v>0</v>
      </c>
      <c r="BC13" s="65">
        <f t="shared" si="11"/>
        <v>1674602.52</v>
      </c>
      <c r="BD13" s="101"/>
      <c r="BE13" s="65">
        <f t="shared" si="12"/>
        <v>1674602.52</v>
      </c>
      <c r="BF13" s="176">
        <f t="shared" si="13"/>
        <v>4.83472159829084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160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206</v>
      </c>
      <c r="D14" s="14">
        <v>395961.34</v>
      </c>
      <c r="E14" s="9">
        <v>4</v>
      </c>
      <c r="F14" s="10"/>
      <c r="J14" s="11" t="s">
        <v>193</v>
      </c>
      <c r="K14" s="34">
        <f>D11</f>
        <v>7407696.7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308.942307692308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308.826923076923</v>
      </c>
      <c r="AB14" s="79">
        <f>(AB9*比赛参数!D26+AB10*比赛参数!E26+AB11*比赛参数!F26+AB12*比赛参数!G26)/260</f>
        <v>308.846153846154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第十三期!BW92</f>
        <v>2197658.40859615</v>
      </c>
      <c r="AG14" s="73" t="s">
        <v>208</v>
      </c>
      <c r="AH14" s="138">
        <v>3651201</v>
      </c>
      <c r="AI14" s="42" t="s">
        <v>93</v>
      </c>
      <c r="AJ14" s="139">
        <f>第十三期!K12</f>
        <v>8595983</v>
      </c>
      <c r="AK14" s="42" t="s">
        <v>209</v>
      </c>
      <c r="AL14" s="91">
        <f>AJ14-AH14</f>
        <v>4944782</v>
      </c>
      <c r="AQ14" s="173"/>
      <c r="AR14" s="11">
        <v>6</v>
      </c>
      <c r="AS14" s="65">
        <f>SUM(AB136:AE136)*比赛参数!$D$26+SUM(AL136:AO136)*比赛参数!$E$26+SUM(AB159:AE159)*比赛参数!$F$26+SUM(AL159:AO159)*比赛参数!$G$26</f>
        <v>16290</v>
      </c>
      <c r="AT14" s="55">
        <f t="shared" si="3"/>
        <v>12.5307692307692</v>
      </c>
      <c r="AU14" s="175">
        <f t="shared" si="4"/>
        <v>-3162355.74</v>
      </c>
      <c r="AV14" s="176">
        <f t="shared" si="5"/>
        <v>-194.128651933702</v>
      </c>
      <c r="AW14" s="175">
        <f t="shared" si="6"/>
        <v>3740738.74</v>
      </c>
      <c r="AX14" s="192">
        <f t="shared" si="7"/>
        <v>-0.845382679678934</v>
      </c>
      <c r="AY14" s="65">
        <f t="shared" si="8"/>
        <v>578383</v>
      </c>
      <c r="AZ14" s="193">
        <f t="shared" si="9"/>
        <v>578383</v>
      </c>
      <c r="BA14" s="65">
        <f t="shared" si="10"/>
        <v>0</v>
      </c>
      <c r="BB14" s="65">
        <f>IF(BA14&lt;比赛参数!$K$34,0,IF(BA14&lt;比赛参数!$K$35,BA14/(1-比赛参数!$E$36),IF(BA14&lt;比赛参数!$K$36,BA14/(1-比赛参数!$E$34))))</f>
        <v>0</v>
      </c>
      <c r="BC14" s="65">
        <f t="shared" si="11"/>
        <v>-3162355.74</v>
      </c>
      <c r="BD14" s="101"/>
      <c r="BE14" s="65">
        <f t="shared" si="12"/>
        <v>-3162355.74</v>
      </c>
      <c r="BF14" s="176">
        <f t="shared" si="13"/>
        <v>-194.128651933702</v>
      </c>
      <c r="BQ14" s="173"/>
      <c r="BR14" s="197" t="s">
        <v>21</v>
      </c>
      <c r="BS14" s="198">
        <f>第十三期!Y88</f>
        <v>126</v>
      </c>
      <c r="BT14" s="198">
        <f>第十三期!Y89</f>
        <v>127</v>
      </c>
      <c r="BU14" s="198">
        <f>第十三期!Y90</f>
        <v>189</v>
      </c>
      <c r="BV14" s="198">
        <f>第十三期!Y91</f>
        <v>189</v>
      </c>
      <c r="BW14" s="202"/>
      <c r="BX14" s="173"/>
      <c r="DT14" s="249" t="s">
        <v>23</v>
      </c>
      <c r="DU14" s="260">
        <v>1</v>
      </c>
      <c r="DV14" s="261">
        <f t="shared" si="0"/>
        <v>25</v>
      </c>
      <c r="DW14" s="261">
        <f t="shared" si="1"/>
        <v>0</v>
      </c>
      <c r="DX14" s="261">
        <f t="shared" si="1"/>
        <v>16</v>
      </c>
    </row>
    <row r="15" customHeight="1" spans="2:128">
      <c r="B15" s="7"/>
      <c r="C15" s="8" t="s">
        <v>210</v>
      </c>
      <c r="D15" s="14">
        <v>821005.64</v>
      </c>
      <c r="E15" s="9">
        <v>2</v>
      </c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0.999813293502614</v>
      </c>
      <c r="Z15" s="86">
        <f>(Z14+AA14)/AA20</f>
        <v>0.999439880507842</v>
      </c>
      <c r="AA15" s="87"/>
      <c r="AB15" s="88">
        <f>AB14/AA20</f>
        <v>0.99950211600697</v>
      </c>
      <c r="AC15" s="89" t="str">
        <f>IF(AC21&lt;=AC20,"材料 YES","材料 NO")</f>
        <v>材料 YES</v>
      </c>
      <c r="AE15" s="83" t="s">
        <v>105</v>
      </c>
      <c r="AF15" s="90">
        <f>AF14/(Y18+第十三期!K8-AA18)</f>
        <v>4960.85419547664</v>
      </c>
      <c r="AG15" s="73" t="s">
        <v>214</v>
      </c>
      <c r="AH15" s="138">
        <v>993843</v>
      </c>
      <c r="AI15" s="42" t="s">
        <v>215</v>
      </c>
      <c r="AJ15" s="139">
        <f>第十三期!K16*0.5-第十三期!K14</f>
        <v>993844.11</v>
      </c>
      <c r="AK15" s="42" t="s">
        <v>216</v>
      </c>
      <c r="AL15" s="111">
        <f>O20*0.5-O13</f>
        <v>1206752.00300865</v>
      </c>
      <c r="AQ15" s="173"/>
      <c r="AR15" s="11">
        <v>7</v>
      </c>
      <c r="AS15" s="65">
        <f>SUM(AB137:AE137)*比赛参数!$D$26+SUM(AL137:AO137)*比赛参数!$E$26+SUM(AB160:AE160)*比赛参数!$F$26+SUM(AL160:AO160)*比赛参数!$G$26</f>
        <v>304270</v>
      </c>
      <c r="AT15" s="55">
        <f t="shared" si="3"/>
        <v>234.053846153846</v>
      </c>
      <c r="AU15" s="175">
        <f t="shared" si="4"/>
        <v>1073605.51</v>
      </c>
      <c r="AV15" s="176">
        <f t="shared" si="5"/>
        <v>3.52846323988563</v>
      </c>
      <c r="AW15" s="175">
        <f t="shared" si="6"/>
        <v>7023762.49</v>
      </c>
      <c r="AX15" s="192">
        <f t="shared" si="7"/>
        <v>0.152853333456041</v>
      </c>
      <c r="AY15" s="65">
        <f t="shared" si="8"/>
        <v>8022524</v>
      </c>
      <c r="AZ15" s="193">
        <f t="shared" si="9"/>
        <v>8097368</v>
      </c>
      <c r="BA15" s="65">
        <f t="shared" si="10"/>
        <v>74844</v>
      </c>
      <c r="BB15" s="65">
        <f>IF(BA15&lt;比赛参数!$K$34,0,IF(BA15&lt;比赛参数!$K$35,BA15/(1-比赛参数!$E$36),IF(BA15&lt;比赛参数!$K$36,BA15/(1-比赛参数!$E$34))))</f>
        <v>2494800</v>
      </c>
      <c r="BC15" s="65">
        <f t="shared" si="11"/>
        <v>998761.51</v>
      </c>
      <c r="BD15" s="101"/>
      <c r="BE15" s="65">
        <f t="shared" si="12"/>
        <v>998761.51</v>
      </c>
      <c r="BF15" s="176">
        <f t="shared" si="13"/>
        <v>3.28248433956683</v>
      </c>
      <c r="BQ15" s="173"/>
      <c r="BR15" s="196" t="s">
        <v>22</v>
      </c>
      <c r="BS15" s="198">
        <f>第十三期!Z88</f>
        <v>107</v>
      </c>
      <c r="BT15" s="198">
        <f>第十三期!Z89</f>
        <v>106</v>
      </c>
      <c r="BU15" s="198">
        <f>第十三期!Z90</f>
        <v>159</v>
      </c>
      <c r="BV15" s="198">
        <f>第十三期!Z91</f>
        <v>159</v>
      </c>
      <c r="BW15" s="202"/>
      <c r="BX15" s="173"/>
      <c r="DT15" s="252" t="s">
        <v>23</v>
      </c>
      <c r="DU15" s="250">
        <v>2</v>
      </c>
      <c r="DV15" s="251">
        <f t="shared" si="0"/>
        <v>25</v>
      </c>
      <c r="DW15" s="251">
        <f t="shared" si="1"/>
        <v>0</v>
      </c>
      <c r="DX15" s="251">
        <f t="shared" si="1"/>
        <v>17</v>
      </c>
    </row>
    <row r="16" customHeight="1" spans="2:130">
      <c r="B16" s="7"/>
      <c r="C16" s="8" t="s">
        <v>211</v>
      </c>
      <c r="D16" s="14">
        <v>0</v>
      </c>
      <c r="E16" s="9">
        <v>1</v>
      </c>
      <c r="F16" s="10">
        <f>D16*4</f>
        <v>0</v>
      </c>
      <c r="J16" s="11" t="s">
        <v>104</v>
      </c>
      <c r="K16" s="34">
        <f>D18</f>
        <v>16803081.62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第十三期!DM60</f>
        <v>102000</v>
      </c>
      <c r="Z16" s="92" t="s">
        <v>218</v>
      </c>
      <c r="AA16" s="93">
        <f>AH20+Y16+第十三期!K9*比赛参数!D30*比赛参数!F30</f>
        <v>4063060</v>
      </c>
      <c r="AB16" s="73" t="s">
        <v>219</v>
      </c>
      <c r="AC16" s="94">
        <f>Y20-Y21</f>
        <v>0.192307692307679</v>
      </c>
      <c r="AE16" s="83" t="s">
        <v>220</v>
      </c>
      <c r="AF16" s="95">
        <f>AJ13/SUM(AH9:AH12)</f>
        <v>12.9321289542053</v>
      </c>
      <c r="AG16" s="83" t="s">
        <v>221</v>
      </c>
      <c r="AH16" s="140">
        <f>AF14/AL111</f>
        <v>7236.6471571595</v>
      </c>
      <c r="AI16" s="42" t="s">
        <v>222</v>
      </c>
      <c r="AJ16" s="141">
        <f>BS75+BS76</f>
        <v>685000</v>
      </c>
      <c r="AK16" s="142">
        <f>AJ16/BS77</f>
        <v>0.0637448271305429</v>
      </c>
      <c r="AL16" s="143"/>
      <c r="AQ16" s="173"/>
      <c r="AR16" s="11">
        <v>8</v>
      </c>
      <c r="AS16" s="65">
        <f>SUM(AB138:AE138)*比赛参数!$D$26+SUM(AL138:AO138)*比赛参数!$E$26+SUM(AB161:AE161)*比赛参数!$F$26+SUM(AL161:AO161)*比赛参数!$G$26</f>
        <v>307880</v>
      </c>
      <c r="AT16" s="55">
        <f t="shared" si="3"/>
        <v>236.830769230769</v>
      </c>
      <c r="AU16" s="175">
        <f t="shared" si="4"/>
        <v>1297649.08</v>
      </c>
      <c r="AV16" s="176">
        <f t="shared" si="5"/>
        <v>4.2147884890217</v>
      </c>
      <c r="AW16" s="175">
        <f t="shared" si="6"/>
        <v>6948850.92</v>
      </c>
      <c r="AX16" s="192">
        <f t="shared" si="7"/>
        <v>0.186742973038196</v>
      </c>
      <c r="AY16" s="65">
        <f t="shared" si="8"/>
        <v>8087400</v>
      </c>
      <c r="AZ16" s="193">
        <f t="shared" si="9"/>
        <v>8246500</v>
      </c>
      <c r="BA16" s="65">
        <f t="shared" si="10"/>
        <v>159100</v>
      </c>
      <c r="BB16" s="65">
        <f>IF(BA16&lt;比赛参数!$K$34,0,IF(BA16&lt;比赛参数!$K$35,BA16/(1-比赛参数!$E$36),IF(BA16&lt;比赛参数!$K$36,BA16/(1-比赛参数!$E$34))))</f>
        <v>1988750</v>
      </c>
      <c r="BC16" s="65">
        <f t="shared" si="11"/>
        <v>1138549.08</v>
      </c>
      <c r="BD16" s="101"/>
      <c r="BE16" s="65">
        <f t="shared" si="12"/>
        <v>1138549.08</v>
      </c>
      <c r="BF16" s="176">
        <f t="shared" si="13"/>
        <v>3.69802871248538</v>
      </c>
      <c r="BQ16" s="173"/>
      <c r="BR16" s="196" t="s">
        <v>23</v>
      </c>
      <c r="BS16" s="198">
        <f>第十三期!AA88</f>
        <v>42</v>
      </c>
      <c r="BT16" s="198">
        <f>第十三期!AA89</f>
        <v>42</v>
      </c>
      <c r="BU16" s="198">
        <f>第十三期!AA90</f>
        <v>63</v>
      </c>
      <c r="BV16" s="198">
        <f>第十三期!AA91</f>
        <v>63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41</v>
      </c>
      <c r="DW16" s="251">
        <f t="shared" si="1"/>
        <v>0</v>
      </c>
      <c r="DX16" s="251">
        <f t="shared" si="1"/>
        <v>6</v>
      </c>
      <c r="DZ16" s="43"/>
    </row>
    <row r="17" customHeight="1" spans="2:128">
      <c r="B17" s="7"/>
      <c r="C17" s="8" t="s">
        <v>102</v>
      </c>
      <c r="D17" s="14">
        <v>326893.68</v>
      </c>
      <c r="E17" s="9">
        <v>3</v>
      </c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999.999999999932</v>
      </c>
      <c r="AE17" s="83" t="s">
        <v>233</v>
      </c>
      <c r="AF17" s="100">
        <f>(AE9*SUM(AF64:AF67)+AE10*SUM(AG64:AG67)+AE11*SUM(AH64:AH67)+AE12*SUM(AI64:AI67))/SUM(AF64:AI67)</f>
        <v>11.2780521242786</v>
      </c>
      <c r="AG17" s="2" t="s">
        <v>106</v>
      </c>
      <c r="AH17" s="2">
        <f>AF14/(O20+O13)</f>
        <v>0.0835439653626955</v>
      </c>
      <c r="AI17" s="48"/>
      <c r="AJ17" s="48"/>
      <c r="AK17" s="48"/>
      <c r="AL17" s="48"/>
      <c r="AQ17" s="173"/>
      <c r="AR17" s="11">
        <v>9</v>
      </c>
      <c r="AS17" s="65">
        <f>SUM(AB139:AE139)*比赛参数!$D$26+SUM(AL139:AO139)*比赛参数!$E$26+SUM(AB162:AE162)*比赛参数!$F$26+SUM(AL162:AO162)*比赛参数!$G$26</f>
        <v>243840</v>
      </c>
      <c r="AT17" s="55">
        <f t="shared" si="3"/>
        <v>187.569230769231</v>
      </c>
      <c r="AU17" s="175">
        <f t="shared" si="4"/>
        <v>955824.94</v>
      </c>
      <c r="AV17" s="176">
        <f t="shared" si="5"/>
        <v>3.91988574475066</v>
      </c>
      <c r="AW17" s="175">
        <f t="shared" si="6"/>
        <v>6260621.06</v>
      </c>
      <c r="AX17" s="192">
        <f t="shared" si="7"/>
        <v>0.152672543321125</v>
      </c>
      <c r="AY17" s="65">
        <f t="shared" si="8"/>
        <v>7059456</v>
      </c>
      <c r="AZ17" s="193">
        <f t="shared" si="9"/>
        <v>7216446</v>
      </c>
      <c r="BA17" s="65">
        <f t="shared" si="10"/>
        <v>156990</v>
      </c>
      <c r="BB17" s="65">
        <f>IF(BA17&lt;比赛参数!$K$34,0,IF(BA17&lt;比赛参数!$K$35,BA17/(1-比赛参数!$E$36),IF(BA17&lt;比赛参数!$K$36,BA17/(1-比赛参数!$E$34))))</f>
        <v>1962375</v>
      </c>
      <c r="BC17" s="65">
        <f t="shared" si="11"/>
        <v>798834.94</v>
      </c>
      <c r="BD17" s="101"/>
      <c r="BE17" s="65">
        <f t="shared" si="12"/>
        <v>798834.94</v>
      </c>
      <c r="BF17" s="176">
        <f t="shared" si="13"/>
        <v>3.27606192585302</v>
      </c>
      <c r="BQ17" s="173"/>
      <c r="BR17" s="196" t="s">
        <v>24</v>
      </c>
      <c r="BS17" s="198">
        <f>第十三期!AB88</f>
        <v>44</v>
      </c>
      <c r="BT17" s="198">
        <f>第十三期!AB89</f>
        <v>44</v>
      </c>
      <c r="BU17" s="198">
        <f>第十三期!AB90</f>
        <v>64</v>
      </c>
      <c r="BV17" s="198">
        <f>第十三期!AB91</f>
        <v>64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38</v>
      </c>
      <c r="DW17" s="268">
        <f t="shared" si="1"/>
        <v>0</v>
      </c>
      <c r="DX17" s="268">
        <f t="shared" si="1"/>
        <v>19</v>
      </c>
    </row>
    <row r="18" customHeight="1" spans="2:130">
      <c r="B18" s="7"/>
      <c r="C18" s="8" t="s">
        <v>104</v>
      </c>
      <c r="D18" s="14">
        <v>16803081.62</v>
      </c>
      <c r="E18" s="9">
        <v>3</v>
      </c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62</v>
      </c>
      <c r="Z18" s="11" t="s">
        <v>235</v>
      </c>
      <c r="AA18" s="101">
        <v>12</v>
      </c>
      <c r="AB18" s="11" t="s">
        <v>236</v>
      </c>
      <c r="AC18" s="102">
        <v>2104208</v>
      </c>
      <c r="AE18" s="11" t="s">
        <v>237</v>
      </c>
      <c r="AF18" s="103"/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309</v>
      </c>
      <c r="AQ18" s="173"/>
      <c r="AR18" s="11">
        <v>10</v>
      </c>
      <c r="AS18" s="65">
        <f>SUM(AB140:AE140)*比赛参数!$D$26+SUM(AL140:AO140)*比赛参数!$E$26+SUM(AB163:AE163)*比赛参数!$F$26+SUM(AL163:AO163)*比赛参数!$G$26</f>
        <v>360140</v>
      </c>
      <c r="AT18" s="55">
        <f t="shared" si="3"/>
        <v>277.030769230769</v>
      </c>
      <c r="AU18" s="175">
        <f t="shared" si="4"/>
        <v>1613459.96</v>
      </c>
      <c r="AV18" s="176">
        <f t="shared" si="5"/>
        <v>4.48009096462487</v>
      </c>
      <c r="AW18" s="175">
        <f t="shared" si="6"/>
        <v>8368775.99</v>
      </c>
      <c r="AX18" s="192">
        <f t="shared" si="7"/>
        <v>0.192795214249724</v>
      </c>
      <c r="AY18" s="65">
        <f t="shared" si="8"/>
        <v>9887650</v>
      </c>
      <c r="AZ18" s="193">
        <f t="shared" si="9"/>
        <v>9982235.95</v>
      </c>
      <c r="BA18" s="65">
        <f t="shared" si="10"/>
        <v>94585.9499999993</v>
      </c>
      <c r="BB18" s="65">
        <f>IF(BA18&lt;比赛参数!$K$34,0,IF(BA18&lt;比赛参数!$K$35,BA18/(1-比赛参数!$E$36),IF(BA18&lt;比赛参数!$K$36,BA18/(1-比赛参数!$E$34))))</f>
        <v>1182324.37499999</v>
      </c>
      <c r="BC18" s="65">
        <f t="shared" si="11"/>
        <v>1518874.01</v>
      </c>
      <c r="BD18" s="101"/>
      <c r="BE18" s="65">
        <f t="shared" si="12"/>
        <v>1518874.01</v>
      </c>
      <c r="BF18" s="176">
        <f t="shared" si="13"/>
        <v>4.21745435108569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33</v>
      </c>
      <c r="DW18" s="261">
        <f t="shared" si="1"/>
        <v>0</v>
      </c>
      <c r="DX18" s="261">
        <f t="shared" si="1"/>
        <v>5</v>
      </c>
      <c r="DZ18" s="43"/>
    </row>
    <row r="19" customHeight="1" spans="2:128">
      <c r="B19" s="7"/>
      <c r="C19" s="8" t="s">
        <v>105</v>
      </c>
      <c r="D19" s="14">
        <v>4030.14</v>
      </c>
      <c r="E19" s="9">
        <v>4</v>
      </c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第十三期!K8*比赛参数!D57</f>
        <v>196.5</v>
      </c>
      <c r="Z19" s="104" t="s">
        <v>244</v>
      </c>
      <c r="AA19" s="99">
        <f>第十三期!K8*比赛参数!D60</f>
        <v>11.79</v>
      </c>
      <c r="AB19" s="104" t="s">
        <v>244</v>
      </c>
      <c r="AC19" s="105">
        <f>IF((AC21-第十三期!K10)/比赛参数!D41&gt;0,(AC21-第十三期!K10)/比赛参数!D41,0)</f>
        <v>2104207.5</v>
      </c>
      <c r="AE19" s="42" t="s">
        <v>36</v>
      </c>
      <c r="AF19" s="106">
        <f>BS67</f>
        <v>168336.64</v>
      </c>
      <c r="AG19" s="48"/>
      <c r="AH19" s="48"/>
      <c r="AI19" s="146" t="s">
        <v>245</v>
      </c>
      <c r="AJ19" s="105">
        <f>IF((第十三期!BW92-第十三期!BS87)&gt;0,第十三期!BW92-第十三期!BS87,0)</f>
        <v>1538360.88601731</v>
      </c>
      <c r="AK19" s="42" t="s">
        <v>246</v>
      </c>
      <c r="AL19" s="145">
        <f>AL110</f>
        <v>303.684615384615</v>
      </c>
      <c r="AM19" s="2" t="s">
        <v>247</v>
      </c>
      <c r="AR19" s="11">
        <v>11</v>
      </c>
      <c r="AS19" s="65">
        <f>SUM(AB141:AE141)*比赛参数!$D$26+SUM(AL141:AO141)*比赛参数!$E$26+SUM(AB164:AE164)*比赛参数!$F$26+SUM(AL164:AO164)*比赛参数!$G$26</f>
        <v>319940</v>
      </c>
      <c r="AT19" s="55">
        <f t="shared" si="3"/>
        <v>246.107692307692</v>
      </c>
      <c r="AU19" s="175">
        <f t="shared" si="4"/>
        <v>1583845.38</v>
      </c>
      <c r="AV19" s="176">
        <f t="shared" si="5"/>
        <v>4.95044502094143</v>
      </c>
      <c r="AW19" s="175">
        <f t="shared" si="6"/>
        <v>7216113.02</v>
      </c>
      <c r="AX19" s="192">
        <f t="shared" si="7"/>
        <v>0.219487330036303</v>
      </c>
      <c r="AY19" s="65">
        <f t="shared" si="8"/>
        <v>8707550</v>
      </c>
      <c r="AZ19" s="193">
        <f t="shared" si="9"/>
        <v>8799958.4</v>
      </c>
      <c r="BA19" s="65">
        <f t="shared" si="10"/>
        <v>92408.4000000004</v>
      </c>
      <c r="BB19" s="65">
        <f>IF(BA19&lt;比赛参数!$K$34,0,IF(BA19&lt;比赛参数!$K$35,BA19/(1-比赛参数!$E$36),IF(BA19&lt;比赛参数!$K$36,BA19/(1-比赛参数!$E$34))))</f>
        <v>1155105.00000001</v>
      </c>
      <c r="BC19" s="65">
        <f t="shared" si="11"/>
        <v>1491436.98</v>
      </c>
      <c r="BD19" s="101"/>
      <c r="BE19" s="65">
        <f t="shared" si="12"/>
        <v>1491436.98</v>
      </c>
      <c r="BF19" s="176">
        <f t="shared" si="13"/>
        <v>4.66161461524036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第十三期!$CX$68</f>
        <v>0.718835608057565</v>
      </c>
      <c r="CD19" s="110">
        <f>第十三期!$CX$69</f>
        <v>0.591053372582714</v>
      </c>
      <c r="CE19" s="110">
        <f>第十三期!$CX$70</f>
        <v>0.606856167929505</v>
      </c>
      <c r="CF19" s="110">
        <f>第十三期!$CX$71</f>
        <v>0.552306404640418</v>
      </c>
      <c r="CG19" s="219"/>
      <c r="CH19" s="225"/>
      <c r="CI19" s="226" t="s">
        <v>55</v>
      </c>
      <c r="CJ19" s="110">
        <f>第十三期!$CX$50</f>
        <v>1890.81491258654</v>
      </c>
      <c r="CK19" s="110">
        <f>第十三期!$CX$51</f>
        <v>4022.49233764613</v>
      </c>
      <c r="CL19" s="110">
        <f>第十三期!$CX$52</f>
        <v>6129.98238211457</v>
      </c>
      <c r="CM19" s="110">
        <f>第十三期!$CX$53</f>
        <v>8342.42515606949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34</v>
      </c>
      <c r="DW19" s="251">
        <f t="shared" si="1"/>
        <v>0</v>
      </c>
      <c r="DX19" s="251">
        <f t="shared" si="1"/>
        <v>4</v>
      </c>
    </row>
    <row r="20" customHeight="1" spans="2:130">
      <c r="B20" s="7"/>
      <c r="C20" s="8" t="s">
        <v>106</v>
      </c>
      <c r="D20" s="9">
        <v>0.0654</v>
      </c>
      <c r="E20" s="9">
        <v>4</v>
      </c>
      <c r="F20" s="10"/>
      <c r="M20" s="30"/>
      <c r="N20" s="32" t="s">
        <v>104</v>
      </c>
      <c r="O20" s="38">
        <f>K16+AJ19-AJ18</f>
        <v>18341442.5060173</v>
      </c>
      <c r="P20" s="35"/>
      <c r="Q20" s="45"/>
      <c r="W20" s="50"/>
      <c r="X20" s="42" t="s">
        <v>249</v>
      </c>
      <c r="Y20" s="107">
        <f>第十三期!K8+第十三期!Y18*比赛参数!D59-第十三期!AA18</f>
        <v>396.5</v>
      </c>
      <c r="Z20" s="42" t="s">
        <v>239</v>
      </c>
      <c r="AA20" s="108">
        <f>第十三期!K9</f>
        <v>309</v>
      </c>
      <c r="AB20" s="42" t="s">
        <v>250</v>
      </c>
      <c r="AC20" s="109">
        <f>AC18*比赛参数!D41+第十三期!K10</f>
        <v>2053000.4</v>
      </c>
      <c r="AE20" s="11" t="s">
        <v>251</v>
      </c>
      <c r="AF20" s="101"/>
      <c r="AG20" s="42" t="s">
        <v>87</v>
      </c>
      <c r="AH20" s="147">
        <f>第十三期!BS62+第十三期!BS71</f>
        <v>2725060</v>
      </c>
      <c r="AI20" s="73" t="s">
        <v>252</v>
      </c>
      <c r="AJ20" s="111">
        <f>第十三期!BV90</f>
        <v>6108538.98217115</v>
      </c>
      <c r="AK20" s="148" t="s">
        <v>253</v>
      </c>
      <c r="AL20" s="145">
        <f>AL111</f>
        <v>303.684615384615</v>
      </c>
      <c r="AM20" s="2">
        <f>AF14/AL20/1300</f>
        <v>5.56665165935346</v>
      </c>
      <c r="AR20" s="11">
        <v>12</v>
      </c>
      <c r="AS20" s="65">
        <f>SUM(AB142:AE142)*比赛参数!$D$26+SUM(AL142:AO142)*比赛参数!$E$26+SUM(AB165:AE165)*比赛参数!$F$26+SUM(AL165:AO165)*比赛参数!$G$26</f>
        <v>194850</v>
      </c>
      <c r="AT20" s="55">
        <f t="shared" si="3"/>
        <v>149.884615384615</v>
      </c>
      <c r="AU20" s="175">
        <f t="shared" si="4"/>
        <v>-302552.6</v>
      </c>
      <c r="AV20" s="176">
        <f t="shared" si="5"/>
        <v>-1.55274621503721</v>
      </c>
      <c r="AW20" s="175">
        <f t="shared" si="6"/>
        <v>5295942.6</v>
      </c>
      <c r="AX20" s="192">
        <f t="shared" si="7"/>
        <v>-0.0571291312711735</v>
      </c>
      <c r="AY20" s="65">
        <f t="shared" si="8"/>
        <v>5000650</v>
      </c>
      <c r="AZ20" s="193">
        <f t="shared" si="9"/>
        <v>4993390</v>
      </c>
      <c r="BA20" s="65">
        <f t="shared" si="10"/>
        <v>-7260</v>
      </c>
      <c r="BB20" s="65">
        <f>IF(BA20&lt;比赛参数!$K$34,0,IF(BA20&lt;比赛参数!$K$35,BA20/(1-比赛参数!$E$36),IF(BA20&lt;比赛参数!$K$36,BA20/(1-比赛参数!$E$34))))</f>
        <v>0</v>
      </c>
      <c r="BC20" s="65">
        <f t="shared" si="11"/>
        <v>-295292.6</v>
      </c>
      <c r="BD20" s="101"/>
      <c r="BE20" s="65">
        <f t="shared" si="12"/>
        <v>-295292.6</v>
      </c>
      <c r="BF20" s="176">
        <f t="shared" si="13"/>
        <v>-1.51548678470618</v>
      </c>
      <c r="BR20" s="197" t="s">
        <v>21</v>
      </c>
      <c r="BS20" s="198">
        <f>第十三期!Y9</f>
        <v>654</v>
      </c>
      <c r="BT20" s="198">
        <f>第十三期!Z9</f>
        <v>0</v>
      </c>
      <c r="BU20" s="198">
        <f>第十三期!AA9</f>
        <v>0</v>
      </c>
      <c r="BV20" s="198">
        <f>第十三期!AB9</f>
        <v>0</v>
      </c>
      <c r="BW20" s="200">
        <f>第十三期!AJ34</f>
        <v>0</v>
      </c>
      <c r="BX20" s="215"/>
      <c r="CA20" s="213"/>
      <c r="CB20" s="196" t="s">
        <v>56</v>
      </c>
      <c r="CC20" s="110">
        <f>第十三期!$CY$68</f>
        <v>0.756932533026031</v>
      </c>
      <c r="CD20" s="110">
        <f>第十三期!$CY$69</f>
        <v>0.624987292427998</v>
      </c>
      <c r="CE20" s="110">
        <f>第十三期!$CY$70</f>
        <v>0.636761189144417</v>
      </c>
      <c r="CF20" s="110">
        <f>第十三期!$CY$71</f>
        <v>0.57841649520318</v>
      </c>
      <c r="CG20" s="219"/>
      <c r="CH20" s="225"/>
      <c r="CI20" s="227" t="s">
        <v>56</v>
      </c>
      <c r="CJ20" s="110">
        <f>第十三期!$CY$50</f>
        <v>1849.81491258654</v>
      </c>
      <c r="CK20" s="110">
        <f>第十三期!$CY$51</f>
        <v>3938.49233764613</v>
      </c>
      <c r="CL20" s="110">
        <f>第十三期!$CY$52</f>
        <v>6017.98238211457</v>
      </c>
      <c r="CM20" s="110">
        <f>第十三期!$CY$53</f>
        <v>8204.42515606949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47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>
        <v>0.554</v>
      </c>
      <c r="E21" s="9">
        <v>3</v>
      </c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396.307692307692</v>
      </c>
      <c r="Z21" s="42" t="s">
        <v>256</v>
      </c>
      <c r="AA21" s="110">
        <f>MAX(Y14,Z14+AA14,AB14)</f>
        <v>308.942307692308</v>
      </c>
      <c r="AB21" s="42" t="s">
        <v>257</v>
      </c>
      <c r="AC21" s="111">
        <f>AC9*比赛参数!D28+AC10*比赛参数!E28+AC11*比赛参数!F28+AC12*比赛参数!G28</f>
        <v>2053000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557648.068811119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>
        <f>SUM(AB143:AE143)*比赛参数!$D$26+SUM(AL143:AO143)*比赛参数!$E$26+SUM(AB166:AE166)*比赛参数!$F$26+SUM(AL166:AO166)*比赛参数!$G$26</f>
        <v>310070</v>
      </c>
      <c r="AT21" s="55">
        <f t="shared" si="3"/>
        <v>238.515384615385</v>
      </c>
      <c r="AU21" s="175">
        <f t="shared" si="4"/>
        <v>1364746.94</v>
      </c>
      <c r="AV21" s="176">
        <f t="shared" si="5"/>
        <v>4.40141561582868</v>
      </c>
      <c r="AW21" s="175">
        <f t="shared" si="6"/>
        <v>7079971.21</v>
      </c>
      <c r="AX21" s="192">
        <f t="shared" si="7"/>
        <v>0.192761651074567</v>
      </c>
      <c r="AY21" s="65">
        <f t="shared" si="8"/>
        <v>8470740</v>
      </c>
      <c r="AZ21" s="193">
        <f t="shared" si="9"/>
        <v>8444718.15</v>
      </c>
      <c r="BA21" s="65">
        <f t="shared" si="10"/>
        <v>-26021.8499999996</v>
      </c>
      <c r="BB21" s="65">
        <f>IF(BA21&lt;比赛参数!$K$34,0,IF(BA21&lt;比赛参数!$K$35,BA21/(1-比赛参数!$E$36),IF(BA21&lt;比赛参数!$K$36,BA21/(1-比赛参数!$E$34))))</f>
        <v>0</v>
      </c>
      <c r="BC21" s="65">
        <f t="shared" si="11"/>
        <v>1390768.79</v>
      </c>
      <c r="BD21" s="101"/>
      <c r="BE21" s="65">
        <f t="shared" si="12"/>
        <v>1390768.79</v>
      </c>
      <c r="BF21" s="176">
        <f t="shared" si="13"/>
        <v>4.48533811719934</v>
      </c>
      <c r="BR21" s="196" t="s">
        <v>22</v>
      </c>
      <c r="BS21" s="198">
        <f>第十三期!Y10</f>
        <v>381</v>
      </c>
      <c r="BT21" s="198">
        <f>第十三期!Z10</f>
        <v>0</v>
      </c>
      <c r="BU21" s="198">
        <f>第十三期!AA10</f>
        <v>153</v>
      </c>
      <c r="BV21" s="198">
        <f>第十三期!AB10</f>
        <v>0</v>
      </c>
      <c r="BW21" s="200">
        <f>第十三期!AJ35</f>
        <v>0</v>
      </c>
      <c r="BX21" s="215"/>
      <c r="CA21" s="213"/>
      <c r="CB21" s="196" t="s">
        <v>57</v>
      </c>
      <c r="CC21" s="110">
        <f>第十三期!$CZ$68</f>
        <v>0.693383179239362</v>
      </c>
      <c r="CD21" s="110">
        <f>第十三期!$CZ$69</f>
        <v>0.593072363538489</v>
      </c>
      <c r="CE21" s="110">
        <f>第十三期!$CZ$70</f>
        <v>0.609822818245771</v>
      </c>
      <c r="CF21" s="110">
        <f>第十三期!$CZ$71</f>
        <v>0.56169116021579</v>
      </c>
      <c r="CG21" s="219"/>
      <c r="CH21" s="225"/>
      <c r="CI21" s="227" t="s">
        <v>57</v>
      </c>
      <c r="CJ21" s="110">
        <f>第十三期!$CZ$50</f>
        <v>2007.81491258654</v>
      </c>
      <c r="CK21" s="110">
        <f>第十三期!$CZ$51</f>
        <v>4155.49233764613</v>
      </c>
      <c r="CL21" s="110">
        <f>第十三期!$CZ$52</f>
        <v>6273.98238211457</v>
      </c>
      <c r="CM21" s="110">
        <f>第十三期!$CZ$53</f>
        <v>8548.42515606949</v>
      </c>
      <c r="CN21" s="48"/>
      <c r="CO21" s="239"/>
      <c r="DT21" s="252" t="s">
        <v>24</v>
      </c>
      <c r="DU21" s="250">
        <v>4</v>
      </c>
      <c r="DV21" s="251">
        <f t="shared" si="0"/>
        <v>47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308.876923076923</v>
      </c>
      <c r="AB22" s="114">
        <f>AA22/AA20</f>
        <v>0.999601692805576</v>
      </c>
      <c r="AD22" s="115"/>
      <c r="AH22" s="151">
        <f>AH20+AH21</f>
        <v>3282708.06881112</v>
      </c>
      <c r="AI22" s="42" t="s">
        <v>264</v>
      </c>
      <c r="AJ22" s="139">
        <f>K11</f>
        <v>2608359.7</v>
      </c>
      <c r="AK22" s="2" t="s">
        <v>265</v>
      </c>
      <c r="AL22" s="152">
        <f>K10</f>
        <v>369634</v>
      </c>
      <c r="AR22" s="11">
        <v>14</v>
      </c>
      <c r="AS22" s="65">
        <f>SUM(AB144:AE144)*比赛参数!$D$26+SUM(AL144:AO144)*比赛参数!$E$26+SUM(AB167:AE167)*比赛参数!$F$26+SUM(AL167:AO167)*比赛参数!$G$26</f>
        <v>249040</v>
      </c>
      <c r="AT22" s="55">
        <f t="shared" si="3"/>
        <v>191.569230769231</v>
      </c>
      <c r="AU22" s="175">
        <f t="shared" si="4"/>
        <v>250261.21</v>
      </c>
      <c r="AV22" s="176">
        <f t="shared" si="5"/>
        <v>1.00490367009316</v>
      </c>
      <c r="AW22" s="175">
        <f t="shared" si="6"/>
        <v>6153568.79</v>
      </c>
      <c r="AX22" s="192">
        <f t="shared" si="7"/>
        <v>0.0406692796555217</v>
      </c>
      <c r="AY22" s="65">
        <f t="shared" si="8"/>
        <v>6584453</v>
      </c>
      <c r="AZ22" s="193">
        <f t="shared" si="9"/>
        <v>6403830</v>
      </c>
      <c r="BA22" s="65">
        <f t="shared" si="10"/>
        <v>-180623</v>
      </c>
      <c r="BB22" s="65">
        <f>IF(BA22&lt;比赛参数!$K$34,0,IF(BA22&lt;比赛参数!$K$35,BA22/(1-比赛参数!$E$36),IF(BA22&lt;比赛参数!$K$36,BA22/(1-比赛参数!$E$34))))</f>
        <v>0</v>
      </c>
      <c r="BC22" s="65">
        <f t="shared" si="11"/>
        <v>430884.21</v>
      </c>
      <c r="BD22" s="101"/>
      <c r="BE22" s="65">
        <f t="shared" si="12"/>
        <v>430884.21</v>
      </c>
      <c r="BF22" s="176">
        <f t="shared" si="13"/>
        <v>1.73018073401863</v>
      </c>
      <c r="BR22" s="196" t="s">
        <v>23</v>
      </c>
      <c r="BS22" s="198">
        <f>第十三期!Y11</f>
        <v>0</v>
      </c>
      <c r="BT22" s="198">
        <f>第十三期!Z11</f>
        <v>0</v>
      </c>
      <c r="BU22" s="198">
        <f>第十三期!AA11</f>
        <v>181</v>
      </c>
      <c r="BV22" s="198">
        <f>第十三期!AB11</f>
        <v>43</v>
      </c>
      <c r="BW22" s="200">
        <f>第十三期!AJ36</f>
        <v>0</v>
      </c>
      <c r="BX22" s="215"/>
      <c r="CA22" s="213"/>
      <c r="CB22" s="196" t="s">
        <v>58</v>
      </c>
      <c r="CC22" s="110">
        <f>第十三期!$DA$68</f>
        <v>0.676535619845212</v>
      </c>
      <c r="CD22" s="110">
        <f>第十三期!$DA$69</f>
        <v>0.593154727693566</v>
      </c>
      <c r="CE22" s="110">
        <f>第十三期!$DA$70</f>
        <v>0.597094898392621</v>
      </c>
      <c r="CF22" s="110">
        <f>第十三期!$DA$71</f>
        <v>0.570054952501456</v>
      </c>
      <c r="CG22" s="219"/>
      <c r="CH22" s="225"/>
      <c r="CI22" s="227" t="s">
        <v>58</v>
      </c>
      <c r="CJ22" s="110">
        <f>第十三期!$DA$50</f>
        <v>2057.81491258654</v>
      </c>
      <c r="CK22" s="110">
        <f>第十三期!$DA$51</f>
        <v>4205.49233764613</v>
      </c>
      <c r="CL22" s="110">
        <f>第十三期!$DA$52</f>
        <v>6323.98238211457</v>
      </c>
      <c r="CM22" s="110">
        <f>第十三期!$DA$53</f>
        <v>8598.42515606949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8716648.23140385</v>
      </c>
      <c r="AK23" s="2" t="s">
        <v>272</v>
      </c>
      <c r="AL23" s="152">
        <f>AL22+AC18-AC21</f>
        <v>420842</v>
      </c>
      <c r="AQ23" s="177"/>
      <c r="AR23" s="11">
        <v>15</v>
      </c>
      <c r="AS23" s="65">
        <f>SUM(AB145:AE145)*比赛参数!$D$26+SUM(AL145:AO145)*比赛参数!$E$26+SUM(AB168:AE168)*比赛参数!$F$26+SUM(AL168:AO168)*比赛参数!$G$26</f>
        <v>196210</v>
      </c>
      <c r="AT23" s="55">
        <f t="shared" si="3"/>
        <v>150.930769230769</v>
      </c>
      <c r="AU23" s="175">
        <f t="shared" si="4"/>
        <v>855987.87</v>
      </c>
      <c r="AV23" s="176">
        <f t="shared" si="5"/>
        <v>4.36261082513633</v>
      </c>
      <c r="AW23" s="175">
        <f t="shared" si="6"/>
        <v>4639648.13</v>
      </c>
      <c r="AX23" s="192">
        <f t="shared" si="7"/>
        <v>0.184494135334353</v>
      </c>
      <c r="AY23" s="65">
        <f t="shared" si="8"/>
        <v>5420836</v>
      </c>
      <c r="AZ23" s="193">
        <f t="shared" si="9"/>
        <v>5495636</v>
      </c>
      <c r="BA23" s="65">
        <f t="shared" si="10"/>
        <v>74800</v>
      </c>
      <c r="BB23" s="65">
        <f>IF(BA23&lt;比赛参数!$K$34,0,IF(BA23&lt;比赛参数!$K$35,BA23/(1-比赛参数!$E$36),IF(BA23&lt;比赛参数!$K$36,BA23/(1-比赛参数!$E$34))))</f>
        <v>2493333.33333333</v>
      </c>
      <c r="BC23" s="65">
        <f t="shared" si="11"/>
        <v>781187.87</v>
      </c>
      <c r="BD23" s="101"/>
      <c r="BE23" s="65">
        <f t="shared" si="12"/>
        <v>781187.87</v>
      </c>
      <c r="BF23" s="176">
        <f t="shared" si="13"/>
        <v>3.98138662657357</v>
      </c>
      <c r="BQ23" s="177"/>
      <c r="BR23" s="196" t="s">
        <v>24</v>
      </c>
      <c r="BS23" s="198">
        <f>第十三期!Y12</f>
        <v>0</v>
      </c>
      <c r="BT23" s="198">
        <f>第十三期!Z12</f>
        <v>0</v>
      </c>
      <c r="BU23" s="198">
        <f>第十三期!AA12</f>
        <v>103</v>
      </c>
      <c r="BV23" s="198">
        <f>第十三期!AB12</f>
        <v>123</v>
      </c>
      <c r="BW23" s="200">
        <f>第十三期!AJ37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609.76923076923</v>
      </c>
      <c r="DA23" s="2">
        <f t="shared" si="14"/>
        <v>650.76923076923</v>
      </c>
      <c r="DB23" s="2">
        <f t="shared" si="14"/>
        <v>642.76923076923</v>
      </c>
      <c r="DC23" s="2">
        <f t="shared" si="14"/>
        <v>642.76923076923</v>
      </c>
      <c r="DF23" s="2" t="s">
        <v>38</v>
      </c>
      <c r="DG23" s="2">
        <f t="shared" ref="DG23:DJ26" si="15">BS7-DG17</f>
        <v>1399.5</v>
      </c>
      <c r="DH23" s="2">
        <f t="shared" si="15"/>
        <v>1399.5</v>
      </c>
      <c r="DI23" s="2">
        <f t="shared" si="15"/>
        <v>1387</v>
      </c>
      <c r="DJ23" s="2">
        <f t="shared" si="15"/>
        <v>1437</v>
      </c>
      <c r="DM23" s="2">
        <f t="shared" ref="DM23:DP26" si="16">DG23/CS23</f>
        <v>13.995</v>
      </c>
      <c r="DN23" s="2">
        <f t="shared" si="16"/>
        <v>13.995</v>
      </c>
      <c r="DO23" s="2">
        <f t="shared" si="16"/>
        <v>13.87</v>
      </c>
      <c r="DP23" s="2">
        <f t="shared" si="16"/>
        <v>14.37</v>
      </c>
      <c r="DQ23" s="2">
        <f>SUMPRODUCT(DM23:DP23,BS14:BV14)/SUM(BS14:BV14)</f>
        <v>14.069881141046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>
        <v>2</v>
      </c>
      <c r="F24" s="9">
        <v>120</v>
      </c>
      <c r="G24" s="9">
        <v>104</v>
      </c>
      <c r="H24" s="19">
        <v>0.0713</v>
      </c>
      <c r="I24" s="9">
        <v>5</v>
      </c>
      <c r="J24" s="9">
        <v>0</v>
      </c>
      <c r="K24" s="9">
        <v>5</v>
      </c>
      <c r="L24" s="10"/>
      <c r="M24" s="39">
        <f>AF64-AF104</f>
        <v>115</v>
      </c>
      <c r="N24" s="35"/>
      <c r="O24" s="35"/>
      <c r="P24" s="35"/>
      <c r="Q24" s="45"/>
      <c r="AH24" s="153"/>
      <c r="AQ24" s="177"/>
      <c r="AR24" s="11">
        <v>16</v>
      </c>
      <c r="AS24" s="65">
        <f>SUM(AB146:AE146)*比赛参数!$D$26+SUM(AL146:AO146)*比赛参数!$E$26+SUM(AB169:AE169)*比赛参数!$F$26+SUM(AL169:AO169)*比赛参数!$G$26</f>
        <v>267340</v>
      </c>
      <c r="AT24" s="55">
        <f t="shared" si="3"/>
        <v>205.646153846154</v>
      </c>
      <c r="AU24" s="175">
        <f t="shared" si="4"/>
        <v>860979.46</v>
      </c>
      <c r="AV24" s="176">
        <f t="shared" si="5"/>
        <v>3.22054110870053</v>
      </c>
      <c r="AW24" s="175">
        <f t="shared" si="6"/>
        <v>6305870.54</v>
      </c>
      <c r="AX24" s="192">
        <f t="shared" si="7"/>
        <v>0.136536177604433</v>
      </c>
      <c r="AY24" s="65">
        <f t="shared" si="8"/>
        <v>7007026</v>
      </c>
      <c r="AZ24" s="193">
        <f t="shared" si="9"/>
        <v>7166850</v>
      </c>
      <c r="BA24" s="65">
        <f t="shared" si="10"/>
        <v>159824</v>
      </c>
      <c r="BB24" s="65">
        <f>IF(BA24&lt;比赛参数!$K$34,0,IF(BA24&lt;比赛参数!$K$35,BA24/(1-比赛参数!$E$36),IF(BA24&lt;比赛参数!$K$36,BA24/(1-比赛参数!$E$34))))</f>
        <v>1997800</v>
      </c>
      <c r="BC24" s="65">
        <f t="shared" si="11"/>
        <v>701155.46</v>
      </c>
      <c r="BD24" s="101"/>
      <c r="BE24" s="65">
        <f t="shared" si="12"/>
        <v>701155.46</v>
      </c>
      <c r="BF24" s="176">
        <f t="shared" si="13"/>
        <v>2.62271063065759</v>
      </c>
      <c r="BQ24" s="177"/>
      <c r="BX24" s="215"/>
      <c r="CA24" s="213"/>
      <c r="CB24" s="196" t="s">
        <v>274</v>
      </c>
      <c r="CC24" s="110">
        <f>SUMPRODUCT(CC19:CC22,AF64:AF67)/SUM(AF64:AF67)</f>
        <v>0.705653442116046</v>
      </c>
      <c r="CD24" s="110">
        <f>SUMPRODUCT(CD19:CD22,AG64:AG67)/SUM(AG64:AG67)</f>
        <v>0.599072180821198</v>
      </c>
      <c r="CE24" s="110">
        <f>SUMPRODUCT(CE19:CE22,AH64:AH67)/SUM(AH64:AH67)</f>
        <v>0.611233085901248</v>
      </c>
      <c r="CF24" s="110">
        <f>SUMPRODUCT(CF19:CF22,AI64:AI67)/SUM(AI64:AI67)</f>
        <v>0.565591035689292</v>
      </c>
      <c r="CG24" s="219"/>
      <c r="CH24" s="225"/>
      <c r="CI24" s="227" t="s">
        <v>274</v>
      </c>
      <c r="CJ24" s="110">
        <f>SUMPRODUCT(CJ19:CJ22,AF64:AF67)/SUM(AF64:AF67)</f>
        <v>1969.27147135997</v>
      </c>
      <c r="CK24" s="110">
        <f>SUMPRODUCT(CK19:CK22,AG64:AG67)/SUM(AG64:AG67)</f>
        <v>4100.179466359</v>
      </c>
      <c r="CL24" s="110">
        <f>SUMPRODUCT(CL19:CL22,AH64:AH67)/SUM(AH64:AH67)</f>
        <v>6201.47850614558</v>
      </c>
      <c r="CM24" s="110">
        <f>SUMPRODUCT(CM19:CM22,AI64:AI67)/SUM(AI64:AI67)</f>
        <v>8443.97864444158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949.923076923077</v>
      </c>
      <c r="DA24" s="2">
        <f t="shared" si="14"/>
        <v>1033.92307692308</v>
      </c>
      <c r="DB24" s="2">
        <f t="shared" si="14"/>
        <v>1036.92307692308</v>
      </c>
      <c r="DC24" s="2">
        <f t="shared" si="14"/>
        <v>1066.92307692308</v>
      </c>
      <c r="DF24" s="2" t="s">
        <v>39</v>
      </c>
      <c r="DG24" s="2">
        <f t="shared" si="15"/>
        <v>2915</v>
      </c>
      <c r="DH24" s="2">
        <f t="shared" si="15"/>
        <v>2915</v>
      </c>
      <c r="DI24" s="2">
        <f t="shared" si="15"/>
        <v>2935</v>
      </c>
      <c r="DJ24" s="2">
        <f t="shared" si="15"/>
        <v>3015</v>
      </c>
      <c r="DM24" s="2">
        <f t="shared" si="16"/>
        <v>11.66</v>
      </c>
      <c r="DN24" s="2">
        <f t="shared" si="16"/>
        <v>11.66</v>
      </c>
      <c r="DO24" s="2">
        <f t="shared" si="16"/>
        <v>11.74</v>
      </c>
      <c r="DP24" s="2">
        <f t="shared" si="16"/>
        <v>12.06</v>
      </c>
      <c r="DQ24" s="2">
        <f>SUMPRODUCT(DM24:DP24,BS15:BV15)/SUM(BS15:BV15)</f>
        <v>11.8037288135593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>
        <v>3</v>
      </c>
      <c r="F25" s="9">
        <v>121</v>
      </c>
      <c r="G25" s="9">
        <v>104</v>
      </c>
      <c r="H25" s="19">
        <v>0.0709</v>
      </c>
      <c r="I25" s="9">
        <v>6</v>
      </c>
      <c r="J25" s="9">
        <v>0</v>
      </c>
      <c r="K25" s="9">
        <v>5</v>
      </c>
      <c r="L25" s="10"/>
      <c r="M25" s="39">
        <f>AF65-AF105</f>
        <v>115</v>
      </c>
      <c r="N25" s="35"/>
      <c r="O25" s="35"/>
      <c r="P25" s="35"/>
      <c r="Q25" s="45"/>
      <c r="W25" s="3"/>
      <c r="AD25" s="116" t="s">
        <v>275</v>
      </c>
      <c r="AE25" s="117">
        <f>AC5/AC$4</f>
        <v>0.860425531914894</v>
      </c>
      <c r="AF25" s="117">
        <f>AC6/AC$4</f>
        <v>0.445957446808511</v>
      </c>
      <c r="AG25" s="117">
        <f>AC7/AC$4</f>
        <v>0.366808510638298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>
        <f>SUM(AB147:AE147)*比赛参数!$D$26+SUM(AL147:AO147)*比赛参数!$E$26+SUM(AB170:AE170)*比赛参数!$F$26+SUM(AL170:AO170)*比赛参数!$G$26</f>
        <v>7180</v>
      </c>
      <c r="AT25" s="55">
        <f t="shared" si="3"/>
        <v>5.52307692307692</v>
      </c>
      <c r="AU25" s="175">
        <f t="shared" si="4"/>
        <v>-1237739.75</v>
      </c>
      <c r="AV25" s="176">
        <f t="shared" si="5"/>
        <v>-172.387151810585</v>
      </c>
      <c r="AW25" s="175">
        <f t="shared" si="6"/>
        <v>1501059.75</v>
      </c>
      <c r="AX25" s="192">
        <f t="shared" si="7"/>
        <v>-0.824577269492437</v>
      </c>
      <c r="AY25" s="65">
        <f t="shared" si="8"/>
        <v>288620</v>
      </c>
      <c r="AZ25" s="193">
        <f t="shared" si="9"/>
        <v>263320</v>
      </c>
      <c r="BA25" s="65">
        <f t="shared" si="10"/>
        <v>-25300</v>
      </c>
      <c r="BB25" s="65">
        <f>IF(BA25&lt;比赛参数!$K$34,0,IF(BA25&lt;比赛参数!$K$35,BA25/(1-比赛参数!$E$36),IF(BA25&lt;比赛参数!$K$36,BA25/(1-比赛参数!$E$34))))</f>
        <v>0</v>
      </c>
      <c r="BC25" s="65">
        <f t="shared" si="11"/>
        <v>-1212439.75</v>
      </c>
      <c r="BD25" s="101"/>
      <c r="BE25" s="65">
        <f t="shared" si="12"/>
        <v>-1212439.75</v>
      </c>
      <c r="BF25" s="176">
        <f t="shared" si="13"/>
        <v>-168.863474930362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2086.92307692308</v>
      </c>
      <c r="DA25" s="2">
        <f t="shared" si="14"/>
        <v>2198.92307692308</v>
      </c>
      <c r="DB25" s="2">
        <f t="shared" si="14"/>
        <v>2192.92307692308</v>
      </c>
      <c r="DC25" s="2">
        <f t="shared" si="14"/>
        <v>2142.92307692308</v>
      </c>
      <c r="DF25" s="2" t="s">
        <v>40</v>
      </c>
      <c r="DG25" s="2">
        <f t="shared" si="15"/>
        <v>5066</v>
      </c>
      <c r="DH25" s="2">
        <f t="shared" si="15"/>
        <v>5066</v>
      </c>
      <c r="DI25" s="2">
        <f t="shared" si="15"/>
        <v>5091</v>
      </c>
      <c r="DJ25" s="2">
        <f t="shared" si="15"/>
        <v>5091</v>
      </c>
      <c r="DM25" s="2">
        <f t="shared" si="16"/>
        <v>13.3315789473684</v>
      </c>
      <c r="DN25" s="2">
        <f t="shared" si="16"/>
        <v>13.3315789473684</v>
      </c>
      <c r="DO25" s="2">
        <f t="shared" si="16"/>
        <v>13.3973684210526</v>
      </c>
      <c r="DP25" s="2">
        <f t="shared" si="16"/>
        <v>13.3973684210526</v>
      </c>
      <c r="DQ25" s="2">
        <f>SUMPRODUCT(DM25:DP25,BS16:BV16)/SUM(BS16:BV16)</f>
        <v>13.3710526315789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>
        <v>1</v>
      </c>
      <c r="F26" s="9">
        <v>160</v>
      </c>
      <c r="G26" s="9">
        <v>142</v>
      </c>
      <c r="H26" s="19">
        <v>0.0704</v>
      </c>
      <c r="I26" s="9">
        <v>3</v>
      </c>
      <c r="J26" s="9">
        <v>0</v>
      </c>
      <c r="K26" s="9">
        <v>7</v>
      </c>
      <c r="L26" s="10"/>
      <c r="M26" s="39">
        <f>AF66-AF106</f>
        <v>177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第十三期!BV57-第十三期!BV76</f>
        <v>7253103.03275</v>
      </c>
      <c r="AJ26" s="65">
        <f>第十三期!K9</f>
        <v>309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第十三期!DB50</f>
        <v>1951.56491258654</v>
      </c>
      <c r="AQ26" s="177"/>
      <c r="AR26" s="11">
        <v>18</v>
      </c>
      <c r="AS26" s="65">
        <f>SUM(AB148:AE148)*比赛参数!$D$26+SUM(AL148:AO148)*比赛参数!$E$26+SUM(AB171:AE171)*比赛参数!$F$26+SUM(AL171:AO171)*比赛参数!$G$26</f>
        <v>270150</v>
      </c>
      <c r="AT26" s="55">
        <f t="shared" si="3"/>
        <v>207.807692307692</v>
      </c>
      <c r="AU26" s="178">
        <f t="shared" si="4"/>
        <v>738040.62</v>
      </c>
      <c r="AV26" s="176">
        <f t="shared" si="5"/>
        <v>2.7319660188784</v>
      </c>
      <c r="AW26" s="175">
        <f t="shared" si="6"/>
        <v>6430787.38</v>
      </c>
      <c r="AX26" s="192">
        <f t="shared" si="7"/>
        <v>0.11476675815707</v>
      </c>
      <c r="AY26" s="65">
        <f t="shared" si="8"/>
        <v>7039129</v>
      </c>
      <c r="AZ26" s="193">
        <f t="shared" si="9"/>
        <v>7168828</v>
      </c>
      <c r="BA26" s="65">
        <f t="shared" si="10"/>
        <v>129699</v>
      </c>
      <c r="BB26" s="65">
        <f>IF(BA26&lt;比赛参数!$K$34,0,IF(BA26&lt;比赛参数!$K$35,BA26/(1-比赛参数!$E$36),IF(BA26&lt;比赛参数!$K$36,BA26/(1-比赛参数!$E$34))))</f>
        <v>1621237.5</v>
      </c>
      <c r="BC26" s="65">
        <f t="shared" si="11"/>
        <v>608341.62</v>
      </c>
      <c r="BD26" s="101"/>
      <c r="BE26" s="65">
        <f t="shared" si="12"/>
        <v>608341.62</v>
      </c>
      <c r="BF26" s="176">
        <f t="shared" si="13"/>
        <v>2.25186607440311</v>
      </c>
      <c r="BQ26" s="177"/>
      <c r="BR26" s="201"/>
      <c r="BS26" s="198">
        <f>第十三期!Y18</f>
        <v>62</v>
      </c>
      <c r="BT26" s="198">
        <f>第十三期!AA18</f>
        <v>12</v>
      </c>
      <c r="BU26" s="198">
        <f>第十三期!AF18</f>
        <v>0</v>
      </c>
      <c r="BV26" s="204">
        <f>第十三期!AC18</f>
        <v>2104208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2724</v>
      </c>
      <c r="DA26" s="2">
        <f t="shared" si="14"/>
        <v>2862</v>
      </c>
      <c r="DB26" s="2">
        <f t="shared" si="14"/>
        <v>2918</v>
      </c>
      <c r="DC26" s="2">
        <f t="shared" si="14"/>
        <v>3018</v>
      </c>
      <c r="DF26" s="2" t="s">
        <v>41</v>
      </c>
      <c r="DG26" s="2">
        <f t="shared" si="15"/>
        <v>6793</v>
      </c>
      <c r="DH26" s="2">
        <f t="shared" si="15"/>
        <v>6793</v>
      </c>
      <c r="DI26" s="2">
        <f t="shared" si="15"/>
        <v>6893</v>
      </c>
      <c r="DJ26" s="2">
        <f t="shared" si="15"/>
        <v>7043</v>
      </c>
      <c r="DM26" s="2">
        <f t="shared" si="16"/>
        <v>13.0634615384615</v>
      </c>
      <c r="DN26" s="2">
        <f t="shared" si="16"/>
        <v>13.0634615384615</v>
      </c>
      <c r="DO26" s="2">
        <f t="shared" si="16"/>
        <v>13.2557692307692</v>
      </c>
      <c r="DP26" s="2">
        <f t="shared" si="16"/>
        <v>13.5442307692308</v>
      </c>
      <c r="DQ26" s="2">
        <f>SUMPRODUCT(DM26:DP26,BS17:BV17)/SUM(BS17:BV17)</f>
        <v>13.2628917378917</v>
      </c>
      <c r="DT26" s="127" t="s">
        <v>21</v>
      </c>
      <c r="DU26" s="251">
        <f>D42</f>
        <v>141</v>
      </c>
      <c r="DV26" s="270">
        <f>G42</f>
        <v>3</v>
      </c>
    </row>
    <row r="27" ht="17.1" spans="2:126">
      <c r="B27" s="7"/>
      <c r="C27" s="18">
        <v>1</v>
      </c>
      <c r="D27" s="18">
        <v>4</v>
      </c>
      <c r="E27" s="9">
        <v>0</v>
      </c>
      <c r="F27" s="9">
        <v>142</v>
      </c>
      <c r="G27" s="9">
        <v>142</v>
      </c>
      <c r="H27" s="19">
        <v>0.068</v>
      </c>
      <c r="I27" s="9">
        <v>0</v>
      </c>
      <c r="J27" s="9">
        <v>0</v>
      </c>
      <c r="K27" s="9">
        <v>7</v>
      </c>
      <c r="L27" s="10"/>
      <c r="M27" s="39">
        <f>AF67-AF107</f>
        <v>180</v>
      </c>
      <c r="N27" s="35"/>
      <c r="O27" s="35"/>
      <c r="P27" s="35"/>
      <c r="Q27" s="45"/>
      <c r="U27" s="53"/>
      <c r="V27" s="54"/>
      <c r="W27" s="11">
        <v>1</v>
      </c>
      <c r="X27" s="55">
        <f t="shared" ref="X27:Z46" si="17">AT9</f>
        <v>265.969230769231</v>
      </c>
      <c r="Y27" s="118">
        <f t="shared" si="17"/>
        <v>1833149.08</v>
      </c>
      <c r="Z27" s="119">
        <f t="shared" si="17"/>
        <v>5.30179627487274</v>
      </c>
      <c r="AA27" s="120">
        <f t="shared" ref="AA27:AA46" si="18">SUM(AB131:AE131)</f>
        <v>567</v>
      </c>
      <c r="AB27" s="121">
        <f t="shared" ref="AB27:AB46" si="19">SUM(AL131:AO131)</f>
        <v>436</v>
      </c>
      <c r="AC27" s="121">
        <f t="shared" ref="AC27:AC46" si="20">SUM(AB154:AE154)</f>
        <v>311</v>
      </c>
      <c r="AD27" s="122">
        <f t="shared" ref="AD27:AD46" si="21">SUM(AL154:AO154)</f>
        <v>119</v>
      </c>
      <c r="AE27" s="123">
        <f t="shared" ref="AE27:AG46" si="22">AB27/$AA27</f>
        <v>0.768959435626102</v>
      </c>
      <c r="AF27" s="124">
        <f t="shared" si="22"/>
        <v>0.548500881834215</v>
      </c>
      <c r="AG27" s="158">
        <f t="shared" si="22"/>
        <v>0.209876543209877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第十三期!DB51</f>
        <v>4080.49233764613</v>
      </c>
      <c r="AO27" s="179"/>
      <c r="AQ27" s="177"/>
      <c r="AR27" s="11">
        <v>19</v>
      </c>
      <c r="AS27" s="65">
        <f>SUM(AB149:AE149)*比赛参数!$D$26+SUM(AL149:AO149)*比赛参数!$E$26+SUM(AB172:AE172)*比赛参数!$F$26+SUM(AL172:AO172)*比赛参数!$G$26</f>
        <v>113230</v>
      </c>
      <c r="AT27" s="55">
        <f t="shared" si="3"/>
        <v>87.1</v>
      </c>
      <c r="AU27" s="175">
        <f t="shared" si="4"/>
        <v>-244259.04</v>
      </c>
      <c r="AV27" s="176">
        <f t="shared" si="5"/>
        <v>-2.15719367658748</v>
      </c>
      <c r="AW27" s="175">
        <f t="shared" si="6"/>
        <v>3068559.04</v>
      </c>
      <c r="AX27" s="192">
        <f t="shared" si="7"/>
        <v>-0.079600567176964</v>
      </c>
      <c r="AY27" s="65">
        <f t="shared" si="8"/>
        <v>2824300</v>
      </c>
      <c r="AZ27" s="193">
        <f t="shared" si="9"/>
        <v>2824300</v>
      </c>
      <c r="BA27" s="65">
        <f t="shared" si="10"/>
        <v>0</v>
      </c>
      <c r="BB27" s="65">
        <f>IF(BA27&lt;比赛参数!$K$34,0,IF(BA27&lt;比赛参数!$K$35,BA27/(1-比赛参数!$E$36),IF(BA27&lt;比赛参数!$K$36,BA27/(1-比赛参数!$E$34))))</f>
        <v>0</v>
      </c>
      <c r="BC27" s="65">
        <f t="shared" si="11"/>
        <v>-244259.04</v>
      </c>
      <c r="BD27" s="101"/>
      <c r="BE27" s="65">
        <f t="shared" si="12"/>
        <v>-244259.04</v>
      </c>
      <c r="BF27" s="176">
        <f t="shared" si="13"/>
        <v>-2.15719367658748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98.9603174603175</v>
      </c>
      <c r="CD27" s="107">
        <f t="shared" si="23"/>
        <v>556.196261682243</v>
      </c>
      <c r="CE27" s="107">
        <f t="shared" si="23"/>
        <v>970.809523809524</v>
      </c>
      <c r="CF27" s="107">
        <f t="shared" si="23"/>
        <v>1146.27272727273</v>
      </c>
      <c r="CG27" s="225"/>
      <c r="CH27" s="225"/>
      <c r="CI27" s="226" t="s">
        <v>55</v>
      </c>
      <c r="CJ27" s="110">
        <f t="shared" ref="CJ27:CM30" si="24">IF(AF64&gt;0,CJ19+CC27,0)</f>
        <v>1989.77523004686</v>
      </c>
      <c r="CK27" s="110">
        <f t="shared" si="24"/>
        <v>4578.68859932837</v>
      </c>
      <c r="CL27" s="110">
        <f t="shared" si="24"/>
        <v>7100.7919059241</v>
      </c>
      <c r="CM27" s="110">
        <f t="shared" si="24"/>
        <v>9488.69788334221</v>
      </c>
      <c r="CN27" s="48"/>
      <c r="CO27" s="239"/>
      <c r="DT27" s="271" t="s">
        <v>22</v>
      </c>
      <c r="DU27" s="251">
        <f>D43</f>
        <v>131</v>
      </c>
      <c r="DV27" s="270">
        <f>G43</f>
        <v>3</v>
      </c>
    </row>
    <row r="28" ht="17.1" spans="2:126">
      <c r="B28" s="7"/>
      <c r="C28" s="18">
        <v>2</v>
      </c>
      <c r="D28" s="18">
        <v>1</v>
      </c>
      <c r="E28" s="9">
        <v>0</v>
      </c>
      <c r="F28" s="9">
        <v>117</v>
      </c>
      <c r="G28" s="9">
        <v>117</v>
      </c>
      <c r="H28" s="19">
        <v>0.1025</v>
      </c>
      <c r="I28" s="9">
        <v>0</v>
      </c>
      <c r="J28" s="9">
        <v>0</v>
      </c>
      <c r="K28" s="9">
        <v>5</v>
      </c>
      <c r="L28" s="10"/>
      <c r="M28" s="39">
        <f>AG64-AG104</f>
        <v>102</v>
      </c>
      <c r="N28" s="35"/>
      <c r="O28" s="35"/>
      <c r="P28" s="35"/>
      <c r="Q28" s="45"/>
      <c r="U28" s="53"/>
      <c r="V28" s="54"/>
      <c r="W28" s="11">
        <v>2</v>
      </c>
      <c r="X28" s="55">
        <f t="shared" si="17"/>
        <v>184.007692307692</v>
      </c>
      <c r="Y28" s="118">
        <f t="shared" si="17"/>
        <v>490537.51</v>
      </c>
      <c r="Z28" s="119">
        <f t="shared" si="17"/>
        <v>2.0506563688809</v>
      </c>
      <c r="AA28" s="120">
        <f t="shared" si="18"/>
        <v>215</v>
      </c>
      <c r="AB28" s="121">
        <f t="shared" si="19"/>
        <v>201</v>
      </c>
      <c r="AC28" s="121">
        <f t="shared" si="20"/>
        <v>167</v>
      </c>
      <c r="AD28" s="122">
        <f t="shared" si="21"/>
        <v>200</v>
      </c>
      <c r="AE28" s="123">
        <f t="shared" si="22"/>
        <v>0.934883720930233</v>
      </c>
      <c r="AF28" s="124">
        <f t="shared" si="22"/>
        <v>0.776744186046512</v>
      </c>
      <c r="AG28" s="158">
        <f t="shared" si="22"/>
        <v>0.930232558139535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第十三期!DB52</f>
        <v>6186.48238211457</v>
      </c>
      <c r="AQ28" s="177"/>
      <c r="AR28" s="11">
        <v>20</v>
      </c>
      <c r="AS28" s="65">
        <f>SUM(AB150:AE150)*比赛参数!$D$26+SUM(AL150:AO150)*比赛参数!$E$26+SUM(AB173:AE173)*比赛参数!$F$26+SUM(AL173:AO173)*比赛参数!$G$26</f>
        <v>0</v>
      </c>
      <c r="AT28" s="55">
        <f t="shared" si="3"/>
        <v>0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>
        <f t="shared" si="8"/>
        <v>0</v>
      </c>
      <c r="AZ28" s="193">
        <f t="shared" si="9"/>
        <v>0</v>
      </c>
      <c r="BA28" s="65">
        <f t="shared" si="10"/>
        <v>0</v>
      </c>
      <c r="BB28" s="65">
        <f>IF(BA28&lt;比赛参数!$K$34,0,IF(BA28&lt;比赛参数!$K$35,BA28/(1-比赛参数!$E$36),IF(BA28&lt;比赛参数!$K$36,BA28/(1-比赛参数!$E$34))))</f>
        <v>0</v>
      </c>
      <c r="BC28" s="65">
        <f t="shared" si="11"/>
        <v>0</v>
      </c>
      <c r="BD28" s="101"/>
      <c r="BE28" s="65">
        <f t="shared" si="12"/>
        <v>0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52.1496062992126</v>
      </c>
      <c r="CD28" s="107">
        <f t="shared" si="23"/>
        <v>450.509433962264</v>
      </c>
      <c r="CE28" s="107">
        <f t="shared" si="23"/>
        <v>812.52380952381</v>
      </c>
      <c r="CF28" s="107">
        <f t="shared" si="23"/>
        <v>951.454545454545</v>
      </c>
      <c r="CG28" s="225"/>
      <c r="CH28" s="225"/>
      <c r="CI28" s="227" t="s">
        <v>56</v>
      </c>
      <c r="CJ28" s="110">
        <f t="shared" si="24"/>
        <v>1901.96451888575</v>
      </c>
      <c r="CK28" s="110">
        <f t="shared" si="24"/>
        <v>4389.00177160839</v>
      </c>
      <c r="CL28" s="110">
        <f t="shared" si="24"/>
        <v>6830.50619163838</v>
      </c>
      <c r="CM28" s="110">
        <f t="shared" si="24"/>
        <v>9155.87970152403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46</v>
      </c>
      <c r="DV28" s="270">
        <f>G44</f>
        <v>2</v>
      </c>
    </row>
    <row r="29" ht="16.35" spans="2:126">
      <c r="B29" s="7"/>
      <c r="C29" s="18">
        <v>2</v>
      </c>
      <c r="D29" s="18">
        <v>2</v>
      </c>
      <c r="E29" s="9">
        <v>0</v>
      </c>
      <c r="F29" s="9">
        <v>110</v>
      </c>
      <c r="G29" s="9">
        <v>110</v>
      </c>
      <c r="H29" s="19">
        <v>0.0952</v>
      </c>
      <c r="I29" s="9">
        <v>0</v>
      </c>
      <c r="J29" s="9">
        <v>0</v>
      </c>
      <c r="K29" s="9">
        <v>5</v>
      </c>
      <c r="L29" s="10"/>
      <c r="M29" s="39">
        <f>AG65-AG105</f>
        <v>101</v>
      </c>
      <c r="N29" s="35"/>
      <c r="O29" s="35"/>
      <c r="P29" s="35"/>
      <c r="Q29" s="45"/>
      <c r="U29" s="53"/>
      <c r="V29" s="56"/>
      <c r="W29" s="11">
        <v>3</v>
      </c>
      <c r="X29" s="55">
        <f t="shared" si="17"/>
        <v>164.384615384615</v>
      </c>
      <c r="Y29" s="118">
        <f t="shared" si="17"/>
        <v>1114434.89</v>
      </c>
      <c r="Z29" s="119">
        <f t="shared" si="17"/>
        <v>5.21495035095929</v>
      </c>
      <c r="AA29" s="120">
        <f t="shared" si="18"/>
        <v>498</v>
      </c>
      <c r="AB29" s="121">
        <f t="shared" si="19"/>
        <v>198</v>
      </c>
      <c r="AC29" s="121">
        <f t="shared" si="20"/>
        <v>130</v>
      </c>
      <c r="AD29" s="122">
        <f t="shared" si="21"/>
        <v>125</v>
      </c>
      <c r="AE29" s="123">
        <f t="shared" si="22"/>
        <v>0.397590361445783</v>
      </c>
      <c r="AF29" s="124">
        <f t="shared" si="22"/>
        <v>0.261044176706827</v>
      </c>
      <c r="AG29" s="158">
        <f t="shared" si="22"/>
        <v>0.251004016064257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第十三期!DB53</f>
        <v>8423.42515606949</v>
      </c>
      <c r="BQ29" s="177"/>
      <c r="BR29" s="201"/>
      <c r="BS29" s="204">
        <f>第十三期!AH14</f>
        <v>3651201</v>
      </c>
      <c r="BT29" s="204">
        <f>第十三期!AH15</f>
        <v>993843</v>
      </c>
      <c r="BU29" s="198">
        <f>第十三期!AF20</f>
        <v>0</v>
      </c>
      <c r="BV29" s="204">
        <f>第十三期!AJ18</f>
        <v>0</v>
      </c>
      <c r="BW29" s="218">
        <f>第十三期!AH18</f>
        <v>1</v>
      </c>
      <c r="BX29" s="215"/>
      <c r="CA29" s="213"/>
      <c r="CB29" s="196" t="s">
        <v>57</v>
      </c>
      <c r="CC29" s="107">
        <f t="shared" si="23"/>
        <v>221.693121693122</v>
      </c>
      <c r="CD29" s="107">
        <f t="shared" si="23"/>
        <v>675.471698113208</v>
      </c>
      <c r="CE29" s="107">
        <f t="shared" si="23"/>
        <v>1053.96825396825</v>
      </c>
      <c r="CF29" s="107">
        <f t="shared" si="23"/>
        <v>1281.25</v>
      </c>
      <c r="CG29" s="225"/>
      <c r="CH29" s="225"/>
      <c r="CI29" s="227" t="s">
        <v>57</v>
      </c>
      <c r="CJ29" s="110">
        <f t="shared" si="24"/>
        <v>2229.50803427966</v>
      </c>
      <c r="CK29" s="110">
        <f t="shared" si="24"/>
        <v>4830.96403575934</v>
      </c>
      <c r="CL29" s="110">
        <f t="shared" si="24"/>
        <v>7327.95063608283</v>
      </c>
      <c r="CM29" s="110">
        <f t="shared" si="24"/>
        <v>9829.67515606949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6.0976923076923</v>
      </c>
      <c r="DA29" s="2">
        <f t="shared" si="25"/>
        <v>6.5076923076923</v>
      </c>
      <c r="DB29" s="2">
        <f t="shared" si="25"/>
        <v>6.4276923076923</v>
      </c>
      <c r="DC29" s="2">
        <f t="shared" si="25"/>
        <v>6.4276923076923</v>
      </c>
      <c r="DD29" s="2">
        <f>SUMPRODUCT(CZ29:DC29,BS14:BV14)/SUM(BS14:BV14)</f>
        <v>6.37789832987931</v>
      </c>
      <c r="DF29" s="2" t="s">
        <v>38</v>
      </c>
      <c r="DG29" s="2">
        <f t="shared" ref="DG29:DJ32" si="26">DG23/CS23</f>
        <v>13.995</v>
      </c>
      <c r="DH29" s="2">
        <f t="shared" si="26"/>
        <v>13.995</v>
      </c>
      <c r="DI29" s="2">
        <f t="shared" si="26"/>
        <v>13.87</v>
      </c>
      <c r="DJ29" s="2">
        <f t="shared" si="26"/>
        <v>14.37</v>
      </c>
      <c r="DK29" s="2">
        <f>SUMPRODUCT(DG29:DJ29,BS14:BV14)/SUM(BS14:BV14)</f>
        <v>14.069881141046</v>
      </c>
      <c r="DM29" s="2">
        <f t="shared" ref="DM29:DP32" si="27">DG23/CS29</f>
        <v>11.6625</v>
      </c>
      <c r="DN29" s="2">
        <f t="shared" si="27"/>
        <v>11.6625</v>
      </c>
      <c r="DO29" s="2">
        <f t="shared" si="27"/>
        <v>11.5583333333333</v>
      </c>
      <c r="DP29" s="2">
        <f t="shared" si="27"/>
        <v>11.975</v>
      </c>
      <c r="DQ29" s="2">
        <f>SUMPRODUCT(DM29:DP29,BS14:BV14)/SUM(BS14:BV14)</f>
        <v>11.7249009508716</v>
      </c>
      <c r="DT29" s="127" t="s">
        <v>24</v>
      </c>
      <c r="DU29" s="251">
        <f>D45</f>
        <v>47</v>
      </c>
      <c r="DV29" s="270">
        <f>G45</f>
        <v>2</v>
      </c>
    </row>
    <row r="30" ht="16.35" spans="2:121">
      <c r="B30" s="7"/>
      <c r="C30" s="18">
        <v>2</v>
      </c>
      <c r="D30" s="18">
        <v>3</v>
      </c>
      <c r="E30" s="9">
        <v>0</v>
      </c>
      <c r="F30" s="9">
        <v>168</v>
      </c>
      <c r="G30" s="9">
        <v>165</v>
      </c>
      <c r="H30" s="19">
        <v>0.1091</v>
      </c>
      <c r="I30" s="9">
        <v>0</v>
      </c>
      <c r="J30" s="9">
        <v>0</v>
      </c>
      <c r="K30" s="9">
        <v>7</v>
      </c>
      <c r="L30" s="10"/>
      <c r="M30" s="39">
        <f>AG66-AG106</f>
        <v>151</v>
      </c>
      <c r="N30" s="35"/>
      <c r="O30" s="35"/>
      <c r="P30" s="35"/>
      <c r="Q30" s="45"/>
      <c r="U30" s="53"/>
      <c r="V30" s="54"/>
      <c r="W30" s="11">
        <v>4</v>
      </c>
      <c r="X30" s="55">
        <f t="shared" si="17"/>
        <v>245.1</v>
      </c>
      <c r="Y30" s="118">
        <f t="shared" si="17"/>
        <v>1403099.25</v>
      </c>
      <c r="Z30" s="119">
        <f t="shared" si="17"/>
        <v>4.40353780246681</v>
      </c>
      <c r="AA30" s="120">
        <f t="shared" si="18"/>
        <v>595</v>
      </c>
      <c r="AB30" s="121">
        <f t="shared" si="19"/>
        <v>307</v>
      </c>
      <c r="AC30" s="121">
        <f t="shared" si="20"/>
        <v>157</v>
      </c>
      <c r="AD30" s="122">
        <f t="shared" si="21"/>
        <v>236</v>
      </c>
      <c r="AE30" s="123">
        <f t="shared" si="22"/>
        <v>0.515966386554622</v>
      </c>
      <c r="AF30" s="124">
        <f t="shared" si="22"/>
        <v>0.263865546218487</v>
      </c>
      <c r="AG30" s="158">
        <f t="shared" si="22"/>
        <v>0.396638655462185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276.455026455026</v>
      </c>
      <c r="CD30" s="107">
        <f t="shared" si="23"/>
        <v>731.761006289308</v>
      </c>
      <c r="CE30" s="107">
        <f t="shared" si="23"/>
        <v>1119.84126984127</v>
      </c>
      <c r="CF30" s="107">
        <f t="shared" si="23"/>
        <v>1354.6875</v>
      </c>
      <c r="CG30" s="225"/>
      <c r="CH30" s="225"/>
      <c r="CI30" s="227" t="s">
        <v>58</v>
      </c>
      <c r="CJ30" s="110">
        <f t="shared" si="24"/>
        <v>2334.26993904157</v>
      </c>
      <c r="CK30" s="110">
        <f t="shared" si="24"/>
        <v>4937.25334393544</v>
      </c>
      <c r="CL30" s="110">
        <f t="shared" si="24"/>
        <v>7443.82365195584</v>
      </c>
      <c r="CM30" s="110">
        <f t="shared" si="24"/>
        <v>9953.11265606949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3.79969230769231</v>
      </c>
      <c r="DA30" s="2">
        <f t="shared" si="25"/>
        <v>4.13569230769231</v>
      </c>
      <c r="DB30" s="2">
        <f t="shared" si="25"/>
        <v>4.14769230769231</v>
      </c>
      <c r="DC30" s="2">
        <f t="shared" si="25"/>
        <v>4.26769230769231</v>
      </c>
      <c r="DD30" s="2">
        <f>SUMPRODUCT(CZ30:DC30,BS15:BV15)/SUM(BS15:BV15)</f>
        <v>4.11110473707084</v>
      </c>
      <c r="DF30" s="2" t="s">
        <v>39</v>
      </c>
      <c r="DG30" s="2">
        <f t="shared" si="26"/>
        <v>11.66</v>
      </c>
      <c r="DH30" s="2">
        <f t="shared" si="26"/>
        <v>11.66</v>
      </c>
      <c r="DI30" s="2">
        <f t="shared" si="26"/>
        <v>11.74</v>
      </c>
      <c r="DJ30" s="2">
        <f t="shared" si="26"/>
        <v>12.06</v>
      </c>
      <c r="DK30" s="2">
        <f>SUMPRODUCT(DG30:DJ30,BS15:BV15)/SUM(BS15:BV15)</f>
        <v>11.8037288135593</v>
      </c>
      <c r="DM30" s="2">
        <f t="shared" si="27"/>
        <v>19.4333333333333</v>
      </c>
      <c r="DN30" s="2">
        <f t="shared" si="27"/>
        <v>19.4333333333333</v>
      </c>
      <c r="DO30" s="2">
        <f t="shared" si="27"/>
        <v>19.5666666666667</v>
      </c>
      <c r="DP30" s="2">
        <f t="shared" si="27"/>
        <v>20.1</v>
      </c>
      <c r="DQ30" s="2">
        <f>SUMPRODUCT(DM30:DP30,BS15:BV15)/SUM(BS15:BV15)</f>
        <v>19.6728813559322</v>
      </c>
    </row>
    <row r="31" ht="16.35" spans="2:138">
      <c r="B31" s="7"/>
      <c r="C31" s="18">
        <v>2</v>
      </c>
      <c r="D31" s="18">
        <v>4</v>
      </c>
      <c r="E31" s="9">
        <v>0</v>
      </c>
      <c r="F31" s="9">
        <v>160</v>
      </c>
      <c r="G31" s="9">
        <v>160</v>
      </c>
      <c r="H31" s="19">
        <v>0.1045</v>
      </c>
      <c r="I31" s="9">
        <v>0</v>
      </c>
      <c r="J31" s="9">
        <v>0</v>
      </c>
      <c r="K31" s="9">
        <v>7</v>
      </c>
      <c r="L31" s="10"/>
      <c r="M31" s="39">
        <f>AG67-AG107</f>
        <v>151</v>
      </c>
      <c r="N31" s="35"/>
      <c r="O31" s="35"/>
      <c r="P31" s="35"/>
      <c r="Q31" s="45"/>
      <c r="U31" s="53"/>
      <c r="V31" s="54"/>
      <c r="W31" s="11">
        <v>5</v>
      </c>
      <c r="X31" s="55">
        <f t="shared" si="17"/>
        <v>266.438461538462</v>
      </c>
      <c r="Y31" s="118">
        <f t="shared" si="17"/>
        <v>1838765</v>
      </c>
      <c r="Z31" s="119">
        <f t="shared" si="17"/>
        <v>5.30867280653636</v>
      </c>
      <c r="AA31" s="120">
        <f t="shared" si="18"/>
        <v>606</v>
      </c>
      <c r="AB31" s="121">
        <f t="shared" si="19"/>
        <v>395</v>
      </c>
      <c r="AC31" s="121">
        <f t="shared" si="20"/>
        <v>291</v>
      </c>
      <c r="AD31" s="122">
        <f t="shared" si="21"/>
        <v>147</v>
      </c>
      <c r="AE31" s="123">
        <f t="shared" si="22"/>
        <v>0.651815181518152</v>
      </c>
      <c r="AF31" s="124">
        <f t="shared" si="22"/>
        <v>0.48019801980198</v>
      </c>
      <c r="AG31" s="158">
        <f t="shared" si="22"/>
        <v>0.242574257425743</v>
      </c>
      <c r="AL31" s="156">
        <f>Y20/AA20/2</f>
        <v>0.641585760517799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5.4919028340081</v>
      </c>
      <c r="DA31" s="2">
        <f t="shared" si="25"/>
        <v>5.78663967611336</v>
      </c>
      <c r="DB31" s="2">
        <f t="shared" si="25"/>
        <v>5.77085020242915</v>
      </c>
      <c r="DC31" s="2">
        <f t="shared" si="25"/>
        <v>5.63927125506073</v>
      </c>
      <c r="DD31" s="2">
        <f>SUMPRODUCT(CZ31:DC31,BS16:BV16)/SUM(BS16:BV16)</f>
        <v>5.67874493927125</v>
      </c>
      <c r="DF31" s="2" t="s">
        <v>40</v>
      </c>
      <c r="DG31" s="2">
        <f t="shared" si="26"/>
        <v>13.3315789473684</v>
      </c>
      <c r="DH31" s="2">
        <f t="shared" si="26"/>
        <v>13.3315789473684</v>
      </c>
      <c r="DI31" s="2">
        <f t="shared" si="26"/>
        <v>13.3973684210526</v>
      </c>
      <c r="DJ31" s="2">
        <f t="shared" si="26"/>
        <v>13.3973684210526</v>
      </c>
      <c r="DK31" s="2">
        <f>SUMPRODUCT(DG31:DJ31,BS16:BV16)/SUM(BS16:BV16)</f>
        <v>13.3710526315789</v>
      </c>
      <c r="DM31" s="2">
        <f t="shared" si="27"/>
        <v>31.6625</v>
      </c>
      <c r="DN31" s="2">
        <f t="shared" si="27"/>
        <v>31.6625</v>
      </c>
      <c r="DO31" s="2">
        <f t="shared" si="27"/>
        <v>31.81875</v>
      </c>
      <c r="DP31" s="2">
        <f t="shared" si="27"/>
        <v>31.81875</v>
      </c>
      <c r="DQ31" s="2">
        <f>SUMPRODUCT(DM31:DP31,BS16:BV16)/SUM(BS16:BV16)</f>
        <v>31.75625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>
        <v>0</v>
      </c>
      <c r="F32" s="9">
        <v>25</v>
      </c>
      <c r="G32" s="9">
        <v>25</v>
      </c>
      <c r="H32" s="19">
        <v>0.0387</v>
      </c>
      <c r="I32" s="9">
        <v>0</v>
      </c>
      <c r="J32" s="9">
        <v>16</v>
      </c>
      <c r="K32" s="9">
        <v>2</v>
      </c>
      <c r="L32" s="10"/>
      <c r="M32" s="39">
        <f>AH64-AH104</f>
        <v>56</v>
      </c>
      <c r="N32" s="35"/>
      <c r="O32" s="35"/>
      <c r="P32" s="35"/>
      <c r="Q32" s="45"/>
      <c r="U32" s="53"/>
      <c r="V32" s="54"/>
      <c r="W32" s="11">
        <v>6</v>
      </c>
      <c r="X32" s="55">
        <f t="shared" si="17"/>
        <v>12.5307692307692</v>
      </c>
      <c r="Y32" s="118">
        <f t="shared" si="17"/>
        <v>-3162355.74</v>
      </c>
      <c r="Z32" s="119">
        <f t="shared" si="17"/>
        <v>-194.128651933702</v>
      </c>
      <c r="AA32" s="120">
        <f t="shared" si="18"/>
        <v>109</v>
      </c>
      <c r="AB32" s="121">
        <f t="shared" si="19"/>
        <v>17</v>
      </c>
      <c r="AC32" s="121">
        <f t="shared" si="20"/>
        <v>3</v>
      </c>
      <c r="AD32" s="122">
        <f t="shared" si="21"/>
        <v>0</v>
      </c>
      <c r="AE32" s="123">
        <f t="shared" si="22"/>
        <v>0.155963302752294</v>
      </c>
      <c r="AF32" s="124">
        <f t="shared" si="22"/>
        <v>0.0275229357798165</v>
      </c>
      <c r="AG32" s="158">
        <f t="shared" si="22"/>
        <v>0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5.23846153846154</v>
      </c>
      <c r="DA32" s="2">
        <f t="shared" si="25"/>
        <v>5.50384615384615</v>
      </c>
      <c r="DB32" s="2">
        <f t="shared" si="25"/>
        <v>5.61153846153846</v>
      </c>
      <c r="DC32" s="2">
        <f t="shared" si="25"/>
        <v>5.80384615384615</v>
      </c>
      <c r="DD32" s="2">
        <f>SUMPRODUCT(CZ32:DC32,BS17:BV17)/SUM(BS17:BV17)</f>
        <v>5.57058404558405</v>
      </c>
      <c r="DF32" s="2" t="s">
        <v>41</v>
      </c>
      <c r="DG32" s="2">
        <f t="shared" si="26"/>
        <v>13.0634615384615</v>
      </c>
      <c r="DH32" s="2">
        <f t="shared" si="26"/>
        <v>13.0634615384615</v>
      </c>
      <c r="DI32" s="2">
        <f t="shared" si="26"/>
        <v>13.2557692307692</v>
      </c>
      <c r="DJ32" s="2">
        <f t="shared" si="26"/>
        <v>13.5442307692308</v>
      </c>
      <c r="DK32" s="2">
        <f>SUMPRODUCT(DG32:DJ32,BS17:BV17)/SUM(BS17:BV17)</f>
        <v>13.2628917378917</v>
      </c>
      <c r="DM32" s="2">
        <f t="shared" si="27"/>
        <v>37.7388888888889</v>
      </c>
      <c r="DN32" s="2">
        <f t="shared" si="27"/>
        <v>37.7388888888889</v>
      </c>
      <c r="DO32" s="2">
        <f t="shared" si="27"/>
        <v>38.2944444444444</v>
      </c>
      <c r="DP32" s="2">
        <f t="shared" si="27"/>
        <v>39.1277777777778</v>
      </c>
      <c r="DQ32" s="2">
        <f>SUMPRODUCT(DM32:DP32,BS17:BV17)/SUM(BS17:BV17)</f>
        <v>38.3150205761317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>
        <v>0</v>
      </c>
      <c r="F33" s="9">
        <v>25</v>
      </c>
      <c r="G33" s="9">
        <v>25</v>
      </c>
      <c r="H33" s="19">
        <v>0.0385</v>
      </c>
      <c r="I33" s="9">
        <v>0</v>
      </c>
      <c r="J33" s="9">
        <v>17</v>
      </c>
      <c r="K33" s="9">
        <v>2</v>
      </c>
      <c r="L33" s="10"/>
      <c r="M33" s="39">
        <f>AH65-AH105</f>
        <v>57</v>
      </c>
      <c r="N33" s="35"/>
      <c r="O33" s="35"/>
      <c r="P33" s="35"/>
      <c r="Q33" s="45"/>
      <c r="U33" s="53"/>
      <c r="V33" s="54"/>
      <c r="W33" s="11">
        <v>7</v>
      </c>
      <c r="X33" s="55">
        <f t="shared" si="17"/>
        <v>234.053846153846</v>
      </c>
      <c r="Y33" s="118">
        <f t="shared" si="17"/>
        <v>1073605.51</v>
      </c>
      <c r="Z33" s="119">
        <f t="shared" si="17"/>
        <v>3.52846323988563</v>
      </c>
      <c r="AA33" s="120">
        <f t="shared" si="18"/>
        <v>372</v>
      </c>
      <c r="AB33" s="121">
        <f t="shared" si="19"/>
        <v>313</v>
      </c>
      <c r="AC33" s="121">
        <f t="shared" si="20"/>
        <v>215</v>
      </c>
      <c r="AD33" s="122">
        <f t="shared" si="21"/>
        <v>206</v>
      </c>
      <c r="AE33" s="123">
        <f t="shared" si="22"/>
        <v>0.841397849462366</v>
      </c>
      <c r="AF33" s="124">
        <f t="shared" si="22"/>
        <v>0.577956989247312</v>
      </c>
      <c r="AG33" s="158">
        <f t="shared" si="22"/>
        <v>0.553763440860215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>
        <f t="shared" ref="AS33:BH48" si="28">IF(D73="","",D73)</f>
        <v>0.0788</v>
      </c>
      <c r="AT33" s="187">
        <f t="shared" si="28"/>
        <v>0.0784</v>
      </c>
      <c r="AU33" s="187">
        <f t="shared" si="28"/>
        <v>0.0783</v>
      </c>
      <c r="AV33" s="188">
        <f t="shared" si="28"/>
        <v>0.0857</v>
      </c>
      <c r="AW33" s="186">
        <f t="shared" si="28"/>
        <v>0.0833</v>
      </c>
      <c r="AX33" s="187">
        <f t="shared" si="28"/>
        <v>0.0804</v>
      </c>
      <c r="AY33" s="187">
        <f t="shared" si="28"/>
        <v>0.0761</v>
      </c>
      <c r="AZ33" s="188">
        <f t="shared" si="28"/>
        <v>0.0869</v>
      </c>
      <c r="BA33" s="186">
        <f t="shared" si="28"/>
        <v>0.1022</v>
      </c>
      <c r="BB33" s="187">
        <f t="shared" si="28"/>
        <v>0.1015</v>
      </c>
      <c r="BC33" s="187">
        <f t="shared" si="28"/>
        <v>0.0973</v>
      </c>
      <c r="BD33" s="188">
        <f t="shared" si="28"/>
        <v>0.1022</v>
      </c>
      <c r="BE33" s="186">
        <f t="shared" si="28"/>
        <v>0.0421</v>
      </c>
      <c r="BF33" s="187">
        <f t="shared" si="28"/>
        <v>0.0412</v>
      </c>
      <c r="BG33" s="187">
        <f t="shared" si="28"/>
        <v>0.0406</v>
      </c>
      <c r="BH33" s="188">
        <f t="shared" si="28"/>
        <v>0.0514</v>
      </c>
      <c r="BX33" s="215"/>
      <c r="CA33" s="213"/>
      <c r="CB33" s="196" t="s">
        <v>304</v>
      </c>
      <c r="CC33" s="230">
        <f t="shared" ref="CC33:CF35" si="29">CC70</f>
        <v>1387.28730206422</v>
      </c>
      <c r="CD33" s="230">
        <f t="shared" si="29"/>
        <v>2455.30568215585</v>
      </c>
      <c r="CE33" s="230">
        <f t="shared" si="29"/>
        <v>3789.02536982341</v>
      </c>
      <c r="CF33" s="230">
        <f t="shared" si="29"/>
        <v>4775.55623927935</v>
      </c>
      <c r="CG33" s="225"/>
      <c r="CH33" s="225"/>
      <c r="CI33" s="197" t="s">
        <v>55</v>
      </c>
      <c r="CJ33" s="231">
        <f t="shared" ref="CJ33:CM36" si="30">IF(CJ27&gt;0,(AF76-CJ27)/CJ27,0)</f>
        <v>0.633350315615027</v>
      </c>
      <c r="CK33" s="231">
        <f t="shared" si="30"/>
        <v>0.397780141881409</v>
      </c>
      <c r="CL33" s="231">
        <f t="shared" si="30"/>
        <v>0.38716922429205</v>
      </c>
      <c r="CM33" s="231">
        <f t="shared" si="30"/>
        <v>0.36478157058138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3200</v>
      </c>
      <c r="DT33" s="37">
        <f t="shared" si="31"/>
        <v>3200</v>
      </c>
      <c r="DU33" s="37">
        <f t="shared" si="31"/>
        <v>3450</v>
      </c>
      <c r="DV33" s="37">
        <f t="shared" si="31"/>
        <v>3550</v>
      </c>
      <c r="DW33" s="37">
        <f t="shared" si="31"/>
        <v>6350</v>
      </c>
      <c r="DX33" s="37">
        <f t="shared" si="31"/>
        <v>6350</v>
      </c>
      <c r="DY33" s="37">
        <f t="shared" si="31"/>
        <v>6550</v>
      </c>
      <c r="DZ33" s="37">
        <f t="shared" si="31"/>
        <v>6650</v>
      </c>
      <c r="EA33" s="37">
        <f t="shared" si="31"/>
        <v>10050</v>
      </c>
      <c r="EB33" s="37">
        <f t="shared" si="31"/>
        <v>10050</v>
      </c>
      <c r="EC33" s="37">
        <f t="shared" si="31"/>
        <v>10250</v>
      </c>
      <c r="ED33" s="37">
        <f t="shared" si="31"/>
        <v>10350</v>
      </c>
      <c r="EE33" s="37">
        <f t="shared" si="31"/>
        <v>13050</v>
      </c>
      <c r="EF33" s="37">
        <f t="shared" si="31"/>
        <v>13050</v>
      </c>
      <c r="EG33" s="37">
        <f t="shared" si="31"/>
        <v>13450</v>
      </c>
      <c r="EH33" s="37">
        <f t="shared" si="31"/>
        <v>13600</v>
      </c>
    </row>
    <row r="34" ht="16.35" spans="2:110">
      <c r="B34" s="7"/>
      <c r="C34" s="18">
        <v>3</v>
      </c>
      <c r="D34" s="18">
        <v>3</v>
      </c>
      <c r="E34" s="9">
        <v>0</v>
      </c>
      <c r="F34" s="9">
        <v>41</v>
      </c>
      <c r="G34" s="9">
        <v>41</v>
      </c>
      <c r="H34" s="19">
        <v>0.0459</v>
      </c>
      <c r="I34" s="9">
        <v>0</v>
      </c>
      <c r="J34" s="9">
        <v>6</v>
      </c>
      <c r="K34" s="9">
        <v>2</v>
      </c>
      <c r="L34" s="10"/>
      <c r="M34" s="39">
        <f>AH66-AH106</f>
        <v>66</v>
      </c>
      <c r="N34" s="35"/>
      <c r="O34" s="35"/>
      <c r="P34" s="35"/>
      <c r="Q34" s="45"/>
      <c r="U34" s="53"/>
      <c r="V34" s="54"/>
      <c r="W34" s="11">
        <v>8</v>
      </c>
      <c r="X34" s="55">
        <f t="shared" si="17"/>
        <v>236.830769230769</v>
      </c>
      <c r="Y34" s="118">
        <f t="shared" si="17"/>
        <v>1297649.08</v>
      </c>
      <c r="Z34" s="119">
        <f t="shared" si="17"/>
        <v>4.2147884890217</v>
      </c>
      <c r="AA34" s="120">
        <f t="shared" si="18"/>
        <v>234</v>
      </c>
      <c r="AB34" s="121">
        <f t="shared" si="19"/>
        <v>180</v>
      </c>
      <c r="AC34" s="121">
        <f t="shared" si="20"/>
        <v>284</v>
      </c>
      <c r="AD34" s="122">
        <f t="shared" si="21"/>
        <v>253</v>
      </c>
      <c r="AE34" s="123">
        <f t="shared" si="22"/>
        <v>0.769230769230769</v>
      </c>
      <c r="AF34" s="124">
        <f t="shared" si="22"/>
        <v>1.21367521367521</v>
      </c>
      <c r="AG34" s="158">
        <f t="shared" si="22"/>
        <v>1.08119658119658</v>
      </c>
      <c r="AI34" s="64" t="s">
        <v>38</v>
      </c>
      <c r="AJ34" s="163"/>
      <c r="AK34" s="164">
        <f>IF(AM34=1,CK70-CJ70,IF(AM34=2,CL70-CK70,IF(AM34=3,CM70-CL70,IF(AM34=4,CN70-CM70,0))))</f>
        <v>100000</v>
      </c>
      <c r="AL34" s="162"/>
      <c r="AM34" s="65">
        <f>INT(第十三期!DV26)</f>
        <v>3</v>
      </c>
      <c r="AN34" s="126"/>
      <c r="AR34" s="185">
        <v>2</v>
      </c>
      <c r="AS34" s="186">
        <f t="shared" si="28"/>
        <v>0.0363</v>
      </c>
      <c r="AT34" s="187">
        <f t="shared" si="28"/>
        <v>0.0362</v>
      </c>
      <c r="AU34" s="187">
        <f t="shared" si="28"/>
        <v>0.0243</v>
      </c>
      <c r="AV34" s="188">
        <f t="shared" si="28"/>
        <v>0.0287</v>
      </c>
      <c r="AW34" s="186">
        <f t="shared" si="28"/>
        <v>0.0316</v>
      </c>
      <c r="AX34" s="187">
        <f t="shared" si="28"/>
        <v>0.0398</v>
      </c>
      <c r="AY34" s="187">
        <f t="shared" si="28"/>
        <v>0.0317</v>
      </c>
      <c r="AZ34" s="188">
        <f t="shared" si="28"/>
        <v>0.0464</v>
      </c>
      <c r="BA34" s="186">
        <f t="shared" si="28"/>
        <v>0.0697</v>
      </c>
      <c r="BB34" s="187">
        <f t="shared" si="28"/>
        <v>0.0738</v>
      </c>
      <c r="BC34" s="187">
        <f t="shared" si="28"/>
        <v>0.0403</v>
      </c>
      <c r="BD34" s="188">
        <f t="shared" si="28"/>
        <v>0.0422</v>
      </c>
      <c r="BE34" s="186">
        <f t="shared" si="28"/>
        <v>0.0872</v>
      </c>
      <c r="BF34" s="187">
        <f t="shared" si="28"/>
        <v>0.0854</v>
      </c>
      <c r="BG34" s="187">
        <f t="shared" si="28"/>
        <v>0.071</v>
      </c>
      <c r="BH34" s="188">
        <f t="shared" si="28"/>
        <v>0.0514</v>
      </c>
      <c r="BX34" s="215"/>
      <c r="CA34" s="213"/>
      <c r="CB34" s="196" t="s">
        <v>305</v>
      </c>
      <c r="CC34" s="230">
        <f t="shared" si="29"/>
        <v>13.8728730206422</v>
      </c>
      <c r="CD34" s="230">
        <f t="shared" si="29"/>
        <v>9.8212227286234</v>
      </c>
      <c r="CE34" s="230">
        <f t="shared" si="29"/>
        <v>9.97111939427213</v>
      </c>
      <c r="CF34" s="230">
        <f t="shared" si="29"/>
        <v>9.18376199861414</v>
      </c>
      <c r="CG34" s="232"/>
      <c r="CH34" s="225"/>
      <c r="CI34" s="196" t="s">
        <v>56</v>
      </c>
      <c r="CJ34" s="231">
        <f t="shared" si="30"/>
        <v>0.708759531383886</v>
      </c>
      <c r="CK34" s="231">
        <f t="shared" si="30"/>
        <v>0.458190343280416</v>
      </c>
      <c r="CL34" s="231">
        <f t="shared" si="30"/>
        <v>0.442060035324755</v>
      </c>
      <c r="CM34" s="231">
        <f t="shared" si="30"/>
        <v>0.414391672036104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>
        <v>0</v>
      </c>
      <c r="F35" s="9">
        <v>38</v>
      </c>
      <c r="G35" s="9">
        <v>38</v>
      </c>
      <c r="H35" s="19">
        <v>0.0422</v>
      </c>
      <c r="I35" s="9">
        <v>0</v>
      </c>
      <c r="J35" s="9">
        <v>19</v>
      </c>
      <c r="K35" s="9">
        <v>2</v>
      </c>
      <c r="L35" s="10"/>
      <c r="M35" s="39">
        <f>AH67-AH107</f>
        <v>79</v>
      </c>
      <c r="N35" s="35"/>
      <c r="O35" s="35"/>
      <c r="P35" s="35"/>
      <c r="Q35" s="57"/>
      <c r="U35" s="53"/>
      <c r="V35" s="54"/>
      <c r="W35" s="11">
        <v>9</v>
      </c>
      <c r="X35" s="55">
        <f t="shared" si="17"/>
        <v>187.569230769231</v>
      </c>
      <c r="Y35" s="118">
        <f t="shared" si="17"/>
        <v>955824.94</v>
      </c>
      <c r="Z35" s="119">
        <f t="shared" si="17"/>
        <v>3.91988574475066</v>
      </c>
      <c r="AA35" s="120">
        <f t="shared" si="18"/>
        <v>427</v>
      </c>
      <c r="AB35" s="121">
        <f t="shared" si="19"/>
        <v>498</v>
      </c>
      <c r="AC35" s="121">
        <f t="shared" si="20"/>
        <v>110</v>
      </c>
      <c r="AD35" s="122">
        <f t="shared" si="21"/>
        <v>67</v>
      </c>
      <c r="AE35" s="123">
        <f t="shared" si="22"/>
        <v>1.16627634660422</v>
      </c>
      <c r="AF35" s="124">
        <f t="shared" si="22"/>
        <v>0.257611241217799</v>
      </c>
      <c r="AG35" s="158">
        <f t="shared" si="22"/>
        <v>0.156908665105386</v>
      </c>
      <c r="AI35" s="11" t="s">
        <v>39</v>
      </c>
      <c r="AJ35" s="163"/>
      <c r="AK35" s="164">
        <f>IF(AM35=1,CK71-CJ71,IF(AM35=2,CL71-CK71,IF(AM35=3,CM71-CL71,IF(AM35=4,CN71-CM71,0))))</f>
        <v>150000</v>
      </c>
      <c r="AL35" s="165"/>
      <c r="AM35" s="65">
        <f>INT(第十三期!DV27)</f>
        <v>3</v>
      </c>
      <c r="AN35" s="126"/>
      <c r="AR35" s="185">
        <v>3</v>
      </c>
      <c r="AS35" s="186">
        <f t="shared" si="28"/>
        <v>0.0761</v>
      </c>
      <c r="AT35" s="187">
        <f t="shared" si="28"/>
        <v>0.0668</v>
      </c>
      <c r="AU35" s="187">
        <f t="shared" si="28"/>
        <v>0.0723</v>
      </c>
      <c r="AV35" s="188">
        <f t="shared" si="28"/>
        <v>0.0685</v>
      </c>
      <c r="AW35" s="186">
        <f t="shared" si="28"/>
        <v>0.0377</v>
      </c>
      <c r="AX35" s="187">
        <f t="shared" si="28"/>
        <v>0.0415</v>
      </c>
      <c r="AY35" s="187">
        <f t="shared" si="28"/>
        <v>0.0357</v>
      </c>
      <c r="AZ35" s="188">
        <f t="shared" si="28"/>
        <v>0.0346</v>
      </c>
      <c r="BA35" s="186">
        <f t="shared" si="28"/>
        <v>0.0449</v>
      </c>
      <c r="BB35" s="187">
        <f t="shared" si="28"/>
        <v>0.0446</v>
      </c>
      <c r="BC35" s="187">
        <f t="shared" si="28"/>
        <v>0.0403</v>
      </c>
      <c r="BD35" s="188">
        <f t="shared" si="28"/>
        <v>0.04</v>
      </c>
      <c r="BE35" s="186">
        <f t="shared" si="28"/>
        <v>0.0391</v>
      </c>
      <c r="BF35" s="187">
        <f t="shared" si="28"/>
        <v>0.0353</v>
      </c>
      <c r="BG35" s="187">
        <f t="shared" si="28"/>
        <v>0.0536</v>
      </c>
      <c r="BH35" s="188">
        <f t="shared" si="28"/>
        <v>0.0558</v>
      </c>
      <c r="CA35" s="213"/>
      <c r="CB35" s="196" t="s">
        <v>307</v>
      </c>
      <c r="CC35" s="230">
        <f t="shared" si="29"/>
        <v>0.413306423545501</v>
      </c>
      <c r="CD35" s="230">
        <f t="shared" si="29"/>
        <v>0.374542177509486</v>
      </c>
      <c r="CE35" s="230">
        <f t="shared" si="29"/>
        <v>0.379262689536358</v>
      </c>
      <c r="CF35" s="230">
        <f t="shared" si="29"/>
        <v>0.36124994421401</v>
      </c>
      <c r="CG35" s="232"/>
      <c r="CH35" s="225"/>
      <c r="CI35" s="196" t="s">
        <v>57</v>
      </c>
      <c r="CJ35" s="231">
        <f t="shared" si="30"/>
        <v>0.52500011111129</v>
      </c>
      <c r="CK35" s="231">
        <f t="shared" si="30"/>
        <v>0.370326905975291</v>
      </c>
      <c r="CL35" s="231">
        <f t="shared" si="30"/>
        <v>0.378284393765919</v>
      </c>
      <c r="CM35" s="231">
        <f t="shared" si="30"/>
        <v>0.358132368367925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0.230953005273432</v>
      </c>
      <c r="DA35" s="2">
        <f t="shared" si="32"/>
        <v>0.250369931932524</v>
      </c>
      <c r="DB35" s="2">
        <f t="shared" si="32"/>
        <v>0.233121303425957</v>
      </c>
      <c r="DC35" s="2">
        <f t="shared" si="32"/>
        <v>0.228969145612977</v>
      </c>
      <c r="DD35" s="2">
        <f>SUMPRODUCT(CZ35:DC35,BS14:BV14)/SUM(BS14:BV14)</f>
        <v>0.234916251803869</v>
      </c>
      <c r="DG35" s="2">
        <f t="shared" ref="DG35:DJ38" si="33">DG23/DG17</f>
        <v>0.756282085922724</v>
      </c>
      <c r="DH35" s="2">
        <f t="shared" si="33"/>
        <v>0.756282085922724</v>
      </c>
      <c r="DI35" s="2">
        <f t="shared" si="33"/>
        <v>0.689021361152509</v>
      </c>
      <c r="DJ35" s="2">
        <f t="shared" si="33"/>
        <v>0.713859910581222</v>
      </c>
      <c r="DK35" s="2">
        <f>SUMPRODUCT(DG35:DJ35,BS14:BV14)/SUM(BS14:BV14)</f>
        <v>0.723429363068342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>
        <v>0</v>
      </c>
      <c r="F36" s="9">
        <v>33</v>
      </c>
      <c r="G36" s="9">
        <v>33</v>
      </c>
      <c r="H36" s="19">
        <v>0.0496</v>
      </c>
      <c r="I36" s="9">
        <v>0</v>
      </c>
      <c r="J36" s="9">
        <v>5</v>
      </c>
      <c r="K36" s="9">
        <v>2</v>
      </c>
      <c r="L36" s="10"/>
      <c r="M36" s="39">
        <f>AI64-AI104</f>
        <v>47</v>
      </c>
      <c r="N36" s="35"/>
      <c r="O36" s="35"/>
      <c r="P36" s="35"/>
      <c r="Q36" s="57"/>
      <c r="U36" s="53"/>
      <c r="V36" s="54"/>
      <c r="W36" s="11">
        <v>10</v>
      </c>
      <c r="X36" s="55">
        <f t="shared" si="17"/>
        <v>277.030769230769</v>
      </c>
      <c r="Y36" s="118">
        <f t="shared" si="17"/>
        <v>1613459.96</v>
      </c>
      <c r="Z36" s="119">
        <f t="shared" si="17"/>
        <v>4.48009096462487</v>
      </c>
      <c r="AA36" s="120">
        <f t="shared" si="18"/>
        <v>718</v>
      </c>
      <c r="AB36" s="121">
        <f t="shared" si="19"/>
        <v>492</v>
      </c>
      <c r="AC36" s="121">
        <f t="shared" si="20"/>
        <v>223</v>
      </c>
      <c r="AD36" s="122">
        <f t="shared" si="21"/>
        <v>155</v>
      </c>
      <c r="AE36" s="123">
        <f t="shared" si="22"/>
        <v>0.685236768802228</v>
      </c>
      <c r="AF36" s="124">
        <f t="shared" si="22"/>
        <v>0.31058495821727</v>
      </c>
      <c r="AG36" s="158">
        <f t="shared" si="22"/>
        <v>0.215877437325905</v>
      </c>
      <c r="AI36" s="11" t="s">
        <v>40</v>
      </c>
      <c r="AJ36" s="163"/>
      <c r="AK36" s="164">
        <f>IF(AM36=0,CJ72,IF(AM36=1,CK72-CJ72,IF(AM36=2,CL72-CK72,IF(AM36=3,CM72-CL72,IF(AM36=4,CN72-CM72,0)))))</f>
        <v>130000</v>
      </c>
      <c r="AL36" s="42" t="s">
        <v>308</v>
      </c>
      <c r="AM36" s="65">
        <f>INT(第十三期!DV28)</f>
        <v>2</v>
      </c>
      <c r="AN36" s="126"/>
      <c r="AR36" s="185">
        <v>4</v>
      </c>
      <c r="AS36" s="186">
        <f t="shared" si="28"/>
        <v>0.085</v>
      </c>
      <c r="AT36" s="187">
        <f t="shared" si="28"/>
        <v>0.0839</v>
      </c>
      <c r="AU36" s="187">
        <f t="shared" si="28"/>
        <v>0.0803</v>
      </c>
      <c r="AV36" s="188">
        <f t="shared" si="28"/>
        <v>0.0891</v>
      </c>
      <c r="AW36" s="186">
        <f t="shared" si="28"/>
        <v>0.0587</v>
      </c>
      <c r="AX36" s="187">
        <f t="shared" si="28"/>
        <v>0.058</v>
      </c>
      <c r="AY36" s="187">
        <f t="shared" si="28"/>
        <v>0.0569</v>
      </c>
      <c r="AZ36" s="188">
        <f t="shared" si="28"/>
        <v>0.0568</v>
      </c>
      <c r="BA36" s="186">
        <f t="shared" si="28"/>
        <v>0.065</v>
      </c>
      <c r="BB36" s="187">
        <f t="shared" si="28"/>
        <v>0.0662</v>
      </c>
      <c r="BC36" s="187">
        <f t="shared" si="28"/>
        <v>0.0403</v>
      </c>
      <c r="BD36" s="188">
        <f t="shared" si="28"/>
        <v>0.04</v>
      </c>
      <c r="BE36" s="186">
        <f t="shared" si="28"/>
        <v>0.1023</v>
      </c>
      <c r="BF36" s="187">
        <f t="shared" si="28"/>
        <v>0.106</v>
      </c>
      <c r="BG36" s="187">
        <f t="shared" si="28"/>
        <v>0.0696</v>
      </c>
      <c r="BH36" s="188">
        <f t="shared" si="28"/>
        <v>0.0705</v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0.477978164520484</v>
      </c>
      <c r="CK36" s="231">
        <f t="shared" si="30"/>
        <v>0.357029816634747</v>
      </c>
      <c r="CL36" s="231">
        <f t="shared" si="30"/>
        <v>0.356829563976338</v>
      </c>
      <c r="CM36" s="231">
        <f t="shared" si="30"/>
        <v>0.35635960995253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0.174295352218035</v>
      </c>
      <c r="DA36" s="2">
        <f t="shared" si="32"/>
        <v>0.19267764732866</v>
      </c>
      <c r="DB36" s="2">
        <f t="shared" si="32"/>
        <v>0.18572609534307</v>
      </c>
      <c r="DC36" s="2">
        <f t="shared" si="32"/>
        <v>0.189403250034139</v>
      </c>
      <c r="DD36" s="2">
        <f>SUMPRODUCT(CZ36:DC36,BS15:BV15)/SUM(BS15:BV15)</f>
        <v>0.185911486288407</v>
      </c>
      <c r="DG36" s="2">
        <f t="shared" si="33"/>
        <v>0.836441893830703</v>
      </c>
      <c r="DH36" s="2">
        <f t="shared" si="33"/>
        <v>0.836441893830703</v>
      </c>
      <c r="DI36" s="2">
        <f t="shared" si="33"/>
        <v>0.796472184531886</v>
      </c>
      <c r="DJ36" s="2">
        <f t="shared" si="33"/>
        <v>0.818181818181818</v>
      </c>
      <c r="DK36" s="2">
        <f>SUMPRODUCT(DG36:DJ36,BS15:BV15)/SUM(BS15:BV15)</f>
        <v>0.819005856529979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>
        <v>0</v>
      </c>
      <c r="F37" s="9">
        <v>34</v>
      </c>
      <c r="G37" s="9">
        <v>34</v>
      </c>
      <c r="H37" s="19">
        <v>0.0501</v>
      </c>
      <c r="I37" s="9">
        <v>0</v>
      </c>
      <c r="J37" s="9">
        <v>4</v>
      </c>
      <c r="K37" s="9">
        <v>2</v>
      </c>
      <c r="L37" s="10"/>
      <c r="M37" s="39">
        <f>AI65-AI105</f>
        <v>46</v>
      </c>
      <c r="N37" s="35"/>
      <c r="O37" s="35"/>
      <c r="P37" s="35"/>
      <c r="Q37" s="57"/>
      <c r="U37" s="53"/>
      <c r="V37" s="54"/>
      <c r="W37" s="11">
        <v>11</v>
      </c>
      <c r="X37" s="55">
        <f t="shared" si="17"/>
        <v>246.107692307692</v>
      </c>
      <c r="Y37" s="118">
        <f t="shared" si="17"/>
        <v>1583845.38</v>
      </c>
      <c r="Z37" s="119">
        <f t="shared" si="17"/>
        <v>4.95044502094143</v>
      </c>
      <c r="AA37" s="120">
        <f t="shared" si="18"/>
        <v>492</v>
      </c>
      <c r="AB37" s="121">
        <f t="shared" si="19"/>
        <v>552</v>
      </c>
      <c r="AC37" s="121">
        <f t="shared" si="20"/>
        <v>129</v>
      </c>
      <c r="AD37" s="122">
        <f t="shared" si="21"/>
        <v>161</v>
      </c>
      <c r="AE37" s="123">
        <f t="shared" si="22"/>
        <v>1.1219512195122</v>
      </c>
      <c r="AF37" s="124">
        <f t="shared" si="22"/>
        <v>0.26219512195122</v>
      </c>
      <c r="AG37" s="158">
        <f t="shared" si="22"/>
        <v>0.327235772357724</v>
      </c>
      <c r="AI37" s="11" t="s">
        <v>41</v>
      </c>
      <c r="AJ37" s="163"/>
      <c r="AK37" s="164">
        <f>IF(AM37=0,CJ73,IF(AM37=1,CK73-CJ73,IF(AM37=2,CL73-CK73,IF(AM37=3,CM73-CL73,IF(AM37=4,CN73-CM73,0)))))</f>
        <v>100000</v>
      </c>
      <c r="AL37" s="154">
        <f>SUM(AJ34:AJ37)</f>
        <v>0</v>
      </c>
      <c r="AM37" s="65">
        <f>INT(第十三期!DV29)</f>
        <v>2</v>
      </c>
      <c r="AN37" s="126"/>
      <c r="AR37" s="185">
        <v>5</v>
      </c>
      <c r="AS37" s="186">
        <f t="shared" si="28"/>
        <v>0.098</v>
      </c>
      <c r="AT37" s="187">
        <f t="shared" si="28"/>
        <v>0.0996</v>
      </c>
      <c r="AU37" s="187">
        <f t="shared" si="28"/>
        <v>0.0773</v>
      </c>
      <c r="AV37" s="188">
        <f t="shared" si="28"/>
        <v>0.0771</v>
      </c>
      <c r="AW37" s="186">
        <f t="shared" si="28"/>
        <v>0.0745</v>
      </c>
      <c r="AX37" s="187">
        <f t="shared" si="28"/>
        <v>0.0735</v>
      </c>
      <c r="AY37" s="187">
        <f t="shared" si="28"/>
        <v>0.0813</v>
      </c>
      <c r="AZ37" s="188">
        <f t="shared" si="28"/>
        <v>0.0666</v>
      </c>
      <c r="BA37" s="186">
        <f t="shared" si="28"/>
        <v>0.1053</v>
      </c>
      <c r="BB37" s="187">
        <f t="shared" si="28"/>
        <v>0.1031</v>
      </c>
      <c r="BC37" s="187">
        <f t="shared" si="28"/>
        <v>0.085</v>
      </c>
      <c r="BD37" s="188">
        <f t="shared" si="28"/>
        <v>0.0889</v>
      </c>
      <c r="BE37" s="186">
        <f t="shared" si="28"/>
        <v>0.0346</v>
      </c>
      <c r="BF37" s="187">
        <f t="shared" si="28"/>
        <v>0.0353</v>
      </c>
      <c r="BG37" s="187">
        <f t="shared" si="28"/>
        <v>0.0768</v>
      </c>
      <c r="BH37" s="188">
        <f t="shared" si="28"/>
        <v>0.069</v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0.268826793499802</v>
      </c>
      <c r="DA37" s="2">
        <f t="shared" si="32"/>
        <v>0.287400466500442</v>
      </c>
      <c r="DB37" s="2">
        <f t="shared" si="32"/>
        <v>0.277336757724337</v>
      </c>
      <c r="DC37" s="2">
        <f t="shared" si="32"/>
        <v>0.269310338160515</v>
      </c>
      <c r="DD37" s="2">
        <f>SUMPRODUCT(CZ37:DC37,BS16:BV16)/SUM(BS16:BV16)</f>
        <v>0.275239580765504</v>
      </c>
      <c r="DG37" s="2">
        <f t="shared" si="33"/>
        <v>1.05894648829431</v>
      </c>
      <c r="DH37" s="2">
        <f t="shared" si="33"/>
        <v>1.05894648829431</v>
      </c>
      <c r="DI37" s="2">
        <f t="shared" si="33"/>
        <v>1.01637053304053</v>
      </c>
      <c r="DJ37" s="2">
        <f t="shared" si="33"/>
        <v>1.01637053304053</v>
      </c>
      <c r="DK37" s="2">
        <f>SUMPRODUCT(DG37:DJ37,BS16:BV16)/SUM(BS16:BV16)</f>
        <v>1.03340091514204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0.0713</v>
      </c>
      <c r="DT37" s="37">
        <f t="shared" si="34"/>
        <v>0.0709</v>
      </c>
      <c r="DU37" s="37">
        <f t="shared" si="34"/>
        <v>0.0704</v>
      </c>
      <c r="DV37" s="37">
        <f t="shared" si="34"/>
        <v>0.068</v>
      </c>
      <c r="DW37" s="37">
        <f t="shared" si="34"/>
        <v>0.1025</v>
      </c>
      <c r="DX37" s="37">
        <f t="shared" si="34"/>
        <v>0.0952</v>
      </c>
      <c r="DY37" s="37">
        <f t="shared" si="34"/>
        <v>0.1091</v>
      </c>
      <c r="DZ37" s="37">
        <f t="shared" si="34"/>
        <v>0.1045</v>
      </c>
      <c r="EA37" s="37">
        <f t="shared" si="34"/>
        <v>0.0387</v>
      </c>
      <c r="EB37" s="37">
        <f t="shared" si="34"/>
        <v>0.0385</v>
      </c>
      <c r="EC37" s="37">
        <f t="shared" si="34"/>
        <v>0.0459</v>
      </c>
      <c r="ED37" s="37">
        <f t="shared" si="34"/>
        <v>0.0422</v>
      </c>
      <c r="EE37" s="37">
        <f t="shared" si="34"/>
        <v>0.0496</v>
      </c>
      <c r="EF37" s="37">
        <f t="shared" si="34"/>
        <v>0.0501</v>
      </c>
      <c r="EG37" s="37">
        <f t="shared" si="34"/>
        <v>0.0681</v>
      </c>
      <c r="EH37" s="37">
        <f t="shared" si="34"/>
        <v>0.069</v>
      </c>
    </row>
    <row r="38" ht="17.1" spans="2:115">
      <c r="B38" s="7"/>
      <c r="C38" s="18">
        <v>4</v>
      </c>
      <c r="D38" s="18">
        <v>3</v>
      </c>
      <c r="E38" s="9">
        <v>0</v>
      </c>
      <c r="F38" s="9">
        <v>47</v>
      </c>
      <c r="G38" s="9">
        <v>47</v>
      </c>
      <c r="H38" s="19">
        <v>0.0681</v>
      </c>
      <c r="I38" s="9">
        <v>0</v>
      </c>
      <c r="J38" s="9">
        <v>0</v>
      </c>
      <c r="K38" s="9">
        <v>2</v>
      </c>
      <c r="L38" s="10"/>
      <c r="M38" s="39">
        <f>AI66-AI106</f>
        <v>61</v>
      </c>
      <c r="N38" s="35"/>
      <c r="O38" s="35"/>
      <c r="P38" s="35"/>
      <c r="Q38" s="57"/>
      <c r="U38" s="53"/>
      <c r="V38" s="54"/>
      <c r="W38" s="11">
        <v>12</v>
      </c>
      <c r="X38" s="55">
        <f t="shared" si="17"/>
        <v>149.884615384615</v>
      </c>
      <c r="Y38" s="118">
        <f t="shared" si="17"/>
        <v>-302552.6</v>
      </c>
      <c r="Z38" s="119">
        <f t="shared" si="17"/>
        <v>-1.55274621503721</v>
      </c>
      <c r="AA38" s="120">
        <f t="shared" si="18"/>
        <v>214</v>
      </c>
      <c r="AB38" s="121">
        <f t="shared" si="19"/>
        <v>207</v>
      </c>
      <c r="AC38" s="121">
        <f t="shared" si="20"/>
        <v>193</v>
      </c>
      <c r="AD38" s="122">
        <f t="shared" si="21"/>
        <v>93</v>
      </c>
      <c r="AE38" s="123">
        <f t="shared" si="22"/>
        <v>0.967289719626168</v>
      </c>
      <c r="AF38" s="124">
        <f t="shared" si="22"/>
        <v>0.901869158878505</v>
      </c>
      <c r="AG38" s="158">
        <f t="shared" si="22"/>
        <v>0.434579439252336</v>
      </c>
      <c r="AI38" s="48"/>
      <c r="AJ38" s="48"/>
      <c r="AK38" s="48"/>
      <c r="AL38" s="48"/>
      <c r="AM38" s="48"/>
      <c r="AN38" s="48"/>
      <c r="AR38" s="185">
        <v>6</v>
      </c>
      <c r="AS38" s="186">
        <f t="shared" si="28"/>
        <v>0.0144</v>
      </c>
      <c r="AT38" s="187">
        <f t="shared" si="28"/>
        <v>0.0143</v>
      </c>
      <c r="AU38" s="187">
        <f t="shared" si="28"/>
        <v>0.0164</v>
      </c>
      <c r="AV38" s="188">
        <f t="shared" si="28"/>
        <v>0.0163</v>
      </c>
      <c r="AW38" s="186">
        <f t="shared" si="28"/>
        <v>0</v>
      </c>
      <c r="AX38" s="187">
        <f t="shared" si="28"/>
        <v>0.0147</v>
      </c>
      <c r="AY38" s="187">
        <f t="shared" si="28"/>
        <v>0</v>
      </c>
      <c r="AZ38" s="188">
        <f t="shared" si="28"/>
        <v>0</v>
      </c>
      <c r="BA38" s="186">
        <f t="shared" si="28"/>
        <v>0</v>
      </c>
      <c r="BB38" s="187">
        <f t="shared" si="28"/>
        <v>0.0015</v>
      </c>
      <c r="BC38" s="187">
        <f t="shared" si="28"/>
        <v>0.0022</v>
      </c>
      <c r="BD38" s="188">
        <f t="shared" si="28"/>
        <v>0</v>
      </c>
      <c r="BE38" s="186">
        <f t="shared" si="28"/>
        <v>0</v>
      </c>
      <c r="BF38" s="187">
        <f t="shared" si="28"/>
        <v>0</v>
      </c>
      <c r="BG38" s="187">
        <f t="shared" si="28"/>
        <v>0</v>
      </c>
      <c r="BH38" s="188">
        <f t="shared" si="28"/>
        <v>0</v>
      </c>
      <c r="CA38" s="213"/>
      <c r="CB38" s="197" t="s">
        <v>55</v>
      </c>
      <c r="CC38" s="108">
        <f>第十三期!DG56*第十三期!DG50+第十三期!DG64*第十三期!Y88</f>
        <v>12469</v>
      </c>
      <c r="CD38" s="108">
        <f>第十三期!DH56*第十三期!DH50+第十三期!DH64*第十三期!Z88</f>
        <v>59513</v>
      </c>
      <c r="CE38" s="108">
        <f>第十三期!DI56*第十三期!DI50+第十三期!DI64*第十三期!AA88</f>
        <v>40774</v>
      </c>
      <c r="CF38" s="108">
        <f>第十三期!DJ56*第十三期!DJ50+第十三期!DJ64*第十三期!AB88</f>
        <v>50436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0.266379816154899</v>
      </c>
      <c r="DA38" s="2">
        <f t="shared" si="32"/>
        <v>0.28370340999207</v>
      </c>
      <c r="DB38" s="2">
        <f t="shared" si="32"/>
        <v>0.279716257668712</v>
      </c>
      <c r="DC38" s="2">
        <f t="shared" si="32"/>
        <v>0.287922152261019</v>
      </c>
      <c r="DD38" s="2">
        <f>SUMPRODUCT(CZ38:DC38,BS17:BV17)/SUM(BS17:BV17)</f>
        <v>0.280243149009118</v>
      </c>
      <c r="DG38" s="2">
        <f t="shared" si="33"/>
        <v>1.10329706025662</v>
      </c>
      <c r="DH38" s="2">
        <f t="shared" si="33"/>
        <v>1.10329706025662</v>
      </c>
      <c r="DI38" s="2">
        <f t="shared" si="33"/>
        <v>1.06752361777915</v>
      </c>
      <c r="DJ38" s="2">
        <f t="shared" si="33"/>
        <v>1.09075422022611</v>
      </c>
      <c r="DK38" s="2">
        <f>SUMPRODUCT(DG38:DJ38,BS17:BV17)/SUM(BS17:BV17)</f>
        <v>1.0889811246987</v>
      </c>
    </row>
    <row r="39" ht="17.1" spans="2:93">
      <c r="B39" s="7"/>
      <c r="C39" s="18">
        <v>4</v>
      </c>
      <c r="D39" s="18">
        <v>4</v>
      </c>
      <c r="E39" s="9">
        <v>0</v>
      </c>
      <c r="F39" s="9">
        <v>47</v>
      </c>
      <c r="G39" s="9">
        <v>47</v>
      </c>
      <c r="H39" s="19">
        <v>0.069</v>
      </c>
      <c r="I39" s="9">
        <v>0</v>
      </c>
      <c r="J39" s="9">
        <v>0</v>
      </c>
      <c r="K39" s="9">
        <v>2</v>
      </c>
      <c r="L39" s="10"/>
      <c r="M39" s="39">
        <f>AI67-AI107</f>
        <v>61</v>
      </c>
      <c r="N39" s="35"/>
      <c r="O39" s="35"/>
      <c r="P39" s="35"/>
      <c r="Q39" s="57"/>
      <c r="U39" s="53"/>
      <c r="V39" s="54"/>
      <c r="W39" s="11">
        <v>13</v>
      </c>
      <c r="X39" s="55">
        <f t="shared" si="17"/>
        <v>238.515384615385</v>
      </c>
      <c r="Y39" s="118">
        <f t="shared" si="17"/>
        <v>1364746.94</v>
      </c>
      <c r="Z39" s="119">
        <f t="shared" si="17"/>
        <v>4.40141561582868</v>
      </c>
      <c r="AA39" s="120">
        <f t="shared" si="18"/>
        <v>393</v>
      </c>
      <c r="AB39" s="121">
        <f t="shared" si="19"/>
        <v>441</v>
      </c>
      <c r="AC39" s="121">
        <f t="shared" si="20"/>
        <v>172</v>
      </c>
      <c r="AD39" s="122">
        <f t="shared" si="21"/>
        <v>183</v>
      </c>
      <c r="AE39" s="123">
        <f t="shared" si="22"/>
        <v>1.12213740458015</v>
      </c>
      <c r="AF39" s="124">
        <f t="shared" si="22"/>
        <v>0.43765903307888</v>
      </c>
      <c r="AG39" s="158">
        <f t="shared" si="22"/>
        <v>0.465648854961832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>
        <f t="shared" si="28"/>
        <v>0.0452</v>
      </c>
      <c r="AT39" s="187">
        <f t="shared" si="28"/>
        <v>0.0471</v>
      </c>
      <c r="AU39" s="187">
        <f t="shared" si="28"/>
        <v>0.061</v>
      </c>
      <c r="AV39" s="188">
        <f t="shared" si="28"/>
        <v>0.0546</v>
      </c>
      <c r="AW39" s="186">
        <f t="shared" si="28"/>
        <v>0.0666</v>
      </c>
      <c r="AX39" s="187">
        <f t="shared" si="28"/>
        <v>0.0657</v>
      </c>
      <c r="AY39" s="187">
        <f t="shared" si="28"/>
        <v>0.0529</v>
      </c>
      <c r="AZ39" s="188">
        <f t="shared" si="28"/>
        <v>0.0529</v>
      </c>
      <c r="BA39" s="186">
        <f t="shared" si="28"/>
        <v>0.0635</v>
      </c>
      <c r="BB39" s="187">
        <f t="shared" si="28"/>
        <v>0.0646</v>
      </c>
      <c r="BC39" s="187">
        <f t="shared" si="28"/>
        <v>0.0738</v>
      </c>
      <c r="BD39" s="188">
        <f t="shared" si="28"/>
        <v>0.0733</v>
      </c>
      <c r="BE39" s="186">
        <f t="shared" si="28"/>
        <v>0.0887</v>
      </c>
      <c r="BF39" s="187">
        <f t="shared" si="28"/>
        <v>0.0898</v>
      </c>
      <c r="BG39" s="187">
        <f t="shared" si="28"/>
        <v>0.0623</v>
      </c>
      <c r="BH39" s="188">
        <f t="shared" si="28"/>
        <v>0.0631</v>
      </c>
      <c r="CA39" s="213"/>
      <c r="CB39" s="196" t="s">
        <v>56</v>
      </c>
      <c r="CC39" s="108">
        <f>第十三期!DG57*第十三期!DG51+第十三期!DG65*第十三期!Y89</f>
        <v>6623</v>
      </c>
      <c r="CD39" s="108">
        <f>第十三期!DH57*第十三期!DH51+第十三期!DH65*第十三期!Z89</f>
        <v>47754</v>
      </c>
      <c r="CE39" s="108">
        <f>第十三期!DI57*第十三期!DI51+第十三期!DI65*第十三期!AA89</f>
        <v>34126</v>
      </c>
      <c r="CF39" s="108">
        <f>第十三期!DJ57*第十三期!DJ51+第十三期!DJ65*第十三期!AB89</f>
        <v>41864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>
        <f t="shared" si="17"/>
        <v>191.569230769231</v>
      </c>
      <c r="Y40" s="118">
        <f t="shared" si="17"/>
        <v>250261.21</v>
      </c>
      <c r="Z40" s="119">
        <f t="shared" si="17"/>
        <v>1.00490367009316</v>
      </c>
      <c r="AA40" s="120">
        <f t="shared" si="18"/>
        <v>535</v>
      </c>
      <c r="AB40" s="121">
        <f t="shared" si="19"/>
        <v>292</v>
      </c>
      <c r="AC40" s="121">
        <f t="shared" si="20"/>
        <v>135</v>
      </c>
      <c r="AD40" s="122">
        <f t="shared" si="21"/>
        <v>137</v>
      </c>
      <c r="AE40" s="123">
        <f t="shared" si="22"/>
        <v>0.545794392523364</v>
      </c>
      <c r="AF40" s="124">
        <f t="shared" si="22"/>
        <v>0.252336448598131</v>
      </c>
      <c r="AG40" s="158">
        <f t="shared" si="22"/>
        <v>0.25607476635514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350000.0001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>
        <f t="shared" si="28"/>
        <v>0.0308</v>
      </c>
      <c r="AT40" s="187">
        <f t="shared" si="28"/>
        <v>0.0334</v>
      </c>
      <c r="AU40" s="187">
        <f t="shared" si="28"/>
        <v>0.0441</v>
      </c>
      <c r="AV40" s="188">
        <f t="shared" si="28"/>
        <v>0.0244</v>
      </c>
      <c r="AW40" s="186">
        <f t="shared" si="28"/>
        <v>0.0403</v>
      </c>
      <c r="AX40" s="187">
        <f t="shared" si="28"/>
        <v>0.0398</v>
      </c>
      <c r="AY40" s="187">
        <f t="shared" si="28"/>
        <v>0.0291</v>
      </c>
      <c r="AZ40" s="188">
        <f t="shared" si="28"/>
        <v>0.0287</v>
      </c>
      <c r="BA40" s="186">
        <f t="shared" si="28"/>
        <v>0.1099</v>
      </c>
      <c r="BB40" s="187">
        <f t="shared" si="28"/>
        <v>0.1108</v>
      </c>
      <c r="BC40" s="187">
        <f t="shared" si="28"/>
        <v>0.0783</v>
      </c>
      <c r="BD40" s="188">
        <f t="shared" si="28"/>
        <v>0.0789</v>
      </c>
      <c r="BE40" s="186">
        <f t="shared" si="28"/>
        <v>0.0932</v>
      </c>
      <c r="BF40" s="187">
        <f t="shared" si="28"/>
        <v>0.0913</v>
      </c>
      <c r="BG40" s="187">
        <f t="shared" si="28"/>
        <v>0.0928</v>
      </c>
      <c r="BH40" s="188">
        <f t="shared" si="28"/>
        <v>0.0954</v>
      </c>
      <c r="CA40" s="213"/>
      <c r="CB40" s="196" t="s">
        <v>57</v>
      </c>
      <c r="CC40" s="108">
        <f>第十三期!DG58*第十三期!DG52+第十三期!DG66*第十三期!Y90</f>
        <v>41900</v>
      </c>
      <c r="CD40" s="108">
        <f>第十三期!DH58*第十三期!DH52+第十三期!DH66*第十三期!Z90</f>
        <v>107400</v>
      </c>
      <c r="CE40" s="108">
        <f>第十三期!DI58*第十三期!DI52+第十三期!DI66*第十三期!AA90</f>
        <v>66400</v>
      </c>
      <c r="CF40" s="108">
        <f>第十三期!DJ58*第十三期!DJ52+第十三期!DJ66*第十三期!AB90</f>
        <v>82000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>
        <f t="shared" si="17"/>
        <v>150.930769230769</v>
      </c>
      <c r="Y41" s="118">
        <f t="shared" si="17"/>
        <v>855987.87</v>
      </c>
      <c r="Z41" s="119">
        <f t="shared" si="17"/>
        <v>4.36261082513633</v>
      </c>
      <c r="AA41" s="120">
        <f t="shared" si="18"/>
        <v>386</v>
      </c>
      <c r="AB41" s="121">
        <f t="shared" si="19"/>
        <v>219</v>
      </c>
      <c r="AC41" s="121">
        <f t="shared" si="20"/>
        <v>101</v>
      </c>
      <c r="AD41" s="122">
        <f t="shared" si="21"/>
        <v>124</v>
      </c>
      <c r="AE41" s="123">
        <f t="shared" si="22"/>
        <v>0.567357512953368</v>
      </c>
      <c r="AF41" s="124">
        <f t="shared" si="22"/>
        <v>0.261658031088083</v>
      </c>
      <c r="AG41" s="158">
        <f t="shared" si="22"/>
        <v>0.321243523316062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500000.0001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>
        <f t="shared" si="28"/>
        <v>0.0528</v>
      </c>
      <c r="AT41" s="187">
        <f t="shared" si="28"/>
        <v>0.0525</v>
      </c>
      <c r="AU41" s="187">
        <f t="shared" si="28"/>
        <v>0.0709</v>
      </c>
      <c r="AV41" s="188">
        <f t="shared" si="28"/>
        <v>0.0623</v>
      </c>
      <c r="AW41" s="186">
        <f t="shared" si="28"/>
        <v>0.0973</v>
      </c>
      <c r="AX41" s="187">
        <f t="shared" si="28"/>
        <v>0.0865</v>
      </c>
      <c r="AY41" s="187">
        <f t="shared" si="28"/>
        <v>0.1032</v>
      </c>
      <c r="AZ41" s="188">
        <f t="shared" si="28"/>
        <v>0.0856</v>
      </c>
      <c r="BA41" s="186">
        <f t="shared" si="28"/>
        <v>0.0387</v>
      </c>
      <c r="BB41" s="187">
        <f t="shared" si="28"/>
        <v>0.0385</v>
      </c>
      <c r="BC41" s="187">
        <f t="shared" si="28"/>
        <v>0.0369</v>
      </c>
      <c r="BD41" s="188">
        <f t="shared" si="28"/>
        <v>0.03</v>
      </c>
      <c r="BE41" s="186">
        <f t="shared" si="28"/>
        <v>0.0301</v>
      </c>
      <c r="BF41" s="187">
        <f t="shared" si="28"/>
        <v>0.0295</v>
      </c>
      <c r="BG41" s="187">
        <f t="shared" si="28"/>
        <v>0.0217</v>
      </c>
      <c r="BH41" s="188">
        <f t="shared" si="28"/>
        <v>0.0176</v>
      </c>
      <c r="CA41" s="213"/>
      <c r="CB41" s="196" t="s">
        <v>58</v>
      </c>
      <c r="CC41" s="108">
        <f>第十三期!DG59*第十三期!DG53+第十三期!DG67*第十三期!Y91</f>
        <v>52250</v>
      </c>
      <c r="CD41" s="108">
        <f>第十三期!DH59*第十三期!DH53+第十三期!DH67*第十三期!Z91</f>
        <v>116350</v>
      </c>
      <c r="CE41" s="108">
        <f>第十三期!DI59*第十三期!DI53+第十三期!DI67*第十三期!AA91</f>
        <v>70550</v>
      </c>
      <c r="CF41" s="108">
        <f>第十三期!DJ59*第十三期!DJ53+第十三期!DJ67*第十三期!AB91</f>
        <v>86700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>
        <f>SUMPRODUCT(DG41:DJ41,BS14:BV14)/SUM(BS14:BV14)</f>
        <v>19.4784548335975</v>
      </c>
    </row>
    <row r="42" ht="15.6" spans="2:115">
      <c r="B42" s="7"/>
      <c r="C42" s="18" t="s">
        <v>21</v>
      </c>
      <c r="D42" s="9">
        <v>141</v>
      </c>
      <c r="E42" s="9">
        <v>0</v>
      </c>
      <c r="F42" s="14">
        <v>350000</v>
      </c>
      <c r="G42" s="9">
        <v>3</v>
      </c>
      <c r="H42" s="9">
        <v>0.95</v>
      </c>
      <c r="I42" s="10"/>
      <c r="M42" s="30"/>
      <c r="N42" s="39" t="s">
        <v>287</v>
      </c>
      <c r="O42" s="39">
        <f>AO4</f>
        <v>164</v>
      </c>
      <c r="P42" s="39">
        <f>AJ34</f>
        <v>0</v>
      </c>
      <c r="Q42" s="45"/>
      <c r="U42" s="53"/>
      <c r="V42" s="54"/>
      <c r="W42" s="11">
        <v>16</v>
      </c>
      <c r="X42" s="55">
        <f t="shared" si="17"/>
        <v>205.646153846154</v>
      </c>
      <c r="Y42" s="118">
        <f t="shared" si="17"/>
        <v>860979.46</v>
      </c>
      <c r="Z42" s="119">
        <f t="shared" si="17"/>
        <v>3.22054110870053</v>
      </c>
      <c r="AA42" s="120">
        <f t="shared" si="18"/>
        <v>323</v>
      </c>
      <c r="AB42" s="121">
        <f t="shared" si="19"/>
        <v>252</v>
      </c>
      <c r="AC42" s="121">
        <f t="shared" si="20"/>
        <v>190</v>
      </c>
      <c r="AD42" s="122">
        <f t="shared" si="21"/>
        <v>192</v>
      </c>
      <c r="AE42" s="123">
        <f t="shared" si="22"/>
        <v>0.780185758513932</v>
      </c>
      <c r="AF42" s="124">
        <f t="shared" si="22"/>
        <v>0.588235294117647</v>
      </c>
      <c r="AG42" s="158">
        <f t="shared" si="22"/>
        <v>0.594427244582043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450000.0001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>
        <f t="shared" si="28"/>
        <v>0.0912</v>
      </c>
      <c r="AT42" s="187">
        <f t="shared" si="28"/>
        <v>0.0948</v>
      </c>
      <c r="AU42" s="187">
        <f t="shared" si="28"/>
        <v>0.112</v>
      </c>
      <c r="AV42" s="188">
        <f t="shared" si="28"/>
        <v>0.1054</v>
      </c>
      <c r="AW42" s="186">
        <f t="shared" si="28"/>
        <v>0.0833</v>
      </c>
      <c r="AX42" s="187">
        <f t="shared" si="28"/>
        <v>0.0856</v>
      </c>
      <c r="AY42" s="187">
        <f t="shared" si="28"/>
        <v>0.0939</v>
      </c>
      <c r="AZ42" s="188">
        <f t="shared" si="28"/>
        <v>0.1019</v>
      </c>
      <c r="BA42" s="186">
        <f t="shared" si="28"/>
        <v>0.0619</v>
      </c>
      <c r="BB42" s="187">
        <f t="shared" si="28"/>
        <v>0.0631</v>
      </c>
      <c r="BC42" s="187">
        <f t="shared" si="28"/>
        <v>0.0783</v>
      </c>
      <c r="BD42" s="188">
        <f t="shared" si="28"/>
        <v>0.08</v>
      </c>
      <c r="BE42" s="186">
        <f t="shared" si="28"/>
        <v>0.0436</v>
      </c>
      <c r="BF42" s="187">
        <f t="shared" si="28"/>
        <v>0.0427</v>
      </c>
      <c r="BG42" s="187">
        <f t="shared" si="28"/>
        <v>0.0696</v>
      </c>
      <c r="BH42" s="188">
        <f t="shared" si="28"/>
        <v>0.072</v>
      </c>
      <c r="CA42" s="213"/>
      <c r="CB42" s="98" t="s">
        <v>308</v>
      </c>
      <c r="CC42" s="127">
        <f>SUM(CC38:CC41)</f>
        <v>113242</v>
      </c>
      <c r="CD42" s="127">
        <f>SUM(CD38:CD41)</f>
        <v>331017</v>
      </c>
      <c r="CE42" s="127">
        <f>SUM(CE38:CE41)</f>
        <v>211850</v>
      </c>
      <c r="CF42" s="127">
        <f>SUM(CF38:CF41)</f>
        <v>261000</v>
      </c>
      <c r="CG42" s="108">
        <f>SUM(CC42:CF42)</f>
        <v>917109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>
        <f>SUMPRODUCT(DG42:DJ42,BS15:BV15)/SUM(BS15:BV15)</f>
        <v>14.4190960451977</v>
      </c>
    </row>
    <row r="43" ht="16.35" spans="2:115">
      <c r="B43" s="7"/>
      <c r="C43" s="18" t="s">
        <v>22</v>
      </c>
      <c r="D43" s="9">
        <v>131</v>
      </c>
      <c r="E43" s="9">
        <v>0</v>
      </c>
      <c r="F43" s="14">
        <v>500000</v>
      </c>
      <c r="G43" s="9">
        <v>3</v>
      </c>
      <c r="H43" s="9">
        <v>0.95</v>
      </c>
      <c r="I43" s="10"/>
      <c r="M43" s="30"/>
      <c r="N43" s="39" t="s">
        <v>288</v>
      </c>
      <c r="O43" s="39">
        <f>AO5</f>
        <v>134</v>
      </c>
      <c r="P43" s="39">
        <f>AJ35</f>
        <v>0</v>
      </c>
      <c r="Q43" s="45"/>
      <c r="U43" s="53"/>
      <c r="V43" s="54"/>
      <c r="W43" s="11">
        <v>17</v>
      </c>
      <c r="X43" s="55">
        <f t="shared" si="17"/>
        <v>5.52307692307692</v>
      </c>
      <c r="Y43" s="118">
        <f t="shared" si="17"/>
        <v>-1237739.75</v>
      </c>
      <c r="Z43" s="119">
        <f t="shared" si="17"/>
        <v>-172.387151810585</v>
      </c>
      <c r="AA43" s="120">
        <f t="shared" si="18"/>
        <v>59</v>
      </c>
      <c r="AB43" s="121">
        <f t="shared" si="19"/>
        <v>0</v>
      </c>
      <c r="AC43" s="121">
        <f t="shared" si="20"/>
        <v>2</v>
      </c>
      <c r="AD43" s="122">
        <f t="shared" si="21"/>
        <v>1</v>
      </c>
      <c r="AE43" s="123">
        <f t="shared" si="22"/>
        <v>0</v>
      </c>
      <c r="AF43" s="124">
        <f t="shared" si="22"/>
        <v>0.0338983050847458</v>
      </c>
      <c r="AG43" s="158">
        <f t="shared" si="22"/>
        <v>0.0169491525423729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600000.0001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>
        <f t="shared" si="28"/>
        <v>0.0713</v>
      </c>
      <c r="AT43" s="187">
        <f t="shared" si="28"/>
        <v>0.0709</v>
      </c>
      <c r="AU43" s="187">
        <f t="shared" si="28"/>
        <v>0.0704</v>
      </c>
      <c r="AV43" s="188">
        <f t="shared" si="28"/>
        <v>0.068</v>
      </c>
      <c r="AW43" s="186">
        <f t="shared" si="28"/>
        <v>0.1025</v>
      </c>
      <c r="AX43" s="187">
        <f t="shared" si="28"/>
        <v>0.0952</v>
      </c>
      <c r="AY43" s="187">
        <f t="shared" si="28"/>
        <v>0.1091</v>
      </c>
      <c r="AZ43" s="188">
        <f t="shared" si="28"/>
        <v>0.1045</v>
      </c>
      <c r="BA43" s="186">
        <f t="shared" si="28"/>
        <v>0.0387</v>
      </c>
      <c r="BB43" s="187">
        <f t="shared" si="28"/>
        <v>0.0385</v>
      </c>
      <c r="BC43" s="187">
        <f t="shared" si="28"/>
        <v>0.0459</v>
      </c>
      <c r="BD43" s="188">
        <f t="shared" si="28"/>
        <v>0.0422</v>
      </c>
      <c r="BE43" s="186">
        <f t="shared" si="28"/>
        <v>0.0496</v>
      </c>
      <c r="BF43" s="187">
        <f t="shared" si="28"/>
        <v>0.0501</v>
      </c>
      <c r="BG43" s="187">
        <f t="shared" si="28"/>
        <v>0.0681</v>
      </c>
      <c r="BH43" s="188">
        <f t="shared" si="28"/>
        <v>0.069</v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>
        <f>SUMPRODUCT(DG43:DJ43,BS16:BV16)/SUM(BS16:BV16)</f>
        <v>12.9447368421053</v>
      </c>
    </row>
    <row r="44" ht="16.35" spans="2:115">
      <c r="B44" s="7"/>
      <c r="C44" s="18" t="s">
        <v>23</v>
      </c>
      <c r="D44" s="9">
        <v>46</v>
      </c>
      <c r="E44" s="9">
        <v>0</v>
      </c>
      <c r="F44" s="14">
        <v>450000</v>
      </c>
      <c r="G44" s="9">
        <v>2</v>
      </c>
      <c r="H44" s="9">
        <v>0.95</v>
      </c>
      <c r="I44" s="10"/>
      <c r="M44" s="30"/>
      <c r="N44" s="39" t="s">
        <v>289</v>
      </c>
      <c r="O44" s="39">
        <f>AO6</f>
        <v>60</v>
      </c>
      <c r="P44" s="39">
        <f>AJ36</f>
        <v>0</v>
      </c>
      <c r="Q44" s="45"/>
      <c r="U44" s="53"/>
      <c r="V44" s="54"/>
      <c r="W44" s="11">
        <v>18</v>
      </c>
      <c r="X44" s="55">
        <f t="shared" si="17"/>
        <v>207.807692307692</v>
      </c>
      <c r="Y44" s="118">
        <f t="shared" si="17"/>
        <v>738040.62</v>
      </c>
      <c r="Z44" s="119">
        <f t="shared" si="17"/>
        <v>2.7319660188784</v>
      </c>
      <c r="AA44" s="125">
        <f t="shared" si="18"/>
        <v>174</v>
      </c>
      <c r="AB44" s="121">
        <f t="shared" si="19"/>
        <v>185</v>
      </c>
      <c r="AC44" s="121">
        <f t="shared" si="20"/>
        <v>215</v>
      </c>
      <c r="AD44" s="122">
        <f t="shared" si="21"/>
        <v>240</v>
      </c>
      <c r="AE44" s="123">
        <f t="shared" si="22"/>
        <v>1.0632183908046</v>
      </c>
      <c r="AF44" s="124">
        <f t="shared" si="22"/>
        <v>1.23563218390805</v>
      </c>
      <c r="AG44" s="158">
        <f t="shared" si="22"/>
        <v>1.37931034482759</v>
      </c>
      <c r="AR44" s="185">
        <v>12</v>
      </c>
      <c r="AS44" s="186">
        <f t="shared" si="28"/>
        <v>0.0411</v>
      </c>
      <c r="AT44" s="187">
        <f t="shared" si="28"/>
        <v>0.0218</v>
      </c>
      <c r="AU44" s="187">
        <f t="shared" si="28"/>
        <v>0.0243</v>
      </c>
      <c r="AV44" s="188">
        <f t="shared" si="28"/>
        <v>0.035</v>
      </c>
      <c r="AW44" s="186">
        <f t="shared" si="28"/>
        <v>0.0394</v>
      </c>
      <c r="AX44" s="187">
        <f t="shared" si="28"/>
        <v>0.0303</v>
      </c>
      <c r="AY44" s="187">
        <f t="shared" si="28"/>
        <v>0.043</v>
      </c>
      <c r="AZ44" s="188">
        <f t="shared" si="28"/>
        <v>0.0405</v>
      </c>
      <c r="BA44" s="186">
        <f t="shared" si="28"/>
        <v>0</v>
      </c>
      <c r="BB44" s="187">
        <f t="shared" si="28"/>
        <v>0</v>
      </c>
      <c r="BC44" s="187">
        <f t="shared" si="28"/>
        <v>0.1174</v>
      </c>
      <c r="BD44" s="188">
        <f t="shared" si="28"/>
        <v>0.0978</v>
      </c>
      <c r="BE44" s="186">
        <f t="shared" si="28"/>
        <v>0.0541</v>
      </c>
      <c r="BF44" s="187">
        <f t="shared" si="28"/>
        <v>0.056</v>
      </c>
      <c r="BG44" s="187">
        <f t="shared" si="28"/>
        <v>0.0116</v>
      </c>
      <c r="BH44" s="188">
        <f t="shared" si="28"/>
        <v>0.0162</v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>
        <f>SUMPRODUCT(DG44:DJ44,BS17:BV17)/SUM(BS17:BV17)</f>
        <v>12.182264957265</v>
      </c>
    </row>
    <row r="45" ht="16.35" spans="2:60">
      <c r="B45" s="7"/>
      <c r="C45" s="18" t="s">
        <v>24</v>
      </c>
      <c r="D45" s="9">
        <v>47</v>
      </c>
      <c r="E45" s="9">
        <v>0</v>
      </c>
      <c r="F45" s="14">
        <v>600000</v>
      </c>
      <c r="G45" s="9">
        <v>2</v>
      </c>
      <c r="H45" s="9">
        <v>0.95</v>
      </c>
      <c r="I45" s="10"/>
      <c r="M45" s="30"/>
      <c r="N45" s="39" t="s">
        <v>290</v>
      </c>
      <c r="O45" s="39">
        <f>AO7</f>
        <v>57</v>
      </c>
      <c r="P45" s="39">
        <f>AJ37</f>
        <v>0</v>
      </c>
      <c r="Q45" s="45"/>
      <c r="U45" s="53"/>
      <c r="V45" s="54"/>
      <c r="W45" s="11">
        <v>19</v>
      </c>
      <c r="X45" s="55">
        <f t="shared" si="17"/>
        <v>87.1</v>
      </c>
      <c r="Y45" s="118">
        <f t="shared" si="17"/>
        <v>-244259.04</v>
      </c>
      <c r="Z45" s="119">
        <f t="shared" si="17"/>
        <v>-2.15719367658748</v>
      </c>
      <c r="AA45" s="120">
        <f t="shared" si="18"/>
        <v>114</v>
      </c>
      <c r="AB45" s="121">
        <f t="shared" si="19"/>
        <v>155</v>
      </c>
      <c r="AC45" s="121">
        <f t="shared" si="20"/>
        <v>62</v>
      </c>
      <c r="AD45" s="122">
        <f t="shared" si="21"/>
        <v>76</v>
      </c>
      <c r="AE45" s="123">
        <f t="shared" si="22"/>
        <v>1.35964912280702</v>
      </c>
      <c r="AF45" s="124">
        <f t="shared" si="22"/>
        <v>0.543859649122807</v>
      </c>
      <c r="AG45" s="158">
        <f t="shared" si="22"/>
        <v>0.666666666666667</v>
      </c>
      <c r="AR45" s="185">
        <v>13</v>
      </c>
      <c r="AS45" s="186">
        <f t="shared" si="28"/>
        <v>0.0658</v>
      </c>
      <c r="AT45" s="187">
        <f t="shared" si="28"/>
        <v>0.0675</v>
      </c>
      <c r="AU45" s="187">
        <f t="shared" si="28"/>
        <v>0.0441</v>
      </c>
      <c r="AV45" s="188">
        <f t="shared" si="28"/>
        <v>0.0522</v>
      </c>
      <c r="AW45" s="186">
        <f t="shared" si="28"/>
        <v>0.0798</v>
      </c>
      <c r="AX45" s="187">
        <f t="shared" si="28"/>
        <v>0.0787</v>
      </c>
      <c r="AY45" s="187">
        <f t="shared" si="28"/>
        <v>0.0853</v>
      </c>
      <c r="AZ45" s="188">
        <f t="shared" si="28"/>
        <v>0.0849</v>
      </c>
      <c r="BA45" s="186">
        <f t="shared" si="28"/>
        <v>0.0588</v>
      </c>
      <c r="BB45" s="187">
        <f t="shared" si="28"/>
        <v>0.0569</v>
      </c>
      <c r="BC45" s="187">
        <f t="shared" si="28"/>
        <v>0.0537</v>
      </c>
      <c r="BD45" s="188">
        <f t="shared" si="28"/>
        <v>0.0544</v>
      </c>
      <c r="BE45" s="186">
        <f t="shared" si="28"/>
        <v>0.0571</v>
      </c>
      <c r="BF45" s="187">
        <f t="shared" si="28"/>
        <v>0.056</v>
      </c>
      <c r="BG45" s="187">
        <f t="shared" si="28"/>
        <v>0.0768</v>
      </c>
      <c r="BH45" s="188">
        <f t="shared" si="28"/>
        <v>0.0793</v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>
        <f t="shared" si="17"/>
        <v>0</v>
      </c>
      <c r="Y46" s="118">
        <f t="shared" si="17"/>
        <v>0</v>
      </c>
      <c r="Z46" s="119" t="e">
        <f t="shared" si="17"/>
        <v>#DIV/0!</v>
      </c>
      <c r="AA46" s="120">
        <f t="shared" si="18"/>
        <v>0</v>
      </c>
      <c r="AB46" s="121">
        <f t="shared" si="19"/>
        <v>0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>
        <f t="shared" si="28"/>
        <v>0.0781</v>
      </c>
      <c r="AT46" s="187">
        <f t="shared" si="28"/>
        <v>0.073</v>
      </c>
      <c r="AU46" s="187">
        <f t="shared" si="28"/>
        <v>0.0778</v>
      </c>
      <c r="AV46" s="188">
        <f t="shared" si="28"/>
        <v>0.0752</v>
      </c>
      <c r="AW46" s="186">
        <f t="shared" si="28"/>
        <v>0.0535</v>
      </c>
      <c r="AX46" s="187">
        <f t="shared" si="28"/>
        <v>0.0493</v>
      </c>
      <c r="AY46" s="187">
        <f t="shared" si="28"/>
        <v>0.0569</v>
      </c>
      <c r="AZ46" s="188">
        <f t="shared" si="28"/>
        <v>0.0575</v>
      </c>
      <c r="BA46" s="186">
        <f t="shared" si="28"/>
        <v>0.0557</v>
      </c>
      <c r="BB46" s="187">
        <f t="shared" si="28"/>
        <v>0.0569</v>
      </c>
      <c r="BC46" s="187">
        <f t="shared" si="28"/>
        <v>0.0313</v>
      </c>
      <c r="BD46" s="188">
        <f t="shared" si="28"/>
        <v>0.0378</v>
      </c>
      <c r="BE46" s="186">
        <f t="shared" si="28"/>
        <v>0.0662</v>
      </c>
      <c r="BF46" s="187">
        <f t="shared" si="28"/>
        <v>0.0619</v>
      </c>
      <c r="BG46" s="187">
        <f t="shared" si="28"/>
        <v>0.0391</v>
      </c>
      <c r="BH46" s="188">
        <f t="shared" si="28"/>
        <v>0.0352</v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>
        <f t="shared" si="28"/>
        <v>0.0452</v>
      </c>
      <c r="AT47" s="187">
        <f t="shared" si="28"/>
        <v>0.0628</v>
      </c>
      <c r="AU47" s="187">
        <f t="shared" si="28"/>
        <v>0.054</v>
      </c>
      <c r="AV47" s="188">
        <f t="shared" si="28"/>
        <v>0.057</v>
      </c>
      <c r="AW47" s="186">
        <f t="shared" si="28"/>
        <v>0.0412</v>
      </c>
      <c r="AX47" s="187">
        <f t="shared" si="28"/>
        <v>0.0433</v>
      </c>
      <c r="AY47" s="187">
        <f t="shared" si="28"/>
        <v>0.041</v>
      </c>
      <c r="AZ47" s="188">
        <f t="shared" si="28"/>
        <v>0.0392</v>
      </c>
      <c r="BA47" s="186">
        <f t="shared" si="28"/>
        <v>0.0325</v>
      </c>
      <c r="BB47" s="187">
        <f t="shared" si="28"/>
        <v>0.0354</v>
      </c>
      <c r="BC47" s="187">
        <f t="shared" si="28"/>
        <v>0.0324</v>
      </c>
      <c r="BD47" s="188">
        <f t="shared" si="28"/>
        <v>0.0311</v>
      </c>
      <c r="BE47" s="186">
        <f t="shared" si="28"/>
        <v>0.0466</v>
      </c>
      <c r="BF47" s="187">
        <f t="shared" si="28"/>
        <v>0.0486</v>
      </c>
      <c r="BG47" s="187">
        <f t="shared" si="28"/>
        <v>0.042</v>
      </c>
      <c r="BH47" s="188">
        <f t="shared" si="28"/>
        <v>0.0455</v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>
        <f t="shared" si="28"/>
        <v>0.05</v>
      </c>
      <c r="AT48" s="187">
        <f t="shared" si="28"/>
        <v>0.0498</v>
      </c>
      <c r="AU48" s="187">
        <f t="shared" si="28"/>
        <v>0.0456</v>
      </c>
      <c r="AV48" s="188">
        <f t="shared" si="28"/>
        <v>0.0407</v>
      </c>
      <c r="AW48" s="186">
        <f t="shared" si="28"/>
        <v>0.0491</v>
      </c>
      <c r="AX48" s="187">
        <f t="shared" si="28"/>
        <v>0.0467</v>
      </c>
      <c r="AY48" s="187">
        <f t="shared" si="28"/>
        <v>0.047</v>
      </c>
      <c r="AZ48" s="188">
        <f t="shared" si="28"/>
        <v>0.0464</v>
      </c>
      <c r="BA48" s="186">
        <f t="shared" si="28"/>
        <v>0.0557</v>
      </c>
      <c r="BB48" s="187">
        <f t="shared" si="28"/>
        <v>0.0538</v>
      </c>
      <c r="BC48" s="187">
        <f t="shared" si="28"/>
        <v>0.0615</v>
      </c>
      <c r="BD48" s="188">
        <f t="shared" si="28"/>
        <v>0.0711</v>
      </c>
      <c r="BE48" s="186">
        <f t="shared" si="28"/>
        <v>0.0632</v>
      </c>
      <c r="BF48" s="187">
        <f t="shared" si="28"/>
        <v>0.0648</v>
      </c>
      <c r="BG48" s="187">
        <f t="shared" si="28"/>
        <v>0.071</v>
      </c>
      <c r="BH48" s="188">
        <f>IF(S88="","",S88)</f>
        <v>0.0837</v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>
        <f t="shared" ref="AS49:BG52" si="36">IF(D89="","",D89)</f>
        <v>0.0034</v>
      </c>
      <c r="AT49" s="187">
        <f t="shared" si="36"/>
        <v>0.0034</v>
      </c>
      <c r="AU49" s="187">
        <f t="shared" si="36"/>
        <v>0.0069</v>
      </c>
      <c r="AV49" s="188">
        <f t="shared" si="36"/>
        <v>0.0168</v>
      </c>
      <c r="AW49" s="186">
        <f t="shared" si="36"/>
        <v>0</v>
      </c>
      <c r="AX49" s="187">
        <f t="shared" si="36"/>
        <v>0</v>
      </c>
      <c r="AY49" s="187">
        <f t="shared" si="36"/>
        <v>0</v>
      </c>
      <c r="AZ49" s="188">
        <f t="shared" si="36"/>
        <v>0</v>
      </c>
      <c r="BA49" s="186">
        <f t="shared" si="36"/>
        <v>0</v>
      </c>
      <c r="BB49" s="187">
        <f t="shared" si="36"/>
        <v>0</v>
      </c>
      <c r="BC49" s="187">
        <f t="shared" si="36"/>
        <v>0</v>
      </c>
      <c r="BD49" s="188">
        <f t="shared" si="36"/>
        <v>0.0022</v>
      </c>
      <c r="BE49" s="186">
        <f t="shared" si="36"/>
        <v>0</v>
      </c>
      <c r="BF49" s="187">
        <f t="shared" si="36"/>
        <v>0</v>
      </c>
      <c r="BG49" s="187">
        <f t="shared" si="36"/>
        <v>0</v>
      </c>
      <c r="BH49" s="188">
        <f>IF(S89="","",S89)</f>
        <v>0.0015</v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>
        <v>3188</v>
      </c>
      <c r="E50" s="26">
        <v>3188</v>
      </c>
      <c r="F50" s="26">
        <v>3388</v>
      </c>
      <c r="G50" s="26">
        <v>3388</v>
      </c>
      <c r="H50" s="26">
        <v>6388</v>
      </c>
      <c r="I50" s="26">
        <v>6388</v>
      </c>
      <c r="J50" s="26">
        <v>6888</v>
      </c>
      <c r="K50" s="26">
        <v>6888</v>
      </c>
      <c r="L50" s="26">
        <v>9188</v>
      </c>
      <c r="M50" s="26">
        <v>9188</v>
      </c>
      <c r="N50" s="26">
        <v>9688</v>
      </c>
      <c r="O50" s="26">
        <v>9688</v>
      </c>
      <c r="P50" s="26">
        <v>13088</v>
      </c>
      <c r="Q50" s="26">
        <v>13088</v>
      </c>
      <c r="R50" s="26">
        <v>14288</v>
      </c>
      <c r="S50" s="26">
        <v>14088</v>
      </c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>
        <f t="shared" si="36"/>
        <v>0.0199</v>
      </c>
      <c r="AT50" s="187">
        <f t="shared" si="36"/>
        <v>0.0273</v>
      </c>
      <c r="AU50" s="187">
        <f t="shared" si="36"/>
        <v>0.0238</v>
      </c>
      <c r="AV50" s="188">
        <f t="shared" si="36"/>
        <v>0.0273</v>
      </c>
      <c r="AW50" s="186">
        <f t="shared" si="36"/>
        <v>0.0359</v>
      </c>
      <c r="AX50" s="187">
        <f t="shared" si="36"/>
        <v>0.0424</v>
      </c>
      <c r="AY50" s="187">
        <f t="shared" si="36"/>
        <v>0.0271</v>
      </c>
      <c r="AZ50" s="188">
        <f t="shared" si="36"/>
        <v>0.0353</v>
      </c>
      <c r="BA50" s="186">
        <f t="shared" si="36"/>
        <v>0.082</v>
      </c>
      <c r="BB50" s="187">
        <f t="shared" si="36"/>
        <v>0.0692</v>
      </c>
      <c r="BC50" s="187">
        <f t="shared" si="36"/>
        <v>0.0638</v>
      </c>
      <c r="BD50" s="188">
        <f t="shared" si="36"/>
        <v>0.0667</v>
      </c>
      <c r="BE50" s="186">
        <f t="shared" si="36"/>
        <v>0.0737</v>
      </c>
      <c r="BF50" s="187">
        <f t="shared" si="36"/>
        <v>0.0781</v>
      </c>
      <c r="BG50" s="187">
        <f t="shared" si="36"/>
        <v>0.1058</v>
      </c>
      <c r="BH50" s="188">
        <f>IF(S90="","",S90)</f>
        <v>0.0954</v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389750</v>
      </c>
      <c r="CD50" s="108">
        <f t="shared" si="37"/>
        <v>652800</v>
      </c>
      <c r="CE50" s="108">
        <f t="shared" si="37"/>
        <v>551600</v>
      </c>
      <c r="CF50" s="108">
        <f t="shared" si="37"/>
        <v>608650</v>
      </c>
      <c r="CG50" s="219"/>
      <c r="CH50" s="219"/>
      <c r="CI50" s="197" t="s">
        <v>55</v>
      </c>
      <c r="CJ50" s="108">
        <f t="shared" ref="CJ50:CM53" si="38">Y108*AF76*0.4</f>
        <v>7800</v>
      </c>
      <c r="CK50" s="108">
        <f t="shared" si="38"/>
        <v>12800</v>
      </c>
      <c r="CL50" s="108">
        <f t="shared" si="38"/>
        <v>7880</v>
      </c>
      <c r="CM50" s="108">
        <f t="shared" si="38"/>
        <v>10360</v>
      </c>
      <c r="CN50" s="219"/>
      <c r="CO50" s="219"/>
      <c r="CP50" s="65" t="s">
        <v>38</v>
      </c>
      <c r="CQ50" s="65">
        <f>第十三期!Y9*第十三期!CQ62*比赛参数!D65</f>
        <v>784800</v>
      </c>
      <c r="CR50" s="65">
        <f>第十三期!Z9*第十三期!CR62*比赛参数!E65</f>
        <v>0</v>
      </c>
      <c r="CS50" s="65">
        <f>第十三期!AA9*第十三期!CS62*比赛参数!F65</f>
        <v>0</v>
      </c>
      <c r="CT50" s="65">
        <f>第十三期!AB9*第十三期!CT62*比赛参数!G65</f>
        <v>0</v>
      </c>
      <c r="CU50" s="65">
        <f>IF(第十三期!AC9&gt;0,SUM(CQ50:CT50)/第十三期!AC9,0)</f>
        <v>1200</v>
      </c>
      <c r="CW50" s="11" t="s">
        <v>38</v>
      </c>
      <c r="CX50" s="242">
        <f>IF(第十三期!$CU$50*第十三期!CQ93&gt;0,第十三期!$CU$50+第十三期!CQ68+第十三期!CQ93+第十三期!CQ74,0)</f>
        <v>1890.81491258654</v>
      </c>
      <c r="CY50" s="242">
        <f>IF(第十三期!$CU$50*第十三期!CR93&gt;0,第十三期!$CU$50+第十三期!CR68+第十三期!CR93+第十三期!CR74,0)</f>
        <v>1849.81491258654</v>
      </c>
      <c r="CZ50" s="242">
        <f>IF(第十三期!$CU$50*第十三期!CS93&gt;0,第十三期!$CU$50+第十三期!CS68+第十三期!CS93+第十三期!CS74,0)</f>
        <v>2007.81491258654</v>
      </c>
      <c r="DA50" s="242">
        <f>IF(第十三期!$CU$50*第十三期!CT93&gt;0,第十三期!$CU$50+第十三期!CT68+第十三期!CT93+第十三期!CT74,0)</f>
        <v>2057.81491258654</v>
      </c>
      <c r="DB50" s="242">
        <f>AVERAGE(CX50:DA50)</f>
        <v>1951.56491258654</v>
      </c>
      <c r="DF50" s="65" t="s">
        <v>55</v>
      </c>
      <c r="DG50" s="245">
        <f>IF(第十三期!Y88&gt;0,1,0)</f>
        <v>1</v>
      </c>
      <c r="DH50" s="245">
        <f>IF(第十三期!Z88&gt;0,1,0)</f>
        <v>1</v>
      </c>
      <c r="DI50" s="245">
        <f>IF(第十三期!AA88&gt;0,1,0)</f>
        <v>1</v>
      </c>
      <c r="DJ50" s="245">
        <f>IF(第十三期!AB88&gt;0,1,0)</f>
        <v>1</v>
      </c>
      <c r="DL50" s="245" t="s">
        <v>21</v>
      </c>
      <c r="DM50" s="248">
        <f>IF(第十三期!Y9+第十三期!Z9&gt;0,1,0)</f>
        <v>1</v>
      </c>
      <c r="DN50" s="248">
        <f>IF(第十三期!AA9+第十三期!AB9&gt;0,1,0)</f>
        <v>0</v>
      </c>
      <c r="DO50" s="246"/>
    </row>
    <row r="51" customHeight="1" spans="2:119">
      <c r="B51" s="7"/>
      <c r="C51" s="25">
        <v>2</v>
      </c>
      <c r="D51" s="26">
        <v>3399</v>
      </c>
      <c r="E51" s="26">
        <v>3399</v>
      </c>
      <c r="F51" s="26">
        <v>3599</v>
      </c>
      <c r="G51" s="26">
        <v>3599</v>
      </c>
      <c r="H51" s="26">
        <v>6699</v>
      </c>
      <c r="I51" s="26">
        <v>6699</v>
      </c>
      <c r="J51" s="26">
        <v>6999</v>
      </c>
      <c r="K51" s="26">
        <v>6999</v>
      </c>
      <c r="L51" s="26">
        <v>9699</v>
      </c>
      <c r="M51" s="26">
        <v>9699</v>
      </c>
      <c r="N51" s="26">
        <v>10299</v>
      </c>
      <c r="O51" s="26">
        <v>10299</v>
      </c>
      <c r="P51" s="26">
        <v>12199</v>
      </c>
      <c r="Q51" s="26">
        <v>12199</v>
      </c>
      <c r="R51" s="26">
        <v>13299</v>
      </c>
      <c r="S51" s="26">
        <v>13499</v>
      </c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>
        <f t="shared" si="36"/>
        <v>0.0164</v>
      </c>
      <c r="AT51" s="187">
        <f t="shared" si="36"/>
        <v>0.0164</v>
      </c>
      <c r="AU51" s="187">
        <f t="shared" si="36"/>
        <v>0.0164</v>
      </c>
      <c r="AV51" s="188">
        <f t="shared" si="36"/>
        <v>0.0158</v>
      </c>
      <c r="AW51" s="186">
        <f t="shared" si="36"/>
        <v>0.0254</v>
      </c>
      <c r="AX51" s="187">
        <f t="shared" si="36"/>
        <v>0.0285</v>
      </c>
      <c r="AY51" s="187">
        <f t="shared" si="36"/>
        <v>0.0298</v>
      </c>
      <c r="AZ51" s="188">
        <f t="shared" si="36"/>
        <v>0.0314</v>
      </c>
      <c r="BA51" s="186">
        <f t="shared" si="36"/>
        <v>0.0155</v>
      </c>
      <c r="BB51" s="187">
        <f t="shared" si="36"/>
        <v>0.0215</v>
      </c>
      <c r="BC51" s="187">
        <f t="shared" si="36"/>
        <v>0.0213</v>
      </c>
      <c r="BD51" s="188">
        <f t="shared" si="36"/>
        <v>0.0211</v>
      </c>
      <c r="BE51" s="186">
        <f t="shared" si="36"/>
        <v>0.0286</v>
      </c>
      <c r="BF51" s="187">
        <f t="shared" si="36"/>
        <v>0.028</v>
      </c>
      <c r="BG51" s="187">
        <f t="shared" si="36"/>
        <v>0.0275</v>
      </c>
      <c r="BH51" s="188">
        <f>IF(S91="","",S91)</f>
        <v>0.0279</v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392950</v>
      </c>
      <c r="CD51" s="108">
        <f t="shared" si="37"/>
        <v>646400</v>
      </c>
      <c r="CE51" s="108">
        <f t="shared" si="37"/>
        <v>561450</v>
      </c>
      <c r="CF51" s="108">
        <f t="shared" si="37"/>
        <v>595700</v>
      </c>
      <c r="CG51" s="219"/>
      <c r="CH51" s="219"/>
      <c r="CI51" s="196" t="s">
        <v>56</v>
      </c>
      <c r="CJ51" s="108">
        <f t="shared" si="38"/>
        <v>7800</v>
      </c>
      <c r="CK51" s="108">
        <f t="shared" si="38"/>
        <v>12800</v>
      </c>
      <c r="CL51" s="108">
        <f t="shared" si="38"/>
        <v>7880</v>
      </c>
      <c r="CM51" s="108">
        <f t="shared" si="38"/>
        <v>10360</v>
      </c>
      <c r="CN51" s="219"/>
      <c r="CO51" s="219"/>
      <c r="CP51" s="65" t="s">
        <v>39</v>
      </c>
      <c r="CQ51" s="65">
        <f>第十三期!Y10*第十三期!CQ63*比赛参数!D65</f>
        <v>571500</v>
      </c>
      <c r="CR51" s="65">
        <f>第十三期!Z10*第十三期!CR63*比赛参数!E65</f>
        <v>0</v>
      </c>
      <c r="CS51" s="65">
        <f>第十三期!AA10*第十三期!CS63*比赛参数!F65</f>
        <v>275400</v>
      </c>
      <c r="CT51" s="65">
        <f>第十三期!AB10*第十三期!CT63*比赛参数!G65</f>
        <v>0</v>
      </c>
      <c r="CU51" s="65">
        <f>IF(第十三期!AC10&gt;0,SUM(CQ51:CT51)/第十三期!AC10,0)</f>
        <v>1585.95505617978</v>
      </c>
      <c r="CW51" s="11" t="s">
        <v>39</v>
      </c>
      <c r="CX51" s="242">
        <f>IF(第十三期!$CU$51*第十三期!CQ94&gt;0,第十三期!$CU$51+第十三期!CQ69+第十三期!CQ94+第十三期!CQ75,0)</f>
        <v>4022.49233764613</v>
      </c>
      <c r="CY51" s="242">
        <f>IF(第十三期!$CU$51*第十三期!CR94&gt;0,第十三期!$CU$51+第十三期!CR69+第十三期!CR94+第十三期!CR75,0)</f>
        <v>3938.49233764613</v>
      </c>
      <c r="CZ51" s="242">
        <f>IF(第十三期!$CU$51*第十三期!CS94&gt;0,第十三期!$CU$51+第十三期!CS69+第十三期!CS94+第十三期!CS75,0)</f>
        <v>4155.49233764613</v>
      </c>
      <c r="DA51" s="242">
        <f>IF(第十三期!$CU$51*第十三期!CT94&gt;0,第十三期!$CU$51+第十三期!CT69+第十三期!CT94+第十三期!CT75,0)</f>
        <v>4205.49233764613</v>
      </c>
      <c r="DB51" s="242">
        <f>AVERAGE(CX51:DA51)</f>
        <v>4080.49233764613</v>
      </c>
      <c r="DF51" s="65" t="s">
        <v>56</v>
      </c>
      <c r="DG51" s="245">
        <f>IF(第十三期!Y89&gt;0,1,0)</f>
        <v>1</v>
      </c>
      <c r="DH51" s="245">
        <f>IF(第十三期!Z89&gt;0,1,0)</f>
        <v>1</v>
      </c>
      <c r="DI51" s="245">
        <f>IF(第十三期!AA89&gt;0,1,0)</f>
        <v>1</v>
      </c>
      <c r="DJ51" s="245">
        <f>IF(第十三期!AB89&gt;0,1,0)</f>
        <v>1</v>
      </c>
      <c r="DL51" s="245" t="s">
        <v>22</v>
      </c>
      <c r="DM51" s="248">
        <f>IF(第十三期!Y10+第十三期!Z10&gt;0,1,0)</f>
        <v>1</v>
      </c>
      <c r="DN51" s="248">
        <f>IF(第十三期!AA10+第十三期!AB10&gt;0,1,0)</f>
        <v>1</v>
      </c>
      <c r="DO51" s="246"/>
    </row>
    <row r="52" customHeight="1" spans="2:119">
      <c r="B52" s="7"/>
      <c r="C52" s="25">
        <v>3</v>
      </c>
      <c r="D52" s="26">
        <v>3180</v>
      </c>
      <c r="E52" s="26">
        <v>3230</v>
      </c>
      <c r="F52" s="26">
        <v>3400</v>
      </c>
      <c r="G52" s="26">
        <v>3400</v>
      </c>
      <c r="H52" s="26">
        <v>6550</v>
      </c>
      <c r="I52" s="26">
        <v>6500</v>
      </c>
      <c r="J52" s="26">
        <v>7000</v>
      </c>
      <c r="K52" s="26">
        <v>7100</v>
      </c>
      <c r="L52" s="26">
        <v>9400</v>
      </c>
      <c r="M52" s="26">
        <v>9400</v>
      </c>
      <c r="N52" s="26">
        <v>9750</v>
      </c>
      <c r="O52" s="26">
        <v>9850</v>
      </c>
      <c r="P52" s="26">
        <v>12500</v>
      </c>
      <c r="Q52" s="26">
        <v>12600</v>
      </c>
      <c r="R52" s="26">
        <v>13150</v>
      </c>
      <c r="S52" s="26">
        <v>13200</v>
      </c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612000</v>
      </c>
      <c r="CD52" s="108">
        <f t="shared" si="37"/>
        <v>999620</v>
      </c>
      <c r="CE52" s="108">
        <f t="shared" si="37"/>
        <v>666600</v>
      </c>
      <c r="CF52" s="108">
        <f t="shared" si="37"/>
        <v>814350</v>
      </c>
      <c r="CG52" s="108" t="s">
        <v>308</v>
      </c>
      <c r="CH52" s="219"/>
      <c r="CI52" s="196" t="s">
        <v>57</v>
      </c>
      <c r="CJ52" s="108">
        <f t="shared" si="38"/>
        <v>12240</v>
      </c>
      <c r="CK52" s="108">
        <f t="shared" si="38"/>
        <v>21184</v>
      </c>
      <c r="CL52" s="108">
        <f t="shared" si="38"/>
        <v>12120</v>
      </c>
      <c r="CM52" s="108">
        <f t="shared" si="38"/>
        <v>16020</v>
      </c>
      <c r="CN52" s="108" t="s">
        <v>308</v>
      </c>
      <c r="CO52" s="219"/>
      <c r="CP52" s="65" t="s">
        <v>40</v>
      </c>
      <c r="CQ52" s="65">
        <f>第十三期!Y11*第十三期!CQ64*比赛参数!D65</f>
        <v>0</v>
      </c>
      <c r="CR52" s="65">
        <f>第十三期!Z11*第十三期!CR64*比赛参数!E65</f>
        <v>0</v>
      </c>
      <c r="CS52" s="65">
        <f>第十三期!AA11*第十三期!CS64*比赛参数!F65</f>
        <v>347520</v>
      </c>
      <c r="CT52" s="65">
        <f>第十三期!AB11*第十三期!CT64*比赛参数!G65</f>
        <v>123840</v>
      </c>
      <c r="CU52" s="65">
        <f>IF(第十三期!AC11&gt;0,SUM(CQ52:CT52)/第十三期!AC11,0)</f>
        <v>2104.28571428571</v>
      </c>
      <c r="CW52" s="11" t="s">
        <v>40</v>
      </c>
      <c r="CX52" s="242">
        <f>IF(第十三期!$CU$52*第十三期!CQ95&gt;0,第十三期!$CU$52+第十三期!CQ70+第十三期!CQ95+第十三期!CQ76,0)</f>
        <v>6129.98238211457</v>
      </c>
      <c r="CY52" s="242">
        <f>IF(第十三期!$CU$52*第十三期!CR95&gt;0,第十三期!$CU$52+第十三期!CR70+第十三期!CR95+第十三期!CR76,0)</f>
        <v>6017.98238211457</v>
      </c>
      <c r="CZ52" s="242">
        <f>IF(第十三期!$CU$52*第十三期!CS95&gt;0,第十三期!$CU$52+第十三期!CS70+第十三期!CS95+第十三期!CS76,0)</f>
        <v>6273.98238211457</v>
      </c>
      <c r="DA52" s="242">
        <f>IF(第十三期!$CU$52*第十三期!CT95&gt;0,第十三期!$CU$52+第十三期!CT70+第十三期!CT95+第十三期!CT76,0)</f>
        <v>6323.98238211457</v>
      </c>
      <c r="DB52" s="242">
        <f>AVERAGE(CX52:DA52)</f>
        <v>6186.48238211457</v>
      </c>
      <c r="DF52" s="65" t="s">
        <v>57</v>
      </c>
      <c r="DG52" s="245">
        <f>IF(第十三期!Y90&gt;0,1,0)</f>
        <v>1</v>
      </c>
      <c r="DH52" s="245">
        <f>IF(第十三期!Z90&gt;0,1,0)</f>
        <v>1</v>
      </c>
      <c r="DI52" s="245">
        <f>IF(第十三期!AA90&gt;0,1,0)</f>
        <v>1</v>
      </c>
      <c r="DJ52" s="245">
        <f>IF(第十三期!AB90&gt;0,1,0)</f>
        <v>1</v>
      </c>
      <c r="DL52" s="245" t="s">
        <v>23</v>
      </c>
      <c r="DM52" s="248">
        <f>IF(第十三期!Y11+第十三期!Z11&gt;0,1,0)</f>
        <v>0</v>
      </c>
      <c r="DN52" s="248">
        <f>IF(第十三期!AA11+第十三期!AB11&gt;0,1,0)</f>
        <v>1</v>
      </c>
      <c r="DO52" s="246"/>
    </row>
    <row r="53" customHeight="1" spans="2:119">
      <c r="B53" s="7"/>
      <c r="C53" s="25">
        <v>4</v>
      </c>
      <c r="D53" s="26">
        <v>3200</v>
      </c>
      <c r="E53" s="26">
        <v>3175</v>
      </c>
      <c r="F53" s="26">
        <v>3375</v>
      </c>
      <c r="G53" s="26">
        <v>3400</v>
      </c>
      <c r="H53" s="26">
        <v>6600</v>
      </c>
      <c r="I53" s="26">
        <v>6550</v>
      </c>
      <c r="J53" s="26">
        <v>6950</v>
      </c>
      <c r="K53" s="26">
        <v>7000</v>
      </c>
      <c r="L53" s="26">
        <v>9750</v>
      </c>
      <c r="M53" s="26">
        <v>9750</v>
      </c>
      <c r="N53" s="26">
        <v>10500</v>
      </c>
      <c r="O53" s="26">
        <v>10500</v>
      </c>
      <c r="P53" s="26">
        <v>12550</v>
      </c>
      <c r="Q53" s="26">
        <v>12550</v>
      </c>
      <c r="R53" s="26">
        <v>13800</v>
      </c>
      <c r="S53" s="26">
        <v>13800</v>
      </c>
      <c r="T53" s="10"/>
      <c r="AK53" s="167">
        <f>Y20</f>
        <v>396.5</v>
      </c>
      <c r="AL53" s="168"/>
      <c r="AM53" s="168"/>
      <c r="AN53" s="169"/>
      <c r="CB53" s="196" t="s">
        <v>58</v>
      </c>
      <c r="CC53" s="108">
        <f t="shared" si="37"/>
        <v>621000</v>
      </c>
      <c r="CD53" s="108">
        <f t="shared" si="37"/>
        <v>1011700</v>
      </c>
      <c r="CE53" s="108">
        <f t="shared" si="37"/>
        <v>797900</v>
      </c>
      <c r="CF53" s="108">
        <f t="shared" si="37"/>
        <v>823500</v>
      </c>
      <c r="CG53" s="108">
        <f>SUM(CC50:CF53)</f>
        <v>10745970</v>
      </c>
      <c r="CH53" s="219"/>
      <c r="CI53" s="196" t="s">
        <v>58</v>
      </c>
      <c r="CJ53" s="108">
        <f t="shared" si="38"/>
        <v>12420</v>
      </c>
      <c r="CK53" s="108">
        <f t="shared" si="38"/>
        <v>21440</v>
      </c>
      <c r="CL53" s="108">
        <f t="shared" si="38"/>
        <v>12120</v>
      </c>
      <c r="CM53" s="108">
        <f t="shared" si="38"/>
        <v>16200</v>
      </c>
      <c r="CN53" s="108">
        <f>SUM(CJ50:CM53)</f>
        <v>201424</v>
      </c>
      <c r="CO53" s="219"/>
      <c r="CP53" s="65" t="s">
        <v>41</v>
      </c>
      <c r="CQ53" s="65">
        <f>第十三期!Y12*第十三期!CQ65*比赛参数!D65</f>
        <v>0</v>
      </c>
      <c r="CR53" s="65">
        <f>第十三期!Z12*第十三期!CR65*比赛参数!E65</f>
        <v>0</v>
      </c>
      <c r="CS53" s="65">
        <f>第十三期!AA12*第十三期!CS65*比赛参数!F65</f>
        <v>222480</v>
      </c>
      <c r="CT53" s="65">
        <f>第十三期!AB12*第十三期!CT65*比赛参数!G65</f>
        <v>398520</v>
      </c>
      <c r="CU53" s="65">
        <f>IF(第十三期!AC12&gt;0,SUM(CQ53:CT53)/第十三期!AC12,0)</f>
        <v>2747.78761061947</v>
      </c>
      <c r="CW53" s="11" t="s">
        <v>41</v>
      </c>
      <c r="CX53" s="242">
        <f>IF(第十三期!$CU$53*第十三期!CQ96&gt;0,第十三期!$CU$53+第十三期!CQ71+第十三期!CQ96+第十三期!CQ77,0)</f>
        <v>8342.42515606949</v>
      </c>
      <c r="CY53" s="242">
        <f>IF(第十三期!$CU$53*第十三期!CR96&gt;0,第十三期!$CU$53+第十三期!CR71+第十三期!CR96+第十三期!CR77,0)</f>
        <v>8204.42515606949</v>
      </c>
      <c r="CZ53" s="242">
        <f>IF(第十三期!$CU$53*第十三期!CS96&gt;0,第十三期!$CU$53+第十三期!CS71+第十三期!CS96+第十三期!CS77,0)</f>
        <v>8548.42515606949</v>
      </c>
      <c r="DA53" s="242">
        <f>IF(第十三期!$CU$53*第十三期!CT96&gt;0,第十三期!$CU$53+第十三期!CT71+第十三期!CT96+第十三期!CT77,0)</f>
        <v>8598.42515606949</v>
      </c>
      <c r="DB53" s="242">
        <f>AVERAGE(CX53:DA53)</f>
        <v>8423.42515606949</v>
      </c>
      <c r="DF53" s="65" t="s">
        <v>58</v>
      </c>
      <c r="DG53" s="245">
        <f>IF(第十三期!Y91&gt;0,1,0)</f>
        <v>1</v>
      </c>
      <c r="DH53" s="245">
        <f>IF(第十三期!Z91&gt;0,1,0)</f>
        <v>1</v>
      </c>
      <c r="DI53" s="245">
        <f>IF(第十三期!AA91&gt;0,1,0)</f>
        <v>1</v>
      </c>
      <c r="DJ53" s="245">
        <f>IF(第十三期!AB91&gt;0,1,0)</f>
        <v>1</v>
      </c>
      <c r="DL53" s="245" t="s">
        <v>24</v>
      </c>
      <c r="DM53" s="248">
        <f>IF(第十三期!Y12+第十三期!Z12&gt;0,1,0)</f>
        <v>0</v>
      </c>
      <c r="DN53" s="248">
        <f>IF(第十三期!AA12+第十三期!AB12&gt;0,1,0)</f>
        <v>1</v>
      </c>
      <c r="DO53" s="246"/>
    </row>
    <row r="54" customHeight="1" spans="2:119">
      <c r="B54" s="7"/>
      <c r="C54" s="25">
        <v>5</v>
      </c>
      <c r="D54" s="26">
        <v>3075</v>
      </c>
      <c r="E54" s="26">
        <v>3075</v>
      </c>
      <c r="F54" s="26">
        <v>3380</v>
      </c>
      <c r="G54" s="26">
        <v>3430</v>
      </c>
      <c r="H54" s="26">
        <v>6500</v>
      </c>
      <c r="I54" s="26">
        <v>6500</v>
      </c>
      <c r="J54" s="26">
        <v>6830</v>
      </c>
      <c r="K54" s="26">
        <v>6910</v>
      </c>
      <c r="L54" s="26">
        <v>9100</v>
      </c>
      <c r="M54" s="26">
        <v>9150</v>
      </c>
      <c r="N54" s="26">
        <v>9750</v>
      </c>
      <c r="O54" s="26">
        <v>9700</v>
      </c>
      <c r="P54" s="26">
        <v>13530</v>
      </c>
      <c r="Q54" s="26">
        <v>13530</v>
      </c>
      <c r="R54" s="26">
        <v>13600</v>
      </c>
      <c r="S54" s="26">
        <v>13750</v>
      </c>
      <c r="T54" s="10"/>
      <c r="AK54" s="126">
        <f>AA20</f>
        <v>309</v>
      </c>
      <c r="AL54" s="48"/>
      <c r="AM54" s="48"/>
      <c r="AN54" s="50"/>
      <c r="AR54" s="2" t="s">
        <v>25</v>
      </c>
      <c r="AS54" s="114">
        <f>SUM(AS33:AS52)/比赛参数!$G$4</f>
        <v>0.052621052631579</v>
      </c>
      <c r="AT54" s="114">
        <f>SUM(AT33:AT52)/比赛参数!$G$4</f>
        <v>0.0526263157894737</v>
      </c>
      <c r="AU54" s="114">
        <f>SUM(AU33:AU52)/比赛参数!$G$4</f>
        <v>0.0526421052631579</v>
      </c>
      <c r="AV54" s="114">
        <f>SUM(AV33:AV52)/比赛参数!$G$4</f>
        <v>0.0526368421052632</v>
      </c>
      <c r="AW54" s="114">
        <f>SUM(AW33:AW52)/比赛参数!$G$4</f>
        <v>0.0526368421052632</v>
      </c>
      <c r="AX54" s="114">
        <f>SUM(AX33:AX52)/比赛参数!$G$4</f>
        <v>0.0526263157894737</v>
      </c>
      <c r="AY54" s="114">
        <f>SUM(AY33:AY52)/比赛参数!$G$4</f>
        <v>0.0526315789473684</v>
      </c>
      <c r="AZ54" s="114">
        <f>SUM(AZ33:AZ52)/比赛参数!$G$4</f>
        <v>0.0526368421052632</v>
      </c>
      <c r="BA54" s="114">
        <f>SUM(BA33:BA52)/比赛参数!$G$4</f>
        <v>0.0526315789473684</v>
      </c>
      <c r="BB54" s="114">
        <f>SUM(BB33:BB52)/比赛参数!$G$4</f>
        <v>0.0526263157894737</v>
      </c>
      <c r="BC54" s="114">
        <f>SUM(BC33:BC52)/比赛参数!$G$4</f>
        <v>0.0526315789473684</v>
      </c>
      <c r="BD54" s="114">
        <f>SUM(BD33:BD52)/比赛参数!$G$4</f>
        <v>0.0526263157894737</v>
      </c>
      <c r="BE54" s="114">
        <f>SUM(BE33:BE52)/比赛参数!$G$4</f>
        <v>0.0526315789473684</v>
      </c>
      <c r="BF54" s="114">
        <f>SUM(BF33:BF52)/比赛参数!$G$4</f>
        <v>0.0526315789473684</v>
      </c>
      <c r="BG54" s="114">
        <f>SUM(BG33:BG52)/比赛参数!$G$4</f>
        <v>0.0526263157894737</v>
      </c>
      <c r="BH54" s="114">
        <f>SUM(BH33:BH52)/比赛参数!$G$4</f>
        <v>0.0526263157894737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2015700</v>
      </c>
      <c r="CD54" s="219">
        <f>SUM(CD50:CD53)</f>
        <v>3310520</v>
      </c>
      <c r="CE54" s="219">
        <f>SUM(CE50:CE53)</f>
        <v>2577550</v>
      </c>
      <c r="CF54" s="219">
        <f>SUM(CF50:CF53)</f>
        <v>2842200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>
        <v>3700</v>
      </c>
      <c r="E55" s="26">
        <v>3700</v>
      </c>
      <c r="F55" s="26">
        <v>4000</v>
      </c>
      <c r="G55" s="26">
        <v>4000</v>
      </c>
      <c r="H55" s="26">
        <v>6521</v>
      </c>
      <c r="I55" s="26">
        <v>6999</v>
      </c>
      <c r="J55" s="26">
        <v>6999</v>
      </c>
      <c r="K55" s="26">
        <v>6521</v>
      </c>
      <c r="L55" s="26">
        <v>11000</v>
      </c>
      <c r="M55" s="26">
        <v>12000</v>
      </c>
      <c r="N55" s="26">
        <v>12000</v>
      </c>
      <c r="O55" s="26">
        <v>11000</v>
      </c>
      <c r="P55" s="26">
        <v>9999</v>
      </c>
      <c r="Q55" s="26">
        <v>9999</v>
      </c>
      <c r="R55" s="26">
        <v>11999</v>
      </c>
      <c r="S55" s="26">
        <v>11999</v>
      </c>
      <c r="T55" s="10"/>
      <c r="Y55" s="2">
        <f>SUM(Y57:Y60)</f>
        <v>0</v>
      </c>
      <c r="Z55" s="2">
        <f>SUM(Z57:Z60)</f>
        <v>0</v>
      </c>
      <c r="AA55" s="2">
        <f>SUM(AA57:AA60)</f>
        <v>58</v>
      </c>
      <c r="AB55" s="2">
        <f>SUM(AB57:AB60)</f>
        <v>9</v>
      </c>
      <c r="AF55" s="2">
        <f>SUM(AF57:AF60)</f>
        <v>14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第十三期!K11</f>
        <v>2608359.7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>
        <v>3399</v>
      </c>
      <c r="E56" s="26">
        <v>3399</v>
      </c>
      <c r="F56" s="26">
        <v>3499</v>
      </c>
      <c r="G56" s="26">
        <v>3549</v>
      </c>
      <c r="H56" s="26">
        <v>6389</v>
      </c>
      <c r="I56" s="26">
        <v>6389</v>
      </c>
      <c r="J56" s="26">
        <v>6699</v>
      </c>
      <c r="K56" s="26">
        <v>6699</v>
      </c>
      <c r="L56" s="26">
        <v>9549</v>
      </c>
      <c r="M56" s="26">
        <v>9549</v>
      </c>
      <c r="N56" s="26">
        <v>9649</v>
      </c>
      <c r="O56" s="26">
        <v>9649</v>
      </c>
      <c r="P56" s="26">
        <v>12099</v>
      </c>
      <c r="Q56" s="26">
        <v>12099</v>
      </c>
      <c r="R56" s="26">
        <v>13499</v>
      </c>
      <c r="S56" s="26">
        <v>13499</v>
      </c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58</v>
      </c>
      <c r="AN56" s="50">
        <f>AB55</f>
        <v>9</v>
      </c>
      <c r="AO56" s="189"/>
      <c r="AR56" s="11" t="s">
        <v>285</v>
      </c>
      <c r="BR56" s="209" t="s">
        <v>208</v>
      </c>
      <c r="BS56" s="130">
        <f>第十三期!AH14</f>
        <v>3651201</v>
      </c>
      <c r="BT56" s="130"/>
      <c r="BU56" s="130"/>
      <c r="BV56" s="130">
        <f>BV55+BS56</f>
        <v>6259560.7</v>
      </c>
      <c r="BW56" s="126"/>
      <c r="CB56" s="196" t="s">
        <v>151</v>
      </c>
      <c r="CC56" s="108">
        <f>第十三期!DU26</f>
        <v>141</v>
      </c>
      <c r="CD56" s="108">
        <f>第十三期!DU27</f>
        <v>131</v>
      </c>
      <c r="CE56" s="108">
        <f>第十三期!DU28</f>
        <v>46</v>
      </c>
      <c r="CF56" s="108">
        <f>第十三期!DU29</f>
        <v>47</v>
      </c>
      <c r="CG56" s="219"/>
      <c r="CH56" s="219"/>
      <c r="CI56" s="197" t="s">
        <v>55</v>
      </c>
      <c r="CJ56" s="108">
        <f t="shared" ref="CJ56:CM59" si="39">Y108*(CJ19+CC27)</f>
        <v>11938.6513802812</v>
      </c>
      <c r="CK56" s="108">
        <f t="shared" si="39"/>
        <v>22893.4429966419</v>
      </c>
      <c r="CL56" s="108">
        <f t="shared" si="39"/>
        <v>14201.5838118482</v>
      </c>
      <c r="CM56" s="108">
        <f t="shared" si="39"/>
        <v>18977.3957666844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第十三期!BS7-第十三期!CX50</f>
        <v>1359.18508741346</v>
      </c>
      <c r="CY56" s="242">
        <f>第十三期!BT7-第十三期!CY50</f>
        <v>1400.18508741346</v>
      </c>
      <c r="CZ56" s="242">
        <f>第十三期!BU7-第十三期!CZ50</f>
        <v>1392.18508741346</v>
      </c>
      <c r="DA56" s="242">
        <f>第十三期!BV7-第十三期!DA50</f>
        <v>1392.18508741346</v>
      </c>
      <c r="DB56" s="242">
        <f>AVERAGE(CX56:DA56)</f>
        <v>1385.93508741346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10000</v>
      </c>
      <c r="DN56" s="245">
        <f>比赛参数!E44*DN50</f>
        <v>0</v>
      </c>
    </row>
    <row r="57" customHeight="1" spans="2:118">
      <c r="B57" s="7"/>
      <c r="C57" s="25">
        <v>8</v>
      </c>
      <c r="D57" s="26">
        <v>3600</v>
      </c>
      <c r="E57" s="26">
        <v>3600</v>
      </c>
      <c r="F57" s="26">
        <v>3700</v>
      </c>
      <c r="G57" s="26">
        <v>4000</v>
      </c>
      <c r="H57" s="26">
        <v>6800</v>
      </c>
      <c r="I57" s="26">
        <v>6800</v>
      </c>
      <c r="J57" s="26">
        <v>7400</v>
      </c>
      <c r="K57" s="26">
        <v>7400</v>
      </c>
      <c r="L57" s="26">
        <v>9400</v>
      </c>
      <c r="M57" s="26">
        <v>9400</v>
      </c>
      <c r="N57" s="26">
        <v>9700</v>
      </c>
      <c r="O57" s="26">
        <v>9700</v>
      </c>
      <c r="P57" s="26">
        <v>12500</v>
      </c>
      <c r="Q57" s="26">
        <v>12500</v>
      </c>
      <c r="R57" s="26">
        <v>13000</v>
      </c>
      <c r="S57" s="26">
        <v>13000</v>
      </c>
      <c r="T57" s="10"/>
      <c r="X57" s="64" t="s">
        <v>55</v>
      </c>
      <c r="Y57" s="127">
        <f>第十三期!DX6</f>
        <v>0</v>
      </c>
      <c r="Z57" s="127">
        <f>第十三期!DX10</f>
        <v>0</v>
      </c>
      <c r="AA57" s="127">
        <f>第十三期!DX14</f>
        <v>16</v>
      </c>
      <c r="AB57" s="127">
        <f>第十三期!DX18</f>
        <v>5</v>
      </c>
      <c r="AC57" s="128"/>
      <c r="AE57" s="64" t="s">
        <v>55</v>
      </c>
      <c r="AF57" s="127">
        <f>第十三期!DW6</f>
        <v>5</v>
      </c>
      <c r="AG57" s="127">
        <f>第十三期!DW10</f>
        <v>0</v>
      </c>
      <c r="AH57" s="127">
        <f>第十三期!DW14</f>
        <v>0</v>
      </c>
      <c r="AI57" s="127">
        <f>第十三期!DW18</f>
        <v>0</v>
      </c>
      <c r="AJ57" s="126"/>
      <c r="AK57" s="126">
        <f>D42</f>
        <v>141</v>
      </c>
      <c r="AL57" s="48">
        <f>D43</f>
        <v>131</v>
      </c>
      <c r="AM57" s="48">
        <f>D44</f>
        <v>46</v>
      </c>
      <c r="AN57" s="50">
        <f>D45</f>
        <v>47</v>
      </c>
      <c r="AO57" s="173"/>
      <c r="AR57" s="190">
        <v>1</v>
      </c>
      <c r="AS57" s="191">
        <f t="shared" ref="AS57:BH72" si="40">IF(AS33="","",(AS33-AS$54)^2)</f>
        <v>0.000685337285318559</v>
      </c>
      <c r="AT57" s="191">
        <f t="shared" si="40"/>
        <v>0.000664282797783934</v>
      </c>
      <c r="AU57" s="191">
        <f t="shared" si="40"/>
        <v>0.00065832756232687</v>
      </c>
      <c r="AV57" s="191">
        <f t="shared" si="40"/>
        <v>0.0010931724099723</v>
      </c>
      <c r="AW57" s="191">
        <f t="shared" si="40"/>
        <v>0.000940229252077562</v>
      </c>
      <c r="AX57" s="191">
        <f t="shared" si="40"/>
        <v>0.000771377534626038</v>
      </c>
      <c r="AY57" s="191">
        <f t="shared" si="40"/>
        <v>0.000550766786703601</v>
      </c>
      <c r="AZ57" s="191">
        <f t="shared" si="40"/>
        <v>0.00117396398891967</v>
      </c>
      <c r="BA57" s="191">
        <f t="shared" si="40"/>
        <v>0.00245702836565097</v>
      </c>
      <c r="BB57" s="191">
        <f t="shared" si="40"/>
        <v>0.00238863700831025</v>
      </c>
      <c r="BC57" s="191">
        <f t="shared" si="40"/>
        <v>0.00199526783933518</v>
      </c>
      <c r="BD57" s="191">
        <f t="shared" si="40"/>
        <v>0.00245755016620499</v>
      </c>
      <c r="BE57" s="191">
        <f t="shared" si="40"/>
        <v>0.000110914155124654</v>
      </c>
      <c r="BF57" s="191">
        <f t="shared" si="40"/>
        <v>0.000130680997229917</v>
      </c>
      <c r="BG57" s="191">
        <f t="shared" si="40"/>
        <v>0.000144632271468144</v>
      </c>
      <c r="BH57" s="191">
        <f t="shared" si="40"/>
        <v>1.50385041551247e-6</v>
      </c>
      <c r="BR57" s="209" t="s">
        <v>295</v>
      </c>
      <c r="BS57" s="130">
        <f>第十三期!AH15</f>
        <v>993843</v>
      </c>
      <c r="BT57" s="130"/>
      <c r="BU57" s="130"/>
      <c r="BV57" s="130">
        <f>BV56+BS57</f>
        <v>7253403.7</v>
      </c>
      <c r="BW57" s="126"/>
      <c r="CB57" s="196" t="s">
        <v>327</v>
      </c>
      <c r="CC57" s="108">
        <f>AC9</f>
        <v>654</v>
      </c>
      <c r="CD57" s="108">
        <f>AC10</f>
        <v>534</v>
      </c>
      <c r="CE57" s="108">
        <f>AC11</f>
        <v>224</v>
      </c>
      <c r="CF57" s="108">
        <f>AC12</f>
        <v>226</v>
      </c>
      <c r="CG57" s="219"/>
      <c r="CH57" s="219"/>
      <c r="CI57" s="196" t="s">
        <v>56</v>
      </c>
      <c r="CJ57" s="108">
        <f t="shared" si="39"/>
        <v>11411.7871133145</v>
      </c>
      <c r="CK57" s="108">
        <f t="shared" si="39"/>
        <v>21945.008858042</v>
      </c>
      <c r="CL57" s="108">
        <f t="shared" si="39"/>
        <v>13661.0123832768</v>
      </c>
      <c r="CM57" s="108">
        <f t="shared" si="39"/>
        <v>18311.7594030481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第十三期!BS8-第十三期!CX51</f>
        <v>2377.50766235387</v>
      </c>
      <c r="CY57" s="242">
        <f>第十三期!BT8-第十三期!CY51</f>
        <v>2461.50766235387</v>
      </c>
      <c r="CZ57" s="242">
        <f>第十三期!BU8-第十三期!CZ51</f>
        <v>2464.50766235387</v>
      </c>
      <c r="DA57" s="242">
        <f>第十三期!BV8-第十三期!DA51</f>
        <v>2494.50766235387</v>
      </c>
      <c r="DB57" s="242">
        <f>AVERAGE(CX57:DA57)</f>
        <v>2449.50766235387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18000</v>
      </c>
    </row>
    <row r="58" customHeight="1" spans="2:118">
      <c r="B58" s="7"/>
      <c r="C58" s="25">
        <v>9</v>
      </c>
      <c r="D58" s="26">
        <v>3488</v>
      </c>
      <c r="E58" s="26">
        <v>3508</v>
      </c>
      <c r="F58" s="26">
        <v>3758</v>
      </c>
      <c r="G58" s="26">
        <v>3788</v>
      </c>
      <c r="H58" s="26">
        <v>6468</v>
      </c>
      <c r="I58" s="26">
        <v>6538</v>
      </c>
      <c r="J58" s="26">
        <v>6858</v>
      </c>
      <c r="K58" s="26">
        <v>7088</v>
      </c>
      <c r="L58" s="26">
        <v>10238</v>
      </c>
      <c r="M58" s="26">
        <v>10238</v>
      </c>
      <c r="N58" s="26">
        <v>10558</v>
      </c>
      <c r="O58" s="26">
        <v>10798</v>
      </c>
      <c r="P58" s="26">
        <v>13818</v>
      </c>
      <c r="Q58" s="26">
        <v>13818</v>
      </c>
      <c r="R58" s="26">
        <v>15278</v>
      </c>
      <c r="S58" s="26">
        <v>15588</v>
      </c>
      <c r="T58" s="10"/>
      <c r="X58" s="11" t="s">
        <v>56</v>
      </c>
      <c r="Y58" s="127">
        <f>第十三期!DX7</f>
        <v>0</v>
      </c>
      <c r="Z58" s="127">
        <f>第十三期!DX11</f>
        <v>0</v>
      </c>
      <c r="AA58" s="127">
        <f>第十三期!DX15</f>
        <v>17</v>
      </c>
      <c r="AB58" s="127">
        <f>第十三期!DX19</f>
        <v>4</v>
      </c>
      <c r="AC58" s="128"/>
      <c r="AE58" s="11" t="s">
        <v>56</v>
      </c>
      <c r="AF58" s="127">
        <f>第十三期!DW7</f>
        <v>6</v>
      </c>
      <c r="AG58" s="127">
        <f>第十三期!DW11</f>
        <v>0</v>
      </c>
      <c r="AH58" s="127">
        <f>第十三期!DW15</f>
        <v>0</v>
      </c>
      <c r="AI58" s="127">
        <f>第十三期!DW19</f>
        <v>0</v>
      </c>
      <c r="AK58" s="126">
        <f>AF55</f>
        <v>14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>
        <f t="shared" si="40"/>
        <v>0.00026637675900277</v>
      </c>
      <c r="AT58" s="191">
        <f t="shared" si="40"/>
        <v>0.000269823850415512</v>
      </c>
      <c r="AU58" s="191">
        <f t="shared" si="40"/>
        <v>0.000803274930747922</v>
      </c>
      <c r="AV58" s="191">
        <f t="shared" si="40"/>
        <v>0.000572972409972299</v>
      </c>
      <c r="AW58" s="191">
        <f t="shared" si="40"/>
        <v>0.000442548725761773</v>
      </c>
      <c r="AX58" s="191">
        <f t="shared" si="40"/>
        <v>0.000164514376731302</v>
      </c>
      <c r="AY58" s="191">
        <f t="shared" si="40"/>
        <v>0.000438130997229917</v>
      </c>
      <c r="AZ58" s="191">
        <f t="shared" si="40"/>
        <v>3.88981994459834e-5</v>
      </c>
      <c r="BA58" s="191">
        <f t="shared" si="40"/>
        <v>0.000291330997229917</v>
      </c>
      <c r="BB58" s="191">
        <f t="shared" si="40"/>
        <v>0.000448324903047092</v>
      </c>
      <c r="BC58" s="191">
        <f t="shared" si="40"/>
        <v>0.00015206783933518</v>
      </c>
      <c r="BD58" s="191">
        <f t="shared" si="40"/>
        <v>0.000108708060941828</v>
      </c>
      <c r="BE58" s="191">
        <f t="shared" si="40"/>
        <v>0.00119497573407202</v>
      </c>
      <c r="BF58" s="191">
        <f t="shared" si="40"/>
        <v>0.00107376941828255</v>
      </c>
      <c r="BG58" s="191">
        <f t="shared" si="40"/>
        <v>0.000337592271468144</v>
      </c>
      <c r="BH58" s="191">
        <f t="shared" si="40"/>
        <v>1.50385041551247e-6</v>
      </c>
      <c r="BR58" s="209" t="s">
        <v>328</v>
      </c>
      <c r="BS58" s="130">
        <f>第十三期!H5+第十三期!H4*比赛参数!F71</f>
        <v>437570.45</v>
      </c>
      <c r="BT58" s="130"/>
      <c r="BU58" s="130"/>
      <c r="BV58" s="130">
        <f t="shared" ref="BV58:BV64" si="41">BV57-BS58</f>
        <v>6815833.25</v>
      </c>
      <c r="BW58" s="126"/>
      <c r="CB58" s="196" t="s">
        <v>329</v>
      </c>
      <c r="CC58" s="108">
        <f>Y92</f>
        <v>631</v>
      </c>
      <c r="CD58" s="108">
        <f>Z92</f>
        <v>531</v>
      </c>
      <c r="CE58" s="108">
        <f>AA92</f>
        <v>210</v>
      </c>
      <c r="CF58" s="108">
        <f>AB92</f>
        <v>216</v>
      </c>
      <c r="CG58" s="219"/>
      <c r="CH58" s="219"/>
      <c r="CI58" s="196" t="s">
        <v>57</v>
      </c>
      <c r="CJ58" s="108">
        <f t="shared" si="39"/>
        <v>20065.572308517</v>
      </c>
      <c r="CK58" s="108">
        <f t="shared" si="39"/>
        <v>38647.7122860747</v>
      </c>
      <c r="CL58" s="108">
        <f t="shared" si="39"/>
        <v>21983.8519082485</v>
      </c>
      <c r="CM58" s="108">
        <f t="shared" si="39"/>
        <v>29489.0254682085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第十三期!BS9-第十三期!CX52</f>
        <v>3720.01761788543</v>
      </c>
      <c r="CY58" s="242">
        <f>第十三期!BT9-第十三期!CY52</f>
        <v>3832.01761788543</v>
      </c>
      <c r="CZ58" s="242">
        <f>第十三期!BU9-第十三期!CZ52</f>
        <v>3826.01761788543</v>
      </c>
      <c r="DA58" s="242">
        <f>第十三期!BV9-第十三期!DA52</f>
        <v>3776.01761788543</v>
      </c>
      <c r="DB58" s="242">
        <f>AVERAGE(CX58:DA58)</f>
        <v>3788.51761788543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24000</v>
      </c>
    </row>
    <row r="59" customHeight="1" spans="2:118">
      <c r="B59" s="7"/>
      <c r="C59" s="25">
        <v>10</v>
      </c>
      <c r="D59" s="26">
        <v>3100</v>
      </c>
      <c r="E59" s="26">
        <v>3100</v>
      </c>
      <c r="F59" s="26">
        <v>3150</v>
      </c>
      <c r="G59" s="26">
        <v>3200</v>
      </c>
      <c r="H59" s="26">
        <v>6500</v>
      </c>
      <c r="I59" s="26">
        <v>6500</v>
      </c>
      <c r="J59" s="26">
        <v>6850</v>
      </c>
      <c r="K59" s="26">
        <v>6850</v>
      </c>
      <c r="L59" s="26">
        <v>9850</v>
      </c>
      <c r="M59" s="26">
        <v>9850</v>
      </c>
      <c r="N59" s="26">
        <v>10050</v>
      </c>
      <c r="O59" s="26">
        <v>10050</v>
      </c>
      <c r="P59" s="26">
        <v>13150</v>
      </c>
      <c r="Q59" s="26">
        <v>13150</v>
      </c>
      <c r="R59" s="26">
        <v>13800</v>
      </c>
      <c r="S59" s="26">
        <v>13800</v>
      </c>
      <c r="T59" s="10"/>
      <c r="X59" s="11" t="s">
        <v>57</v>
      </c>
      <c r="Y59" s="127">
        <f>第十三期!DX8</f>
        <v>0</v>
      </c>
      <c r="Z59" s="127">
        <f>第十三期!DX12</f>
        <v>0</v>
      </c>
      <c r="AA59" s="127">
        <f>第十三期!DX16</f>
        <v>6</v>
      </c>
      <c r="AB59" s="127">
        <f>第十三期!DX20</f>
        <v>0</v>
      </c>
      <c r="AC59" s="129"/>
      <c r="AE59" s="11" t="s">
        <v>57</v>
      </c>
      <c r="AF59" s="127">
        <f>第十三期!DW8</f>
        <v>3</v>
      </c>
      <c r="AG59" s="127">
        <f>第十三期!DW12</f>
        <v>0</v>
      </c>
      <c r="AH59" s="127">
        <f>第十三期!DW16</f>
        <v>0</v>
      </c>
      <c r="AI59" s="127">
        <f>第十三期!DW20</f>
        <v>0</v>
      </c>
      <c r="AK59" s="126"/>
      <c r="AL59" s="48"/>
      <c r="AM59" s="48"/>
      <c r="AN59" s="50"/>
      <c r="AR59" s="190">
        <v>3</v>
      </c>
      <c r="AS59" s="191">
        <f t="shared" si="40"/>
        <v>0.000551260969529086</v>
      </c>
      <c r="AT59" s="191">
        <f t="shared" si="40"/>
        <v>0.000200893324099723</v>
      </c>
      <c r="AU59" s="191">
        <f t="shared" si="40"/>
        <v>0.000386432825484765</v>
      </c>
      <c r="AV59" s="191">
        <f t="shared" si="40"/>
        <v>0.000251639778393352</v>
      </c>
      <c r="AW59" s="191">
        <f t="shared" si="40"/>
        <v>0.000223109252077563</v>
      </c>
      <c r="AX59" s="191">
        <f t="shared" si="40"/>
        <v>0.000123794903047091</v>
      </c>
      <c r="AY59" s="191">
        <f t="shared" si="40"/>
        <v>0.00028667836565097</v>
      </c>
      <c r="AZ59" s="191">
        <f t="shared" si="40"/>
        <v>0.000325327673130194</v>
      </c>
      <c r="BA59" s="191">
        <f t="shared" si="40"/>
        <v>5.97773130193903e-5</v>
      </c>
      <c r="BB59" s="191">
        <f t="shared" si="40"/>
        <v>6.44217451523544e-5</v>
      </c>
      <c r="BC59" s="191">
        <f t="shared" si="40"/>
        <v>0.00015206783933518</v>
      </c>
      <c r="BD59" s="191">
        <f t="shared" si="40"/>
        <v>0.000159423850415513</v>
      </c>
      <c r="BE59" s="191">
        <f t="shared" si="40"/>
        <v>0.000183103628808864</v>
      </c>
      <c r="BF59" s="191">
        <f t="shared" si="40"/>
        <v>0.000300383628808864</v>
      </c>
      <c r="BG59" s="191">
        <f t="shared" si="40"/>
        <v>9.48060941828252e-7</v>
      </c>
      <c r="BH59" s="191">
        <f t="shared" si="40"/>
        <v>1.0072271468144e-5</v>
      </c>
      <c r="BR59" s="209" t="s">
        <v>330</v>
      </c>
      <c r="BS59" s="130">
        <f>第十三期!K14*比赛参数!D71/4</f>
        <v>240750.14275</v>
      </c>
      <c r="BT59" s="130"/>
      <c r="BU59" s="130">
        <f>BS59</f>
        <v>240750.14275</v>
      </c>
      <c r="BV59" s="130">
        <f t="shared" si="41"/>
        <v>6575083.10725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21008.4294513741</v>
      </c>
      <c r="CK59" s="108">
        <f t="shared" si="39"/>
        <v>39498.0267514835</v>
      </c>
      <c r="CL59" s="108">
        <f t="shared" si="39"/>
        <v>22331.4709558675</v>
      </c>
      <c r="CM59" s="108">
        <f t="shared" si="39"/>
        <v>29859.3379682085</v>
      </c>
      <c r="CN59" s="108">
        <f>SUM(CJ56:CM59)</f>
        <v>356224.068811119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第十三期!BS10-第十三期!CX53</f>
        <v>4607.57484393051</v>
      </c>
      <c r="CY59" s="242">
        <f>第十三期!BT10-第十三期!CY53</f>
        <v>4745.57484393051</v>
      </c>
      <c r="CZ59" s="242">
        <f>第十三期!BU10-第十三期!CZ53</f>
        <v>4801.57484393051</v>
      </c>
      <c r="DA59" s="242">
        <f>第十三期!BV10-第十三期!DA53</f>
        <v>4901.57484393051</v>
      </c>
      <c r="DB59" s="242">
        <f>AVERAGE(CX59:DA59)</f>
        <v>4764.07484393051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3200</v>
      </c>
      <c r="E60" s="26">
        <v>3200</v>
      </c>
      <c r="F60" s="26">
        <v>3450</v>
      </c>
      <c r="G60" s="26">
        <v>3550</v>
      </c>
      <c r="H60" s="26">
        <v>6350</v>
      </c>
      <c r="I60" s="26">
        <v>6350</v>
      </c>
      <c r="J60" s="26">
        <v>6550</v>
      </c>
      <c r="K60" s="26">
        <v>6650</v>
      </c>
      <c r="L60" s="26">
        <v>10050</v>
      </c>
      <c r="M60" s="26">
        <v>10050</v>
      </c>
      <c r="N60" s="26">
        <v>10250</v>
      </c>
      <c r="O60" s="26">
        <v>10350</v>
      </c>
      <c r="P60" s="26">
        <v>13050</v>
      </c>
      <c r="Q60" s="26">
        <v>13050</v>
      </c>
      <c r="R60" s="26">
        <v>13450</v>
      </c>
      <c r="S60" s="26">
        <v>13600</v>
      </c>
      <c r="T60" s="10"/>
      <c r="X60" s="11" t="s">
        <v>58</v>
      </c>
      <c r="Y60" s="127">
        <f>第十三期!DX9</f>
        <v>0</v>
      </c>
      <c r="Z60" s="127">
        <f>第十三期!DX13</f>
        <v>0</v>
      </c>
      <c r="AA60" s="127">
        <f>第十三期!DX17</f>
        <v>19</v>
      </c>
      <c r="AB60" s="127">
        <f>第十三期!DX21</f>
        <v>0</v>
      </c>
      <c r="AC60" s="108" t="s">
        <v>308</v>
      </c>
      <c r="AE60" s="11" t="s">
        <v>58</v>
      </c>
      <c r="AF60" s="127">
        <f>第十三期!DW9</f>
        <v>0</v>
      </c>
      <c r="AG60" s="127">
        <f>第十三期!DW13</f>
        <v>0</v>
      </c>
      <c r="AH60" s="127">
        <f>第十三期!DW17</f>
        <v>0</v>
      </c>
      <c r="AI60" s="127">
        <f>第十三期!DW21</f>
        <v>0</v>
      </c>
      <c r="AK60" s="126">
        <f>AF74</f>
        <v>135.75</v>
      </c>
      <c r="AL60" s="48">
        <f>AG74</f>
        <v>138.75</v>
      </c>
      <c r="AM60" s="48">
        <f>AH74</f>
        <v>32.25</v>
      </c>
      <c r="AN60" s="50">
        <f>AI74</f>
        <v>40.25</v>
      </c>
      <c r="AR60" s="190">
        <v>4</v>
      </c>
      <c r="AS60" s="191">
        <f t="shared" si="40"/>
        <v>0.00104839623268698</v>
      </c>
      <c r="AT60" s="191">
        <f t="shared" si="40"/>
        <v>0.000978043324099724</v>
      </c>
      <c r="AU60" s="191">
        <f t="shared" si="40"/>
        <v>0.000764959141274238</v>
      </c>
      <c r="AV60" s="191">
        <f t="shared" si="40"/>
        <v>0.00132956188365651</v>
      </c>
      <c r="AW60" s="191">
        <f t="shared" si="40"/>
        <v>3.67618836565096e-5</v>
      </c>
      <c r="AX60" s="191">
        <f t="shared" si="40"/>
        <v>2.88764819944598e-5</v>
      </c>
      <c r="AY60" s="191">
        <f t="shared" si="40"/>
        <v>1.82194182825484e-5</v>
      </c>
      <c r="AZ60" s="191">
        <f t="shared" si="40"/>
        <v>1.73318836565097e-5</v>
      </c>
      <c r="BA60" s="191">
        <f t="shared" si="40"/>
        <v>0.000152977839335181</v>
      </c>
      <c r="BB60" s="191">
        <f t="shared" si="40"/>
        <v>0.000184244903047092</v>
      </c>
      <c r="BC60" s="191">
        <f t="shared" si="40"/>
        <v>0.00015206783933518</v>
      </c>
      <c r="BD60" s="191">
        <f t="shared" si="40"/>
        <v>0.000159423850415513</v>
      </c>
      <c r="BE60" s="191">
        <f t="shared" si="40"/>
        <v>0.0024669520498615</v>
      </c>
      <c r="BF60" s="191">
        <f t="shared" si="40"/>
        <v>0.00284818836565097</v>
      </c>
      <c r="BG60" s="191">
        <f t="shared" si="40"/>
        <v>0.00028810595567867</v>
      </c>
      <c r="BH60" s="191">
        <f t="shared" si="40"/>
        <v>0.000319468587257617</v>
      </c>
      <c r="BR60" s="209" t="s">
        <v>332</v>
      </c>
      <c r="BS60" s="130">
        <f>第十三期!Y18*比赛参数!D58</f>
        <v>62000</v>
      </c>
      <c r="BT60" s="130"/>
      <c r="BU60" s="130">
        <f>BU59+BS60</f>
        <v>302750.14275</v>
      </c>
      <c r="BV60" s="130">
        <f t="shared" si="41"/>
        <v>6513083.10725</v>
      </c>
      <c r="BW60" s="126"/>
      <c r="CB60" s="196" t="s">
        <v>333</v>
      </c>
      <c r="CC60" s="108">
        <f>SUM(Y57:Y60)+CC56</f>
        <v>141</v>
      </c>
      <c r="CD60" s="108">
        <f>SUM(Z57:Z60)+CD56</f>
        <v>131</v>
      </c>
      <c r="CE60" s="108">
        <f>SUM(AA57:AA60)+CE56</f>
        <v>104</v>
      </c>
      <c r="CF60" s="108">
        <f>SUM(AB57:AB60)+CF56</f>
        <v>56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102000</v>
      </c>
      <c r="DN60" s="246"/>
    </row>
    <row r="61" customHeight="1" spans="2:118">
      <c r="B61" s="7"/>
      <c r="C61" s="25">
        <v>12</v>
      </c>
      <c r="D61" s="26">
        <v>3250</v>
      </c>
      <c r="E61" s="26">
        <v>3350</v>
      </c>
      <c r="F61" s="26">
        <v>3550</v>
      </c>
      <c r="G61" s="26">
        <v>3500</v>
      </c>
      <c r="H61" s="26">
        <v>6700</v>
      </c>
      <c r="I61" s="26">
        <v>6900</v>
      </c>
      <c r="J61" s="26">
        <v>6950</v>
      </c>
      <c r="K61" s="26">
        <v>7050</v>
      </c>
      <c r="L61" s="26">
        <v>9300</v>
      </c>
      <c r="M61" s="26">
        <v>9400</v>
      </c>
      <c r="N61" s="26">
        <v>8850</v>
      </c>
      <c r="O61" s="26">
        <v>9000</v>
      </c>
      <c r="P61" s="26">
        <v>11500</v>
      </c>
      <c r="Q61" s="26">
        <v>12250</v>
      </c>
      <c r="R61" s="26">
        <v>12500</v>
      </c>
      <c r="S61" s="26">
        <v>12400</v>
      </c>
      <c r="T61" s="10"/>
      <c r="X61" s="65" t="s">
        <v>334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589800</v>
      </c>
      <c r="AB61" s="130">
        <f>AB57*AI86+AB58*AI87+AB59*AI88+AB60*AI89</f>
        <v>117450</v>
      </c>
      <c r="AC61" s="130">
        <f>SUM(Y61:AB61)</f>
        <v>707250</v>
      </c>
      <c r="AE61" s="48"/>
      <c r="AF61" s="48"/>
      <c r="AG61" s="48"/>
      <c r="AH61" s="48"/>
      <c r="AI61" s="48"/>
      <c r="AK61" s="170">
        <f>AF82</f>
        <v>3365.19337016575</v>
      </c>
      <c r="AL61" s="171">
        <f>AG82</f>
        <v>6497.02702702703</v>
      </c>
      <c r="AM61" s="171">
        <f>AH82</f>
        <v>10201.9379844961</v>
      </c>
      <c r="AN61" s="172">
        <f>AI82</f>
        <v>13327.3291925466</v>
      </c>
      <c r="AR61" s="190">
        <v>5</v>
      </c>
      <c r="AS61" s="191">
        <f t="shared" si="40"/>
        <v>0.00205924886426593</v>
      </c>
      <c r="AT61" s="191">
        <f t="shared" si="40"/>
        <v>0.00220652700831025</v>
      </c>
      <c r="AU61" s="191">
        <f t="shared" si="40"/>
        <v>0.000608011772853185</v>
      </c>
      <c r="AV61" s="191">
        <f t="shared" si="40"/>
        <v>0.000598446094182826</v>
      </c>
      <c r="AW61" s="191">
        <f t="shared" si="40"/>
        <v>0.000477997673130193</v>
      </c>
      <c r="AX61" s="191">
        <f t="shared" si="40"/>
        <v>0.000435710692520775</v>
      </c>
      <c r="AY61" s="191">
        <f t="shared" si="40"/>
        <v>0.000821878365650969</v>
      </c>
      <c r="AZ61" s="191">
        <f t="shared" si="40"/>
        <v>0.000194969778393352</v>
      </c>
      <c r="BA61" s="191">
        <f t="shared" si="40"/>
        <v>0.00277396257617729</v>
      </c>
      <c r="BB61" s="191">
        <f t="shared" si="40"/>
        <v>0.00254759279778393</v>
      </c>
      <c r="BC61" s="191">
        <f t="shared" si="40"/>
        <v>0.00104771468144044</v>
      </c>
      <c r="BD61" s="191">
        <f t="shared" si="40"/>
        <v>0.00131578016620499</v>
      </c>
      <c r="BE61" s="191">
        <f t="shared" si="40"/>
        <v>0.00032513783933518</v>
      </c>
      <c r="BF61" s="191">
        <f t="shared" si="40"/>
        <v>0.000300383628808864</v>
      </c>
      <c r="BG61" s="191">
        <f t="shared" si="40"/>
        <v>0.000584367008310249</v>
      </c>
      <c r="BH61" s="191">
        <f t="shared" si="40"/>
        <v>0.000268097534626039</v>
      </c>
      <c r="BR61" s="209" t="s">
        <v>335</v>
      </c>
      <c r="BS61" s="130">
        <f>第十三期!AA18*比赛参数!D62</f>
        <v>24000</v>
      </c>
      <c r="BT61" s="130"/>
      <c r="BU61" s="130">
        <f>BU60+BS61</f>
        <v>326750.14275</v>
      </c>
      <c r="BV61" s="130">
        <f t="shared" si="41"/>
        <v>6489083.10725</v>
      </c>
      <c r="BW61" s="126"/>
      <c r="CB61" s="196" t="s">
        <v>35</v>
      </c>
      <c r="CC61" s="108">
        <f>CC56+CC57-CC58+CC59</f>
        <v>164</v>
      </c>
      <c r="CD61" s="108">
        <f>CD56+CD57-CD58+CD59</f>
        <v>134</v>
      </c>
      <c r="CE61" s="108">
        <f>CE56+CE57-CE58+CE59</f>
        <v>60</v>
      </c>
      <c r="CF61" s="108">
        <f>CF56+CF57-CF58+CF59</f>
        <v>57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>
        <v>3500</v>
      </c>
      <c r="E62" s="26">
        <v>3540</v>
      </c>
      <c r="F62" s="26">
        <v>4090</v>
      </c>
      <c r="G62" s="26">
        <v>3920</v>
      </c>
      <c r="H62" s="26">
        <v>6390</v>
      </c>
      <c r="I62" s="26">
        <v>6410</v>
      </c>
      <c r="J62" s="26">
        <v>6610</v>
      </c>
      <c r="K62" s="26">
        <v>6680</v>
      </c>
      <c r="L62" s="26">
        <v>9660</v>
      </c>
      <c r="M62" s="26">
        <v>9660</v>
      </c>
      <c r="N62" s="26">
        <v>10100</v>
      </c>
      <c r="O62" s="26">
        <v>10100</v>
      </c>
      <c r="P62" s="26">
        <v>12750</v>
      </c>
      <c r="Q62" s="26">
        <v>12750</v>
      </c>
      <c r="R62" s="26">
        <v>13300</v>
      </c>
      <c r="S62" s="26">
        <v>13500</v>
      </c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>
        <f t="shared" si="40"/>
        <v>0.00146084886426593</v>
      </c>
      <c r="AT62" s="191">
        <f t="shared" si="40"/>
        <v>0.00146890648199446</v>
      </c>
      <c r="AU62" s="191">
        <f t="shared" si="40"/>
        <v>0.00131349019390582</v>
      </c>
      <c r="AV62" s="191">
        <f t="shared" si="40"/>
        <v>0.00132036609418283</v>
      </c>
      <c r="AW62" s="191">
        <f t="shared" si="40"/>
        <v>0.00277063714681441</v>
      </c>
      <c r="AX62" s="191">
        <f t="shared" si="40"/>
        <v>0.00143840542936288</v>
      </c>
      <c r="AY62" s="191">
        <f t="shared" si="40"/>
        <v>0.00277008310249308</v>
      </c>
      <c r="AZ62" s="191">
        <f t="shared" si="40"/>
        <v>0.0027706371468144</v>
      </c>
      <c r="BA62" s="191">
        <f t="shared" si="40"/>
        <v>0.00277008310249307</v>
      </c>
      <c r="BB62" s="191">
        <f t="shared" si="40"/>
        <v>0.00261390016620498</v>
      </c>
      <c r="BC62" s="191">
        <f t="shared" si="40"/>
        <v>0.00254334415512465</v>
      </c>
      <c r="BD62" s="191">
        <f t="shared" si="40"/>
        <v>0.00276952911357341</v>
      </c>
      <c r="BE62" s="191">
        <f t="shared" si="40"/>
        <v>0.00277008310249307</v>
      </c>
      <c r="BF62" s="191">
        <f t="shared" si="40"/>
        <v>0.00277008310249307</v>
      </c>
      <c r="BG62" s="191">
        <f t="shared" si="40"/>
        <v>0.00276952911357341</v>
      </c>
      <c r="BH62" s="191">
        <f t="shared" si="40"/>
        <v>0.00276952911357341</v>
      </c>
      <c r="BR62" s="209" t="s">
        <v>336</v>
      </c>
      <c r="BS62" s="130">
        <f>((第十三期!K8-第十三期!AA18)*比赛参数!D65+第十三期!Y18*比赛参数!D59*比赛参数!D65)*第十三期!AH18*520</f>
        <v>2061800</v>
      </c>
      <c r="BT62" s="130"/>
      <c r="BU62" s="130">
        <f>BU61+BS62</f>
        <v>2388550.14275</v>
      </c>
      <c r="BV62" s="130">
        <f t="shared" si="41"/>
        <v>4427283.10725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CX56/第十三期!CQ56</f>
        <v>13.5918508741346</v>
      </c>
      <c r="CY62" s="242">
        <f>CY56/第十三期!CR56</f>
        <v>14.0018508741346</v>
      </c>
      <c r="CZ62" s="242">
        <f>CZ56/第十三期!CS56</f>
        <v>13.9218508741346</v>
      </c>
      <c r="DA62" s="242">
        <f>DA56/第十三期!CT56</f>
        <v>13.9218508741346</v>
      </c>
      <c r="DB62" s="242">
        <f>AVERAGE(CX62:DA62)</f>
        <v>13.8593508741346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>
        <v>3150</v>
      </c>
      <c r="E63" s="26">
        <v>3150</v>
      </c>
      <c r="F63" s="26">
        <v>3250</v>
      </c>
      <c r="G63" s="26">
        <v>3250</v>
      </c>
      <c r="H63" s="26">
        <v>6379</v>
      </c>
      <c r="I63" s="26">
        <v>6479</v>
      </c>
      <c r="J63" s="26">
        <v>6700</v>
      </c>
      <c r="K63" s="26">
        <v>6700</v>
      </c>
      <c r="L63" s="26">
        <v>9500</v>
      </c>
      <c r="M63" s="26">
        <v>9500</v>
      </c>
      <c r="N63" s="26">
        <v>9839</v>
      </c>
      <c r="O63" s="26">
        <v>9839</v>
      </c>
      <c r="P63" s="26">
        <v>11599</v>
      </c>
      <c r="Q63" s="26">
        <v>11599</v>
      </c>
      <c r="R63" s="26">
        <v>12599</v>
      </c>
      <c r="S63" s="26">
        <v>12599</v>
      </c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>
        <f t="shared" si="40"/>
        <v>5.50720221606649e-5</v>
      </c>
      <c r="AT63" s="191">
        <f t="shared" si="40"/>
        <v>3.0540166204986e-5</v>
      </c>
      <c r="AU63" s="191">
        <f t="shared" si="40"/>
        <v>6.9854404432133e-5</v>
      </c>
      <c r="AV63" s="191">
        <f t="shared" si="40"/>
        <v>3.85398891966761e-6</v>
      </c>
      <c r="AW63" s="191">
        <f t="shared" si="40"/>
        <v>0.000194969778393352</v>
      </c>
      <c r="AX63" s="191">
        <f t="shared" si="40"/>
        <v>0.000170921218836565</v>
      </c>
      <c r="AY63" s="191">
        <f t="shared" si="40"/>
        <v>7.20498614958404e-8</v>
      </c>
      <c r="AZ63" s="191">
        <f t="shared" si="40"/>
        <v>6.92520775623295e-8</v>
      </c>
      <c r="BA63" s="191">
        <f t="shared" si="40"/>
        <v>0.000118122576177286</v>
      </c>
      <c r="BB63" s="191">
        <f t="shared" si="40"/>
        <v>0.000143369113573408</v>
      </c>
      <c r="BC63" s="191">
        <f t="shared" si="40"/>
        <v>0.000448102049861496</v>
      </c>
      <c r="BD63" s="191">
        <f t="shared" si="40"/>
        <v>0.000427401218836565</v>
      </c>
      <c r="BE63" s="191">
        <f t="shared" si="40"/>
        <v>0.00130093099722992</v>
      </c>
      <c r="BF63" s="191">
        <f t="shared" si="40"/>
        <v>0.00138149152354571</v>
      </c>
      <c r="BG63" s="191">
        <f t="shared" si="40"/>
        <v>9.35801662049861e-5</v>
      </c>
      <c r="BH63" s="191">
        <f t="shared" si="40"/>
        <v>0.000109698060941828</v>
      </c>
      <c r="BR63" s="209" t="s">
        <v>80</v>
      </c>
      <c r="BS63" s="130">
        <f>第十三期!K9*比赛参数!D49</f>
        <v>92700</v>
      </c>
      <c r="BT63" s="130"/>
      <c r="BU63" s="130">
        <f>BU62+BS63</f>
        <v>2481250.14275</v>
      </c>
      <c r="BV63" s="130">
        <f t="shared" si="41"/>
        <v>4334583.10725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CX57/第十三期!CQ57</f>
        <v>9.51003064941548</v>
      </c>
      <c r="CY63" s="242">
        <f>CY57/第十三期!CR57</f>
        <v>9.84603064941548</v>
      </c>
      <c r="CZ63" s="242">
        <f>CZ57/第十三期!CS57</f>
        <v>9.85803064941548</v>
      </c>
      <c r="DA63" s="242">
        <f>DA57/第十三期!CT57</f>
        <v>9.97803064941548</v>
      </c>
      <c r="DB63" s="242">
        <f>AVERAGE(CX63:DA63)</f>
        <v>9.79803064941548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>
        <v>3400</v>
      </c>
      <c r="E64" s="26">
        <v>3300</v>
      </c>
      <c r="F64" s="26">
        <v>3500</v>
      </c>
      <c r="G64" s="26">
        <v>3500</v>
      </c>
      <c r="H64" s="26">
        <v>6600</v>
      </c>
      <c r="I64" s="26">
        <v>6600</v>
      </c>
      <c r="J64" s="26">
        <v>6999</v>
      </c>
      <c r="K64" s="26">
        <v>7100</v>
      </c>
      <c r="L64" s="26">
        <v>9700</v>
      </c>
      <c r="M64" s="26">
        <v>9699</v>
      </c>
      <c r="N64" s="26">
        <v>9999</v>
      </c>
      <c r="O64" s="26">
        <v>9999</v>
      </c>
      <c r="P64" s="26">
        <v>12452</v>
      </c>
      <c r="Q64" s="26">
        <v>12383</v>
      </c>
      <c r="R64" s="26">
        <v>13349</v>
      </c>
      <c r="S64" s="26">
        <v>13426</v>
      </c>
      <c r="T64" s="10"/>
      <c r="X64" s="64" t="s">
        <v>55</v>
      </c>
      <c r="Y64" s="108">
        <f t="shared" ref="Y64:AB67" si="42">AF64-AF70</f>
        <v>-5</v>
      </c>
      <c r="Z64" s="108">
        <f t="shared" si="42"/>
        <v>-15</v>
      </c>
      <c r="AA64" s="108">
        <f t="shared" si="42"/>
        <v>31</v>
      </c>
      <c r="AB64" s="108">
        <f t="shared" si="42"/>
        <v>14</v>
      </c>
      <c r="AC64" s="126"/>
      <c r="AE64" s="64" t="s">
        <v>55</v>
      </c>
      <c r="AF64" s="131">
        <f t="shared" ref="AF64:AI67" si="43">IF(Y88+Y57-AF57-Y108&gt;0,Y88+Y57-AF57-Y108,0)</f>
        <v>115</v>
      </c>
      <c r="AG64" s="131">
        <f t="shared" si="43"/>
        <v>102</v>
      </c>
      <c r="AH64" s="131">
        <f t="shared" si="43"/>
        <v>56</v>
      </c>
      <c r="AI64" s="131">
        <f t="shared" si="43"/>
        <v>47</v>
      </c>
      <c r="AJ64" s="126"/>
      <c r="AL64" s="48"/>
      <c r="AN64" s="173"/>
      <c r="AO64" s="173"/>
      <c r="AR64" s="190">
        <v>8</v>
      </c>
      <c r="AS64" s="191">
        <f t="shared" si="40"/>
        <v>0.000476158337950139</v>
      </c>
      <c r="AT64" s="191">
        <f t="shared" si="40"/>
        <v>0.000369651218836565</v>
      </c>
      <c r="AU64" s="191">
        <f t="shared" si="40"/>
        <v>7.29675623268698e-5</v>
      </c>
      <c r="AV64" s="191">
        <f t="shared" si="40"/>
        <v>0.000797319252077562</v>
      </c>
      <c r="AW64" s="191">
        <f t="shared" si="40"/>
        <v>0.000152197673130194</v>
      </c>
      <c r="AX64" s="191">
        <f t="shared" si="40"/>
        <v>0.000164514376731302</v>
      </c>
      <c r="AY64" s="191">
        <f t="shared" si="40"/>
        <v>0.000553735207756233</v>
      </c>
      <c r="AZ64" s="191">
        <f t="shared" si="40"/>
        <v>0.000572972409972299</v>
      </c>
      <c r="BA64" s="191">
        <f t="shared" si="40"/>
        <v>0.0032796720498615</v>
      </c>
      <c r="BB64" s="191">
        <f t="shared" si="40"/>
        <v>0.00338417753462604</v>
      </c>
      <c r="BC64" s="191">
        <f t="shared" si="40"/>
        <v>0.00065886783933518</v>
      </c>
      <c r="BD64" s="191">
        <f t="shared" si="40"/>
        <v>0.00069030648199446</v>
      </c>
      <c r="BE64" s="191">
        <f t="shared" si="40"/>
        <v>0.0016457967867036</v>
      </c>
      <c r="BF64" s="191">
        <f t="shared" si="40"/>
        <v>0.0014952467867036</v>
      </c>
      <c r="BG64" s="191">
        <f t="shared" si="40"/>
        <v>0.00161392490304709</v>
      </c>
      <c r="BH64" s="191">
        <f t="shared" si="40"/>
        <v>0.00182958806094183</v>
      </c>
      <c r="BR64" s="209" t="s">
        <v>301</v>
      </c>
      <c r="BS64" s="130">
        <f>第十三期!AL37</f>
        <v>0</v>
      </c>
      <c r="BT64" s="130"/>
      <c r="BU64" s="130"/>
      <c r="BV64" s="130">
        <f t="shared" si="41"/>
        <v>4334583.10725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CX58/第十三期!CQ58</f>
        <v>9.78952004706691</v>
      </c>
      <c r="CY64" s="242">
        <f>CY58/第十三期!CR58</f>
        <v>10.0842568891722</v>
      </c>
      <c r="CZ64" s="242">
        <f>CZ58/第十三期!CS58</f>
        <v>10.068467415488</v>
      </c>
      <c r="DA64" s="242">
        <f>DA58/第十三期!CT58</f>
        <v>9.93688846811954</v>
      </c>
      <c r="DB64" s="242">
        <f>AVERAGE(CX64:DA64)</f>
        <v>9.96978320496165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>
        <v>3158</v>
      </c>
      <c r="E65" s="26">
        <v>3158</v>
      </c>
      <c r="F65" s="26">
        <v>3358</v>
      </c>
      <c r="G65" s="26">
        <v>3458</v>
      </c>
      <c r="H65" s="26">
        <v>6428</v>
      </c>
      <c r="I65" s="26">
        <v>6428</v>
      </c>
      <c r="J65" s="26">
        <v>6718</v>
      </c>
      <c r="K65" s="26">
        <v>6758</v>
      </c>
      <c r="L65" s="26">
        <v>9318</v>
      </c>
      <c r="M65" s="26">
        <v>9318</v>
      </c>
      <c r="N65" s="26">
        <v>9758</v>
      </c>
      <c r="O65" s="26">
        <v>9858</v>
      </c>
      <c r="P65" s="26">
        <v>12218</v>
      </c>
      <c r="Q65" s="26">
        <v>12218</v>
      </c>
      <c r="R65" s="26">
        <v>13018</v>
      </c>
      <c r="S65" s="26">
        <v>13358</v>
      </c>
      <c r="T65" s="10"/>
      <c r="X65" s="11" t="s">
        <v>56</v>
      </c>
      <c r="Y65" s="108">
        <f t="shared" si="42"/>
        <v>-6</v>
      </c>
      <c r="Z65" s="108">
        <f t="shared" si="42"/>
        <v>-9</v>
      </c>
      <c r="AA65" s="108">
        <f t="shared" si="42"/>
        <v>32</v>
      </c>
      <c r="AB65" s="108">
        <f t="shared" si="42"/>
        <v>12</v>
      </c>
      <c r="AC65" s="126"/>
      <c r="AE65" s="11" t="s">
        <v>56</v>
      </c>
      <c r="AF65" s="131">
        <f t="shared" si="43"/>
        <v>115</v>
      </c>
      <c r="AG65" s="131">
        <f t="shared" si="43"/>
        <v>101</v>
      </c>
      <c r="AH65" s="131">
        <f t="shared" si="43"/>
        <v>57</v>
      </c>
      <c r="AI65" s="131">
        <f t="shared" si="43"/>
        <v>46</v>
      </c>
      <c r="AJ65" s="126"/>
      <c r="AL65" s="48"/>
      <c r="AN65" s="173"/>
      <c r="AO65" s="173"/>
      <c r="AR65" s="190">
        <v>9</v>
      </c>
      <c r="AS65" s="191">
        <f t="shared" si="40"/>
        <v>3.20221606648188e-8</v>
      </c>
      <c r="AT65" s="191">
        <f t="shared" si="40"/>
        <v>1.5955678670358e-8</v>
      </c>
      <c r="AU65" s="191">
        <f t="shared" si="40"/>
        <v>0.000333350720221607</v>
      </c>
      <c r="AV65" s="191">
        <f t="shared" si="40"/>
        <v>9.3376620498615e-5</v>
      </c>
      <c r="AW65" s="191">
        <f t="shared" si="40"/>
        <v>0.00199479767313019</v>
      </c>
      <c r="AX65" s="191">
        <f t="shared" si="40"/>
        <v>0.00114742648199446</v>
      </c>
      <c r="AY65" s="191">
        <f t="shared" si="40"/>
        <v>0.00255716520775623</v>
      </c>
      <c r="AZ65" s="191">
        <f t="shared" si="40"/>
        <v>0.00108656977839335</v>
      </c>
      <c r="BA65" s="191">
        <f t="shared" si="40"/>
        <v>0.000194088891966759</v>
      </c>
      <c r="BB65" s="191">
        <f t="shared" si="40"/>
        <v>0.000199552797783933</v>
      </c>
      <c r="BC65" s="191">
        <f t="shared" si="40"/>
        <v>0.000247482576177285</v>
      </c>
      <c r="BD65" s="191">
        <f t="shared" si="40"/>
        <v>0.000511950166204986</v>
      </c>
      <c r="BE65" s="191">
        <f t="shared" si="40"/>
        <v>0.000507672049861496</v>
      </c>
      <c r="BF65" s="191">
        <f t="shared" si="40"/>
        <v>0.000535069944598338</v>
      </c>
      <c r="BG65" s="191">
        <f t="shared" si="40"/>
        <v>0.000956437008310249</v>
      </c>
      <c r="BH65" s="191">
        <f t="shared" si="40"/>
        <v>0.00122684279778393</v>
      </c>
      <c r="BR65" s="209" t="s">
        <v>340</v>
      </c>
      <c r="BS65" s="91">
        <f>0.5*第十三期!AL37+0.5*第十三期!DV23</f>
        <v>0</v>
      </c>
      <c r="BT65" s="130"/>
      <c r="BU65" s="130">
        <f>BU63+BS65</f>
        <v>2481250.14275</v>
      </c>
      <c r="BV65" s="130"/>
      <c r="BW65" s="126"/>
      <c r="CB65" s="196" t="s">
        <v>341</v>
      </c>
      <c r="CC65" s="108">
        <f>(CC60-CC61)*CC63</f>
        <v>-52192.3076923077</v>
      </c>
      <c r="CD65" s="108">
        <f>(CD60-CD61)*CD63</f>
        <v>-13869.2307692308</v>
      </c>
      <c r="CE65" s="108">
        <f>(CE60-CE61)*CE63</f>
        <v>295815.384615385</v>
      </c>
      <c r="CF65" s="108">
        <f>(CF60-CF61)*CF63</f>
        <v>-9000</v>
      </c>
      <c r="CG65" s="108">
        <f>SUM(CC65:CF65)</f>
        <v>220753.846153846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CX59/第十三期!CQ59</f>
        <v>8.86072085371253</v>
      </c>
      <c r="CY65" s="242">
        <f>CY59/第十三期!CR59</f>
        <v>9.12610546909714</v>
      </c>
      <c r="CZ65" s="242">
        <f>CZ59/第十三期!CS59</f>
        <v>9.23379777678945</v>
      </c>
      <c r="DA65" s="242">
        <f>DA59/第十三期!CT59</f>
        <v>9.42610546909714</v>
      </c>
      <c r="DB65" s="242">
        <f>AVERAGE(CX65:DA65)</f>
        <v>9.16168239217406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>
        <v>4200</v>
      </c>
      <c r="E66" s="26">
        <v>4200</v>
      </c>
      <c r="F66" s="26">
        <v>4380</v>
      </c>
      <c r="G66" s="26">
        <v>4380</v>
      </c>
      <c r="H66" s="26">
        <v>6280</v>
      </c>
      <c r="I66" s="26">
        <v>6280</v>
      </c>
      <c r="J66" s="26">
        <v>6950</v>
      </c>
      <c r="K66" s="26">
        <v>6850</v>
      </c>
      <c r="L66" s="26">
        <v>9300</v>
      </c>
      <c r="M66" s="26">
        <v>9300</v>
      </c>
      <c r="N66" s="26">
        <v>9400</v>
      </c>
      <c r="O66" s="26">
        <v>9400</v>
      </c>
      <c r="P66" s="26">
        <v>11800</v>
      </c>
      <c r="Q66" s="26">
        <v>11800</v>
      </c>
      <c r="R66" s="26">
        <v>13200</v>
      </c>
      <c r="S66" s="26">
        <v>13200</v>
      </c>
      <c r="T66" s="10"/>
      <c r="V66" s="277"/>
      <c r="X66" s="11" t="s">
        <v>57</v>
      </c>
      <c r="Y66" s="108">
        <f t="shared" si="42"/>
        <v>17</v>
      </c>
      <c r="Z66" s="108">
        <f t="shared" si="42"/>
        <v>-17</v>
      </c>
      <c r="AA66" s="108">
        <f t="shared" si="42"/>
        <v>25</v>
      </c>
      <c r="AB66" s="108">
        <f t="shared" si="42"/>
        <v>14</v>
      </c>
      <c r="AC66" s="126"/>
      <c r="AE66" s="11" t="s">
        <v>57</v>
      </c>
      <c r="AF66" s="131">
        <f t="shared" si="43"/>
        <v>177</v>
      </c>
      <c r="AG66" s="131">
        <f t="shared" si="43"/>
        <v>151</v>
      </c>
      <c r="AH66" s="131">
        <f t="shared" si="43"/>
        <v>66</v>
      </c>
      <c r="AI66" s="131">
        <f t="shared" si="43"/>
        <v>61</v>
      </c>
      <c r="AJ66" s="126"/>
      <c r="AL66" s="48"/>
      <c r="AR66" s="190">
        <v>10</v>
      </c>
      <c r="AS66" s="191">
        <f t="shared" si="40"/>
        <v>0.0014883351800554</v>
      </c>
      <c r="AT66" s="191">
        <f t="shared" si="40"/>
        <v>0.0017786196398892</v>
      </c>
      <c r="AU66" s="191">
        <f t="shared" si="40"/>
        <v>0.00352335966759003</v>
      </c>
      <c r="AV66" s="191">
        <f t="shared" si="40"/>
        <v>0.00278395083102493</v>
      </c>
      <c r="AW66" s="191">
        <f t="shared" si="40"/>
        <v>0.000940229252077562</v>
      </c>
      <c r="AX66" s="191">
        <f t="shared" si="40"/>
        <v>0.00108726385041551</v>
      </c>
      <c r="AY66" s="191">
        <f t="shared" si="40"/>
        <v>0.00170308257617728</v>
      </c>
      <c r="AZ66" s="191">
        <f t="shared" si="40"/>
        <v>0.00242685872576177</v>
      </c>
      <c r="BA66" s="191">
        <f t="shared" si="40"/>
        <v>8.59036288088645e-5</v>
      </c>
      <c r="BB66" s="191">
        <f t="shared" si="40"/>
        <v>0.000109698060941829</v>
      </c>
      <c r="BC66" s="191">
        <f t="shared" si="40"/>
        <v>0.00065886783933518</v>
      </c>
      <c r="BD66" s="191">
        <f t="shared" si="40"/>
        <v>0.000749318587257618</v>
      </c>
      <c r="BE66" s="191">
        <f t="shared" si="40"/>
        <v>8.15694182825484e-5</v>
      </c>
      <c r="BF66" s="191">
        <f t="shared" si="40"/>
        <v>9.86362603878115e-5</v>
      </c>
      <c r="BG66" s="191">
        <f t="shared" si="40"/>
        <v>0.00028810595567867</v>
      </c>
      <c r="BH66" s="191">
        <f t="shared" si="40"/>
        <v>0.000375339639889196</v>
      </c>
      <c r="BR66" s="209" t="s">
        <v>236</v>
      </c>
      <c r="BS66" s="130">
        <f>第十三期!AC18</f>
        <v>2104208</v>
      </c>
      <c r="BT66" s="130"/>
      <c r="BU66" s="130"/>
      <c r="BV66" s="130">
        <f>BV64-BS66</f>
        <v>2230375.10725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>
        <v>3600</v>
      </c>
      <c r="E67" s="26">
        <v>3600</v>
      </c>
      <c r="F67" s="26">
        <v>3688</v>
      </c>
      <c r="G67" s="26">
        <v>3588</v>
      </c>
      <c r="H67" s="26">
        <v>6488</v>
      </c>
      <c r="I67" s="26">
        <v>6400</v>
      </c>
      <c r="J67" s="26">
        <v>7000</v>
      </c>
      <c r="K67" s="26">
        <v>6700</v>
      </c>
      <c r="L67" s="26">
        <v>9400</v>
      </c>
      <c r="M67" s="26">
        <v>9588</v>
      </c>
      <c r="N67" s="26">
        <v>9799</v>
      </c>
      <c r="O67" s="26">
        <v>9799</v>
      </c>
      <c r="P67" s="26">
        <v>12588</v>
      </c>
      <c r="Q67" s="26">
        <v>12588</v>
      </c>
      <c r="R67" s="26">
        <v>13099</v>
      </c>
      <c r="S67" s="26">
        <v>13299</v>
      </c>
      <c r="T67" s="10"/>
      <c r="X67" s="11" t="s">
        <v>58</v>
      </c>
      <c r="Y67" s="108">
        <f t="shared" si="42"/>
        <v>38</v>
      </c>
      <c r="Z67" s="108">
        <f t="shared" si="42"/>
        <v>-9</v>
      </c>
      <c r="AA67" s="108">
        <f t="shared" si="42"/>
        <v>41</v>
      </c>
      <c r="AB67" s="108">
        <f t="shared" si="42"/>
        <v>14</v>
      </c>
      <c r="AC67" s="126"/>
      <c r="AE67" s="11" t="s">
        <v>58</v>
      </c>
      <c r="AF67" s="131">
        <f t="shared" si="43"/>
        <v>180</v>
      </c>
      <c r="AG67" s="131">
        <f t="shared" si="43"/>
        <v>151</v>
      </c>
      <c r="AH67" s="131">
        <f t="shared" si="43"/>
        <v>79</v>
      </c>
      <c r="AI67" s="131">
        <f t="shared" si="43"/>
        <v>61</v>
      </c>
      <c r="AJ67" s="126"/>
      <c r="AL67" s="48"/>
      <c r="AR67" s="190">
        <v>11</v>
      </c>
      <c r="AS67" s="191">
        <f t="shared" si="40"/>
        <v>0.000348903074792244</v>
      </c>
      <c r="AT67" s="191">
        <f t="shared" si="40"/>
        <v>0.000333927534626039</v>
      </c>
      <c r="AU67" s="191">
        <f t="shared" si="40"/>
        <v>0.000315342825484765</v>
      </c>
      <c r="AV67" s="191">
        <f t="shared" si="40"/>
        <v>0.000236026620498615</v>
      </c>
      <c r="AW67" s="191">
        <f t="shared" si="40"/>
        <v>0.00248633451523546</v>
      </c>
      <c r="AX67" s="191">
        <f t="shared" si="40"/>
        <v>0.00181251858725762</v>
      </c>
      <c r="AY67" s="191">
        <f t="shared" si="40"/>
        <v>0.00318868257617728</v>
      </c>
      <c r="AZ67" s="191">
        <f t="shared" si="40"/>
        <v>0.0026897871468144</v>
      </c>
      <c r="BA67" s="191">
        <f t="shared" si="40"/>
        <v>0.000194088891966759</v>
      </c>
      <c r="BB67" s="191">
        <f t="shared" si="40"/>
        <v>0.000199552797783933</v>
      </c>
      <c r="BC67" s="191">
        <f t="shared" si="40"/>
        <v>4.53141551246537e-5</v>
      </c>
      <c r="BD67" s="191">
        <f t="shared" si="40"/>
        <v>0.000108708060941828</v>
      </c>
      <c r="BE67" s="191">
        <f t="shared" si="40"/>
        <v>9.19047091412742e-6</v>
      </c>
      <c r="BF67" s="191">
        <f t="shared" si="40"/>
        <v>6.40889196675899e-6</v>
      </c>
      <c r="BG67" s="191">
        <f t="shared" si="40"/>
        <v>0.000239434903047091</v>
      </c>
      <c r="BH67" s="191">
        <f t="shared" si="40"/>
        <v>0.000268097534626039</v>
      </c>
      <c r="BR67" s="209" t="s">
        <v>342</v>
      </c>
      <c r="BS67" s="130">
        <f>IF(第十三期!AC18&gt;=比赛参数!D33,(1-比赛参数!E33)*第十三期!AC18,0)+IF(AND(第十三期!AC18&gt;=比赛参数!D34,第十三期!AC18&lt;比赛参数!D33),(1-比赛参数!E34)*第十三期!AC18,0)+IF(AND(第十三期!AC18&gt;=比赛参数!D35,第十三期!AC18&lt;比赛参数!D34),(1-比赛参数!E35)*第十三期!AC18,0)+IF(AND(第十三期!AC18&gt;=比赛参数!D36,第十三期!AC18&lt;比赛参数!D35),(1-比赛参数!E36)*第十三期!AC18,0)</f>
        <v>168336.64</v>
      </c>
      <c r="BT67" s="130">
        <f>BS67</f>
        <v>168336.64</v>
      </c>
      <c r="BU67" s="130"/>
      <c r="BV67" s="130">
        <f>BV66+BS67</f>
        <v>2398711.74725</v>
      </c>
      <c r="BW67" s="126"/>
      <c r="CB67" s="196" t="s">
        <v>343</v>
      </c>
      <c r="CC67" s="108">
        <f>(CC60+CC61)/2*CC62</f>
        <v>6100</v>
      </c>
      <c r="CD67" s="108">
        <f>(CD60+CD61)/2*CD62</f>
        <v>7950</v>
      </c>
      <c r="CE67" s="108">
        <f>(CE60+CE61)/2*CE62</f>
        <v>9840</v>
      </c>
      <c r="CF67" s="108">
        <f>(CF60+CF61)/2*CF62</f>
        <v>7910</v>
      </c>
      <c r="CG67" s="108">
        <f>SUM(CC67:CF67)</f>
        <v>31800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>
        <v>3050</v>
      </c>
      <c r="E68" s="26">
        <v>3050</v>
      </c>
      <c r="F68" s="26">
        <v>3150</v>
      </c>
      <c r="G68" s="26">
        <v>3350</v>
      </c>
      <c r="H68" s="26">
        <v>6000</v>
      </c>
      <c r="I68" s="26">
        <v>6000</v>
      </c>
      <c r="J68" s="26">
        <v>7000</v>
      </c>
      <c r="K68" s="26">
        <v>7000</v>
      </c>
      <c r="L68" s="26">
        <v>8700</v>
      </c>
      <c r="M68" s="26">
        <v>9000</v>
      </c>
      <c r="N68" s="26">
        <v>9100</v>
      </c>
      <c r="O68" s="26">
        <v>9500</v>
      </c>
      <c r="P68" s="26">
        <v>12000</v>
      </c>
      <c r="Q68" s="26">
        <v>10500</v>
      </c>
      <c r="R68" s="26">
        <v>11500</v>
      </c>
      <c r="S68" s="26">
        <v>12000</v>
      </c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587</v>
      </c>
      <c r="AG68" s="48">
        <f>SUM(AG64:AG67)</f>
        <v>505</v>
      </c>
      <c r="AH68" s="48">
        <f>SUM(AH64:AH67)</f>
        <v>258</v>
      </c>
      <c r="AI68" s="48">
        <f>SUM(AI64:AI67)</f>
        <v>215</v>
      </c>
      <c r="AJ68" s="48">
        <f>AF68/4</f>
        <v>146.75</v>
      </c>
      <c r="AK68" s="48">
        <f>AG68/4</f>
        <v>126.25</v>
      </c>
      <c r="AL68" s="48">
        <f>AH68/4</f>
        <v>64.5</v>
      </c>
      <c r="AM68" s="48">
        <f>AI68/4</f>
        <v>53.75</v>
      </c>
      <c r="AR68" s="190">
        <v>12</v>
      </c>
      <c r="AS68" s="191">
        <f t="shared" si="40"/>
        <v>0.000132734653739612</v>
      </c>
      <c r="AT68" s="191">
        <f t="shared" si="40"/>
        <v>0.000950261745152354</v>
      </c>
      <c r="AU68" s="191">
        <f t="shared" si="40"/>
        <v>0.000803274930747922</v>
      </c>
      <c r="AV68" s="191">
        <f t="shared" si="40"/>
        <v>0.000311058199445983</v>
      </c>
      <c r="AW68" s="191">
        <f t="shared" si="40"/>
        <v>0.000175213988919668</v>
      </c>
      <c r="AX68" s="191">
        <f t="shared" si="40"/>
        <v>0.000498464376731302</v>
      </c>
      <c r="AY68" s="191">
        <f t="shared" si="40"/>
        <v>9.27673130193909e-5</v>
      </c>
      <c r="AZ68" s="191">
        <f t="shared" si="40"/>
        <v>0.000147302936288089</v>
      </c>
      <c r="BA68" s="191">
        <f t="shared" si="40"/>
        <v>0.00277008310249307</v>
      </c>
      <c r="BB68" s="191">
        <f t="shared" si="40"/>
        <v>0.00276952911357341</v>
      </c>
      <c r="BC68" s="191">
        <f t="shared" si="40"/>
        <v>0.00419494836565097</v>
      </c>
      <c r="BD68" s="191">
        <f t="shared" si="40"/>
        <v>0.00204066174515235</v>
      </c>
      <c r="BE68" s="191">
        <f t="shared" si="40"/>
        <v>2.15626038781165e-6</v>
      </c>
      <c r="BF68" s="191">
        <f t="shared" si="40"/>
        <v>1.13462603878117e-5</v>
      </c>
      <c r="BG68" s="191">
        <f t="shared" si="40"/>
        <v>0.00168315858725762</v>
      </c>
      <c r="BH68" s="191">
        <f t="shared" si="40"/>
        <v>0.00132687648199446</v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0.718835608057565</v>
      </c>
      <c r="CY68" s="242">
        <f t="shared" si="44"/>
        <v>0.756932533026031</v>
      </c>
      <c r="CZ68" s="242">
        <f t="shared" si="44"/>
        <v>0.693383179239362</v>
      </c>
      <c r="DA68" s="242">
        <f t="shared" si="44"/>
        <v>0.676535619845212</v>
      </c>
      <c r="DB68" s="242">
        <f t="shared" si="44"/>
        <v>0.71016602034343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>
        <f t="shared" si="40"/>
        <v>0.000173684653739612</v>
      </c>
      <c r="AT69" s="191">
        <f t="shared" si="40"/>
        <v>0.00022122648199446</v>
      </c>
      <c r="AU69" s="191">
        <f t="shared" si="40"/>
        <v>7.29675623268698e-5</v>
      </c>
      <c r="AV69" s="191">
        <f t="shared" si="40"/>
        <v>1.90831024930743e-7</v>
      </c>
      <c r="AW69" s="191">
        <f t="shared" si="40"/>
        <v>0.000737837146814404</v>
      </c>
      <c r="AX69" s="191">
        <f t="shared" si="40"/>
        <v>0.000679837008310249</v>
      </c>
      <c r="AY69" s="191">
        <f t="shared" si="40"/>
        <v>0.00106722573407202</v>
      </c>
      <c r="AZ69" s="191">
        <f t="shared" si="40"/>
        <v>0.00104091135734072</v>
      </c>
      <c r="BA69" s="191">
        <f t="shared" si="40"/>
        <v>3.80494182825487e-5</v>
      </c>
      <c r="BB69" s="191">
        <f t="shared" si="40"/>
        <v>1.8264376731302e-5</v>
      </c>
      <c r="BC69" s="191">
        <f t="shared" si="40"/>
        <v>1.14152354570637e-6</v>
      </c>
      <c r="BD69" s="191">
        <f t="shared" si="40"/>
        <v>3.14595567867034e-6</v>
      </c>
      <c r="BE69" s="191">
        <f t="shared" si="40"/>
        <v>1.99667867036011e-5</v>
      </c>
      <c r="BF69" s="191">
        <f t="shared" si="40"/>
        <v>1.13462603878117e-5</v>
      </c>
      <c r="BG69" s="191">
        <f t="shared" si="40"/>
        <v>0.000584367008310249</v>
      </c>
      <c r="BH69" s="191">
        <f t="shared" si="40"/>
        <v>0.00071148542936288</v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0.591053372582714</v>
      </c>
      <c r="CY69" s="242">
        <f t="shared" si="44"/>
        <v>0.624987292427998</v>
      </c>
      <c r="CZ69" s="242">
        <f t="shared" si="44"/>
        <v>0.593072363538489</v>
      </c>
      <c r="DA69" s="242">
        <f t="shared" si="44"/>
        <v>0.593154727693566</v>
      </c>
      <c r="DB69" s="242">
        <f t="shared" si="44"/>
        <v>0.600297086641974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0.0713</v>
      </c>
      <c r="Z70" s="283">
        <f>DW37</f>
        <v>0.1025</v>
      </c>
      <c r="AA70" s="283">
        <f>EA37</f>
        <v>0.0387</v>
      </c>
      <c r="AB70" s="283">
        <f>EE37</f>
        <v>0.0496</v>
      </c>
      <c r="AE70" s="64" t="s">
        <v>55</v>
      </c>
      <c r="AF70" s="131">
        <f>第十三期!DV6</f>
        <v>120</v>
      </c>
      <c r="AG70" s="131">
        <f>第十三期!DV10</f>
        <v>117</v>
      </c>
      <c r="AH70" s="131">
        <f>第十三期!DV14</f>
        <v>25</v>
      </c>
      <c r="AI70" s="131">
        <f>第十三期!DV18</f>
        <v>33</v>
      </c>
      <c r="AJ70" s="126">
        <f>AF70-Y57+AF57</f>
        <v>125</v>
      </c>
      <c r="AK70" s="126">
        <f t="shared" ref="AK70:AM73" si="45">AG70-Z57+AG57</f>
        <v>117</v>
      </c>
      <c r="AL70" s="126">
        <f t="shared" si="45"/>
        <v>9</v>
      </c>
      <c r="AM70" s="126">
        <f t="shared" si="45"/>
        <v>28</v>
      </c>
      <c r="AR70" s="190">
        <v>14</v>
      </c>
      <c r="AS70" s="191">
        <f t="shared" si="40"/>
        <v>0.00064917675900277</v>
      </c>
      <c r="AT70" s="191">
        <f t="shared" si="40"/>
        <v>0.00041508700831025</v>
      </c>
      <c r="AU70" s="191">
        <f t="shared" si="40"/>
        <v>0.000632919667590028</v>
      </c>
      <c r="AV70" s="191">
        <f t="shared" si="40"/>
        <v>0.000509096094182826</v>
      </c>
      <c r="AW70" s="191">
        <f t="shared" si="40"/>
        <v>7.45041551246516e-7</v>
      </c>
      <c r="AX70" s="191">
        <f t="shared" si="40"/>
        <v>1.1064376731302e-5</v>
      </c>
      <c r="AY70" s="191">
        <f t="shared" si="40"/>
        <v>1.82194182825484e-5</v>
      </c>
      <c r="AZ70" s="191">
        <f t="shared" si="40"/>
        <v>2.36503047091413e-5</v>
      </c>
      <c r="BA70" s="191">
        <f t="shared" si="40"/>
        <v>9.41520775623279e-6</v>
      </c>
      <c r="BB70" s="191">
        <f t="shared" si="40"/>
        <v>1.8264376731302e-5</v>
      </c>
      <c r="BC70" s="191">
        <f t="shared" si="40"/>
        <v>0.000455036260387811</v>
      </c>
      <c r="BD70" s="191">
        <f t="shared" si="40"/>
        <v>0.000219819639889197</v>
      </c>
      <c r="BE70" s="191">
        <f t="shared" si="40"/>
        <v>0.000184102049861496</v>
      </c>
      <c r="BF70" s="191">
        <f t="shared" si="40"/>
        <v>8.59036288088643e-5</v>
      </c>
      <c r="BG70" s="191">
        <f t="shared" si="40"/>
        <v>0.000182961218836565</v>
      </c>
      <c r="BH70" s="191">
        <f t="shared" si="40"/>
        <v>0.00030367648199446</v>
      </c>
      <c r="BR70" s="209" t="s">
        <v>344</v>
      </c>
      <c r="BS70" s="130">
        <f>IF(第十三期!AC18&gt;0,第十三期!AC18*比赛参数!E40+比赛参数!E39,0)</f>
        <v>31042.08</v>
      </c>
      <c r="BT70" s="130"/>
      <c r="BU70" s="130">
        <f>BU65+BS70</f>
        <v>2512292.22275</v>
      </c>
      <c r="BV70" s="130">
        <f>BV67-BS70</f>
        <v>2367669.66725</v>
      </c>
      <c r="BW70" s="126"/>
      <c r="CB70" s="196" t="s">
        <v>304</v>
      </c>
      <c r="CC70" s="108">
        <f>CC79-CC86</f>
        <v>1387.28730206422</v>
      </c>
      <c r="CD70" s="108">
        <f>CD79-CD86</f>
        <v>2455.30568215585</v>
      </c>
      <c r="CE70" s="108">
        <f>CE79-CE86</f>
        <v>3789.02536982341</v>
      </c>
      <c r="CF70" s="108">
        <f>CF79-CF86</f>
        <v>4775.55623927935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0.606856167929505</v>
      </c>
      <c r="CY70" s="242">
        <f t="shared" si="44"/>
        <v>0.636761189144417</v>
      </c>
      <c r="CZ70" s="242">
        <f t="shared" si="44"/>
        <v>0.609822818245771</v>
      </c>
      <c r="DA70" s="242">
        <f t="shared" si="44"/>
        <v>0.597094898392621</v>
      </c>
      <c r="DB70" s="242">
        <f t="shared" si="44"/>
        <v>0.612386390824973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0.0709</v>
      </c>
      <c r="Z71" s="283">
        <f>DX37</f>
        <v>0.0952</v>
      </c>
      <c r="AA71" s="283">
        <f>EB37</f>
        <v>0.0385</v>
      </c>
      <c r="AB71" s="283">
        <f>EF37</f>
        <v>0.0501</v>
      </c>
      <c r="AE71" s="11" t="s">
        <v>56</v>
      </c>
      <c r="AF71" s="131">
        <f>第十三期!DV7</f>
        <v>121</v>
      </c>
      <c r="AG71" s="131">
        <f>第十三期!DV11</f>
        <v>110</v>
      </c>
      <c r="AH71" s="131">
        <f>第十三期!DV15</f>
        <v>25</v>
      </c>
      <c r="AI71" s="131">
        <f>第十三期!DV19</f>
        <v>34</v>
      </c>
      <c r="AJ71" s="126">
        <f>AF71-Y58+AF58</f>
        <v>127</v>
      </c>
      <c r="AK71" s="126">
        <f t="shared" si="45"/>
        <v>110</v>
      </c>
      <c r="AL71" s="126">
        <f t="shared" si="45"/>
        <v>8</v>
      </c>
      <c r="AM71" s="126">
        <f t="shared" si="45"/>
        <v>30</v>
      </c>
      <c r="AR71" s="190">
        <v>15</v>
      </c>
      <c r="AS71" s="191">
        <f t="shared" si="40"/>
        <v>5.50720221606649e-5</v>
      </c>
      <c r="AT71" s="191">
        <f t="shared" si="40"/>
        <v>0.000103503850415513</v>
      </c>
      <c r="AU71" s="191">
        <f t="shared" si="40"/>
        <v>1.84387811634349e-6</v>
      </c>
      <c r="AV71" s="191">
        <f t="shared" si="40"/>
        <v>1.90371468144045e-5</v>
      </c>
      <c r="AW71" s="191">
        <f t="shared" si="40"/>
        <v>0.00013080135734072</v>
      </c>
      <c r="AX71" s="191">
        <f t="shared" si="40"/>
        <v>8.69801662049863e-5</v>
      </c>
      <c r="AY71" s="191">
        <f t="shared" si="40"/>
        <v>0.000135293628808864</v>
      </c>
      <c r="AZ71" s="191">
        <f t="shared" si="40"/>
        <v>0.000180548725761773</v>
      </c>
      <c r="BA71" s="191">
        <f t="shared" si="40"/>
        <v>0.000405280470914127</v>
      </c>
      <c r="BB71" s="191">
        <f t="shared" si="40"/>
        <v>0.00029674595567867</v>
      </c>
      <c r="BC71" s="191">
        <f t="shared" si="40"/>
        <v>0.000409316786703601</v>
      </c>
      <c r="BD71" s="191">
        <f t="shared" si="40"/>
        <v>0.000463382271468144</v>
      </c>
      <c r="BE71" s="191">
        <f t="shared" si="40"/>
        <v>3.63799445983379e-5</v>
      </c>
      <c r="BF71" s="191">
        <f t="shared" si="40"/>
        <v>1.62536288088643e-5</v>
      </c>
      <c r="BG71" s="191">
        <f t="shared" si="40"/>
        <v>0.000112918587257618</v>
      </c>
      <c r="BH71" s="191">
        <f t="shared" si="40"/>
        <v>5.0784376731302e-5</v>
      </c>
      <c r="BR71" s="209" t="s">
        <v>345</v>
      </c>
      <c r="BS71" s="130">
        <f>(第十三期!Z13*比赛参数!E65*260+第十三期!AA13*(比赛参数!F65-比赛参数!D65)*520+第十三期!AB13*比赛参数!G65*260)*第十三期!AH18</f>
        <v>663260</v>
      </c>
      <c r="BT71" s="130"/>
      <c r="BU71" s="130">
        <f t="shared" ref="BU71:BU76" si="46">BU70+BS71</f>
        <v>3175552.22275</v>
      </c>
      <c r="BV71" s="130">
        <f>BV70-BS71</f>
        <v>1704409.66725</v>
      </c>
      <c r="BW71" s="126"/>
      <c r="CB71" s="196" t="s">
        <v>305</v>
      </c>
      <c r="CC71" s="108">
        <f>CC70/比赛参数!D26</f>
        <v>13.8728730206422</v>
      </c>
      <c r="CD71" s="108">
        <f>CD70/比赛参数!E26</f>
        <v>9.8212227286234</v>
      </c>
      <c r="CE71" s="108">
        <f>CE70/比赛参数!F26</f>
        <v>9.97111939427213</v>
      </c>
      <c r="CF71" s="108">
        <f>CF70/比赛参数!G26</f>
        <v>9.18376199861414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0.552306404640418</v>
      </c>
      <c r="CY71" s="242">
        <f t="shared" si="44"/>
        <v>0.57841649520318</v>
      </c>
      <c r="CZ71" s="242">
        <f t="shared" si="44"/>
        <v>0.56169116021579</v>
      </c>
      <c r="DA71" s="242">
        <f t="shared" si="44"/>
        <v>0.570054952501456</v>
      </c>
      <c r="DB71" s="242">
        <f t="shared" si="44"/>
        <v>0.565574544281166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0.0704</v>
      </c>
      <c r="Z72" s="283">
        <f>DY37</f>
        <v>0.1091</v>
      </c>
      <c r="AA72" s="283">
        <f>EC37</f>
        <v>0.0459</v>
      </c>
      <c r="AB72" s="283">
        <f>EG37</f>
        <v>0.0681</v>
      </c>
      <c r="AE72" s="11" t="s">
        <v>57</v>
      </c>
      <c r="AF72" s="131">
        <f>第十三期!DV8</f>
        <v>160</v>
      </c>
      <c r="AG72" s="131">
        <f>第十三期!DV12</f>
        <v>168</v>
      </c>
      <c r="AH72" s="131">
        <f>第十三期!DV16</f>
        <v>41</v>
      </c>
      <c r="AI72" s="131">
        <f>第十三期!DV20</f>
        <v>47</v>
      </c>
      <c r="AJ72" s="126">
        <f>AF72-Y59+AF59</f>
        <v>163</v>
      </c>
      <c r="AK72" s="126">
        <f t="shared" si="45"/>
        <v>168</v>
      </c>
      <c r="AL72" s="126">
        <f t="shared" si="45"/>
        <v>35</v>
      </c>
      <c r="AM72" s="126">
        <f t="shared" si="45"/>
        <v>47</v>
      </c>
      <c r="AR72" s="190">
        <v>16</v>
      </c>
      <c r="AS72" s="191">
        <f t="shared" si="40"/>
        <v>6.86991689750693e-6</v>
      </c>
      <c r="AT72" s="191">
        <f t="shared" si="40"/>
        <v>7.98806094182821e-6</v>
      </c>
      <c r="AU72" s="191">
        <f t="shared" si="40"/>
        <v>4.95912465373961e-5</v>
      </c>
      <c r="AV72" s="191">
        <f t="shared" si="40"/>
        <v>0.000142488199445983</v>
      </c>
      <c r="AW72" s="191">
        <f t="shared" si="40"/>
        <v>1.25092520775624e-5</v>
      </c>
      <c r="AX72" s="191">
        <f t="shared" si="40"/>
        <v>3.51212188365652e-5</v>
      </c>
      <c r="AY72" s="191">
        <f t="shared" si="40"/>
        <v>3.17146814404433e-5</v>
      </c>
      <c r="AZ72" s="191">
        <f t="shared" si="40"/>
        <v>3.88981994459834e-5</v>
      </c>
      <c r="BA72" s="191">
        <f t="shared" si="40"/>
        <v>9.41520775623279e-6</v>
      </c>
      <c r="BB72" s="191">
        <f t="shared" si="40"/>
        <v>1.37753462603881e-6</v>
      </c>
      <c r="BC72" s="191">
        <f t="shared" si="40"/>
        <v>7.8648891966759e-5</v>
      </c>
      <c r="BD72" s="191">
        <f t="shared" si="40"/>
        <v>0.000341277008310249</v>
      </c>
      <c r="BE72" s="191">
        <f t="shared" si="40"/>
        <v>0.000111691523545707</v>
      </c>
      <c r="BF72" s="191">
        <f t="shared" si="40"/>
        <v>0.000148070470914127</v>
      </c>
      <c r="BG72" s="191">
        <f t="shared" si="40"/>
        <v>0.000337592271468144</v>
      </c>
      <c r="BH72" s="191">
        <f>IF(BH48="","",(BH48-BH$54)^2)</f>
        <v>0.000965573850415512</v>
      </c>
      <c r="BR72" s="209" t="s">
        <v>77</v>
      </c>
      <c r="BS72" s="130">
        <f>第十三期!DM60</f>
        <v>102000</v>
      </c>
      <c r="BT72" s="130"/>
      <c r="BU72" s="130">
        <f t="shared" si="46"/>
        <v>3277552.22275</v>
      </c>
      <c r="BV72" s="130">
        <f>BV71-BS72</f>
        <v>1602409.66725</v>
      </c>
      <c r="BW72" s="126"/>
      <c r="CB72" s="196" t="s">
        <v>307</v>
      </c>
      <c r="CC72" s="108">
        <f>IF(CC79&gt;0,CC70/CC79,0)</f>
        <v>0.413306423545501</v>
      </c>
      <c r="CD72" s="108">
        <f>IF(CD79&gt;0,CD70/CD79,0)</f>
        <v>0.374542177509486</v>
      </c>
      <c r="CE72" s="108">
        <f>IF(CE79&gt;0,CE70/CE79,0)</f>
        <v>0.379262689536358</v>
      </c>
      <c r="CF72" s="108">
        <f>IF(CF79&gt;0,CF70/CF79,0)</f>
        <v>0.36124994421401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>
        <v>0.0788</v>
      </c>
      <c r="E73" s="19">
        <v>0.0784</v>
      </c>
      <c r="F73" s="19">
        <v>0.0783</v>
      </c>
      <c r="G73" s="19">
        <v>0.0857</v>
      </c>
      <c r="H73" s="19">
        <v>0.0833</v>
      </c>
      <c r="I73" s="19">
        <v>0.0804</v>
      </c>
      <c r="J73" s="19">
        <v>0.0761</v>
      </c>
      <c r="K73" s="19">
        <v>0.0869</v>
      </c>
      <c r="L73" s="19">
        <v>0.1022</v>
      </c>
      <c r="M73" s="19">
        <v>0.1015</v>
      </c>
      <c r="N73" s="19">
        <v>0.0973</v>
      </c>
      <c r="O73" s="19">
        <v>0.1022</v>
      </c>
      <c r="P73" s="19">
        <v>0.0421</v>
      </c>
      <c r="Q73" s="19">
        <v>0.0412</v>
      </c>
      <c r="R73" s="19">
        <v>0.0406</v>
      </c>
      <c r="S73" s="19">
        <v>0.0514</v>
      </c>
      <c r="T73" s="10"/>
      <c r="X73" s="11" t="s">
        <v>58</v>
      </c>
      <c r="Y73" s="283">
        <f>DV37</f>
        <v>0.068</v>
      </c>
      <c r="Z73" s="283">
        <f>DZ37</f>
        <v>0.1045</v>
      </c>
      <c r="AA73" s="283">
        <f>ED37</f>
        <v>0.0422</v>
      </c>
      <c r="AB73" s="283">
        <f>EH37</f>
        <v>0.069</v>
      </c>
      <c r="AE73" s="11" t="s">
        <v>58</v>
      </c>
      <c r="AF73" s="131">
        <f>第十三期!DV9</f>
        <v>142</v>
      </c>
      <c r="AG73" s="131">
        <f>第十三期!DV13</f>
        <v>160</v>
      </c>
      <c r="AH73" s="131">
        <f>第十三期!DV17</f>
        <v>38</v>
      </c>
      <c r="AI73" s="131">
        <f>第十三期!DV21</f>
        <v>47</v>
      </c>
      <c r="AJ73" s="126">
        <f>AF73-Y60+AF60</f>
        <v>142</v>
      </c>
      <c r="AK73" s="126">
        <f t="shared" si="45"/>
        <v>160</v>
      </c>
      <c r="AL73" s="126">
        <f t="shared" si="45"/>
        <v>19</v>
      </c>
      <c r="AM73" s="126">
        <f t="shared" si="45"/>
        <v>47</v>
      </c>
      <c r="AR73" s="190">
        <v>17</v>
      </c>
      <c r="AS73" s="191">
        <f t="shared" ref="AS73:BH76" si="47">IF(AS49="","",(AS49-AS$54)^2)</f>
        <v>0.00242271202216067</v>
      </c>
      <c r="AT73" s="191">
        <f t="shared" si="47"/>
        <v>0.00242323016620499</v>
      </c>
      <c r="AU73" s="191">
        <f t="shared" si="47"/>
        <v>0.00209234019390582</v>
      </c>
      <c r="AV73" s="191">
        <f t="shared" si="47"/>
        <v>0.00128427925207756</v>
      </c>
      <c r="AW73" s="191">
        <f t="shared" si="47"/>
        <v>0.00277063714681441</v>
      </c>
      <c r="AX73" s="191">
        <f t="shared" si="47"/>
        <v>0.00276952911357341</v>
      </c>
      <c r="AY73" s="191">
        <f t="shared" si="47"/>
        <v>0.00277008310249308</v>
      </c>
      <c r="AZ73" s="191">
        <f t="shared" si="47"/>
        <v>0.0027706371468144</v>
      </c>
      <c r="BA73" s="191">
        <f t="shared" si="47"/>
        <v>0.00277008310249307</v>
      </c>
      <c r="BB73" s="191">
        <f t="shared" si="47"/>
        <v>0.00276952911357341</v>
      </c>
      <c r="BC73" s="191">
        <f t="shared" si="47"/>
        <v>0.00277008310249307</v>
      </c>
      <c r="BD73" s="191">
        <f t="shared" si="47"/>
        <v>0.00254281332409972</v>
      </c>
      <c r="BE73" s="191">
        <f t="shared" si="47"/>
        <v>0.00277008310249307</v>
      </c>
      <c r="BF73" s="191">
        <f t="shared" si="47"/>
        <v>0.00277008310249307</v>
      </c>
      <c r="BG73" s="191">
        <f t="shared" si="47"/>
        <v>0.00276952911357341</v>
      </c>
      <c r="BH73" s="191">
        <f t="shared" si="47"/>
        <v>0.00261390016620499</v>
      </c>
      <c r="BR73" s="209" t="s">
        <v>346</v>
      </c>
      <c r="BS73" s="130">
        <f>第十三期!AC21</f>
        <v>2053000</v>
      </c>
      <c r="BT73" s="130"/>
      <c r="BU73" s="130">
        <f t="shared" si="46"/>
        <v>5330552.22275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>
        <v>0.0363</v>
      </c>
      <c r="E74" s="19">
        <v>0.0362</v>
      </c>
      <c r="F74" s="19">
        <v>0.0243</v>
      </c>
      <c r="G74" s="19">
        <v>0.0287</v>
      </c>
      <c r="H74" s="19">
        <v>0.0316</v>
      </c>
      <c r="I74" s="19">
        <v>0.0398</v>
      </c>
      <c r="J74" s="19">
        <v>0.0317</v>
      </c>
      <c r="K74" s="19">
        <v>0.0464</v>
      </c>
      <c r="L74" s="19">
        <v>0.0697</v>
      </c>
      <c r="M74" s="19">
        <v>0.0738</v>
      </c>
      <c r="N74" s="19">
        <v>0.0403</v>
      </c>
      <c r="O74" s="19">
        <v>0.0422</v>
      </c>
      <c r="P74" s="19">
        <v>0.0872</v>
      </c>
      <c r="Q74" s="19">
        <v>0.0854</v>
      </c>
      <c r="R74" s="19">
        <v>0.071</v>
      </c>
      <c r="S74" s="19">
        <v>0.0514</v>
      </c>
      <c r="T74" s="10"/>
      <c r="AE74" s="48"/>
      <c r="AF74" s="2">
        <f>AVERAGE(AF70:AF73)</f>
        <v>135.75</v>
      </c>
      <c r="AG74" s="2">
        <f>AVERAGE(AG70:AG73)</f>
        <v>138.75</v>
      </c>
      <c r="AH74" s="2">
        <f>AVERAGE(AH70:AH73)</f>
        <v>32.25</v>
      </c>
      <c r="AI74" s="2">
        <f>AVERAGE(AI70:AI73)</f>
        <v>40.25</v>
      </c>
      <c r="AJ74" s="48"/>
      <c r="AL74" s="48"/>
      <c r="AR74" s="190">
        <v>18</v>
      </c>
      <c r="AS74" s="191">
        <f t="shared" si="47"/>
        <v>0.00107066728531856</v>
      </c>
      <c r="AT74" s="191">
        <f t="shared" si="47"/>
        <v>0.000641422271468143</v>
      </c>
      <c r="AU74" s="191">
        <f t="shared" si="47"/>
        <v>0.00083186703601108</v>
      </c>
      <c r="AV74" s="191">
        <f t="shared" si="47"/>
        <v>0.000641955567867036</v>
      </c>
      <c r="AW74" s="191">
        <f t="shared" si="47"/>
        <v>0.00028012188365651</v>
      </c>
      <c r="AX74" s="191">
        <f t="shared" si="47"/>
        <v>0.000104577534626039</v>
      </c>
      <c r="AY74" s="191">
        <f t="shared" si="47"/>
        <v>0.000651861523545707</v>
      </c>
      <c r="AZ74" s="191">
        <f t="shared" si="47"/>
        <v>0.000300566094182825</v>
      </c>
      <c r="BA74" s="191">
        <f t="shared" si="47"/>
        <v>0.000862504155124655</v>
      </c>
      <c r="BB74" s="191">
        <f t="shared" si="47"/>
        <v>0.00027468700831025</v>
      </c>
      <c r="BC74" s="191">
        <f t="shared" si="47"/>
        <v>0.000124733628808864</v>
      </c>
      <c r="BD74" s="191">
        <f t="shared" si="47"/>
        <v>0.000198068587257618</v>
      </c>
      <c r="BE74" s="191">
        <f t="shared" si="47"/>
        <v>0.00044387836565097</v>
      </c>
      <c r="BF74" s="191">
        <f t="shared" si="47"/>
        <v>0.000648640470914128</v>
      </c>
      <c r="BG74" s="191">
        <f t="shared" si="47"/>
        <v>0.00282744069252078</v>
      </c>
      <c r="BH74" s="191">
        <f t="shared" si="47"/>
        <v>0.00182958806094183</v>
      </c>
      <c r="BR74" s="209" t="s">
        <v>347</v>
      </c>
      <c r="BS74" s="130">
        <f>第十三期!CG42</f>
        <v>917109</v>
      </c>
      <c r="BT74" s="130"/>
      <c r="BU74" s="130">
        <f t="shared" si="46"/>
        <v>6247661.22275</v>
      </c>
      <c r="BV74" s="130">
        <f>BV72-BS74</f>
        <v>685300.66725</v>
      </c>
      <c r="BW74" s="126"/>
      <c r="CB74" s="219"/>
      <c r="CC74" s="219">
        <f t="shared" ref="CC74:CF77" si="48">AF64*AF76</f>
        <v>373750</v>
      </c>
      <c r="CD74" s="219">
        <f t="shared" si="48"/>
        <v>652800</v>
      </c>
      <c r="CE74" s="219">
        <f t="shared" si="48"/>
        <v>551600</v>
      </c>
      <c r="CF74" s="219">
        <f t="shared" si="48"/>
        <v>608650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>
        <v>0.0761</v>
      </c>
      <c r="E75" s="19">
        <v>0.0668</v>
      </c>
      <c r="F75" s="19">
        <v>0.0723</v>
      </c>
      <c r="G75" s="19">
        <v>0.0685</v>
      </c>
      <c r="H75" s="19">
        <v>0.0377</v>
      </c>
      <c r="I75" s="19">
        <v>0.0415</v>
      </c>
      <c r="J75" s="19">
        <v>0.0357</v>
      </c>
      <c r="K75" s="19">
        <v>0.0346</v>
      </c>
      <c r="L75" s="19">
        <v>0.0449</v>
      </c>
      <c r="M75" s="19">
        <v>0.0446</v>
      </c>
      <c r="N75" s="19">
        <v>0.0403</v>
      </c>
      <c r="O75" s="19">
        <v>0.04</v>
      </c>
      <c r="P75" s="19">
        <v>0.0391</v>
      </c>
      <c r="Q75" s="19">
        <v>0.0353</v>
      </c>
      <c r="R75" s="19">
        <v>0.0536</v>
      </c>
      <c r="S75" s="19">
        <v>0.0558</v>
      </c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>
        <f t="shared" si="47"/>
        <v>0.00131196465373961</v>
      </c>
      <c r="AT75" s="191">
        <f t="shared" si="47"/>
        <v>0.00131234595567867</v>
      </c>
      <c r="AU75" s="191">
        <f t="shared" si="47"/>
        <v>0.00131349019390582</v>
      </c>
      <c r="AV75" s="191">
        <f t="shared" si="47"/>
        <v>0.00135695293628809</v>
      </c>
      <c r="AW75" s="191">
        <f t="shared" si="47"/>
        <v>0.000741845567867037</v>
      </c>
      <c r="AX75" s="191">
        <f t="shared" si="47"/>
        <v>0.000582079113573407</v>
      </c>
      <c r="AY75" s="191">
        <f t="shared" si="47"/>
        <v>0.000521280997229917</v>
      </c>
      <c r="AZ75" s="191">
        <f t="shared" si="47"/>
        <v>0.000451003462603878</v>
      </c>
      <c r="BA75" s="191">
        <f t="shared" si="47"/>
        <v>0.00137875415512465</v>
      </c>
      <c r="BB75" s="191">
        <f t="shared" si="47"/>
        <v>0.000968847534626038</v>
      </c>
      <c r="BC75" s="191">
        <f t="shared" si="47"/>
        <v>0.00098166783933518</v>
      </c>
      <c r="BD75" s="191">
        <f t="shared" si="47"/>
        <v>0.000993908587257618</v>
      </c>
      <c r="BE75" s="191">
        <f t="shared" si="47"/>
        <v>0.000577516786703601</v>
      </c>
      <c r="BF75" s="191">
        <f t="shared" si="47"/>
        <v>0.000606714681440443</v>
      </c>
      <c r="BG75" s="191">
        <f t="shared" si="47"/>
        <v>0.000631331745152355</v>
      </c>
      <c r="BH75" s="191">
        <f t="shared" si="47"/>
        <v>0.000611390692520776</v>
      </c>
      <c r="BR75" s="209" t="s">
        <v>351</v>
      </c>
      <c r="BS75" s="130">
        <f>SUM(第十三期!AF80:AI80)</f>
        <v>342400</v>
      </c>
      <c r="BT75" s="130"/>
      <c r="BU75" s="130">
        <f t="shared" si="46"/>
        <v>6590061.22275</v>
      </c>
      <c r="BV75" s="130">
        <f>BV74-BS75</f>
        <v>342900.66725</v>
      </c>
      <c r="BW75" s="126"/>
      <c r="CB75" s="219"/>
      <c r="CC75" s="219">
        <f t="shared" si="48"/>
        <v>373750</v>
      </c>
      <c r="CD75" s="219">
        <f t="shared" si="48"/>
        <v>646400</v>
      </c>
      <c r="CE75" s="219">
        <f t="shared" si="48"/>
        <v>561450</v>
      </c>
      <c r="CF75" s="219">
        <f t="shared" si="48"/>
        <v>595700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>
        <v>0.085</v>
      </c>
      <c r="E76" s="19">
        <v>0.0839</v>
      </c>
      <c r="F76" s="19">
        <v>0.0803</v>
      </c>
      <c r="G76" s="19">
        <v>0.0891</v>
      </c>
      <c r="H76" s="19">
        <v>0.0587</v>
      </c>
      <c r="I76" s="19">
        <v>0.058</v>
      </c>
      <c r="J76" s="19">
        <v>0.0569</v>
      </c>
      <c r="K76" s="19">
        <v>0.0568</v>
      </c>
      <c r="L76" s="19">
        <v>0.065</v>
      </c>
      <c r="M76" s="19">
        <v>0.0662</v>
      </c>
      <c r="N76" s="19">
        <v>0.0403</v>
      </c>
      <c r="O76" s="19">
        <v>0.04</v>
      </c>
      <c r="P76" s="19">
        <v>0.1023</v>
      </c>
      <c r="Q76" s="19">
        <v>0.106</v>
      </c>
      <c r="R76" s="19">
        <v>0.0696</v>
      </c>
      <c r="S76" s="19">
        <v>0.0705</v>
      </c>
      <c r="T76" s="10"/>
      <c r="X76" s="64" t="s">
        <v>55</v>
      </c>
      <c r="Y76" s="283">
        <f>AB130/Y232</f>
        <v>0.0788211103495545</v>
      </c>
      <c r="Z76" s="283">
        <f>AL130/AC232</f>
        <v>0.0893952673093777</v>
      </c>
      <c r="AA76" s="283">
        <f>AB153/AG232</f>
        <v>0.086687306501548</v>
      </c>
      <c r="AB76" s="283">
        <f>AL153/AK232</f>
        <v>0.0706766917293233</v>
      </c>
      <c r="AC76" s="126"/>
      <c r="AE76" s="47" t="s">
        <v>55</v>
      </c>
      <c r="AF76" s="101">
        <v>3250</v>
      </c>
      <c r="AG76" s="101">
        <v>6400</v>
      </c>
      <c r="AH76" s="101">
        <v>9850</v>
      </c>
      <c r="AI76" s="101">
        <v>12950</v>
      </c>
      <c r="AJ76" s="300">
        <v>70000</v>
      </c>
      <c r="AK76" s="301">
        <f>AJ76/SUM(AF64:AI64)</f>
        <v>218.75</v>
      </c>
      <c r="AL76" s="114">
        <f>AJ76/SUMPRODUCT(AF76:AI76,AF64:AI64)</f>
        <v>0.0320102432778489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SUM(第十三期!AJ76:AJ79)</f>
        <v>342600</v>
      </c>
      <c r="BT76" s="327"/>
      <c r="BU76" s="327">
        <f t="shared" si="46"/>
        <v>6932661.22275</v>
      </c>
      <c r="BV76" s="327">
        <f>BV75-BS76</f>
        <v>300.667250000406</v>
      </c>
      <c r="BW76" s="331" t="str">
        <f>IF(BV76&gt;=0,"YES","NO")</f>
        <v>YES</v>
      </c>
      <c r="CB76" s="219"/>
      <c r="CC76" s="219">
        <f t="shared" si="48"/>
        <v>601800</v>
      </c>
      <c r="CD76" s="219">
        <f t="shared" si="48"/>
        <v>999620</v>
      </c>
      <c r="CE76" s="219">
        <f t="shared" si="48"/>
        <v>666600</v>
      </c>
      <c r="CF76" s="219">
        <f t="shared" si="48"/>
        <v>814350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>
        <v>0.098</v>
      </c>
      <c r="E77" s="19">
        <v>0.0996</v>
      </c>
      <c r="F77" s="19">
        <v>0.0773</v>
      </c>
      <c r="G77" s="19">
        <v>0.0771</v>
      </c>
      <c r="H77" s="19">
        <v>0.0745</v>
      </c>
      <c r="I77" s="19">
        <v>0.0735</v>
      </c>
      <c r="J77" s="19">
        <v>0.0813</v>
      </c>
      <c r="K77" s="19">
        <v>0.0666</v>
      </c>
      <c r="L77" s="19">
        <v>0.1053</v>
      </c>
      <c r="M77" s="19">
        <v>0.1031</v>
      </c>
      <c r="N77" s="19">
        <v>0.085</v>
      </c>
      <c r="O77" s="19">
        <v>0.0889</v>
      </c>
      <c r="P77" s="19">
        <v>0.0346</v>
      </c>
      <c r="Q77" s="19">
        <v>0.0353</v>
      </c>
      <c r="R77" s="19">
        <v>0.0768</v>
      </c>
      <c r="S77" s="19">
        <v>0.069</v>
      </c>
      <c r="T77" s="10"/>
      <c r="X77" s="11" t="s">
        <v>56</v>
      </c>
      <c r="Y77" s="283">
        <f>AC130/Z232</f>
        <v>0.0783912747102931</v>
      </c>
      <c r="Z77" s="283">
        <f>AM130/AD232</f>
        <v>0.0874458874458875</v>
      </c>
      <c r="AA77" s="283">
        <f>AC153/AH232</f>
        <v>0.0878274268104777</v>
      </c>
      <c r="AB77" s="283">
        <f>AM153/AL232</f>
        <v>0.0677466863033873</v>
      </c>
      <c r="AC77" s="126"/>
      <c r="AE77" s="11" t="s">
        <v>56</v>
      </c>
      <c r="AF77" s="101">
        <v>3250</v>
      </c>
      <c r="AG77" s="101">
        <v>6400</v>
      </c>
      <c r="AH77" s="101">
        <v>9850</v>
      </c>
      <c r="AI77" s="101">
        <v>12950</v>
      </c>
      <c r="AJ77" s="300">
        <v>69700</v>
      </c>
      <c r="AK77" s="301">
        <f>AJ77/SUM(AF65:AI65)</f>
        <v>218.495297805643</v>
      </c>
      <c r="AL77" s="114">
        <f>AJ77/SUMPRODUCT(AF77:AI77,AF65:AI65)</f>
        <v>0.0320121251090801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第十三期!CG53</f>
        <v>10745970</v>
      </c>
      <c r="BT77" s="328">
        <f>BT67+BS77</f>
        <v>10914306.64</v>
      </c>
      <c r="BU77" s="328"/>
      <c r="BV77" s="328">
        <f>BV76+BS77</f>
        <v>10746270.66725</v>
      </c>
      <c r="BW77" s="126"/>
      <c r="CB77" s="219"/>
      <c r="CC77" s="219">
        <f t="shared" si="48"/>
        <v>621000</v>
      </c>
      <c r="CD77" s="219">
        <f t="shared" si="48"/>
        <v>1011700</v>
      </c>
      <c r="CE77" s="219">
        <f t="shared" si="48"/>
        <v>797900</v>
      </c>
      <c r="CF77" s="219">
        <f t="shared" si="48"/>
        <v>823500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>
        <v>0.0144</v>
      </c>
      <c r="E78" s="19">
        <v>0.0143</v>
      </c>
      <c r="F78" s="19">
        <v>0.0164</v>
      </c>
      <c r="G78" s="19">
        <v>0.0163</v>
      </c>
      <c r="H78" s="19">
        <v>0</v>
      </c>
      <c r="I78" s="19">
        <v>0.0147</v>
      </c>
      <c r="J78" s="19">
        <v>0</v>
      </c>
      <c r="K78" s="19">
        <v>0</v>
      </c>
      <c r="L78" s="19">
        <v>0</v>
      </c>
      <c r="M78" s="19">
        <v>0.0015</v>
      </c>
      <c r="N78" s="19">
        <v>0.0022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0"/>
      <c r="X78" s="11" t="s">
        <v>57</v>
      </c>
      <c r="Y78" s="283">
        <f>AD130/AA232</f>
        <v>0.0877540902330193</v>
      </c>
      <c r="Z78" s="283">
        <f>AN130/AE232</f>
        <v>0.0998677248677249</v>
      </c>
      <c r="AA78" s="283">
        <f>AD153/AI232</f>
        <v>0.0739081746920493</v>
      </c>
      <c r="AB78" s="283">
        <f>AN153/AM232</f>
        <v>0.0884057971014493</v>
      </c>
      <c r="AC78" s="126"/>
      <c r="AE78" s="11" t="s">
        <v>57</v>
      </c>
      <c r="AF78" s="101">
        <v>3400</v>
      </c>
      <c r="AG78" s="101">
        <v>6620</v>
      </c>
      <c r="AH78" s="101">
        <v>10100</v>
      </c>
      <c r="AI78" s="101">
        <v>13350</v>
      </c>
      <c r="AJ78" s="300">
        <v>98700</v>
      </c>
      <c r="AK78" s="301">
        <f>AJ78/SUM(AF66:AI66)</f>
        <v>216.923076923077</v>
      </c>
      <c r="AL78" s="114">
        <f>AJ78/SUMPRODUCT(AF78:AI78,AF66:AI66)</f>
        <v>0.0320208151519772</v>
      </c>
      <c r="AM78" s="2">
        <v>8500</v>
      </c>
      <c r="AN78" s="2">
        <v>12300</v>
      </c>
      <c r="AO78" s="2">
        <v>14000</v>
      </c>
      <c r="AR78" s="65" t="s">
        <v>353</v>
      </c>
      <c r="AS78" s="307">
        <f>AVERAGE(AS57:AS76)^0.5</f>
        <v>0.0273984743898628</v>
      </c>
      <c r="AT78" s="307">
        <f t="shared" ref="AT78:BH78" si="49">AVERAGE(AT57:AT76)^0.5</f>
        <v>0.0275072209104458</v>
      </c>
      <c r="AU78" s="307">
        <f t="shared" si="49"/>
        <v>0.0277656227391748</v>
      </c>
      <c r="AV78" s="307">
        <f t="shared" si="49"/>
        <v>0.0265029732299548</v>
      </c>
      <c r="AW78" s="307">
        <f t="shared" si="49"/>
        <v>0.0285708023674946</v>
      </c>
      <c r="AX78" s="307">
        <f t="shared" si="49"/>
        <v>0.0252492593347391</v>
      </c>
      <c r="AY78" s="307">
        <f t="shared" si="49"/>
        <v>0.0309302620104202</v>
      </c>
      <c r="AZ78" s="307">
        <f t="shared" si="49"/>
        <v>0.0292456962290597</v>
      </c>
      <c r="BA78" s="307">
        <f t="shared" si="49"/>
        <v>0.0329438286311009</v>
      </c>
      <c r="BB78" s="307">
        <f t="shared" si="49"/>
        <v>0.0319545045355237</v>
      </c>
      <c r="BC78" s="307">
        <f t="shared" si="49"/>
        <v>0.0300146815414264</v>
      </c>
      <c r="BD78" s="307">
        <f t="shared" si="49"/>
        <v>0.0292549382624948</v>
      </c>
      <c r="BE78" s="307">
        <f t="shared" si="49"/>
        <v>0.0278549825956087</v>
      </c>
      <c r="BF78" s="307">
        <f t="shared" si="49"/>
        <v>0.028320255957652</v>
      </c>
      <c r="BG78" s="307">
        <f t="shared" si="49"/>
        <v>0.0294206844906823</v>
      </c>
      <c r="BH78" s="307">
        <f t="shared" si="49"/>
        <v>0.0286476019407019</v>
      </c>
      <c r="BR78" s="209" t="s">
        <v>259</v>
      </c>
      <c r="BS78" s="130">
        <f>第十三期!CN53</f>
        <v>201424</v>
      </c>
      <c r="BT78" s="130"/>
      <c r="BU78" s="130">
        <f>BU76+BS78</f>
        <v>7134085.22275</v>
      </c>
      <c r="BV78" s="130">
        <f>BV77-BS78</f>
        <v>10544846.66725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>
        <v>0.0452</v>
      </c>
      <c r="E79" s="19">
        <v>0.0471</v>
      </c>
      <c r="F79" s="19">
        <v>0.061</v>
      </c>
      <c r="G79" s="19">
        <v>0.0546</v>
      </c>
      <c r="H79" s="19">
        <v>0.0666</v>
      </c>
      <c r="I79" s="19">
        <v>0.0657</v>
      </c>
      <c r="J79" s="19">
        <v>0.0529</v>
      </c>
      <c r="K79" s="19">
        <v>0.0529</v>
      </c>
      <c r="L79" s="19">
        <v>0.0635</v>
      </c>
      <c r="M79" s="19">
        <v>0.0646</v>
      </c>
      <c r="N79" s="19">
        <v>0.0738</v>
      </c>
      <c r="O79" s="19">
        <v>0.0733</v>
      </c>
      <c r="P79" s="19">
        <v>0.0887</v>
      </c>
      <c r="Q79" s="19">
        <v>0.0898</v>
      </c>
      <c r="R79" s="19">
        <v>0.0623</v>
      </c>
      <c r="S79" s="19">
        <v>0.0631</v>
      </c>
      <c r="T79" s="10"/>
      <c r="X79" s="11" t="s">
        <v>58</v>
      </c>
      <c r="Y79" s="283">
        <f>AE130/AB232</f>
        <v>0.0862068965517241</v>
      </c>
      <c r="Z79" s="283">
        <f>AO130/AF232</f>
        <v>0.0986283474853037</v>
      </c>
      <c r="AA79" s="283">
        <f>AE153/AJ232</f>
        <v>0.0877777777777778</v>
      </c>
      <c r="AB79" s="283">
        <f>AO153/AN232</f>
        <v>0.0895741556534508</v>
      </c>
      <c r="AC79" s="126"/>
      <c r="AE79" s="11" t="s">
        <v>58</v>
      </c>
      <c r="AF79" s="101">
        <v>3450</v>
      </c>
      <c r="AG79" s="101">
        <v>6700</v>
      </c>
      <c r="AH79" s="101">
        <v>10100</v>
      </c>
      <c r="AI79" s="101">
        <v>13500</v>
      </c>
      <c r="AJ79" s="300">
        <v>104200</v>
      </c>
      <c r="AK79" s="301">
        <f>AJ79/SUM(AF67:AI67)</f>
        <v>221.231422505308</v>
      </c>
      <c r="AL79" s="114">
        <f>AJ79/SUMPRODUCT(AF79:AI79,AF67:AI67)</f>
        <v>0.0320211425586184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第十三期!K9*比赛参数!D30*比赛参数!F30</f>
        <v>1236000</v>
      </c>
      <c r="BT79" s="130"/>
      <c r="BU79" s="130">
        <f>BU78+BS79</f>
        <v>8370085.22275</v>
      </c>
      <c r="BV79" s="130"/>
      <c r="BW79" s="126"/>
      <c r="CB79" s="196" t="s">
        <v>355</v>
      </c>
      <c r="CC79" s="108">
        <f>IF(SUM(AF64:AF67)&gt;0,SUM(CC74:CC77)/SUM(AF64:AF67),0)</f>
        <v>3356.55877342419</v>
      </c>
      <c r="CD79" s="108">
        <f>IF(SUM(AG64:AG67)&gt;0,SUM(CD74:CD77)/SUM(AG64:AG67),0)</f>
        <v>6555.48514851485</v>
      </c>
      <c r="CE79" s="108">
        <f>IF(SUM(AH64:AH67)&gt;0,SUM(CE74:CE77)/SUM(AH64:AH67),0)</f>
        <v>9990.50387596899</v>
      </c>
      <c r="CF79" s="108">
        <f>IF(SUM(AI64:AI67)&gt;0,SUM(CF74:CF77)/SUM(AI64:AI67),0)</f>
        <v>13219.5348837209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>
        <v>0.0308</v>
      </c>
      <c r="E80" s="19">
        <v>0.0334</v>
      </c>
      <c r="F80" s="19">
        <v>0.0441</v>
      </c>
      <c r="G80" s="19">
        <v>0.0244</v>
      </c>
      <c r="H80" s="19">
        <v>0.0403</v>
      </c>
      <c r="I80" s="19">
        <v>0.0398</v>
      </c>
      <c r="J80" s="19">
        <v>0.0291</v>
      </c>
      <c r="K80" s="19">
        <v>0.0287</v>
      </c>
      <c r="L80" s="19">
        <v>0.1099</v>
      </c>
      <c r="M80" s="19">
        <v>0.1108</v>
      </c>
      <c r="N80" s="19">
        <v>0.0783</v>
      </c>
      <c r="O80" s="19">
        <v>0.0789</v>
      </c>
      <c r="P80" s="19">
        <v>0.0932</v>
      </c>
      <c r="Q80" s="19">
        <v>0.0913</v>
      </c>
      <c r="R80" s="19">
        <v>0.0928</v>
      </c>
      <c r="S80" s="19">
        <v>0.0954</v>
      </c>
      <c r="T80" s="10"/>
      <c r="AC80" s="48"/>
      <c r="AE80" s="42" t="s">
        <v>165</v>
      </c>
      <c r="AF80" s="284">
        <v>63100</v>
      </c>
      <c r="AG80" s="284">
        <v>105800</v>
      </c>
      <c r="AH80" s="284">
        <v>82500</v>
      </c>
      <c r="AI80" s="284">
        <v>91000</v>
      </c>
      <c r="AJ80" s="42" t="s">
        <v>357</v>
      </c>
      <c r="AK80" s="302">
        <f>BS75/BS77</f>
        <v>0.0318631077510918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第十三期!CG65</f>
        <v>220753.846153846</v>
      </c>
      <c r="BT80" s="130"/>
      <c r="BU80" s="130">
        <f>BU79+BS80</f>
        <v>8590839.06890385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第十三期!Y9*第十三期!CQ56</f>
        <v>65400</v>
      </c>
      <c r="CR80" s="65">
        <f>第十三期!Z9*第十三期!CR56</f>
        <v>0</v>
      </c>
      <c r="CS80" s="65">
        <f>第十三期!AA9*第十三期!CS56</f>
        <v>0</v>
      </c>
      <c r="CT80" s="65">
        <f>第十三期!AB9*第十三期!CT56</f>
        <v>0</v>
      </c>
      <c r="CU80" s="65">
        <f>SUM(CQ80:CT80)</f>
        <v>65400</v>
      </c>
    </row>
    <row r="81" customHeight="1" spans="2:99">
      <c r="B81" s="7"/>
      <c r="C81" s="25">
        <v>9</v>
      </c>
      <c r="D81" s="19">
        <v>0.0528</v>
      </c>
      <c r="E81" s="19">
        <v>0.0525</v>
      </c>
      <c r="F81" s="19">
        <v>0.0709</v>
      </c>
      <c r="G81" s="19">
        <v>0.0623</v>
      </c>
      <c r="H81" s="19">
        <v>0.0973</v>
      </c>
      <c r="I81" s="19">
        <v>0.0865</v>
      </c>
      <c r="J81" s="19">
        <v>0.1032</v>
      </c>
      <c r="K81" s="19">
        <v>0.0856</v>
      </c>
      <c r="L81" s="19">
        <v>0.0387</v>
      </c>
      <c r="M81" s="19">
        <v>0.0385</v>
      </c>
      <c r="N81" s="19">
        <v>0.0369</v>
      </c>
      <c r="O81" s="19">
        <v>0.03</v>
      </c>
      <c r="P81" s="19">
        <v>0.0301</v>
      </c>
      <c r="Q81" s="19">
        <v>0.0295</v>
      </c>
      <c r="R81" s="19">
        <v>0.0217</v>
      </c>
      <c r="S81" s="19">
        <v>0.0176</v>
      </c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107.495741056218</v>
      </c>
      <c r="AG81" s="285">
        <f>IF(SUM(AG64:AG67)&gt;0,AG80/SUM(AG64:AG67),0)</f>
        <v>209.50495049505</v>
      </c>
      <c r="AH81" s="285">
        <f>IF(SUM(AH64:AH67)&gt;0,AH80/SUM(AH64:AH67),0)</f>
        <v>319.767441860465</v>
      </c>
      <c r="AI81" s="303">
        <f>IF(SUM(AI64:AI67)&gt;0,AI80/SUM(AI64:AI67),0)</f>
        <v>423.255813953488</v>
      </c>
      <c r="AJ81" s="42" t="s">
        <v>361</v>
      </c>
      <c r="AK81" s="302">
        <f>BS76/BS77</f>
        <v>0.0318817193794511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(第十三期!K10+(第十三期!AC18+第十三期!K10-第十三期!AC21))/2*比赛参数!D16</f>
        <v>11857.14</v>
      </c>
      <c r="BT81" s="130"/>
      <c r="BU81" s="130">
        <f>BU80+BS81</f>
        <v>8602696.20890385</v>
      </c>
      <c r="BV81" s="130">
        <f>BV78-BS81</f>
        <v>10532989.52725</v>
      </c>
      <c r="BW81" s="126"/>
      <c r="CB81" s="219"/>
      <c r="CC81" s="219">
        <f t="shared" ref="CC81:CF84" si="50">CJ19*AF64</f>
        <v>217443.714947452</v>
      </c>
      <c r="CD81" s="219">
        <f t="shared" si="50"/>
        <v>410294.218439905</v>
      </c>
      <c r="CE81" s="219">
        <f t="shared" si="50"/>
        <v>343279.013398416</v>
      </c>
      <c r="CF81" s="219">
        <f t="shared" si="50"/>
        <v>392093.982335266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第十三期!Y10*第十三期!CQ57</f>
        <v>95250</v>
      </c>
      <c r="CR81" s="65">
        <f>第十三期!Z10*第十三期!CR57</f>
        <v>0</v>
      </c>
      <c r="CS81" s="65">
        <f>第十三期!AA10*第十三期!CS57</f>
        <v>38250</v>
      </c>
      <c r="CT81" s="65">
        <f>第十三期!AB10*第十三期!CT57</f>
        <v>0</v>
      </c>
      <c r="CU81" s="65">
        <f>SUM(CQ81:CT81)</f>
        <v>133500</v>
      </c>
    </row>
    <row r="82" ht="18.75" customHeight="1" spans="2:99">
      <c r="B82" s="7"/>
      <c r="C82" s="25">
        <v>10</v>
      </c>
      <c r="D82" s="19">
        <v>0.0912</v>
      </c>
      <c r="E82" s="19">
        <v>0.0948</v>
      </c>
      <c r="F82" s="19">
        <v>0.112</v>
      </c>
      <c r="G82" s="19">
        <v>0.1054</v>
      </c>
      <c r="H82" s="19">
        <v>0.0833</v>
      </c>
      <c r="I82" s="19">
        <v>0.0856</v>
      </c>
      <c r="J82" s="19">
        <v>0.0939</v>
      </c>
      <c r="K82" s="19">
        <v>0.1019</v>
      </c>
      <c r="L82" s="19">
        <v>0.0619</v>
      </c>
      <c r="M82" s="19">
        <v>0.0631</v>
      </c>
      <c r="N82" s="19">
        <v>0.0783</v>
      </c>
      <c r="O82" s="19">
        <v>0.08</v>
      </c>
      <c r="P82" s="19">
        <v>0.0436</v>
      </c>
      <c r="Q82" s="19">
        <v>0.0427</v>
      </c>
      <c r="R82" s="19">
        <v>0.0696</v>
      </c>
      <c r="S82" s="19">
        <v>0.072</v>
      </c>
      <c r="T82" s="10"/>
      <c r="X82" s="64" t="s">
        <v>55</v>
      </c>
      <c r="Y82" s="286">
        <f>(Y76-AS54)/AS78</f>
        <v>0.956259729836248</v>
      </c>
      <c r="Z82" s="286">
        <f>(Z76-AW54)/AW78</f>
        <v>1.28657308014335</v>
      </c>
      <c r="AA82" s="286">
        <f>(AA76-BA54)/BA78</f>
        <v>1.03375135706082</v>
      </c>
      <c r="AB82" s="286">
        <f>(AB76-BE54)/BE78</f>
        <v>0.647823516673089</v>
      </c>
      <c r="AF82" s="48">
        <f>SUMPRODUCT(AF70:AF73,AF86:AF89)/SUM(AF70:AF73)</f>
        <v>3365.19337016575</v>
      </c>
      <c r="AG82" s="48">
        <f>SUMPRODUCT(AG70:AG73,AG86:AG89)/SUM(AG70:AG73)</f>
        <v>6497.02702702703</v>
      </c>
      <c r="AH82" s="48">
        <f>SUMPRODUCT(AH70:AH73,AH86:AH89)/SUM(AH70:AH73)</f>
        <v>10201.9379844961</v>
      </c>
      <c r="AI82" s="48">
        <f>SUMPRODUCT(AI70:AI73,AI86:AI89)/SUM(AI70:AI73)</f>
        <v>13327.3291925466</v>
      </c>
      <c r="AJ82" s="42" t="s">
        <v>100</v>
      </c>
      <c r="AK82" s="84">
        <f>AF14</f>
        <v>2197658.40859615</v>
      </c>
      <c r="AR82" s="185">
        <v>1</v>
      </c>
      <c r="AS82" s="308">
        <f t="shared" ref="AS82:BH97" si="51">IF(AS33="","",(AS33-AS$54)/AS$78)</f>
        <v>0.955489236222111</v>
      </c>
      <c r="AT82" s="309">
        <f t="shared" si="51"/>
        <v>0.936978849824078</v>
      </c>
      <c r="AU82" s="309">
        <f t="shared" si="51"/>
        <v>0.924088574488952</v>
      </c>
      <c r="AV82" s="310">
        <f t="shared" si="51"/>
        <v>1.24752636648961</v>
      </c>
      <c r="AW82" s="308">
        <f t="shared" si="51"/>
        <v>1.0732340485342</v>
      </c>
      <c r="AX82" s="309">
        <f t="shared" si="51"/>
        <v>1.09998015554912</v>
      </c>
      <c r="AY82" s="309">
        <f t="shared" si="51"/>
        <v>0.75875274010693</v>
      </c>
      <c r="AZ82" s="310">
        <f t="shared" si="51"/>
        <v>1.17156239421962</v>
      </c>
      <c r="BA82" s="308">
        <f t="shared" si="51"/>
        <v>1.50463449794163</v>
      </c>
      <c r="BB82" s="309">
        <f t="shared" si="51"/>
        <v>1.52947714010692</v>
      </c>
      <c r="BC82" s="309">
        <f t="shared" si="51"/>
        <v>1.48821905676327</v>
      </c>
      <c r="BD82" s="310">
        <f t="shared" si="51"/>
        <v>1.69454072217546</v>
      </c>
      <c r="BE82" s="308">
        <f t="shared" si="51"/>
        <v>-0.378085999918331</v>
      </c>
      <c r="BF82" s="309">
        <f t="shared" si="51"/>
        <v>-0.403653800462197</v>
      </c>
      <c r="BG82" s="309">
        <f t="shared" si="51"/>
        <v>-0.408770767834531</v>
      </c>
      <c r="BH82" s="310">
        <f t="shared" si="51"/>
        <v>-0.042806926458</v>
      </c>
      <c r="BI82" s="319">
        <f>IF(AS82="","",AVERAGE(AS82:BH82))</f>
        <v>0.821947892984302</v>
      </c>
      <c r="BR82" s="209" t="s">
        <v>364</v>
      </c>
      <c r="BS82" s="130">
        <f>第十三期!CG67</f>
        <v>31800</v>
      </c>
      <c r="BT82" s="130"/>
      <c r="BU82" s="91">
        <f>BU81+BS82</f>
        <v>8634496.20890385</v>
      </c>
      <c r="BV82" s="130">
        <f>BV81-BS82</f>
        <v>10501189.52725</v>
      </c>
      <c r="BW82" s="126"/>
      <c r="CB82" s="219"/>
      <c r="CC82" s="219">
        <f t="shared" si="50"/>
        <v>212728.714947452</v>
      </c>
      <c r="CD82" s="219">
        <f t="shared" si="50"/>
        <v>397787.726102259</v>
      </c>
      <c r="CE82" s="219">
        <f t="shared" si="50"/>
        <v>343024.995780531</v>
      </c>
      <c r="CF82" s="219">
        <f t="shared" si="50"/>
        <v>377403.557179196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第十三期!Y11*第十三期!CQ58</f>
        <v>0</v>
      </c>
      <c r="CR82" s="65">
        <f>第十三期!Z11*第十三期!CR58</f>
        <v>0</v>
      </c>
      <c r="CS82" s="65">
        <f>第十三期!AA11*第十三期!CS58</f>
        <v>68780</v>
      </c>
      <c r="CT82" s="65">
        <f>第十三期!AB11*第十三期!CT58</f>
        <v>16340</v>
      </c>
      <c r="CU82" s="65">
        <f>SUM(CQ82:CT82)</f>
        <v>85120</v>
      </c>
    </row>
    <row r="83" ht="18.75" customHeight="1" spans="2:99">
      <c r="B83" s="7"/>
      <c r="C83" s="25">
        <v>11</v>
      </c>
      <c r="D83" s="19">
        <v>0.0713</v>
      </c>
      <c r="E83" s="19">
        <v>0.0709</v>
      </c>
      <c r="F83" s="19">
        <v>0.0704</v>
      </c>
      <c r="G83" s="19">
        <v>0.068</v>
      </c>
      <c r="H83" s="19">
        <v>0.1025</v>
      </c>
      <c r="I83" s="19">
        <v>0.0952</v>
      </c>
      <c r="J83" s="19">
        <v>0.1091</v>
      </c>
      <c r="K83" s="19">
        <v>0.1045</v>
      </c>
      <c r="L83" s="19">
        <v>0.0387</v>
      </c>
      <c r="M83" s="19">
        <v>0.0385</v>
      </c>
      <c r="N83" s="19">
        <v>0.0459</v>
      </c>
      <c r="O83" s="19">
        <v>0.0422</v>
      </c>
      <c r="P83" s="19">
        <v>0.0496</v>
      </c>
      <c r="Q83" s="19">
        <v>0.0501</v>
      </c>
      <c r="R83" s="19">
        <v>0.0681</v>
      </c>
      <c r="S83" s="19">
        <v>0.069</v>
      </c>
      <c r="T83" s="10"/>
      <c r="X83" s="11" t="s">
        <v>56</v>
      </c>
      <c r="Y83" s="286">
        <f>(Y77-AT54)/AT78</f>
        <v>0.936661649851922</v>
      </c>
      <c r="Z83" s="286">
        <f>(Z77-AX54)/AX78</f>
        <v>1.37903338845696</v>
      </c>
      <c r="AA83" s="286">
        <f>(AA77-BB54)/BB78</f>
        <v>1.10160090205345</v>
      </c>
      <c r="AB83" s="286">
        <f>(AB77-BF54)/BF78</f>
        <v>0.533720718436334</v>
      </c>
      <c r="AE83" s="42" t="s">
        <v>365</v>
      </c>
      <c r="AF83" s="285">
        <f>SUMPRODUCT(Y96:Y99,AF64:AF67)/SUM(AF64:AF67)</f>
        <v>13.8728730206422</v>
      </c>
      <c r="AG83" s="285">
        <f>SUMPRODUCT(Z96:Z99,AG64:AG67)/SUM(AG64:AG67)</f>
        <v>9.8212227286234</v>
      </c>
      <c r="AH83" s="285">
        <f>SUMPRODUCT(AA96:AA99,AH64:AH67)/SUM(AH64:AH67)</f>
        <v>9.97111939427214</v>
      </c>
      <c r="AI83" s="285">
        <f>SUMPRODUCT(AB96:AB99,AI64:AI67)/SUM(AI64:AI67)</f>
        <v>9.18376199861414</v>
      </c>
      <c r="AR83" s="185">
        <v>2</v>
      </c>
      <c r="AS83" s="308">
        <f t="shared" si="51"/>
        <v>-0.595692022823636</v>
      </c>
      <c r="AT83" s="309">
        <f t="shared" si="51"/>
        <v>-0.597163771758412</v>
      </c>
      <c r="AU83" s="309">
        <f t="shared" si="51"/>
        <v>-1.0207624561278</v>
      </c>
      <c r="AV83" s="310">
        <f t="shared" si="51"/>
        <v>-0.903175726646726</v>
      </c>
      <c r="AW83" s="308">
        <f t="shared" si="51"/>
        <v>-0.736305611395676</v>
      </c>
      <c r="AX83" s="309">
        <f t="shared" si="51"/>
        <v>-0.507987803500701</v>
      </c>
      <c r="AY83" s="309">
        <f t="shared" si="51"/>
        <v>-0.676734614802705</v>
      </c>
      <c r="AZ83" s="310">
        <f t="shared" si="51"/>
        <v>-0.213256749178225</v>
      </c>
      <c r="BA83" s="308">
        <f t="shared" si="51"/>
        <v>0.518106782419272</v>
      </c>
      <c r="BB83" s="309">
        <f t="shared" si="51"/>
        <v>0.662619700048475</v>
      </c>
      <c r="BC83" s="309">
        <f t="shared" si="51"/>
        <v>-0.410851567102197</v>
      </c>
      <c r="BD83" s="310">
        <f t="shared" si="51"/>
        <v>-0.356395070668816</v>
      </c>
      <c r="BE83" s="308">
        <f t="shared" si="51"/>
        <v>1.24101391677341</v>
      </c>
      <c r="BF83" s="309">
        <f t="shared" si="51"/>
        <v>1.15706655694182</v>
      </c>
      <c r="BG83" s="309">
        <f t="shared" si="51"/>
        <v>0.62451586455595</v>
      </c>
      <c r="BH83" s="310">
        <f t="shared" si="51"/>
        <v>-0.042806926458</v>
      </c>
      <c r="BI83" s="319">
        <f t="shared" ref="BI83:BI101" si="52">IF(AS83="","",AVERAGE(AS83:BH83))</f>
        <v>-0.116113093732747</v>
      </c>
      <c r="BR83" s="209" t="s">
        <v>366</v>
      </c>
      <c r="BS83" s="130">
        <f>第十三期!K13</f>
        <v>0</v>
      </c>
      <c r="BT83" s="130"/>
      <c r="BU83" s="130"/>
      <c r="BV83" s="130">
        <f>BV82+BS83</f>
        <v>10501189.52725</v>
      </c>
      <c r="BW83" s="126"/>
      <c r="CB83" s="219"/>
      <c r="CC83" s="219">
        <f t="shared" si="50"/>
        <v>355383.239527818</v>
      </c>
      <c r="CD83" s="219">
        <f t="shared" si="50"/>
        <v>627479.342984566</v>
      </c>
      <c r="CE83" s="219">
        <f t="shared" si="50"/>
        <v>414082.837219562</v>
      </c>
      <c r="CF83" s="219">
        <f t="shared" si="50"/>
        <v>521453.934520239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第十三期!Y12*第十三期!CQ59</f>
        <v>0</v>
      </c>
      <c r="CR83" s="65">
        <f>第十三期!Z12*第十三期!CR59</f>
        <v>0</v>
      </c>
      <c r="CS83" s="65">
        <f>第十三期!AA12*第十三期!CS59</f>
        <v>53560</v>
      </c>
      <c r="CT83" s="65">
        <f>第十三期!AB12*第十三期!CT59</f>
        <v>63960</v>
      </c>
      <c r="CU83" s="65">
        <f>SUM(CQ83:CT83)</f>
        <v>117520</v>
      </c>
    </row>
    <row r="84" ht="18.75" customHeight="1" spans="2:99">
      <c r="B84" s="7"/>
      <c r="C84" s="25">
        <v>12</v>
      </c>
      <c r="D84" s="19">
        <v>0.0411</v>
      </c>
      <c r="E84" s="19">
        <v>0.0218</v>
      </c>
      <c r="F84" s="19">
        <v>0.0243</v>
      </c>
      <c r="G84" s="19">
        <v>0.035</v>
      </c>
      <c r="H84" s="19">
        <v>0.0394</v>
      </c>
      <c r="I84" s="19">
        <v>0.0303</v>
      </c>
      <c r="J84" s="19">
        <v>0.043</v>
      </c>
      <c r="K84" s="19">
        <v>0.0405</v>
      </c>
      <c r="L84" s="19">
        <v>0</v>
      </c>
      <c r="M84" s="19">
        <v>0</v>
      </c>
      <c r="N84" s="19">
        <v>0.1174</v>
      </c>
      <c r="O84" s="19">
        <v>0.0978</v>
      </c>
      <c r="P84" s="19">
        <v>0.0541</v>
      </c>
      <c r="Q84" s="19">
        <v>0.056</v>
      </c>
      <c r="R84" s="19">
        <v>0.0116</v>
      </c>
      <c r="S84" s="19">
        <v>0.0162</v>
      </c>
      <c r="T84" s="10"/>
      <c r="X84" s="11" t="s">
        <v>57</v>
      </c>
      <c r="Y84" s="286">
        <f>(Y78-AU54)/AU78</f>
        <v>1.26458481769694</v>
      </c>
      <c r="Z84" s="286">
        <f>(Z78-AY54)/AY78</f>
        <v>1.52718221088599</v>
      </c>
      <c r="AA84" s="286">
        <f>(AA78-BC54)/BC78</f>
        <v>0.708872946571658</v>
      </c>
      <c r="AB84" s="286">
        <f>(AB78-BG54)/BG78</f>
        <v>1.21613354452399</v>
      </c>
      <c r="AF84" s="114">
        <f>AF80/SUMPRODUCT(AF76:AF79,AF64:AF67)</f>
        <v>0.0320255798609349</v>
      </c>
      <c r="AG84" s="114">
        <f>AG80/SUMPRODUCT(AG76:AG79,AG64:AG67)</f>
        <v>0.0319587255174414</v>
      </c>
      <c r="AH84" s="114">
        <f>AH80/SUMPRODUCT(AH76:AH79,AH64:AH67)</f>
        <v>0.0320071385618126</v>
      </c>
      <c r="AI84" s="114">
        <f>AI80/SUMPRODUCT(AI76:AI79,AI64:AI67)</f>
        <v>0.0320174512701428</v>
      </c>
      <c r="AJ84" s="48"/>
      <c r="AK84" s="2" t="s">
        <v>367</v>
      </c>
      <c r="AL84" s="48"/>
      <c r="AR84" s="185">
        <v>3</v>
      </c>
      <c r="AS84" s="308">
        <f t="shared" si="51"/>
        <v>0.856943603294499</v>
      </c>
      <c r="AT84" s="309">
        <f t="shared" si="51"/>
        <v>0.515271399341687</v>
      </c>
      <c r="AU84" s="309">
        <f t="shared" si="51"/>
        <v>0.707994015531536</v>
      </c>
      <c r="AV84" s="310">
        <f t="shared" si="51"/>
        <v>0.598542576981802</v>
      </c>
      <c r="AW84" s="308">
        <f t="shared" si="51"/>
        <v>-0.52280093198422</v>
      </c>
      <c r="AX84" s="309">
        <f t="shared" si="51"/>
        <v>-0.440659095855758</v>
      </c>
      <c r="AY84" s="309">
        <f t="shared" si="51"/>
        <v>-0.547411429675711</v>
      </c>
      <c r="AZ84" s="310">
        <f t="shared" si="51"/>
        <v>-0.616734919353399</v>
      </c>
      <c r="BA84" s="308">
        <f t="shared" si="51"/>
        <v>-0.234689751271634</v>
      </c>
      <c r="BB84" s="309">
        <f t="shared" si="51"/>
        <v>-0.251179478641293</v>
      </c>
      <c r="BC84" s="309">
        <f t="shared" si="51"/>
        <v>-0.410851567102197</v>
      </c>
      <c r="BD84" s="310">
        <f t="shared" si="51"/>
        <v>-0.431596049739773</v>
      </c>
      <c r="BE84" s="308">
        <f t="shared" si="51"/>
        <v>-0.485786659565232</v>
      </c>
      <c r="BF84" s="309">
        <f t="shared" si="51"/>
        <v>-0.611985250884906</v>
      </c>
      <c r="BG84" s="309">
        <f t="shared" si="51"/>
        <v>0.0330952262798197</v>
      </c>
      <c r="BH84" s="310">
        <f t="shared" si="51"/>
        <v>0.110783590790446</v>
      </c>
      <c r="BI84" s="319">
        <f t="shared" si="52"/>
        <v>-0.108191545115896</v>
      </c>
      <c r="BR84" s="209" t="s">
        <v>258</v>
      </c>
      <c r="BS84" s="130">
        <f>第十三期!K13*比赛参数!D70/4</f>
        <v>0</v>
      </c>
      <c r="BT84" s="329">
        <f>BT77+BS84</f>
        <v>10914306.64</v>
      </c>
      <c r="BU84" s="130"/>
      <c r="BV84" s="130">
        <f>BV83+BS84</f>
        <v>10501189.52725</v>
      </c>
      <c r="BW84" s="126"/>
      <c r="CB84" s="219"/>
      <c r="CC84" s="219">
        <f t="shared" si="50"/>
        <v>370406.684265578</v>
      </c>
      <c r="CD84" s="219">
        <f t="shared" si="50"/>
        <v>635029.342984566</v>
      </c>
      <c r="CE84" s="219">
        <f t="shared" si="50"/>
        <v>499594.608187051</v>
      </c>
      <c r="CF84" s="219">
        <f t="shared" si="50"/>
        <v>524503.934520239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160650</v>
      </c>
      <c r="CR84" s="65">
        <f>SUM(CR80:CR83)</f>
        <v>0</v>
      </c>
      <c r="CS84" s="65">
        <f>SUM(CS80:CS83)</f>
        <v>160590</v>
      </c>
      <c r="CT84" s="65">
        <f>SUM(CT80:CT83)</f>
        <v>80300</v>
      </c>
      <c r="CU84" s="65">
        <f>SUM(CU80:CU83)</f>
        <v>401540</v>
      </c>
    </row>
    <row r="85" ht="18.75" customHeight="1" spans="2:99">
      <c r="B85" s="7"/>
      <c r="C85" s="25">
        <v>13</v>
      </c>
      <c r="D85" s="19">
        <v>0.0658</v>
      </c>
      <c r="E85" s="19">
        <v>0.0675</v>
      </c>
      <c r="F85" s="19">
        <v>0.0441</v>
      </c>
      <c r="G85" s="19">
        <v>0.0522</v>
      </c>
      <c r="H85" s="19">
        <v>0.0798</v>
      </c>
      <c r="I85" s="19">
        <v>0.0787</v>
      </c>
      <c r="J85" s="19">
        <v>0.0853</v>
      </c>
      <c r="K85" s="19">
        <v>0.0849</v>
      </c>
      <c r="L85" s="19">
        <v>0.0588</v>
      </c>
      <c r="M85" s="19">
        <v>0.0569</v>
      </c>
      <c r="N85" s="19">
        <v>0.0537</v>
      </c>
      <c r="O85" s="19">
        <v>0.0544</v>
      </c>
      <c r="P85" s="19">
        <v>0.0571</v>
      </c>
      <c r="Q85" s="19">
        <v>0.056</v>
      </c>
      <c r="R85" s="19">
        <v>0.0768</v>
      </c>
      <c r="S85" s="19">
        <v>0.0793</v>
      </c>
      <c r="T85" s="10"/>
      <c r="X85" s="11" t="s">
        <v>58</v>
      </c>
      <c r="Y85" s="286">
        <f>(Y79-AV54)/AV78</f>
        <v>1.26665239236323</v>
      </c>
      <c r="Z85" s="286">
        <f>(Z79-AZ54)/AZ78</f>
        <v>1.57259054528309</v>
      </c>
      <c r="AA85" s="286">
        <f>(AA79-BD54)/BD78</f>
        <v>1.20155652604363</v>
      </c>
      <c r="AB85" s="286">
        <f>(AB79-BH54)/BH78</f>
        <v>1.28973587180023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>
        <f t="shared" si="51"/>
        <v>1.18177920812996</v>
      </c>
      <c r="AT85" s="309">
        <f t="shared" si="51"/>
        <v>1.13692634789763</v>
      </c>
      <c r="AU85" s="309">
        <f t="shared" si="51"/>
        <v>0.996120094141424</v>
      </c>
      <c r="AV85" s="310">
        <f t="shared" si="51"/>
        <v>1.37581385976441</v>
      </c>
      <c r="AW85" s="308">
        <f t="shared" si="51"/>
        <v>0.212215177465053</v>
      </c>
      <c r="AX85" s="309">
        <f t="shared" si="51"/>
        <v>0.212825419521632</v>
      </c>
      <c r="AY85" s="309">
        <f t="shared" si="51"/>
        <v>0.138001451497358</v>
      </c>
      <c r="AZ85" s="310">
        <f t="shared" si="51"/>
        <v>0.142351129620233</v>
      </c>
      <c r="BA85" s="308">
        <f t="shared" si="51"/>
        <v>0.37543969740527</v>
      </c>
      <c r="BB85" s="309">
        <f t="shared" si="51"/>
        <v>0.424781557649768</v>
      </c>
      <c r="BC85" s="309">
        <f t="shared" si="51"/>
        <v>-0.410851567102197</v>
      </c>
      <c r="BD85" s="310">
        <f t="shared" si="51"/>
        <v>-0.431596049739773</v>
      </c>
      <c r="BE85" s="308">
        <f t="shared" si="51"/>
        <v>1.78310723699615</v>
      </c>
      <c r="BF85" s="309">
        <f t="shared" si="51"/>
        <v>1.88446111265501</v>
      </c>
      <c r="BG85" s="309">
        <f t="shared" si="51"/>
        <v>0.57693029595902</v>
      </c>
      <c r="BH85" s="310">
        <f t="shared" si="51"/>
        <v>0.62391554614321</v>
      </c>
      <c r="BI85" s="319">
        <f t="shared" si="52"/>
        <v>0.638888782375259</v>
      </c>
      <c r="BR85" s="209" t="s">
        <v>370</v>
      </c>
      <c r="BS85" s="130">
        <f>第十三期!AH14</f>
        <v>3651201</v>
      </c>
      <c r="BT85" s="130"/>
      <c r="BU85" s="130"/>
      <c r="BV85" s="130">
        <f t="shared" ref="BV85:BV90" si="53">BV84-BS85</f>
        <v>6849988.52725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>
        <v>0.0781</v>
      </c>
      <c r="E86" s="19">
        <v>0.073</v>
      </c>
      <c r="F86" s="19">
        <v>0.0778</v>
      </c>
      <c r="G86" s="19">
        <v>0.0752</v>
      </c>
      <c r="H86" s="19">
        <v>0.0535</v>
      </c>
      <c r="I86" s="19">
        <v>0.0493</v>
      </c>
      <c r="J86" s="19">
        <v>0.0569</v>
      </c>
      <c r="K86" s="19">
        <v>0.0575</v>
      </c>
      <c r="L86" s="19">
        <v>0.0557</v>
      </c>
      <c r="M86" s="19">
        <v>0.0569</v>
      </c>
      <c r="N86" s="19">
        <v>0.0313</v>
      </c>
      <c r="O86" s="19">
        <v>0.0378</v>
      </c>
      <c r="P86" s="19">
        <v>0.0662</v>
      </c>
      <c r="Q86" s="19">
        <v>0.0619</v>
      </c>
      <c r="R86" s="19">
        <v>0.0391</v>
      </c>
      <c r="S86" s="19">
        <v>0.0352</v>
      </c>
      <c r="T86" s="10"/>
      <c r="Y86" s="2">
        <f>AVERAGE(Y82:Y85)</f>
        <v>1.10603964743709</v>
      </c>
      <c r="Z86" s="2">
        <f>AVERAGE(Z82:Z85)</f>
        <v>1.44134480619235</v>
      </c>
      <c r="AA86" s="2">
        <f>AVERAGE(AA82:AA85)</f>
        <v>1.01144543293239</v>
      </c>
      <c r="AB86" s="2">
        <f>AVERAGE(AB82:AB85)</f>
        <v>0.921853412858411</v>
      </c>
      <c r="AE86" s="47" t="s">
        <v>55</v>
      </c>
      <c r="AF86" s="131">
        <f>第十三期!DS33</f>
        <v>3200</v>
      </c>
      <c r="AG86" s="131">
        <f>第十三期!DW33</f>
        <v>6350</v>
      </c>
      <c r="AH86" s="131">
        <f>第十三期!EA33</f>
        <v>10050</v>
      </c>
      <c r="AI86" s="131">
        <f>第十三期!EE33</f>
        <v>13050</v>
      </c>
      <c r="AJ86" s="64" t="s">
        <v>55</v>
      </c>
      <c r="AK86" s="108">
        <f t="shared" ref="AK86:AN89" si="54">AF76-AF86</f>
        <v>50</v>
      </c>
      <c r="AL86" s="108">
        <f t="shared" si="54"/>
        <v>50</v>
      </c>
      <c r="AM86" s="108">
        <f t="shared" si="54"/>
        <v>-200</v>
      </c>
      <c r="AN86" s="108">
        <f t="shared" si="54"/>
        <v>-100</v>
      </c>
      <c r="AR86" s="185">
        <v>5</v>
      </c>
      <c r="AS86" s="308">
        <f t="shared" si="51"/>
        <v>1.65625818148513</v>
      </c>
      <c r="AT86" s="309">
        <f t="shared" si="51"/>
        <v>1.70768556967121</v>
      </c>
      <c r="AU86" s="309">
        <f t="shared" si="51"/>
        <v>0.888072814662716</v>
      </c>
      <c r="AV86" s="310">
        <f t="shared" si="51"/>
        <v>0.923034471735705</v>
      </c>
      <c r="AW86" s="308">
        <f t="shared" si="51"/>
        <v>0.765227297907839</v>
      </c>
      <c r="AX86" s="309">
        <f t="shared" si="51"/>
        <v>0.826704812754937</v>
      </c>
      <c r="AY86" s="309">
        <f t="shared" si="51"/>
        <v>0.926872880772022</v>
      </c>
      <c r="AZ86" s="310">
        <f t="shared" si="51"/>
        <v>0.477443169257242</v>
      </c>
      <c r="BA86" s="308">
        <f t="shared" si="51"/>
        <v>1.59873406465299</v>
      </c>
      <c r="BB86" s="309">
        <f t="shared" si="51"/>
        <v>1.57954832798033</v>
      </c>
      <c r="BC86" s="309">
        <f t="shared" si="51"/>
        <v>1.0784196063502</v>
      </c>
      <c r="BD86" s="310">
        <f t="shared" si="51"/>
        <v>1.23991662142831</v>
      </c>
      <c r="BE86" s="308">
        <f t="shared" si="51"/>
        <v>-0.647337649035584</v>
      </c>
      <c r="BF86" s="309">
        <f t="shared" si="51"/>
        <v>-0.611985250884906</v>
      </c>
      <c r="BG86" s="309">
        <f t="shared" si="51"/>
        <v>0.82165607731466</v>
      </c>
      <c r="BH86" s="310">
        <f t="shared" si="51"/>
        <v>0.571555142535785</v>
      </c>
      <c r="BI86" s="319">
        <f t="shared" si="52"/>
        <v>0.862612883661786</v>
      </c>
      <c r="BR86" s="209" t="s">
        <v>371</v>
      </c>
      <c r="BS86" s="130">
        <f>第十三期!AH14*比赛参数!D69/4</f>
        <v>82152.0225</v>
      </c>
      <c r="BT86" s="130"/>
      <c r="BU86" s="329">
        <f>BU82+BS86</f>
        <v>8716648.23140385</v>
      </c>
      <c r="BV86" s="130">
        <f t="shared" si="53"/>
        <v>6767836.50475</v>
      </c>
      <c r="BW86" s="126"/>
      <c r="CB86" s="196" t="s">
        <v>372</v>
      </c>
      <c r="CC86" s="108">
        <f>IF(SUM(AF64:AF67)&gt;0,SUM(CC81:CC84)/SUM(AF64:AF67),0)</f>
        <v>1969.27147135997</v>
      </c>
      <c r="CD86" s="108">
        <f>IF(SUM(AG64:AG67)&gt;0,SUM(CD81:CD84)/SUM(AG64:AG67),0)</f>
        <v>4100.179466359</v>
      </c>
      <c r="CE86" s="108">
        <f>IF(SUM(AH64:AH67)&gt;0,SUM(CE81:CE84)/SUM(AH64:AH67),0)</f>
        <v>6201.47850614558</v>
      </c>
      <c r="CF86" s="108">
        <f>IF(SUM(AI64:AI67)&gt;0,SUM(CF81:CF84)/SUM(AI64:AI67),0)</f>
        <v>8443.97864444158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>
        <v>0.0452</v>
      </c>
      <c r="E87" s="19">
        <v>0.0628</v>
      </c>
      <c r="F87" s="19">
        <v>0.054</v>
      </c>
      <c r="G87" s="19">
        <v>0.057</v>
      </c>
      <c r="H87" s="19">
        <v>0.0412</v>
      </c>
      <c r="I87" s="19">
        <v>0.0433</v>
      </c>
      <c r="J87" s="19">
        <v>0.041</v>
      </c>
      <c r="K87" s="19">
        <v>0.0392</v>
      </c>
      <c r="L87" s="19">
        <v>0.0325</v>
      </c>
      <c r="M87" s="19">
        <v>0.0354</v>
      </c>
      <c r="N87" s="19">
        <v>0.0324</v>
      </c>
      <c r="O87" s="19">
        <v>0.0311</v>
      </c>
      <c r="P87" s="19">
        <v>0.0466</v>
      </c>
      <c r="Q87" s="19">
        <v>0.0486</v>
      </c>
      <c r="R87" s="19">
        <v>0.042</v>
      </c>
      <c r="S87" s="19">
        <v>0.0455</v>
      </c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第十三期!DT33</f>
        <v>3200</v>
      </c>
      <c r="AG87" s="131">
        <f>第十三期!DX33</f>
        <v>6350</v>
      </c>
      <c r="AH87" s="131">
        <f>第十三期!EB33</f>
        <v>10050</v>
      </c>
      <c r="AI87" s="131">
        <f>第十三期!EF33</f>
        <v>13050</v>
      </c>
      <c r="AJ87" s="11" t="s">
        <v>56</v>
      </c>
      <c r="AK87" s="108">
        <f t="shared" si="54"/>
        <v>50</v>
      </c>
      <c r="AL87" s="108">
        <f t="shared" si="54"/>
        <v>50</v>
      </c>
      <c r="AM87" s="108">
        <f t="shared" si="54"/>
        <v>-200</v>
      </c>
      <c r="AN87" s="108">
        <f t="shared" si="54"/>
        <v>-100</v>
      </c>
      <c r="AR87" s="185">
        <v>6</v>
      </c>
      <c r="AS87" s="308">
        <f t="shared" si="51"/>
        <v>-1.39500660101427</v>
      </c>
      <c r="AT87" s="309">
        <f t="shared" si="51"/>
        <v>-1.39331835499672</v>
      </c>
      <c r="AU87" s="309">
        <f t="shared" si="51"/>
        <v>-1.30528695875506</v>
      </c>
      <c r="AV87" s="310">
        <f t="shared" si="51"/>
        <v>-1.37104776094305</v>
      </c>
      <c r="AW87" s="308">
        <f t="shared" si="51"/>
        <v>-1.84232985228125</v>
      </c>
      <c r="AX87" s="309">
        <f t="shared" si="51"/>
        <v>-1.50207636931722</v>
      </c>
      <c r="AY87" s="309">
        <f t="shared" si="51"/>
        <v>-1.70162085693413</v>
      </c>
      <c r="AZ87" s="310">
        <f t="shared" si="51"/>
        <v>-1.79981497766366</v>
      </c>
      <c r="BA87" s="308">
        <f t="shared" si="51"/>
        <v>-1.59761573363944</v>
      </c>
      <c r="BB87" s="309">
        <f t="shared" si="51"/>
        <v>-1.59997210198133</v>
      </c>
      <c r="BC87" s="309">
        <f t="shared" si="51"/>
        <v>-1.68023035252806</v>
      </c>
      <c r="BD87" s="310">
        <f t="shared" si="51"/>
        <v>-1.79888657830262</v>
      </c>
      <c r="BE87" s="308">
        <f t="shared" si="51"/>
        <v>-1.88948525696317</v>
      </c>
      <c r="BF87" s="309">
        <f t="shared" si="51"/>
        <v>-1.85844291188857</v>
      </c>
      <c r="BG87" s="309">
        <f t="shared" si="51"/>
        <v>-1.7887522571455</v>
      </c>
      <c r="BH87" s="310">
        <f t="shared" si="51"/>
        <v>-1.83702342340576</v>
      </c>
      <c r="BI87" s="319">
        <f t="shared" si="52"/>
        <v>-1.64755689673499</v>
      </c>
      <c r="BR87" s="209" t="s">
        <v>376</v>
      </c>
      <c r="BS87" s="130">
        <f>IF(第十三期!BW92&gt;0,IF((第十三期!K15+第十三期!BW92*比赛参数!D72)&gt;0,第十三期!K15+第十三期!BW92*比赛参数!D72,0))</f>
        <v>659297.522578846</v>
      </c>
      <c r="BT87" s="130"/>
      <c r="BU87" s="130"/>
      <c r="BV87" s="130">
        <f t="shared" si="53"/>
        <v>6108538.98217115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0.407096171802054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0.162872939184141</v>
      </c>
    </row>
    <row r="88" ht="18.75" customHeight="1" spans="2:99">
      <c r="B88" s="7"/>
      <c r="C88" s="25">
        <v>16</v>
      </c>
      <c r="D88" s="19">
        <v>0.05</v>
      </c>
      <c r="E88" s="19">
        <v>0.0498</v>
      </c>
      <c r="F88" s="19">
        <v>0.0456</v>
      </c>
      <c r="G88" s="19">
        <v>0.0407</v>
      </c>
      <c r="H88" s="19">
        <v>0.0491</v>
      </c>
      <c r="I88" s="19">
        <v>0.0467</v>
      </c>
      <c r="J88" s="19">
        <v>0.047</v>
      </c>
      <c r="K88" s="19">
        <v>0.0464</v>
      </c>
      <c r="L88" s="19">
        <v>0.0557</v>
      </c>
      <c r="M88" s="19">
        <v>0.0538</v>
      </c>
      <c r="N88" s="19">
        <v>0.0615</v>
      </c>
      <c r="O88" s="19">
        <v>0.0711</v>
      </c>
      <c r="P88" s="19">
        <v>0.0632</v>
      </c>
      <c r="Q88" s="19">
        <v>0.0648</v>
      </c>
      <c r="R88" s="19">
        <v>0.071</v>
      </c>
      <c r="S88" s="19">
        <v>0.0837</v>
      </c>
      <c r="T88" s="10"/>
      <c r="X88" s="64" t="s">
        <v>55</v>
      </c>
      <c r="Y88" s="101">
        <v>126</v>
      </c>
      <c r="Z88" s="101">
        <v>107</v>
      </c>
      <c r="AA88" s="101">
        <v>42</v>
      </c>
      <c r="AB88" s="101">
        <v>44</v>
      </c>
      <c r="AC88" s="288" t="s">
        <v>377</v>
      </c>
      <c r="AE88" s="11" t="s">
        <v>57</v>
      </c>
      <c r="AF88" s="131">
        <f>第十三期!DU33</f>
        <v>3450</v>
      </c>
      <c r="AG88" s="131">
        <f>第十三期!DY33</f>
        <v>6550</v>
      </c>
      <c r="AH88" s="131">
        <f>第十三期!EC33</f>
        <v>10250</v>
      </c>
      <c r="AI88" s="131">
        <f>第十三期!EG33</f>
        <v>13450</v>
      </c>
      <c r="AJ88" s="11" t="s">
        <v>57</v>
      </c>
      <c r="AK88" s="108">
        <f t="shared" si="54"/>
        <v>-50</v>
      </c>
      <c r="AL88" s="108">
        <f t="shared" si="54"/>
        <v>70</v>
      </c>
      <c r="AM88" s="108">
        <f t="shared" si="54"/>
        <v>-150</v>
      </c>
      <c r="AN88" s="108">
        <f t="shared" si="54"/>
        <v>-100</v>
      </c>
      <c r="AR88" s="185">
        <v>7</v>
      </c>
      <c r="AS88" s="308">
        <f t="shared" si="51"/>
        <v>-0.270856417988174</v>
      </c>
      <c r="AT88" s="309">
        <f t="shared" si="51"/>
        <v>-0.2009041846672</v>
      </c>
      <c r="AU88" s="309">
        <f t="shared" si="51"/>
        <v>0.301015929495068</v>
      </c>
      <c r="AV88" s="310">
        <f t="shared" si="51"/>
        <v>0.0740731191818887</v>
      </c>
      <c r="AW88" s="308">
        <f t="shared" si="51"/>
        <v>0.488721237686446</v>
      </c>
      <c r="AX88" s="309">
        <f t="shared" si="51"/>
        <v>0.51778486003108</v>
      </c>
      <c r="AY88" s="309">
        <f t="shared" si="51"/>
        <v>0.00867826637036381</v>
      </c>
      <c r="AZ88" s="310">
        <f t="shared" si="51"/>
        <v>0.00899817507081137</v>
      </c>
      <c r="BA88" s="308">
        <f t="shared" si="51"/>
        <v>0.329907648996546</v>
      </c>
      <c r="BB88" s="309">
        <f t="shared" si="51"/>
        <v>0.374710369776356</v>
      </c>
      <c r="BC88" s="309">
        <f t="shared" si="51"/>
        <v>0.705268887274878</v>
      </c>
      <c r="BD88" s="310">
        <f t="shared" si="51"/>
        <v>0.706673315288798</v>
      </c>
      <c r="BE88" s="308">
        <f t="shared" si="51"/>
        <v>1.29486424659686</v>
      </c>
      <c r="BF88" s="309">
        <f t="shared" si="51"/>
        <v>1.31243238437571</v>
      </c>
      <c r="BG88" s="309">
        <f t="shared" si="51"/>
        <v>0.328805545417885</v>
      </c>
      <c r="BH88" s="310">
        <f t="shared" si="51"/>
        <v>0.365604221679914</v>
      </c>
      <c r="BI88" s="319">
        <f t="shared" si="52"/>
        <v>0.396611100286702</v>
      </c>
      <c r="BR88" s="209" t="s">
        <v>282</v>
      </c>
      <c r="BS88" s="130">
        <f>第十三期!AF18*比赛参数!D30</f>
        <v>0</v>
      </c>
      <c r="BT88" s="130"/>
      <c r="BU88" s="130"/>
      <c r="BV88" s="130">
        <f t="shared" si="53"/>
        <v>6108538.98217115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0.592903828197946</v>
      </c>
      <c r="CR88" s="65" t="e">
        <f>CR81/$CR$84</f>
        <v>#DIV/0!</v>
      </c>
      <c r="CS88" s="65">
        <f>CS81/$CS$84</f>
        <v>0.238184195778068</v>
      </c>
      <c r="CT88" s="65">
        <f>CT81/$CT$84</f>
        <v>0</v>
      </c>
      <c r="CU88" s="65">
        <f>CU81/$CU$84</f>
        <v>0.332469990536435</v>
      </c>
    </row>
    <row r="89" ht="18.75" customHeight="1" spans="2:99">
      <c r="B89" s="7"/>
      <c r="C89" s="25">
        <v>17</v>
      </c>
      <c r="D89" s="19">
        <v>0.0034</v>
      </c>
      <c r="E89" s="19">
        <v>0.0034</v>
      </c>
      <c r="F89" s="19">
        <v>0.0069</v>
      </c>
      <c r="G89" s="19">
        <v>0.0168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0.0022</v>
      </c>
      <c r="P89" s="19">
        <v>0</v>
      </c>
      <c r="Q89" s="19">
        <v>0</v>
      </c>
      <c r="R89" s="19">
        <v>0</v>
      </c>
      <c r="S89" s="19">
        <v>0.0015</v>
      </c>
      <c r="T89" s="10"/>
      <c r="X89" s="11" t="s">
        <v>56</v>
      </c>
      <c r="Y89" s="101">
        <v>127</v>
      </c>
      <c r="Z89" s="101">
        <v>106</v>
      </c>
      <c r="AA89" s="101">
        <v>42</v>
      </c>
      <c r="AB89" s="101">
        <v>44</v>
      </c>
      <c r="AC89" s="288" t="s">
        <v>378</v>
      </c>
      <c r="AE89" s="11" t="s">
        <v>58</v>
      </c>
      <c r="AF89" s="131">
        <f>第十三期!DV33</f>
        <v>3550</v>
      </c>
      <c r="AG89" s="131">
        <f>第十三期!DZ33</f>
        <v>6650</v>
      </c>
      <c r="AH89" s="131">
        <f>第十三期!ED33</f>
        <v>10350</v>
      </c>
      <c r="AI89" s="131">
        <f>第十三期!EH33</f>
        <v>13600</v>
      </c>
      <c r="AJ89" s="11" t="s">
        <v>58</v>
      </c>
      <c r="AK89" s="108">
        <f t="shared" si="54"/>
        <v>-100</v>
      </c>
      <c r="AL89" s="108">
        <f t="shared" si="54"/>
        <v>50</v>
      </c>
      <c r="AM89" s="108">
        <f t="shared" si="54"/>
        <v>-250</v>
      </c>
      <c r="AN89" s="108">
        <f t="shared" si="54"/>
        <v>-100</v>
      </c>
      <c r="AR89" s="185">
        <v>8</v>
      </c>
      <c r="AS89" s="308">
        <f t="shared" si="51"/>
        <v>-0.796433126935439</v>
      </c>
      <c r="AT89" s="309">
        <f t="shared" si="51"/>
        <v>-0.698955225323127</v>
      </c>
      <c r="AU89" s="309">
        <f t="shared" si="51"/>
        <v>-0.307650411568322</v>
      </c>
      <c r="AV89" s="310">
        <f t="shared" si="51"/>
        <v>-1.06542167402368</v>
      </c>
      <c r="AW89" s="308">
        <f t="shared" si="51"/>
        <v>-0.431798937480977</v>
      </c>
      <c r="AX89" s="309">
        <f t="shared" si="51"/>
        <v>-0.507987803500701</v>
      </c>
      <c r="AY89" s="309">
        <f t="shared" si="51"/>
        <v>-0.760794685135251</v>
      </c>
      <c r="AZ89" s="310">
        <f t="shared" si="51"/>
        <v>-0.818474004440986</v>
      </c>
      <c r="BA89" s="308">
        <f t="shared" si="51"/>
        <v>1.73836567977308</v>
      </c>
      <c r="BB89" s="309">
        <f t="shared" si="51"/>
        <v>1.82051591962113</v>
      </c>
      <c r="BC89" s="309">
        <f t="shared" si="51"/>
        <v>0.855195515474783</v>
      </c>
      <c r="BD89" s="310">
        <f t="shared" si="51"/>
        <v>0.898093989287597</v>
      </c>
      <c r="BE89" s="308">
        <f t="shared" si="51"/>
        <v>1.45641523606722</v>
      </c>
      <c r="BF89" s="309">
        <f t="shared" si="51"/>
        <v>1.36539800736453</v>
      </c>
      <c r="BG89" s="309">
        <f t="shared" si="51"/>
        <v>1.36549114699386</v>
      </c>
      <c r="BH89" s="310">
        <f t="shared" si="51"/>
        <v>1.49309824602646</v>
      </c>
      <c r="BI89" s="319">
        <f t="shared" si="52"/>
        <v>0.350316117012511</v>
      </c>
      <c r="BR89" s="209" t="s">
        <v>238</v>
      </c>
      <c r="BS89" s="130">
        <f>第十三期!AJ18</f>
        <v>0</v>
      </c>
      <c r="BT89" s="130"/>
      <c r="BU89" s="130"/>
      <c r="BV89" s="130">
        <f t="shared" si="53"/>
        <v>6108538.98217115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</v>
      </c>
      <c r="CR89" s="65" t="e">
        <f>CR82/$CR$84</f>
        <v>#DIV/0!</v>
      </c>
      <c r="CS89" s="65">
        <f>CS82/$CS$84</f>
        <v>0.428295659754655</v>
      </c>
      <c r="CT89" s="65">
        <f>CT82/$CT$84</f>
        <v>0.203486924034869</v>
      </c>
      <c r="CU89" s="65">
        <f>CU82/$CU$84</f>
        <v>0.211983862130796</v>
      </c>
    </row>
    <row r="90" ht="18.75" customHeight="1" spans="2:99">
      <c r="B90" s="7"/>
      <c r="C90" s="25">
        <v>18</v>
      </c>
      <c r="D90" s="19">
        <v>0.0199</v>
      </c>
      <c r="E90" s="19">
        <v>0.0273</v>
      </c>
      <c r="F90" s="19">
        <v>0.0238</v>
      </c>
      <c r="G90" s="19">
        <v>0.0273</v>
      </c>
      <c r="H90" s="19">
        <v>0.0359</v>
      </c>
      <c r="I90" s="19">
        <v>0.0424</v>
      </c>
      <c r="J90" s="19">
        <v>0.0271</v>
      </c>
      <c r="K90" s="19">
        <v>0.0353</v>
      </c>
      <c r="L90" s="19">
        <v>0.082</v>
      </c>
      <c r="M90" s="19">
        <v>0.0692</v>
      </c>
      <c r="N90" s="19">
        <v>0.0638</v>
      </c>
      <c r="O90" s="19">
        <v>0.0667</v>
      </c>
      <c r="P90" s="19">
        <v>0.0737</v>
      </c>
      <c r="Q90" s="19">
        <v>0.0781</v>
      </c>
      <c r="R90" s="19">
        <v>0.1058</v>
      </c>
      <c r="S90" s="19">
        <v>0.0954</v>
      </c>
      <c r="T90" s="10"/>
      <c r="X90" s="11" t="s">
        <v>57</v>
      </c>
      <c r="Y90" s="101">
        <v>189</v>
      </c>
      <c r="Z90" s="101">
        <v>159</v>
      </c>
      <c r="AA90" s="101">
        <v>63</v>
      </c>
      <c r="AB90" s="101">
        <v>64</v>
      </c>
      <c r="AC90" s="288" t="s">
        <v>379</v>
      </c>
      <c r="AF90" s="48">
        <f>SUMPRODUCT(AF64:AF67,AF76:AF79)/SUM(AF64:AF67)</f>
        <v>3356.55877342419</v>
      </c>
      <c r="AG90" s="48">
        <f>SUMPRODUCT(AG64:AG67,AG76:AG79)/SUM(AG64:AG67)</f>
        <v>6555.48514851485</v>
      </c>
      <c r="AH90" s="48">
        <f>SUMPRODUCT(AH64:AH67,AH76:AH79)/SUM(AH64:AH67)</f>
        <v>9990.50387596899</v>
      </c>
      <c r="AI90" s="48">
        <f>SUMPRODUCT(AI64:AI67,AI76:AI79)/SUM(AI64:AI67)</f>
        <v>13219.5348837209</v>
      </c>
      <c r="AR90" s="185">
        <v>9</v>
      </c>
      <c r="AS90" s="308">
        <f t="shared" si="51"/>
        <v>0.00653128951177145</v>
      </c>
      <c r="AT90" s="309">
        <f t="shared" si="51"/>
        <v>-0.00459209564953571</v>
      </c>
      <c r="AU90" s="309">
        <f t="shared" si="51"/>
        <v>0.657571951774805</v>
      </c>
      <c r="AV90" s="310">
        <f t="shared" si="51"/>
        <v>0.364606559833639</v>
      </c>
      <c r="AW90" s="308">
        <f t="shared" si="51"/>
        <v>1.56324478816705</v>
      </c>
      <c r="AX90" s="309">
        <f t="shared" si="51"/>
        <v>1.34157140062803</v>
      </c>
      <c r="AY90" s="309">
        <f t="shared" si="51"/>
        <v>1.63491731934231</v>
      </c>
      <c r="AZ90" s="310">
        <f t="shared" si="51"/>
        <v>1.12711140936981</v>
      </c>
      <c r="BA90" s="308">
        <f t="shared" si="51"/>
        <v>-0.42288888469436</v>
      </c>
      <c r="BB90" s="309">
        <f t="shared" si="51"/>
        <v>-0.442075882408676</v>
      </c>
      <c r="BC90" s="309">
        <f t="shared" si="51"/>
        <v>-0.524129463964348</v>
      </c>
      <c r="BD90" s="310">
        <f t="shared" si="51"/>
        <v>-0.773418681880485</v>
      </c>
      <c r="BE90" s="308">
        <f t="shared" si="51"/>
        <v>-0.808888638505935</v>
      </c>
      <c r="BF90" s="309">
        <f t="shared" si="51"/>
        <v>-0.816785659775026</v>
      </c>
      <c r="BG90" s="309">
        <f t="shared" si="51"/>
        <v>-1.05117594389309</v>
      </c>
      <c r="BH90" s="310">
        <f t="shared" si="51"/>
        <v>-1.22266135441197</v>
      </c>
      <c r="BI90" s="319">
        <f t="shared" si="52"/>
        <v>0.0393086320902498</v>
      </c>
      <c r="BR90" s="209" t="s">
        <v>251</v>
      </c>
      <c r="BS90" s="130">
        <f>第十三期!AF20</f>
        <v>0</v>
      </c>
      <c r="BT90" s="130"/>
      <c r="BU90" s="130"/>
      <c r="BV90" s="329">
        <f t="shared" si="53"/>
        <v>6108538.98217115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0.333520144467277</v>
      </c>
      <c r="CT90" s="65">
        <f>CT83/$CT$84</f>
        <v>0.796513075965131</v>
      </c>
      <c r="CU90" s="65">
        <f>CU83/$CU$84</f>
        <v>0.292673208148628</v>
      </c>
    </row>
    <row r="91" ht="18.75" customHeight="1" spans="2:99">
      <c r="B91" s="7"/>
      <c r="C91" s="25">
        <v>19</v>
      </c>
      <c r="D91" s="19">
        <v>0.0164</v>
      </c>
      <c r="E91" s="19">
        <v>0.0164</v>
      </c>
      <c r="F91" s="19">
        <v>0.0164</v>
      </c>
      <c r="G91" s="19">
        <v>0.0158</v>
      </c>
      <c r="H91" s="19">
        <v>0.0254</v>
      </c>
      <c r="I91" s="19">
        <v>0.0285</v>
      </c>
      <c r="J91" s="19">
        <v>0.0298</v>
      </c>
      <c r="K91" s="19">
        <v>0.0314</v>
      </c>
      <c r="L91" s="19">
        <v>0.0155</v>
      </c>
      <c r="M91" s="19">
        <v>0.0215</v>
      </c>
      <c r="N91" s="19">
        <v>0.0213</v>
      </c>
      <c r="O91" s="19">
        <v>0.0211</v>
      </c>
      <c r="P91" s="19">
        <v>0.0286</v>
      </c>
      <c r="Q91" s="19">
        <v>0.028</v>
      </c>
      <c r="R91" s="19">
        <v>0.0275</v>
      </c>
      <c r="S91" s="19">
        <v>0.0279</v>
      </c>
      <c r="T91" s="10"/>
      <c r="X91" s="11" t="s">
        <v>58</v>
      </c>
      <c r="Y91" s="101">
        <v>189</v>
      </c>
      <c r="Z91" s="101">
        <v>159</v>
      </c>
      <c r="AA91" s="101">
        <v>63</v>
      </c>
      <c r="AB91" s="101">
        <v>64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>
        <f t="shared" si="51"/>
        <v>1.40806918003781</v>
      </c>
      <c r="AT91" s="309">
        <f t="shared" si="51"/>
        <v>1.53318593498884</v>
      </c>
      <c r="AU91" s="309">
        <f t="shared" si="51"/>
        <v>2.13781968063311</v>
      </c>
      <c r="AV91" s="310">
        <f t="shared" si="51"/>
        <v>1.99083919517006</v>
      </c>
      <c r="AW91" s="308">
        <f t="shared" si="51"/>
        <v>1.0732340485342</v>
      </c>
      <c r="AX91" s="309">
        <f t="shared" si="51"/>
        <v>1.30592679069836</v>
      </c>
      <c r="AY91" s="309">
        <f t="shared" si="51"/>
        <v>1.33424091392205</v>
      </c>
      <c r="AZ91" s="310">
        <f t="shared" si="51"/>
        <v>1.68445837325586</v>
      </c>
      <c r="BA91" s="308">
        <f t="shared" si="51"/>
        <v>0.281340130693906</v>
      </c>
      <c r="BB91" s="309">
        <f t="shared" si="51"/>
        <v>0.327768631145032</v>
      </c>
      <c r="BC91" s="309">
        <f t="shared" si="51"/>
        <v>0.855195515474783</v>
      </c>
      <c r="BD91" s="310">
        <f t="shared" si="51"/>
        <v>0.935694478823075</v>
      </c>
      <c r="BE91" s="308">
        <f t="shared" si="51"/>
        <v>-0.324235670094881</v>
      </c>
      <c r="BF91" s="309">
        <f t="shared" si="51"/>
        <v>-0.350688177473373</v>
      </c>
      <c r="BG91" s="309">
        <f t="shared" si="51"/>
        <v>0.57693029595902</v>
      </c>
      <c r="BH91" s="310">
        <f t="shared" si="51"/>
        <v>0.676275949750634</v>
      </c>
      <c r="BI91" s="319">
        <f t="shared" si="52"/>
        <v>0.965378454469905</v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631</v>
      </c>
      <c r="Z92" s="76">
        <f>SUM(Z88:Z91)</f>
        <v>531</v>
      </c>
      <c r="AA92" s="76">
        <f>SUM(AA88:AA91)</f>
        <v>210</v>
      </c>
      <c r="AB92" s="289">
        <f>SUM(AB88:AB91)</f>
        <v>216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-60.1973000000003</v>
      </c>
      <c r="AL92" s="304">
        <f t="shared" si="55"/>
        <v>-121.6551</v>
      </c>
      <c r="AM92" s="304">
        <f t="shared" si="55"/>
        <v>549.573399999999</v>
      </c>
      <c r="AN92" s="304">
        <f t="shared" si="55"/>
        <v>578.361099999998</v>
      </c>
      <c r="AR92" s="185">
        <v>11</v>
      </c>
      <c r="AS92" s="308">
        <f t="shared" si="51"/>
        <v>0.681751366978744</v>
      </c>
      <c r="AT92" s="309">
        <f t="shared" si="51"/>
        <v>0.664323170632877</v>
      </c>
      <c r="AU92" s="309">
        <f t="shared" si="51"/>
        <v>0.639564071861687</v>
      </c>
      <c r="AV92" s="310">
        <f t="shared" si="51"/>
        <v>0.579676769147273</v>
      </c>
      <c r="AW92" s="308">
        <f t="shared" si="51"/>
        <v>1.74524877717354</v>
      </c>
      <c r="AX92" s="309">
        <f t="shared" si="51"/>
        <v>1.68613596328156</v>
      </c>
      <c r="AY92" s="309">
        <f t="shared" si="51"/>
        <v>1.82566901740463</v>
      </c>
      <c r="AZ92" s="310">
        <f t="shared" si="51"/>
        <v>1.77336034295547</v>
      </c>
      <c r="BA92" s="308">
        <f t="shared" si="51"/>
        <v>-0.42288888469436</v>
      </c>
      <c r="BB92" s="309">
        <f t="shared" si="51"/>
        <v>-0.442075882408676</v>
      </c>
      <c r="BC92" s="309">
        <f t="shared" si="51"/>
        <v>-0.224276207564537</v>
      </c>
      <c r="BD92" s="310">
        <f t="shared" si="51"/>
        <v>-0.356395070668816</v>
      </c>
      <c r="BE92" s="308">
        <f t="shared" si="51"/>
        <v>-0.108834350801079</v>
      </c>
      <c r="BF92" s="309">
        <f t="shared" si="51"/>
        <v>-0.0893911040618401</v>
      </c>
      <c r="BG92" s="309">
        <f t="shared" si="51"/>
        <v>0.525945758176595</v>
      </c>
      <c r="BH92" s="310">
        <f t="shared" si="51"/>
        <v>0.571555142535785</v>
      </c>
      <c r="BI92" s="319">
        <f t="shared" si="52"/>
        <v>0.565585554996803</v>
      </c>
      <c r="BR92" s="330" t="s">
        <v>322</v>
      </c>
      <c r="BS92" s="130">
        <f>第十三期!BT84</f>
        <v>10914306.64</v>
      </c>
      <c r="BT92" s="330" t="s">
        <v>178</v>
      </c>
      <c r="BU92" s="130">
        <f>第十三期!BU86</f>
        <v>8716648.23140385</v>
      </c>
      <c r="BV92" s="332" t="s">
        <v>100</v>
      </c>
      <c r="BW92" s="333">
        <f>第十三期!BT84-第十三期!BU86</f>
        <v>2197658.40859615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AC9*比赛参数!D6+第十三期!DU26</f>
        <v>631.5</v>
      </c>
      <c r="Z93" s="37">
        <f>AC10*比赛参数!D6+第十三期!DU27</f>
        <v>531.5</v>
      </c>
      <c r="AA93" s="37">
        <f>AC11*比赛参数!D6+第十三期!DU28</f>
        <v>214</v>
      </c>
      <c r="AB93" s="37">
        <f>AC12*比赛参数!D6+第十三期!DU29</f>
        <v>216.5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-68.5908000000004</v>
      </c>
      <c r="AL93" s="304">
        <f t="shared" si="55"/>
        <v>-138.634299999999</v>
      </c>
      <c r="AM93" s="304">
        <f t="shared" si="55"/>
        <v>522.721799999998</v>
      </c>
      <c r="AN93" s="304">
        <f t="shared" si="55"/>
        <v>576.968500000001</v>
      </c>
      <c r="AR93" s="185">
        <v>12</v>
      </c>
      <c r="AS93" s="308">
        <f t="shared" si="51"/>
        <v>-0.420499786507881</v>
      </c>
      <c r="AT93" s="309">
        <f t="shared" si="51"/>
        <v>-1.12066267580552</v>
      </c>
      <c r="AU93" s="309">
        <f t="shared" si="51"/>
        <v>-1.0207624561278</v>
      </c>
      <c r="AV93" s="310">
        <f t="shared" si="51"/>
        <v>-0.665466547931658</v>
      </c>
      <c r="AW93" s="308">
        <f t="shared" si="51"/>
        <v>-0.463299627885946</v>
      </c>
      <c r="AX93" s="309">
        <f t="shared" si="51"/>
        <v>-0.884236463869501</v>
      </c>
      <c r="AY93" s="309">
        <f t="shared" si="51"/>
        <v>-0.311396616818947</v>
      </c>
      <c r="AZ93" s="310">
        <f t="shared" si="51"/>
        <v>-0.414995834265812</v>
      </c>
      <c r="BA93" s="308">
        <f t="shared" si="51"/>
        <v>-1.59761573363944</v>
      </c>
      <c r="BB93" s="309">
        <f t="shared" si="51"/>
        <v>-1.64691384061265</v>
      </c>
      <c r="BC93" s="309">
        <f t="shared" si="51"/>
        <v>2.15789132938952</v>
      </c>
      <c r="BD93" s="310">
        <f t="shared" si="51"/>
        <v>1.54413876403354</v>
      </c>
      <c r="BE93" s="308">
        <f t="shared" si="51"/>
        <v>0.0527166386692728</v>
      </c>
      <c r="BF93" s="309">
        <f t="shared" si="51"/>
        <v>0.118940346360869</v>
      </c>
      <c r="BG93" s="309">
        <f t="shared" si="51"/>
        <v>-1.39447183162808</v>
      </c>
      <c r="BH93" s="310">
        <f t="shared" si="51"/>
        <v>-1.27153106444557</v>
      </c>
      <c r="BI93" s="319">
        <f t="shared" si="52"/>
        <v>-0.45863533756785</v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IF(第十三期!$AC$9&gt;0,第十三期!$K$9*比赛参数!$D$30*比赛参数!$F$30*$CU$87/第十三期!$AC$9,0)</f>
        <v>307.814912586542</v>
      </c>
      <c r="CR93" s="65">
        <f>IF(第十三期!$AC$9&gt;0,第十三期!$K$9*比赛参数!$D$30*比赛参数!$F$30*$CU$87/第十三期!$AC$9,0)</f>
        <v>307.814912586542</v>
      </c>
      <c r="CS93" s="65">
        <f>IF(第十三期!$AC$9&gt;0,第十三期!$K$9*比赛参数!$D$30*比赛参数!$F$30*$CU$87/第十三期!$AC$9,0)</f>
        <v>307.814912586542</v>
      </c>
      <c r="CT93" s="65">
        <f>IF(第十三期!$AC$9&gt;0,第十三期!$K$9*比赛参数!$D$30*比赛参数!$F$30*$CU$87/第十三期!$AC$9,0)</f>
        <v>307.814912586542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-16.4389999999999</v>
      </c>
      <c r="AL94" s="304">
        <f t="shared" si="55"/>
        <v>-276.879800000002</v>
      </c>
      <c r="AM94" s="304">
        <f t="shared" si="55"/>
        <v>470.085000000001</v>
      </c>
      <c r="AN94" s="304">
        <f t="shared" si="55"/>
        <v>114.411800000002</v>
      </c>
      <c r="AR94" s="185">
        <v>13</v>
      </c>
      <c r="AS94" s="308">
        <f t="shared" si="51"/>
        <v>0.481010262866941</v>
      </c>
      <c r="AT94" s="309">
        <f t="shared" si="51"/>
        <v>0.540719262732866</v>
      </c>
      <c r="AU94" s="309">
        <f t="shared" si="51"/>
        <v>-0.307650411568322</v>
      </c>
      <c r="AV94" s="310">
        <f t="shared" si="51"/>
        <v>-0.0164827584238516</v>
      </c>
      <c r="AW94" s="308">
        <f t="shared" si="51"/>
        <v>0.950731363625989</v>
      </c>
      <c r="AX94" s="309">
        <f t="shared" si="51"/>
        <v>1.03265144790418</v>
      </c>
      <c r="AY94" s="309">
        <f t="shared" si="51"/>
        <v>1.05619606589902</v>
      </c>
      <c r="AZ94" s="310">
        <f t="shared" si="51"/>
        <v>1.10317626368145</v>
      </c>
      <c r="BA94" s="308">
        <f t="shared" si="51"/>
        <v>0.187240563982543</v>
      </c>
      <c r="BB94" s="309">
        <f t="shared" si="51"/>
        <v>0.133742778135561</v>
      </c>
      <c r="BC94" s="309">
        <f t="shared" si="51"/>
        <v>0.0355966146486326</v>
      </c>
      <c r="BD94" s="310">
        <f t="shared" si="51"/>
        <v>0.0606285405428524</v>
      </c>
      <c r="BE94" s="308">
        <f t="shared" si="51"/>
        <v>0.160417298316174</v>
      </c>
      <c r="BF94" s="309">
        <f t="shared" si="51"/>
        <v>0.118940346360869</v>
      </c>
      <c r="BG94" s="309">
        <f t="shared" si="51"/>
        <v>0.82165607731466</v>
      </c>
      <c r="BH94" s="310">
        <f t="shared" si="51"/>
        <v>0.931096580640102</v>
      </c>
      <c r="BI94" s="319">
        <f t="shared" si="52"/>
        <v>0.455604393541229</v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IF(第十三期!$AC$10&gt;0,第十三期!$K$9*比赛参数!$D$30*比赛参数!$F$30*$CU$88/第十三期!$AC$10,0)</f>
        <v>769.537281466355</v>
      </c>
      <c r="CR94" s="65">
        <f>IF(第十三期!$AC$10&gt;0,第十三期!$K$9*比赛参数!$D$30*比赛参数!$F$30*$CU$88/第十三期!$AC$10,0)</f>
        <v>769.537281466355</v>
      </c>
      <c r="CS94" s="65">
        <f>IF(第十三期!$AC$10&gt;0,第十三期!$K$9*比赛参数!$D$30*比赛参数!$F$30*$CU$88/第十三期!$AC$10,0)</f>
        <v>769.537281466355</v>
      </c>
      <c r="CT94" s="65">
        <f>IF(第十三期!$AC$10&gt;0,第十三期!$K$9*比赛参数!$D$30*比赛参数!$F$30*$CU$88/第十三期!$AC$10,0)</f>
        <v>769.537281466355</v>
      </c>
      <c r="CU94" s="48"/>
    </row>
    <row r="95" ht="18.75" customHeight="1" spans="2:99">
      <c r="B95" s="7"/>
      <c r="C95" s="25">
        <v>1</v>
      </c>
      <c r="D95" s="14">
        <v>9516004</v>
      </c>
      <c r="E95" s="14">
        <v>7682854.92</v>
      </c>
      <c r="F95" s="14">
        <v>1833149.08</v>
      </c>
      <c r="G95" s="14">
        <v>810432.27</v>
      </c>
      <c r="H95" s="14">
        <v>99999</v>
      </c>
      <c r="I95" s="14">
        <v>3168651.41</v>
      </c>
      <c r="J95" s="14">
        <v>16995570.01</v>
      </c>
      <c r="K95" s="9">
        <v>0.377</v>
      </c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48.5852999999997</v>
      </c>
      <c r="AL95" s="304">
        <f t="shared" si="55"/>
        <v>-229.324900000001</v>
      </c>
      <c r="AM95" s="304">
        <f t="shared" si="55"/>
        <v>523.476699999999</v>
      </c>
      <c r="AN95" s="304">
        <f t="shared" si="55"/>
        <v>158.295500000004</v>
      </c>
      <c r="AR95" s="185">
        <v>14</v>
      </c>
      <c r="AS95" s="308">
        <f t="shared" si="51"/>
        <v>0.929940368426063</v>
      </c>
      <c r="AT95" s="309">
        <f t="shared" si="51"/>
        <v>0.740666760806413</v>
      </c>
      <c r="AU95" s="309">
        <f t="shared" si="51"/>
        <v>0.906080694575834</v>
      </c>
      <c r="AV95" s="310">
        <f t="shared" si="51"/>
        <v>0.851344401964493</v>
      </c>
      <c r="AW95" s="308">
        <f t="shared" si="51"/>
        <v>0.0302111884585662</v>
      </c>
      <c r="AX95" s="309">
        <f t="shared" si="51"/>
        <v>-0.131739143131901</v>
      </c>
      <c r="AY95" s="309">
        <f t="shared" si="51"/>
        <v>0.138001451497358</v>
      </c>
      <c r="AZ95" s="310">
        <f t="shared" si="51"/>
        <v>0.166286275308591</v>
      </c>
      <c r="BA95" s="308">
        <f t="shared" si="51"/>
        <v>0.09314099727118</v>
      </c>
      <c r="BB95" s="309">
        <f t="shared" si="51"/>
        <v>0.133742778135561</v>
      </c>
      <c r="BC95" s="309">
        <f t="shared" si="51"/>
        <v>-0.710704823502008</v>
      </c>
      <c r="BD95" s="310">
        <f t="shared" si="51"/>
        <v>-0.506797028810729</v>
      </c>
      <c r="BE95" s="308">
        <f t="shared" si="51"/>
        <v>0.487109299245106</v>
      </c>
      <c r="BF95" s="309">
        <f t="shared" si="51"/>
        <v>0.327271796783577</v>
      </c>
      <c r="BG95" s="309">
        <f t="shared" si="51"/>
        <v>-0.459755305616955</v>
      </c>
      <c r="BH95" s="310">
        <f t="shared" si="51"/>
        <v>-0.608299285418188</v>
      </c>
      <c r="BI95" s="319">
        <f t="shared" si="52"/>
        <v>0.14915627662456</v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IF(第十三期!$AC$11&gt;0,第十三期!$K$9*比赛参数!$D$30*比赛参数!$F$30*$CU$89/第十三期!$AC$11,0)</f>
        <v>1169.69666782886</v>
      </c>
      <c r="CR95" s="65">
        <f>IF(第十三期!$AC$11&gt;0,第十三期!$K$9*比赛参数!$D$30*比赛参数!$F$30*$CU$89/第十三期!$AC$11,0)</f>
        <v>1169.69666782886</v>
      </c>
      <c r="CS95" s="65">
        <f>IF(第十三期!$AC$11&gt;0,第十三期!$K$9*比赛参数!$D$30*比赛参数!$F$30*$CU$89/第十三期!$AC$11,0)</f>
        <v>1169.69666782886</v>
      </c>
      <c r="CT95" s="65">
        <f>IF(第十三期!$AC$11&gt;0,第十三期!$K$9*比赛参数!$D$30*比赛参数!$F$30*$CU$89/第十三期!$AC$11,0)</f>
        <v>1169.69666782886</v>
      </c>
      <c r="CU95" s="48"/>
    </row>
    <row r="96" ht="18.75" customHeight="1" spans="2:99">
      <c r="B96" s="7"/>
      <c r="C96" s="25">
        <v>2</v>
      </c>
      <c r="D96" s="14">
        <v>6351217</v>
      </c>
      <c r="E96" s="14">
        <v>5860679.49</v>
      </c>
      <c r="F96" s="14">
        <v>490537.51</v>
      </c>
      <c r="G96" s="14">
        <v>220384.54</v>
      </c>
      <c r="H96" s="9">
        <v>0</v>
      </c>
      <c r="I96" s="14">
        <v>3649862.63</v>
      </c>
      <c r="J96" s="14">
        <v>15343972.45</v>
      </c>
      <c r="K96" s="9">
        <v>-0.261</v>
      </c>
      <c r="L96" s="10"/>
      <c r="X96" s="64" t="s">
        <v>55</v>
      </c>
      <c r="Y96" s="94">
        <f>第十三期!CX62</f>
        <v>13.5918508741346</v>
      </c>
      <c r="Z96" s="94">
        <f>第十三期!CX63</f>
        <v>9.51003064941548</v>
      </c>
      <c r="AA96" s="94">
        <f>第十三期!CX64</f>
        <v>9.78952004706691</v>
      </c>
      <c r="AB96" s="94">
        <f>第十三期!CX65</f>
        <v>8.86072085371253</v>
      </c>
      <c r="AC96" s="48"/>
      <c r="AR96" s="185">
        <v>15</v>
      </c>
      <c r="AS96" s="308">
        <f t="shared" si="51"/>
        <v>-0.270856417988174</v>
      </c>
      <c r="AT96" s="309">
        <f t="shared" si="51"/>
        <v>0.36985503710638</v>
      </c>
      <c r="AU96" s="309">
        <f t="shared" si="51"/>
        <v>0.0489056107114154</v>
      </c>
      <c r="AV96" s="310">
        <f t="shared" si="51"/>
        <v>0.164628996787629</v>
      </c>
      <c r="AW96" s="308">
        <f t="shared" si="51"/>
        <v>-0.400298247076008</v>
      </c>
      <c r="AX96" s="309">
        <f t="shared" si="51"/>
        <v>-0.369369875996407</v>
      </c>
      <c r="AY96" s="309">
        <f t="shared" si="51"/>
        <v>-0.376058209382444</v>
      </c>
      <c r="AZ96" s="310">
        <f t="shared" si="51"/>
        <v>-0.45944681911562</v>
      </c>
      <c r="BA96" s="308">
        <f t="shared" si="51"/>
        <v>-0.611088018117086</v>
      </c>
      <c r="BB96" s="309">
        <f t="shared" si="51"/>
        <v>-0.539088808913412</v>
      </c>
      <c r="BC96" s="309">
        <f t="shared" si="51"/>
        <v>-0.674056092164254</v>
      </c>
      <c r="BD96" s="310">
        <f t="shared" si="51"/>
        <v>-0.735818192345006</v>
      </c>
      <c r="BE96" s="308">
        <f t="shared" si="51"/>
        <v>-0.21653501044798</v>
      </c>
      <c r="BF96" s="309">
        <f t="shared" si="51"/>
        <v>-0.142356727050664</v>
      </c>
      <c r="BG96" s="309">
        <f t="shared" si="51"/>
        <v>-0.3611851992376</v>
      </c>
      <c r="BH96" s="310">
        <f t="shared" si="51"/>
        <v>-0.248757847313871</v>
      </c>
      <c r="BI96" s="319">
        <f t="shared" si="52"/>
        <v>-0.301345363783944</v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IF(第十三期!$AC$12&gt;0,第十三期!$K$9*比赛参数!$D$30*比赛参数!$F$30*$CU$90/第十三期!$AC$12,0)</f>
        <v>1600.63754545002</v>
      </c>
      <c r="CR96" s="65">
        <f>IF(第十三期!$AC$12&gt;0,第十三期!$K$9*比赛参数!$D$30*比赛参数!$F$30*$CU$90/第十三期!$AC$12,0)</f>
        <v>1600.63754545002</v>
      </c>
      <c r="CS96" s="65">
        <f>IF(第十三期!$AC$12&gt;0,第十三期!$K$9*比赛参数!$D$30*比赛参数!$F$30*$CU$90/第十三期!$AC$12,0)</f>
        <v>1600.63754545002</v>
      </c>
      <c r="CT96" s="65">
        <f>IF(第十三期!$AC$12&gt;0,第十三期!$K$9*比赛参数!$D$30*比赛参数!$F$30*$CU$90/第十三期!$AC$12,0)</f>
        <v>1600.63754545002</v>
      </c>
      <c r="CU96" s="48"/>
    </row>
    <row r="97" ht="18.75" customHeight="1" spans="2:93">
      <c r="B97" s="7"/>
      <c r="C97" s="25">
        <v>3</v>
      </c>
      <c r="D97" s="14">
        <v>5908420</v>
      </c>
      <c r="E97" s="14">
        <v>4793985.11</v>
      </c>
      <c r="F97" s="14">
        <v>1114434.89</v>
      </c>
      <c r="G97" s="14">
        <v>523953.23</v>
      </c>
      <c r="H97" s="14">
        <v>66651.58</v>
      </c>
      <c r="I97" s="14">
        <v>4938809.61</v>
      </c>
      <c r="J97" s="14">
        <v>16181832.68</v>
      </c>
      <c r="K97" s="9">
        <v>0.136</v>
      </c>
      <c r="L97" s="10"/>
      <c r="X97" s="11" t="s">
        <v>56</v>
      </c>
      <c r="Y97" s="94">
        <f>第十三期!CY62</f>
        <v>14.0018508741346</v>
      </c>
      <c r="Z97" s="94">
        <f>第十三期!CY63</f>
        <v>9.84603064941548</v>
      </c>
      <c r="AA97" s="94">
        <f>第十三期!CY64</f>
        <v>10.0842568891722</v>
      </c>
      <c r="AB97" s="94">
        <f>第十三期!CY65</f>
        <v>9.12610546909714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>
        <f t="shared" si="51"/>
        <v>-0.0956641816724188</v>
      </c>
      <c r="AT97" s="309">
        <f t="shared" si="51"/>
        <v>-0.102748140158368</v>
      </c>
      <c r="AU97" s="309">
        <f t="shared" si="51"/>
        <v>-0.253626771828968</v>
      </c>
      <c r="AV97" s="310">
        <f t="shared" si="51"/>
        <v>-0.450396338618024</v>
      </c>
      <c r="AW97" s="308">
        <f t="shared" si="51"/>
        <v>-0.123792186854615</v>
      </c>
      <c r="AX97" s="309">
        <f t="shared" si="51"/>
        <v>-0.23471246070652</v>
      </c>
      <c r="AY97" s="309">
        <f t="shared" si="51"/>
        <v>-0.182073431691953</v>
      </c>
      <c r="AZ97" s="310">
        <f t="shared" si="51"/>
        <v>-0.213256749178225</v>
      </c>
      <c r="BA97" s="308">
        <f t="shared" si="51"/>
        <v>0.09314099727118</v>
      </c>
      <c r="BB97" s="309">
        <f t="shared" si="51"/>
        <v>0.0367298516308255</v>
      </c>
      <c r="BC97" s="309">
        <f t="shared" si="51"/>
        <v>0.295469436861802</v>
      </c>
      <c r="BD97" s="310">
        <f t="shared" si="51"/>
        <v>0.631472336217841</v>
      </c>
      <c r="BE97" s="308">
        <f t="shared" si="51"/>
        <v>0.379408639598206</v>
      </c>
      <c r="BF97" s="309">
        <f t="shared" si="51"/>
        <v>0.429672001228637</v>
      </c>
      <c r="BG97" s="309">
        <f t="shared" si="51"/>
        <v>0.62451586455595</v>
      </c>
      <c r="BH97" s="310">
        <f>IF(BH48="","",(BH48-BH$54)/BH$78)</f>
        <v>1.08468709788855</v>
      </c>
      <c r="BI97" s="319">
        <f t="shared" si="52"/>
        <v>0.119926622783994</v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>
        <v>8876875</v>
      </c>
      <c r="E98" s="14">
        <v>7473775.75</v>
      </c>
      <c r="F98" s="14">
        <v>1403099.25</v>
      </c>
      <c r="G98" s="14">
        <v>598458.87</v>
      </c>
      <c r="H98" s="14">
        <v>110200</v>
      </c>
      <c r="I98" s="14">
        <v>3265195.31</v>
      </c>
      <c r="J98" s="14">
        <v>16359143.38</v>
      </c>
      <c r="K98" s="9">
        <v>0.163</v>
      </c>
      <c r="L98" s="10"/>
      <c r="X98" s="11" t="s">
        <v>57</v>
      </c>
      <c r="Y98" s="94">
        <f>第十三期!CZ62</f>
        <v>13.9218508741346</v>
      </c>
      <c r="Z98" s="94">
        <f>第十三期!CZ63</f>
        <v>9.85803064941548</v>
      </c>
      <c r="AA98" s="94">
        <f>第十三期!CZ64</f>
        <v>10.068467415488</v>
      </c>
      <c r="AB98" s="94">
        <f>第十三期!CZ65</f>
        <v>9.23379777678945</v>
      </c>
      <c r="AC98" s="126" t="s">
        <v>367</v>
      </c>
      <c r="AE98" s="47" t="s">
        <v>55</v>
      </c>
      <c r="AF98" s="292">
        <f>Y234</f>
        <v>3260.1973</v>
      </c>
      <c r="AG98" s="292">
        <f>AC234</f>
        <v>6471.6551</v>
      </c>
      <c r="AH98" s="292">
        <f>AG234</f>
        <v>9500.4266</v>
      </c>
      <c r="AI98" s="292">
        <f>AK234</f>
        <v>12471.6389</v>
      </c>
      <c r="AJ98" s="47" t="s">
        <v>55</v>
      </c>
      <c r="AK98" s="304">
        <f t="shared" ref="AK98:AN101" si="56">AF76-AF98</f>
        <v>-10.1973000000003</v>
      </c>
      <c r="AL98" s="304">
        <f t="shared" si="56"/>
        <v>-71.6550999999999</v>
      </c>
      <c r="AM98" s="304">
        <f t="shared" si="56"/>
        <v>349.573399999999</v>
      </c>
      <c r="AN98" s="304">
        <f t="shared" si="56"/>
        <v>478.361099999998</v>
      </c>
      <c r="AR98" s="185">
        <v>17</v>
      </c>
      <c r="AS98" s="308">
        <f t="shared" ref="AS98:BH101" si="57">IF(AS49="","",(AS49-AS$54)/AS$78)</f>
        <v>-1.79648880923787</v>
      </c>
      <c r="AT98" s="309">
        <f t="shared" si="57"/>
        <v>-1.78957794208793</v>
      </c>
      <c r="AU98" s="309">
        <f t="shared" si="57"/>
        <v>-1.6474366771043</v>
      </c>
      <c r="AV98" s="310">
        <f t="shared" si="57"/>
        <v>-1.35218195310852</v>
      </c>
      <c r="AW98" s="308">
        <f t="shared" si="57"/>
        <v>-1.84232985228125</v>
      </c>
      <c r="AX98" s="309">
        <f t="shared" si="57"/>
        <v>-2.08427166483525</v>
      </c>
      <c r="AY98" s="309">
        <f t="shared" si="57"/>
        <v>-1.70162085693413</v>
      </c>
      <c r="AZ98" s="310">
        <f t="shared" si="57"/>
        <v>-1.79981497766366</v>
      </c>
      <c r="BA98" s="308">
        <f t="shared" si="57"/>
        <v>-1.59761573363944</v>
      </c>
      <c r="BB98" s="309">
        <f t="shared" si="57"/>
        <v>-1.64691384061265</v>
      </c>
      <c r="BC98" s="309">
        <f t="shared" si="57"/>
        <v>-1.75352781520357</v>
      </c>
      <c r="BD98" s="310">
        <f t="shared" si="57"/>
        <v>-1.72368559923166</v>
      </c>
      <c r="BE98" s="308">
        <f t="shared" si="57"/>
        <v>-1.88948525696317</v>
      </c>
      <c r="BF98" s="309">
        <f t="shared" si="57"/>
        <v>-1.85844291188857</v>
      </c>
      <c r="BG98" s="309">
        <f t="shared" si="57"/>
        <v>-1.7887522571455</v>
      </c>
      <c r="BH98" s="310">
        <f t="shared" si="57"/>
        <v>-1.78466301979833</v>
      </c>
      <c r="BI98" s="319">
        <f t="shared" si="52"/>
        <v>-1.75355057298349</v>
      </c>
    </row>
    <row r="99" ht="18.75" customHeight="1" spans="2:61">
      <c r="B99" s="7"/>
      <c r="C99" s="25">
        <v>5</v>
      </c>
      <c r="D99" s="14">
        <v>9534067.48</v>
      </c>
      <c r="E99" s="14">
        <v>7695302.48</v>
      </c>
      <c r="F99" s="14">
        <v>1838765</v>
      </c>
      <c r="G99" s="14">
        <v>924826.88</v>
      </c>
      <c r="H99" s="14">
        <v>400000</v>
      </c>
      <c r="I99" s="14">
        <v>2826882.9</v>
      </c>
      <c r="J99" s="14">
        <v>17020987.05</v>
      </c>
      <c r="K99" s="9">
        <v>0.575</v>
      </c>
      <c r="L99" s="10"/>
      <c r="X99" s="11" t="s">
        <v>58</v>
      </c>
      <c r="Y99" s="94">
        <f>第十三期!DA62</f>
        <v>13.9218508741346</v>
      </c>
      <c r="Z99" s="94">
        <f>第十三期!DA63</f>
        <v>9.97803064941548</v>
      </c>
      <c r="AA99" s="94">
        <f>第十三期!DA64</f>
        <v>9.93688846811954</v>
      </c>
      <c r="AB99" s="94">
        <f>第十三期!DA65</f>
        <v>9.42610546909714</v>
      </c>
      <c r="AC99" s="126"/>
      <c r="AE99" s="11" t="s">
        <v>56</v>
      </c>
      <c r="AF99" s="292">
        <f>Z234</f>
        <v>3268.5908</v>
      </c>
      <c r="AG99" s="292">
        <f>AD234</f>
        <v>6488.6343</v>
      </c>
      <c r="AH99" s="292">
        <f>AH234</f>
        <v>9527.2782</v>
      </c>
      <c r="AI99" s="292">
        <f>AL234</f>
        <v>12473.0315</v>
      </c>
      <c r="AJ99" s="11" t="s">
        <v>56</v>
      </c>
      <c r="AK99" s="304">
        <f t="shared" si="56"/>
        <v>-18.5908000000004</v>
      </c>
      <c r="AL99" s="304">
        <f t="shared" si="56"/>
        <v>-88.6342999999988</v>
      </c>
      <c r="AM99" s="304">
        <f t="shared" si="56"/>
        <v>322.721799999998</v>
      </c>
      <c r="AN99" s="304">
        <f t="shared" si="56"/>
        <v>476.968500000001</v>
      </c>
      <c r="AR99" s="185">
        <v>18</v>
      </c>
      <c r="AS99" s="308">
        <f t="shared" si="57"/>
        <v>-1.19426549690247</v>
      </c>
      <c r="AT99" s="309">
        <f t="shared" si="57"/>
        <v>-0.92071517773197</v>
      </c>
      <c r="AU99" s="309">
        <f t="shared" si="57"/>
        <v>-1.03877033604091</v>
      </c>
      <c r="AV99" s="310">
        <f t="shared" si="57"/>
        <v>-0.955999988583408</v>
      </c>
      <c r="AW99" s="308">
        <f t="shared" si="57"/>
        <v>-0.585802312794158</v>
      </c>
      <c r="AX99" s="309">
        <f t="shared" si="57"/>
        <v>-0.405014485926082</v>
      </c>
      <c r="AY99" s="309">
        <f t="shared" si="57"/>
        <v>-0.825456277698748</v>
      </c>
      <c r="AZ99" s="310">
        <f t="shared" si="57"/>
        <v>-0.592799773665042</v>
      </c>
      <c r="BA99" s="308">
        <f t="shared" si="57"/>
        <v>0.89146957937081</v>
      </c>
      <c r="BB99" s="309">
        <f t="shared" si="57"/>
        <v>0.518665034912415</v>
      </c>
      <c r="BC99" s="309">
        <f t="shared" si="57"/>
        <v>0.372098602386198</v>
      </c>
      <c r="BD99" s="310">
        <f t="shared" si="57"/>
        <v>0.481070378075928</v>
      </c>
      <c r="BE99" s="308">
        <f t="shared" si="57"/>
        <v>0.756360948362359</v>
      </c>
      <c r="BF99" s="309">
        <f t="shared" si="57"/>
        <v>0.899300525062879</v>
      </c>
      <c r="BG99" s="309">
        <f t="shared" si="57"/>
        <v>1.80735714110821</v>
      </c>
      <c r="BH99" s="310">
        <f t="shared" si="57"/>
        <v>1.49309824602646</v>
      </c>
      <c r="BI99" s="319">
        <f t="shared" si="52"/>
        <v>0.0437872878726546</v>
      </c>
    </row>
    <row r="100" ht="18.75" customHeight="1" spans="2:61">
      <c r="B100" s="7"/>
      <c r="C100" s="25">
        <v>6</v>
      </c>
      <c r="D100" s="14">
        <v>578383</v>
      </c>
      <c r="E100" s="14">
        <v>3740738.74</v>
      </c>
      <c r="F100" s="14">
        <v>-3162355.74</v>
      </c>
      <c r="G100" s="14">
        <v>4515.24</v>
      </c>
      <c r="H100" s="9">
        <v>0</v>
      </c>
      <c r="I100" s="14">
        <v>-4854824.07</v>
      </c>
      <c r="J100" s="14">
        <v>5398683.13</v>
      </c>
      <c r="K100" s="9">
        <v>-2.318</v>
      </c>
      <c r="L100" s="10"/>
      <c r="AE100" s="11" t="s">
        <v>57</v>
      </c>
      <c r="AF100" s="292">
        <f>AA234</f>
        <v>3466.439</v>
      </c>
      <c r="AG100" s="292">
        <f>AE234</f>
        <v>6826.8798</v>
      </c>
      <c r="AH100" s="292">
        <f>AI234</f>
        <v>9779.915</v>
      </c>
      <c r="AI100" s="292">
        <f>AM234</f>
        <v>13335.5882</v>
      </c>
      <c r="AJ100" s="11" t="s">
        <v>57</v>
      </c>
      <c r="AK100" s="304">
        <f t="shared" si="56"/>
        <v>-66.4389999999999</v>
      </c>
      <c r="AL100" s="304">
        <f t="shared" si="56"/>
        <v>-206.879800000002</v>
      </c>
      <c r="AM100" s="304">
        <f t="shared" si="56"/>
        <v>320.085000000001</v>
      </c>
      <c r="AN100" s="304">
        <f t="shared" si="56"/>
        <v>14.4118000000017</v>
      </c>
      <c r="AR100" s="185">
        <v>19</v>
      </c>
      <c r="AS100" s="308">
        <f t="shared" si="57"/>
        <v>-1.3220098358827</v>
      </c>
      <c r="AT100" s="309">
        <f t="shared" si="57"/>
        <v>-1.31697476482318</v>
      </c>
      <c r="AU100" s="309">
        <f t="shared" si="57"/>
        <v>-1.30528695875506</v>
      </c>
      <c r="AV100" s="310">
        <f t="shared" si="57"/>
        <v>-1.38991356877758</v>
      </c>
      <c r="AW100" s="308">
        <f t="shared" si="57"/>
        <v>-0.953310367518795</v>
      </c>
      <c r="AX100" s="309">
        <f t="shared" si="57"/>
        <v>-0.955525683728853</v>
      </c>
      <c r="AY100" s="309">
        <f t="shared" si="57"/>
        <v>-0.738163127738027</v>
      </c>
      <c r="AZ100" s="310">
        <f t="shared" si="57"/>
        <v>-0.726152728214464</v>
      </c>
      <c r="BA100" s="308">
        <f t="shared" si="57"/>
        <v>-1.12711790008263</v>
      </c>
      <c r="BB100" s="309">
        <f t="shared" si="57"/>
        <v>-0.974082253563678</v>
      </c>
      <c r="BC100" s="309">
        <f t="shared" si="57"/>
        <v>-1.04387510839069</v>
      </c>
      <c r="BD100" s="310">
        <f t="shared" si="57"/>
        <v>-1.07764082448572</v>
      </c>
      <c r="BE100" s="308">
        <f t="shared" si="57"/>
        <v>-0.862738968329386</v>
      </c>
      <c r="BF100" s="309">
        <f t="shared" si="57"/>
        <v>-0.86975128276385</v>
      </c>
      <c r="BG100" s="309">
        <f t="shared" si="57"/>
        <v>-0.854035731134376</v>
      </c>
      <c r="BH100" s="310">
        <f t="shared" si="57"/>
        <v>-0.863119916307656</v>
      </c>
      <c r="BI100" s="319">
        <f t="shared" si="52"/>
        <v>-1.02373118878104</v>
      </c>
    </row>
    <row r="101" ht="18.75" customHeight="1" spans="2:61">
      <c r="B101" s="7"/>
      <c r="C101" s="25">
        <v>7</v>
      </c>
      <c r="D101" s="14">
        <v>8097368</v>
      </c>
      <c r="E101" s="14">
        <v>7023762.49</v>
      </c>
      <c r="F101" s="14">
        <v>1073605.51</v>
      </c>
      <c r="G101" s="14">
        <v>479848.38</v>
      </c>
      <c r="H101" s="9">
        <v>0</v>
      </c>
      <c r="I101" s="14">
        <v>7425456.5</v>
      </c>
      <c r="J101" s="14">
        <v>16117641.12</v>
      </c>
      <c r="K101" s="9">
        <v>0.159</v>
      </c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3501.4147</v>
      </c>
      <c r="AG101" s="292">
        <f>AF234</f>
        <v>6879.3249</v>
      </c>
      <c r="AH101" s="292">
        <f>AJ234</f>
        <v>9826.5233</v>
      </c>
      <c r="AI101" s="292">
        <f>AN234</f>
        <v>13441.7045</v>
      </c>
      <c r="AJ101" s="11" t="s">
        <v>58</v>
      </c>
      <c r="AK101" s="304">
        <f t="shared" si="56"/>
        <v>-51.4147000000003</v>
      </c>
      <c r="AL101" s="304">
        <f t="shared" si="56"/>
        <v>-179.324900000001</v>
      </c>
      <c r="AM101" s="304">
        <f t="shared" si="56"/>
        <v>273.476699999999</v>
      </c>
      <c r="AN101" s="304">
        <f t="shared" si="56"/>
        <v>58.2955000000038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>
        <v>8246500</v>
      </c>
      <c r="E102" s="14">
        <v>6948850.92</v>
      </c>
      <c r="F102" s="14">
        <v>1297649.08</v>
      </c>
      <c r="G102" s="14">
        <v>615973.58</v>
      </c>
      <c r="H102" s="14">
        <v>1178761.2</v>
      </c>
      <c r="I102" s="14">
        <v>7225834.22</v>
      </c>
      <c r="J102" s="14">
        <v>15349318.84</v>
      </c>
      <c r="K102" s="9">
        <v>0.631</v>
      </c>
      <c r="L102" s="10"/>
      <c r="X102" s="280" t="s">
        <v>55</v>
      </c>
      <c r="Y102" s="94">
        <f t="shared" ref="Y102:AB105" si="58">(AF76-CJ19)/AF76</f>
        <v>0.418210796127218</v>
      </c>
      <c r="Z102" s="94">
        <f t="shared" si="58"/>
        <v>0.371485572242792</v>
      </c>
      <c r="AA102" s="94">
        <f t="shared" si="58"/>
        <v>0.377666763237099</v>
      </c>
      <c r="AB102" s="94">
        <f t="shared" si="58"/>
        <v>0.3557972852456</v>
      </c>
    </row>
    <row r="103" ht="18.75" customHeight="1" spans="2:36">
      <c r="B103" s="7"/>
      <c r="C103" s="25">
        <v>9</v>
      </c>
      <c r="D103" s="14">
        <v>7216446</v>
      </c>
      <c r="E103" s="14">
        <v>6260621.06</v>
      </c>
      <c r="F103" s="14">
        <v>955824.94</v>
      </c>
      <c r="G103" s="14">
        <v>428176.14</v>
      </c>
      <c r="H103" s="9">
        <v>0</v>
      </c>
      <c r="I103" s="14">
        <v>16488.18</v>
      </c>
      <c r="J103" s="14">
        <v>15955019.21</v>
      </c>
      <c r="K103" s="9">
        <v>-0.059</v>
      </c>
      <c r="L103" s="10"/>
      <c r="X103" s="281" t="s">
        <v>56</v>
      </c>
      <c r="Y103" s="94">
        <f t="shared" si="58"/>
        <v>0.430826180742603</v>
      </c>
      <c r="Z103" s="94">
        <f t="shared" si="58"/>
        <v>0.384610572242792</v>
      </c>
      <c r="AA103" s="94">
        <f t="shared" si="58"/>
        <v>0.389037321612734</v>
      </c>
      <c r="AB103" s="94">
        <f t="shared" si="58"/>
        <v>0.36645365590197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>
        <v>9982235.95</v>
      </c>
      <c r="E104" s="14">
        <v>8368775.99</v>
      </c>
      <c r="F104" s="14">
        <v>1613459.96</v>
      </c>
      <c r="G104" s="14">
        <v>672710.13</v>
      </c>
      <c r="H104" s="9">
        <v>0</v>
      </c>
      <c r="I104" s="14">
        <v>2330153.29</v>
      </c>
      <c r="J104" s="14">
        <v>16679667.08</v>
      </c>
      <c r="K104" s="9">
        <v>0.241</v>
      </c>
      <c r="L104" s="10"/>
      <c r="X104" s="281" t="s">
        <v>57</v>
      </c>
      <c r="Y104" s="94">
        <f t="shared" si="58"/>
        <v>0.409466202180429</v>
      </c>
      <c r="Z104" s="94">
        <f t="shared" si="58"/>
        <v>0.372282124222639</v>
      </c>
      <c r="AA104" s="94">
        <f t="shared" si="58"/>
        <v>0.378813625533211</v>
      </c>
      <c r="AB104" s="94">
        <f t="shared" si="58"/>
        <v>0.359668527635244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2197658.40859615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>
        <v>8799958.4</v>
      </c>
      <c r="E105" s="14">
        <v>7216113.02</v>
      </c>
      <c r="F105" s="14">
        <v>1583845.38</v>
      </c>
      <c r="G105" s="14">
        <v>821005.64</v>
      </c>
      <c r="H105" s="14">
        <v>326893.68</v>
      </c>
      <c r="I105" s="14">
        <v>2608359.7</v>
      </c>
      <c r="J105" s="14">
        <v>16803081.62</v>
      </c>
      <c r="K105" s="9">
        <v>0.554</v>
      </c>
      <c r="L105" s="10"/>
      <c r="X105" s="281" t="s">
        <v>58</v>
      </c>
      <c r="Y105" s="94">
        <f t="shared" si="58"/>
        <v>0.403531909395205</v>
      </c>
      <c r="Z105" s="94">
        <f t="shared" si="58"/>
        <v>0.372314576470727</v>
      </c>
      <c r="AA105" s="94">
        <f t="shared" si="58"/>
        <v>0.373863130483706</v>
      </c>
      <c r="AB105" s="94">
        <f t="shared" si="58"/>
        <v>0.363079618068927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>
        <v>4993390</v>
      </c>
      <c r="E106" s="14">
        <v>5295942.6</v>
      </c>
      <c r="F106" s="14">
        <v>-302552.6</v>
      </c>
      <c r="G106" s="14">
        <v>172529.22</v>
      </c>
      <c r="H106" s="9">
        <v>0</v>
      </c>
      <c r="I106" s="14">
        <v>5925913.8</v>
      </c>
      <c r="J106" s="14">
        <v>14886675.34</v>
      </c>
      <c r="K106" s="9">
        <v>-0.322</v>
      </c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6108538.98217115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>
        <v>8444718.15</v>
      </c>
      <c r="E107" s="14">
        <v>7079971.21</v>
      </c>
      <c r="F107" s="14">
        <v>1364746.94</v>
      </c>
      <c r="G107" s="14">
        <v>617004.06</v>
      </c>
      <c r="H107" s="14">
        <v>1061.21</v>
      </c>
      <c r="I107" s="14">
        <v>3161767.9</v>
      </c>
      <c r="J107" s="14">
        <v>16513889.68</v>
      </c>
      <c r="K107" s="9">
        <v>0.171</v>
      </c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>
        <f>IF(AS82="","",AVERAGE(AS82:AV82)*$AR$130)</f>
        <v>0.152403113513428</v>
      </c>
      <c r="AU107" s="314">
        <f>IF(AW82="","",AVERAGE(AW82:AZ82)*$AR$130)</f>
        <v>0.15388235019037</v>
      </c>
      <c r="AV107" s="314">
        <f>IF(BA82="","",AVERAGE(BA82:BD82)*$AR$130)</f>
        <v>0.233132678137023</v>
      </c>
      <c r="AW107" s="314">
        <f>IF(BE82="","",AVERAGE(BE82:BH82)*$AR$130)</f>
        <v>-0.0462494060502397</v>
      </c>
      <c r="AX107" s="190">
        <v>1</v>
      </c>
      <c r="AY107" s="314">
        <f>IF(BI82="","",BI82*$AR$130)</f>
        <v>0.123292183947645</v>
      </c>
      <c r="AZ107" s="314">
        <f t="shared" ref="AZ107:BC126" si="59">AS183</f>
        <v>0.199873599244083</v>
      </c>
      <c r="BA107" s="314">
        <f t="shared" si="59"/>
        <v>0.161982444261135</v>
      </c>
      <c r="BB107" s="314">
        <f t="shared" si="59"/>
        <v>-0.0165562152679209</v>
      </c>
      <c r="BC107" s="314">
        <f t="shared" si="59"/>
        <v>0.121890889049748</v>
      </c>
      <c r="BD107" s="318"/>
      <c r="BE107" s="318"/>
      <c r="BF107" s="314">
        <f t="shared" ref="BF107:BF126" si="60">(BJ107-BL107-BI107)/0.607</f>
        <v>0.195349059226596</v>
      </c>
      <c r="BG107" s="314">
        <f t="shared" ref="BG107:BG126" si="61">SUM(AY107:BC107)</f>
        <v>0.590482901234689</v>
      </c>
      <c r="BH107" s="101"/>
      <c r="BI107" s="314">
        <f t="shared" ref="BI107:BI126" si="62">(BG107+0.5*BH107)*0.607</f>
        <v>0.358423121049457</v>
      </c>
      <c r="BJ107" s="323">
        <f t="shared" ref="BJ107:BJ126" si="63">K95</f>
        <v>0.377</v>
      </c>
      <c r="BK107" s="324"/>
      <c r="BL107" s="2">
        <f t="shared" ref="BL107:BL126" si="64">IF(I95&lt;E95,-0.1,0)</f>
        <v>-0.1</v>
      </c>
    </row>
    <row r="108" ht="18.75" customHeight="1" spans="2:64">
      <c r="B108" s="7"/>
      <c r="C108" s="25">
        <v>14</v>
      </c>
      <c r="D108" s="14">
        <v>6403830</v>
      </c>
      <c r="E108" s="14">
        <v>6153568.79</v>
      </c>
      <c r="F108" s="14">
        <v>250261.21</v>
      </c>
      <c r="G108" s="14">
        <v>66781.83</v>
      </c>
      <c r="H108" s="14">
        <v>187695</v>
      </c>
      <c r="I108" s="14">
        <v>2930968.52</v>
      </c>
      <c r="J108" s="14">
        <v>14694791.6</v>
      </c>
      <c r="K108" s="9">
        <v>-0.343</v>
      </c>
      <c r="L108" s="10"/>
      <c r="X108" s="47" t="s">
        <v>55</v>
      </c>
      <c r="Y108" s="65">
        <f>IF(Y88*$Y$113-INT(Y88*$Y$113)&lt;0.5,INT(Y88*$Y$113),INT(Y88*$Y$113)+1)</f>
        <v>6</v>
      </c>
      <c r="Z108" s="65">
        <f>IF(Z88*$Z$113-INT(Z88*$Z$113)&lt;0.5,INT(Z88*$Z$113),INT(Z88*$Z$113)+1)</f>
        <v>5</v>
      </c>
      <c r="AA108" s="65">
        <f>IF(AA88*$AA$113-INT(AA88*$AA$113)&lt;0.5,INT(AA88*$AA$113),INT(AA88*$AA$113)+1)</f>
        <v>2</v>
      </c>
      <c r="AB108" s="65">
        <f>IF(AB88*$AB$113-INT(AB88*$AB$113)&lt;0.5,INT(AB88*$AB$113),INT(AB88*$AB$113)+1)</f>
        <v>2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>
        <f t="shared" ref="AT108:AT126" si="65">IF(AS83="","",AVERAGE(AS83:AV83)*$AR$130)</f>
        <v>-0.116879774150871</v>
      </c>
      <c r="AU108" s="314">
        <f t="shared" ref="AU108:AU126" si="66">IF(AW83="","",AVERAGE(AW83:AZ83)*$AR$130)</f>
        <v>-0.080035679207899</v>
      </c>
      <c r="AV108" s="314">
        <f t="shared" ref="AV108:AV126" si="67">IF(BA83="","",AVERAGE(BA83:BD83)*$AR$130)</f>
        <v>0.0155054941761275</v>
      </c>
      <c r="AW108" s="314">
        <f t="shared" ref="AW108:AW126" si="68">IF(BE83="","",AVERAGE(BE83:BH83)*$AR$130)</f>
        <v>0.111742102942994</v>
      </c>
      <c r="AX108" s="190">
        <v>2</v>
      </c>
      <c r="AY108" s="314">
        <f t="shared" ref="AY108:AY126" si="69">IF(BI83="","",BI83*$AR$130)</f>
        <v>-0.0174169640599121</v>
      </c>
      <c r="AZ108" s="314">
        <f t="shared" si="59"/>
        <v>-0.0267115735198315</v>
      </c>
      <c r="BA108" s="314">
        <f t="shared" si="59"/>
        <v>-0.0755349597746785</v>
      </c>
      <c r="BB108" s="314">
        <f t="shared" si="59"/>
        <v>-0.0607507639315271</v>
      </c>
      <c r="BC108" s="314">
        <f t="shared" si="59"/>
        <v>0.0178508493561137</v>
      </c>
      <c r="BD108" s="318"/>
      <c r="BE108" s="318"/>
      <c r="BF108" s="314">
        <f t="shared" si="60"/>
        <v>-0.102675467806573</v>
      </c>
      <c r="BG108" s="314">
        <f t="shared" si="61"/>
        <v>-0.162563411929835</v>
      </c>
      <c r="BH108" s="101"/>
      <c r="BI108" s="314">
        <f t="shared" si="62"/>
        <v>-0.0986759910414101</v>
      </c>
      <c r="BJ108" s="323">
        <f t="shared" si="63"/>
        <v>-0.261</v>
      </c>
      <c r="BK108" s="324"/>
      <c r="BL108" s="2">
        <f t="shared" si="64"/>
        <v>-0.1</v>
      </c>
    </row>
    <row r="109" ht="18.75" customHeight="1" spans="2:64">
      <c r="B109" s="7"/>
      <c r="C109" s="25">
        <v>15</v>
      </c>
      <c r="D109" s="14">
        <v>5495636</v>
      </c>
      <c r="E109" s="14">
        <v>4639648.13</v>
      </c>
      <c r="F109" s="14">
        <v>855987.87</v>
      </c>
      <c r="G109" s="14">
        <v>4515.24</v>
      </c>
      <c r="H109" s="9">
        <v>0</v>
      </c>
      <c r="I109" s="14">
        <v>48830.43</v>
      </c>
      <c r="J109" s="14">
        <v>12945880.59</v>
      </c>
      <c r="K109" s="9">
        <v>-0.836</v>
      </c>
      <c r="L109" s="10"/>
      <c r="X109" s="11" t="s">
        <v>56</v>
      </c>
      <c r="Y109" s="65">
        <f>IF(Y89*$Y$113-INT(Y89*$Y$113)&lt;0.5,INT(Y89*$Y$113),INT(Y89*$Y$113)+1)</f>
        <v>6</v>
      </c>
      <c r="Z109" s="65">
        <f>IF(Z89*$Z$113-INT(Z89*$Z$113)&lt;0.5,INT(Z89*$Z$113),INT(Z89*$Z$113)+1)</f>
        <v>5</v>
      </c>
      <c r="AA109" s="65">
        <f>IF(AA89*$AA$113-INT(AA89*$AA$113)&lt;0.5,INT(AA89*$AA$113),INT(AA89*$AA$113)+1)</f>
        <v>2</v>
      </c>
      <c r="AB109" s="65">
        <f>IF(AB89*$AB$113-INT(AB89*$AB$113)&lt;0.5,INT(AB89*$AB$113),INT(AB89*$AB$113)+1)</f>
        <v>2</v>
      </c>
      <c r="AC109" s="48"/>
      <c r="AK109" s="42" t="s">
        <v>239</v>
      </c>
      <c r="AL109" s="145">
        <f>AA20</f>
        <v>309</v>
      </c>
      <c r="AR109" s="313"/>
      <c r="AS109" s="190">
        <v>3</v>
      </c>
      <c r="AT109" s="314">
        <f t="shared" si="65"/>
        <v>0.100453184818107</v>
      </c>
      <c r="AU109" s="314">
        <f t="shared" si="66"/>
        <v>-0.0797852391325908</v>
      </c>
      <c r="AV109" s="314">
        <f t="shared" si="67"/>
        <v>-0.0498118817533086</v>
      </c>
      <c r="AW109" s="314">
        <f t="shared" si="68"/>
        <v>-0.0357709910017452</v>
      </c>
      <c r="AX109" s="190">
        <v>3</v>
      </c>
      <c r="AY109" s="314">
        <f t="shared" si="69"/>
        <v>-0.0162287317673844</v>
      </c>
      <c r="AZ109" s="314">
        <f t="shared" si="59"/>
        <v>0.0785801570096867</v>
      </c>
      <c r="BA109" s="314">
        <f t="shared" si="59"/>
        <v>0.0466633701728878</v>
      </c>
      <c r="BB109" s="314">
        <f t="shared" si="59"/>
        <v>-0.0312941044067694</v>
      </c>
      <c r="BC109" s="314">
        <f t="shared" si="59"/>
        <v>0.070630663094103</v>
      </c>
      <c r="BD109" s="318"/>
      <c r="BE109" s="318"/>
      <c r="BF109" s="314">
        <f t="shared" si="60"/>
        <v>0.0757013641841322</v>
      </c>
      <c r="BG109" s="314">
        <f t="shared" si="61"/>
        <v>0.148351354102524</v>
      </c>
      <c r="BH109" s="101"/>
      <c r="BI109" s="314">
        <f t="shared" si="62"/>
        <v>0.0900492719402318</v>
      </c>
      <c r="BJ109" s="323">
        <f t="shared" si="63"/>
        <v>0.136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>
        <v>7166850</v>
      </c>
      <c r="E110" s="14">
        <v>6305870.54</v>
      </c>
      <c r="F110" s="14">
        <v>860979.46</v>
      </c>
      <c r="G110" s="14">
        <v>530943.03</v>
      </c>
      <c r="H110" s="14">
        <v>200000</v>
      </c>
      <c r="I110" s="14">
        <v>4158666.77</v>
      </c>
      <c r="J110" s="14">
        <v>16048820.61</v>
      </c>
      <c r="K110" s="9">
        <v>0.126</v>
      </c>
      <c r="L110" s="10"/>
      <c r="X110" s="11" t="s">
        <v>57</v>
      </c>
      <c r="Y110" s="65">
        <f>IF(Y90*$Y$113-INT(Y90*$Y$113)&lt;0.5,INT(Y90*$Y$113),INT(Y90*$Y$113)+1)</f>
        <v>9</v>
      </c>
      <c r="Z110" s="65">
        <f>IF(Z90*$Z$113-INT(Z90*$Z$113)&lt;0.5,INT(Z90*$Z$113),INT(Z90*$Z$113)+1)</f>
        <v>8</v>
      </c>
      <c r="AA110" s="65">
        <f>IF(AA90*$AA$113-INT(AA90*$AA$113)&lt;0.5,INT(AA90*$AA$113),INT(AA90*$AA$113)+1)</f>
        <v>3</v>
      </c>
      <c r="AB110" s="65">
        <f>IF(AB90*$AB$113-INT(AB90*$AB$113)&lt;0.5,INT(AB90*$AB$113),INT(AB90*$AB$113)+1)</f>
        <v>3</v>
      </c>
      <c r="AC110" s="48"/>
      <c r="AE110" s="42" t="s">
        <v>246</v>
      </c>
      <c r="AF110" s="65">
        <f>SUM(AF64:AF67)*比赛参数!D26/1300</f>
        <v>45.1538461538462</v>
      </c>
      <c r="AG110" s="65">
        <f>SUM(AG64:AG67)*比赛参数!E26/1300</f>
        <v>97.1153846153846</v>
      </c>
      <c r="AH110" s="65">
        <f>SUM(AH64:AH67)*比赛参数!F26/1300</f>
        <v>75.4153846153846</v>
      </c>
      <c r="AI110" s="65">
        <f>SUM(AI64:AI67)*比赛参数!G26/1300</f>
        <v>86</v>
      </c>
      <c r="AJ110" s="65">
        <f>SUM(AF110:AI110)</f>
        <v>303.684615384615</v>
      </c>
      <c r="AK110" s="42" t="s">
        <v>246</v>
      </c>
      <c r="AL110" s="145">
        <f>SUM(AF110:AI110)</f>
        <v>303.684615384615</v>
      </c>
      <c r="AR110" s="313"/>
      <c r="AS110" s="190">
        <v>4</v>
      </c>
      <c r="AT110" s="314">
        <f t="shared" si="65"/>
        <v>0.175898981622503</v>
      </c>
      <c r="AU110" s="314">
        <f t="shared" si="66"/>
        <v>0.0264522441789103</v>
      </c>
      <c r="AV110" s="314">
        <f t="shared" si="67"/>
        <v>-0.00158348856700996</v>
      </c>
      <c r="AW110" s="314">
        <f t="shared" si="68"/>
        <v>0.182565532190752</v>
      </c>
      <c r="AX110" s="190">
        <v>4</v>
      </c>
      <c r="AY110" s="314">
        <f t="shared" si="69"/>
        <v>0.0958333173562888</v>
      </c>
      <c r="AZ110" s="314">
        <f t="shared" si="59"/>
        <v>0.127296453921521</v>
      </c>
      <c r="BA110" s="314">
        <f t="shared" si="59"/>
        <v>0.0766548188287903</v>
      </c>
      <c r="BB110" s="314">
        <f t="shared" si="59"/>
        <v>-0.0120478842754365</v>
      </c>
      <c r="BC110" s="314">
        <f t="shared" si="59"/>
        <v>0.0818000985019067</v>
      </c>
      <c r="BD110" s="318"/>
      <c r="BE110" s="318"/>
      <c r="BF110" s="314">
        <f t="shared" si="60"/>
        <v>0.0637416141183297</v>
      </c>
      <c r="BG110" s="314">
        <f t="shared" si="61"/>
        <v>0.369536804333071</v>
      </c>
      <c r="BH110" s="101"/>
      <c r="BI110" s="314">
        <f t="shared" si="62"/>
        <v>0.224308840230174</v>
      </c>
      <c r="BJ110" s="323">
        <f t="shared" si="63"/>
        <v>0.163</v>
      </c>
      <c r="BK110" s="324"/>
      <c r="BL110" s="2">
        <f t="shared" si="64"/>
        <v>-0.1</v>
      </c>
    </row>
    <row r="111" ht="18.75" customHeight="1" spans="2:64">
      <c r="B111" s="7"/>
      <c r="C111" s="25">
        <v>17</v>
      </c>
      <c r="D111" s="14">
        <v>263320</v>
      </c>
      <c r="E111" s="14">
        <v>1501059.75</v>
      </c>
      <c r="F111" s="14">
        <v>-1237739.75</v>
      </c>
      <c r="G111" s="14">
        <v>60265.62</v>
      </c>
      <c r="H111" s="9">
        <v>0</v>
      </c>
      <c r="I111" s="14">
        <v>68973.48</v>
      </c>
      <c r="J111" s="14">
        <v>13626050.79</v>
      </c>
      <c r="K111" s="9">
        <v>-0.776</v>
      </c>
      <c r="L111" s="10"/>
      <c r="X111" s="11" t="s">
        <v>58</v>
      </c>
      <c r="Y111" s="65">
        <f>IF(Y91*$Y$113-INT(Y91*$Y$113)&lt;0.5,INT(Y91*$Y$113),INT(Y91*$Y$113)+1)</f>
        <v>9</v>
      </c>
      <c r="Z111" s="65">
        <f>IF(Z91*$Z$113-INT(Z91*$Z$113)&lt;0.5,INT(Z91*$Z$113),INT(Z91*$Z$113)+1)</f>
        <v>8</v>
      </c>
      <c r="AA111" s="65">
        <f>IF(AA91*$AA$113-INT(AA91*$AA$113)&lt;0.5,INT(AA91*$AA$113),INT(AA91*$AA$113)+1)</f>
        <v>3</v>
      </c>
      <c r="AB111" s="65">
        <f>IF(AB91*$AB$113-INT(AB91*$AB$113)&lt;0.5,INT(AB91*$AB$113),INT(AB91*$AB$113)+1)</f>
        <v>3</v>
      </c>
      <c r="AC111" s="48"/>
      <c r="AE111" s="148" t="s">
        <v>253</v>
      </c>
      <c r="AF111" s="65">
        <f>(SUM(AF64:AF67)-SUM(AF104:AF107))*比赛参数!D26/1300</f>
        <v>45.1538461538462</v>
      </c>
      <c r="AG111" s="65">
        <f>(SUM(AG64:AG67)-SUM(AG104:AG107))*比赛参数!E26/1300</f>
        <v>97.1153846153846</v>
      </c>
      <c r="AH111" s="65">
        <f>(SUM(AH64:AH67)-SUM(AH104:AH107))*比赛参数!F26/1300</f>
        <v>75.4153846153846</v>
      </c>
      <c r="AI111" s="65">
        <f>(SUM(AI64:AI67)-SUM(AI104:AI107))*比赛参数!G26/1300</f>
        <v>86</v>
      </c>
      <c r="AJ111" s="65">
        <f>SUM(AF111:AI111)</f>
        <v>303.684615384615</v>
      </c>
      <c r="AK111" s="148" t="s">
        <v>253</v>
      </c>
      <c r="AL111" s="145">
        <f>AJ111</f>
        <v>303.684615384615</v>
      </c>
      <c r="AR111" s="313"/>
      <c r="AS111" s="190">
        <v>5</v>
      </c>
      <c r="AT111" s="314">
        <f t="shared" si="65"/>
        <v>0.194064413908303</v>
      </c>
      <c r="AU111" s="314">
        <f t="shared" si="66"/>
        <v>0.112359306025951</v>
      </c>
      <c r="AV111" s="314">
        <f t="shared" si="67"/>
        <v>0.206123198265444</v>
      </c>
      <c r="AW111" s="314">
        <f t="shared" si="68"/>
        <v>0.00502081199737333</v>
      </c>
      <c r="AX111" s="190">
        <v>5</v>
      </c>
      <c r="AY111" s="314">
        <f t="shared" si="69"/>
        <v>0.129391932549268</v>
      </c>
      <c r="AZ111" s="314">
        <f t="shared" si="59"/>
        <v>0.200821367185207</v>
      </c>
      <c r="BA111" s="314">
        <f t="shared" si="59"/>
        <v>0.208030771237817</v>
      </c>
      <c r="BB111" s="314">
        <f t="shared" si="59"/>
        <v>0.116029198522522</v>
      </c>
      <c r="BC111" s="314">
        <f t="shared" si="59"/>
        <v>0.123491999341104</v>
      </c>
      <c r="BD111" s="318"/>
      <c r="BE111" s="318"/>
      <c r="BF111" s="314">
        <f t="shared" si="60"/>
        <v>0.33426109030741</v>
      </c>
      <c r="BG111" s="314">
        <f t="shared" si="61"/>
        <v>0.777765268835918</v>
      </c>
      <c r="BH111" s="101"/>
      <c r="BI111" s="314">
        <f t="shared" si="62"/>
        <v>0.472103518183402</v>
      </c>
      <c r="BJ111" s="323">
        <f t="shared" si="63"/>
        <v>0.575</v>
      </c>
      <c r="BK111" s="324"/>
      <c r="BL111" s="2">
        <f t="shared" si="64"/>
        <v>-0.1</v>
      </c>
    </row>
    <row r="112" ht="18.75" customHeight="1" spans="2:64">
      <c r="B112" s="7"/>
      <c r="C112" s="25">
        <v>18</v>
      </c>
      <c r="D112" s="14">
        <v>7168828</v>
      </c>
      <c r="E112" s="14">
        <v>6430787.38</v>
      </c>
      <c r="F112" s="14">
        <v>738040.62</v>
      </c>
      <c r="G112" s="14">
        <v>195744.38</v>
      </c>
      <c r="H112" s="14">
        <v>40492.51</v>
      </c>
      <c r="I112" s="14">
        <v>6112347.52</v>
      </c>
      <c r="J112" s="14">
        <v>15237009.05</v>
      </c>
      <c r="K112" s="9">
        <v>-0.189</v>
      </c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>
        <f t="shared" si="65"/>
        <v>-0.204924737839091</v>
      </c>
      <c r="AU112" s="314">
        <f t="shared" si="66"/>
        <v>-0.256719077107359</v>
      </c>
      <c r="AV112" s="314">
        <f t="shared" si="67"/>
        <v>-0.25037642874193</v>
      </c>
      <c r="AW112" s="314">
        <f t="shared" si="68"/>
        <v>-0.276513894352613</v>
      </c>
      <c r="AX112" s="190">
        <v>6</v>
      </c>
      <c r="AY112" s="314">
        <f t="shared" si="69"/>
        <v>-0.247133534510248</v>
      </c>
      <c r="AZ112" s="314">
        <f t="shared" si="59"/>
        <v>-0.643190283098794</v>
      </c>
      <c r="BA112" s="314">
        <f t="shared" si="59"/>
        <v>-0.162430838091214</v>
      </c>
      <c r="BB112" s="314">
        <f t="shared" si="59"/>
        <v>-0.0607507639315271</v>
      </c>
      <c r="BC112" s="314">
        <f t="shared" si="59"/>
        <v>-0.608638508994281</v>
      </c>
      <c r="BD112" s="318"/>
      <c r="BE112" s="318"/>
      <c r="BF112" s="314">
        <f t="shared" si="60"/>
        <v>-1.93189231519601</v>
      </c>
      <c r="BG112" s="314">
        <f t="shared" si="61"/>
        <v>-1.72214392862606</v>
      </c>
      <c r="BH112" s="101"/>
      <c r="BI112" s="314">
        <f t="shared" si="62"/>
        <v>-1.04534136467602</v>
      </c>
      <c r="BJ112" s="323">
        <f t="shared" si="63"/>
        <v>-2.318</v>
      </c>
      <c r="BK112" s="324"/>
      <c r="BL112" s="2">
        <f t="shared" si="64"/>
        <v>-0.1</v>
      </c>
    </row>
    <row r="113" ht="18.75" customHeight="1" spans="2:64">
      <c r="B113" s="7"/>
      <c r="C113" s="25">
        <v>19</v>
      </c>
      <c r="D113" s="14">
        <v>2824300</v>
      </c>
      <c r="E113" s="14">
        <v>3068559.04</v>
      </c>
      <c r="F113" s="14">
        <v>-244259.04</v>
      </c>
      <c r="G113" s="14">
        <v>4515.24</v>
      </c>
      <c r="H113" s="9">
        <v>0</v>
      </c>
      <c r="I113" s="14">
        <v>2978042.45</v>
      </c>
      <c r="J113" s="14">
        <v>13993303.99</v>
      </c>
      <c r="K113" s="9">
        <v>-0.703</v>
      </c>
      <c r="L113" s="10"/>
      <c r="X113" s="63" t="s">
        <v>110</v>
      </c>
      <c r="Y113" s="295">
        <f>Y122</f>
        <v>0.05</v>
      </c>
      <c r="Z113" s="295">
        <f>Z122</f>
        <v>0.05</v>
      </c>
      <c r="AA113" s="295">
        <f>AA122</f>
        <v>0.05</v>
      </c>
      <c r="AB113" s="295">
        <f>AB122</f>
        <v>0.05</v>
      </c>
      <c r="AC113" s="48"/>
      <c r="AR113" s="313"/>
      <c r="AS113" s="190">
        <v>7</v>
      </c>
      <c r="AT113" s="314">
        <f t="shared" si="65"/>
        <v>-0.00362518327419066</v>
      </c>
      <c r="AU113" s="314">
        <f t="shared" si="66"/>
        <v>0.0384068452184513</v>
      </c>
      <c r="AV113" s="314">
        <f t="shared" si="67"/>
        <v>0.0793710083001216</v>
      </c>
      <c r="AW113" s="314">
        <f t="shared" si="68"/>
        <v>0.123813989927639</v>
      </c>
      <c r="AX113" s="190">
        <v>7</v>
      </c>
      <c r="AY113" s="314">
        <f t="shared" si="69"/>
        <v>0.0594916650430053</v>
      </c>
      <c r="AZ113" s="314">
        <f t="shared" si="59"/>
        <v>0.0716896070339081</v>
      </c>
      <c r="BA113" s="314">
        <f t="shared" si="59"/>
        <v>0.0289094344406226</v>
      </c>
      <c r="BB113" s="314">
        <f t="shared" si="59"/>
        <v>-0.0607507639315271</v>
      </c>
      <c r="BC113" s="314">
        <f t="shared" si="59"/>
        <v>0.0665870070533442</v>
      </c>
      <c r="BD113" s="318"/>
      <c r="BE113" s="318"/>
      <c r="BF113" s="314">
        <f t="shared" si="60"/>
        <v>0.0960170371810751</v>
      </c>
      <c r="BG113" s="314">
        <f t="shared" si="61"/>
        <v>0.165926949639353</v>
      </c>
      <c r="BH113" s="101"/>
      <c r="BI113" s="314">
        <f t="shared" si="62"/>
        <v>0.100717658431087</v>
      </c>
      <c r="BJ113" s="323">
        <f t="shared" si="63"/>
        <v>0.159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>
        <f t="shared" si="65"/>
        <v>-0.107567266419396</v>
      </c>
      <c r="AU114" s="314">
        <f t="shared" si="66"/>
        <v>-0.0944645786459218</v>
      </c>
      <c r="AV114" s="314">
        <f t="shared" si="67"/>
        <v>0.199206416405872</v>
      </c>
      <c r="AW114" s="314">
        <f t="shared" si="68"/>
        <v>0.213015098866953</v>
      </c>
      <c r="AX114" s="190">
        <v>8</v>
      </c>
      <c r="AY114" s="314">
        <f t="shared" si="69"/>
        <v>0.0525474175518766</v>
      </c>
      <c r="AZ114" s="314">
        <f t="shared" si="59"/>
        <v>0.109500208513452</v>
      </c>
      <c r="BA114" s="314">
        <f t="shared" si="59"/>
        <v>0.0837051780457304</v>
      </c>
      <c r="BB114" s="314">
        <f t="shared" si="59"/>
        <v>0.460202637764197</v>
      </c>
      <c r="BC114" s="314">
        <f t="shared" si="59"/>
        <v>0.0181876375915103</v>
      </c>
      <c r="BD114" s="318"/>
      <c r="BE114" s="318"/>
      <c r="BF114" s="314">
        <f t="shared" si="60"/>
        <v>0.315395635524997</v>
      </c>
      <c r="BG114" s="314">
        <f t="shared" si="61"/>
        <v>0.724143079466766</v>
      </c>
      <c r="BH114" s="101"/>
      <c r="BI114" s="314">
        <f t="shared" si="62"/>
        <v>0.439554849236327</v>
      </c>
      <c r="BJ114" s="323">
        <f t="shared" si="63"/>
        <v>0.631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>
        <f t="shared" si="65"/>
        <v>0.0384044139551505</v>
      </c>
      <c r="AU115" s="314">
        <f t="shared" si="66"/>
        <v>0.21250668440652</v>
      </c>
      <c r="AV115" s="314">
        <f t="shared" si="67"/>
        <v>-0.0810942342355451</v>
      </c>
      <c r="AW115" s="314">
        <f t="shared" si="68"/>
        <v>-0.146231684871976</v>
      </c>
      <c r="AX115" s="190">
        <v>9</v>
      </c>
      <c r="AY115" s="314">
        <f t="shared" si="69"/>
        <v>0.00589629481353748</v>
      </c>
      <c r="AZ115" s="314">
        <f t="shared" si="59"/>
        <v>0.0518124278124582</v>
      </c>
      <c r="BA115" s="314">
        <f t="shared" si="59"/>
        <v>0.00810932678574615</v>
      </c>
      <c r="BB115" s="314">
        <f t="shared" si="59"/>
        <v>-0.0607507639315271</v>
      </c>
      <c r="BC115" s="314">
        <f t="shared" si="59"/>
        <v>0.0563428710838927</v>
      </c>
      <c r="BD115" s="318"/>
      <c r="BE115" s="318"/>
      <c r="BF115" s="314">
        <f t="shared" si="60"/>
        <v>0.00613514821348731</v>
      </c>
      <c r="BG115" s="314">
        <f t="shared" si="61"/>
        <v>0.0614101565641074</v>
      </c>
      <c r="BH115" s="101"/>
      <c r="BI115" s="314">
        <f t="shared" si="62"/>
        <v>0.0372759650344132</v>
      </c>
      <c r="BJ115" s="323">
        <f t="shared" si="63"/>
        <v>-0.059</v>
      </c>
      <c r="BK115" s="324"/>
      <c r="BL115" s="2">
        <f t="shared" si="64"/>
        <v>-0.1</v>
      </c>
    </row>
    <row r="116" ht="20.1" customHeight="1" spans="24:64">
      <c r="X116" s="47" t="s">
        <v>55</v>
      </c>
      <c r="Y116" s="296">
        <f>(AF76-CJ27-$AF$81-AK76)/(CJ27+$AF$81+AK76)</f>
        <v>0.403268813430513</v>
      </c>
      <c r="Z116" s="296">
        <f>(AG76-CK27-$AG$81-AK76)/(CK27+$AG$81+AK76)</f>
        <v>0.278224916321596</v>
      </c>
      <c r="AA116" s="296">
        <f>(AH76-CL27-$AH$81-AK76)/(CL27+$AH$81+AK76)</f>
        <v>0.289383575343306</v>
      </c>
      <c r="AB116" s="296">
        <f>(AI76-CM27-$AI$81-AK76)/(CM27+$AI$81+AK76)</f>
        <v>0.278292247700116</v>
      </c>
      <c r="AC116" s="48"/>
      <c r="AR116" s="313"/>
      <c r="AS116" s="190">
        <v>10</v>
      </c>
      <c r="AT116" s="314">
        <f t="shared" si="65"/>
        <v>0.265121774656118</v>
      </c>
      <c r="AU116" s="314">
        <f t="shared" si="66"/>
        <v>0.202419754740393</v>
      </c>
      <c r="AV116" s="314">
        <f t="shared" si="67"/>
        <v>0.0899999533551299</v>
      </c>
      <c r="AW116" s="314">
        <f t="shared" si="68"/>
        <v>0.0216855899303025</v>
      </c>
      <c r="AX116" s="190">
        <v>10</v>
      </c>
      <c r="AY116" s="314">
        <f t="shared" si="69"/>
        <v>0.144806768170486</v>
      </c>
      <c r="AZ116" s="314">
        <f t="shared" si="59"/>
        <v>0.162797874349538</v>
      </c>
      <c r="BA116" s="314">
        <f t="shared" si="59"/>
        <v>0.106543869535905</v>
      </c>
      <c r="BB116" s="314">
        <f t="shared" si="59"/>
        <v>-0.0607507639315271</v>
      </c>
      <c r="BC116" s="314">
        <f t="shared" si="59"/>
        <v>0.101991033193497</v>
      </c>
      <c r="BD116" s="318"/>
      <c r="BE116" s="318"/>
      <c r="BF116" s="314">
        <f t="shared" si="60"/>
        <v>0.10639046085673</v>
      </c>
      <c r="BG116" s="314">
        <f t="shared" si="61"/>
        <v>0.4553887813179</v>
      </c>
      <c r="BH116" s="101"/>
      <c r="BI116" s="314">
        <f t="shared" si="62"/>
        <v>0.276420990259965</v>
      </c>
      <c r="BJ116" s="323">
        <f t="shared" si="63"/>
        <v>0.241</v>
      </c>
      <c r="BK116" s="324"/>
      <c r="BL116" s="2">
        <f t="shared" si="64"/>
        <v>-0.1</v>
      </c>
    </row>
    <row r="117" ht="20.1" customHeight="1" spans="24:64">
      <c r="X117" s="11" t="s">
        <v>56</v>
      </c>
      <c r="Y117" s="296">
        <f>(AF77-CJ28-$AF$81-AK77)/(CJ28+$AF$81+AK77)</f>
        <v>0.458736458498138</v>
      </c>
      <c r="Z117" s="296">
        <f>(AG77-CK28-$AG$81-AK77)/(CK28+$AG$81+AK77)</f>
        <v>0.328627219492175</v>
      </c>
      <c r="AA117" s="296">
        <f>(AH77-CL28-$AH$81-AK77)/(CL28+$AH$81+AK77)</f>
        <v>0.336722604796926</v>
      </c>
      <c r="AB117" s="296">
        <f>(AI77-CM28-$AI$81-AK77)/(CM28+$AI$81+AK77)</f>
        <v>0.321748108986001</v>
      </c>
      <c r="AC117" s="48"/>
      <c r="AR117" s="313"/>
      <c r="AS117" s="190">
        <v>11</v>
      </c>
      <c r="AT117" s="314">
        <f t="shared" si="65"/>
        <v>0.0961993266982718</v>
      </c>
      <c r="AU117" s="314">
        <f t="shared" si="66"/>
        <v>0.26364052878057</v>
      </c>
      <c r="AV117" s="314">
        <f t="shared" si="67"/>
        <v>-0.0542113517001146</v>
      </c>
      <c r="AW117" s="314">
        <f t="shared" si="68"/>
        <v>0.0337228292193548</v>
      </c>
      <c r="AX117" s="190">
        <v>11</v>
      </c>
      <c r="AY117" s="314">
        <f t="shared" si="69"/>
        <v>0.0848378332495205</v>
      </c>
      <c r="AZ117" s="314">
        <f t="shared" si="59"/>
        <v>0.157799984508897</v>
      </c>
      <c r="BA117" s="314">
        <f t="shared" si="59"/>
        <v>0.166238641288297</v>
      </c>
      <c r="BB117" s="314">
        <f t="shared" si="59"/>
        <v>0.0837198672606378</v>
      </c>
      <c r="BC117" s="314">
        <f t="shared" si="59"/>
        <v>0.109765356643316</v>
      </c>
      <c r="BD117" s="318"/>
      <c r="BE117" s="318"/>
      <c r="BF117" s="314">
        <f t="shared" si="60"/>
        <v>0.475068300574867</v>
      </c>
      <c r="BG117" s="314">
        <f t="shared" si="61"/>
        <v>0.602361682950668</v>
      </c>
      <c r="BH117" s="101"/>
      <c r="BI117" s="314">
        <f t="shared" si="62"/>
        <v>0.365633541551056</v>
      </c>
      <c r="BJ117" s="323">
        <f t="shared" si="63"/>
        <v>0.554</v>
      </c>
      <c r="BK117" s="324"/>
      <c r="BL117" s="2">
        <f t="shared" si="64"/>
        <v>-0.1</v>
      </c>
    </row>
    <row r="118" ht="20.1" customHeight="1" spans="24:64">
      <c r="X118" s="11" t="s">
        <v>57</v>
      </c>
      <c r="Y118" s="296">
        <f>(AF78-CJ29-$AF$81-AK78)/(CJ29+$AF$81+AK78)</f>
        <v>0.331283234283976</v>
      </c>
      <c r="Z118" s="296">
        <f>(AG78-CK29-$AG$81-AK78)/(CK29+$AG$81+AK78)</f>
        <v>0.25917944114653</v>
      </c>
      <c r="AA118" s="296">
        <f>(AH78-CL29-$AH$81-AK78)/(CL29+$AH$81+AK78)</f>
        <v>0.284228968762353</v>
      </c>
      <c r="AB118" s="296">
        <f>(AI78-CM29-$AI$81-AK78)/(CM29+$AI$81+AK78)</f>
        <v>0.275089408136884</v>
      </c>
      <c r="AC118" s="48"/>
      <c r="AR118" s="313"/>
      <c r="AS118" s="190">
        <v>12</v>
      </c>
      <c r="AT118" s="314">
        <f t="shared" si="65"/>
        <v>-0.121027179988982</v>
      </c>
      <c r="AU118" s="314">
        <f t="shared" si="66"/>
        <v>-0.0777723203565077</v>
      </c>
      <c r="AV118" s="314">
        <f t="shared" si="67"/>
        <v>0.0171562694689113</v>
      </c>
      <c r="AW118" s="314">
        <f t="shared" si="68"/>
        <v>-0.0935379716641316</v>
      </c>
      <c r="AX118" s="190">
        <v>12</v>
      </c>
      <c r="AY118" s="314">
        <f t="shared" si="69"/>
        <v>-0.0687953006351775</v>
      </c>
      <c r="AZ118" s="314">
        <f t="shared" si="59"/>
        <v>-0.160557030841268</v>
      </c>
      <c r="BA118" s="314">
        <f t="shared" si="59"/>
        <v>-0.0947986070997908</v>
      </c>
      <c r="BB118" s="314">
        <f t="shared" si="59"/>
        <v>-0.0607507639315271</v>
      </c>
      <c r="BC118" s="314">
        <f t="shared" si="59"/>
        <v>-0.0109559318044157</v>
      </c>
      <c r="BD118" s="318"/>
      <c r="BE118" s="318"/>
      <c r="BF118" s="314">
        <f t="shared" si="60"/>
        <v>-0.134620125160638</v>
      </c>
      <c r="BG118" s="314">
        <f t="shared" si="61"/>
        <v>-0.395857634312179</v>
      </c>
      <c r="BH118" s="101"/>
      <c r="BI118" s="314">
        <f t="shared" si="62"/>
        <v>-0.240285584027493</v>
      </c>
      <c r="BJ118" s="323">
        <f t="shared" si="63"/>
        <v>-0.322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>
        <f>(AF79-CJ30-$AF$81-AK79)/(CJ30+$AF$81+AK79)</f>
        <v>0.295532765179356</v>
      </c>
      <c r="Z119" s="296">
        <f>(AG79-CK30-$AG$81-AK79)/(CK30+$AG$81+AK79)</f>
        <v>0.248139499757566</v>
      </c>
      <c r="AA119" s="296">
        <f>(AH79-CL30-$AH$81-AK79)/(CL30+$AH$81+AK79)</f>
        <v>0.264899749412688</v>
      </c>
      <c r="AB119" s="296">
        <f>(AI79-CM30-$AI$81-AK79)/(CM30+$AI$81+AK79)</f>
        <v>0.273873342729048</v>
      </c>
      <c r="AC119" s="297"/>
      <c r="AR119" s="313"/>
      <c r="AS119" s="190">
        <v>13</v>
      </c>
      <c r="AT119" s="314">
        <f t="shared" si="65"/>
        <v>0.0261598633352863</v>
      </c>
      <c r="AU119" s="314">
        <f t="shared" si="66"/>
        <v>0.155353317791649</v>
      </c>
      <c r="AV119" s="314">
        <f t="shared" si="67"/>
        <v>0.0156453186491096</v>
      </c>
      <c r="AW119" s="314">
        <f t="shared" si="68"/>
        <v>0.0762041363486926</v>
      </c>
      <c r="AX119" s="190">
        <v>13</v>
      </c>
      <c r="AY119" s="314">
        <f t="shared" si="69"/>
        <v>0.0683406590311843</v>
      </c>
      <c r="AZ119" s="314">
        <f t="shared" si="59"/>
        <v>0.120823945430294</v>
      </c>
      <c r="BA119" s="314">
        <f t="shared" si="59"/>
        <v>0.084119986750292</v>
      </c>
      <c r="BB119" s="314">
        <f t="shared" si="59"/>
        <v>-0.0602817622716374</v>
      </c>
      <c r="BC119" s="314">
        <f t="shared" si="59"/>
        <v>0.0915481216186537</v>
      </c>
      <c r="BD119" s="318"/>
      <c r="BE119" s="318"/>
      <c r="BF119" s="314">
        <f t="shared" si="60"/>
        <v>0.141907039556535</v>
      </c>
      <c r="BG119" s="314">
        <f t="shared" si="61"/>
        <v>0.304550950558787</v>
      </c>
      <c r="BH119" s="101"/>
      <c r="BI119" s="314">
        <f t="shared" si="62"/>
        <v>0.184862426989183</v>
      </c>
      <c r="BJ119" s="323">
        <f t="shared" si="63"/>
        <v>0.171</v>
      </c>
      <c r="BK119" s="324"/>
      <c r="BL119" s="2">
        <f t="shared" si="64"/>
        <v>-0.1</v>
      </c>
    </row>
    <row r="120" ht="20.1" customHeight="1" spans="44:64">
      <c r="AR120" s="313"/>
      <c r="AS120" s="190">
        <v>14</v>
      </c>
      <c r="AT120" s="314">
        <f t="shared" si="65"/>
        <v>0.12855120846648</v>
      </c>
      <c r="AU120" s="314">
        <f t="shared" si="66"/>
        <v>0.00760349145497301</v>
      </c>
      <c r="AV120" s="314">
        <f t="shared" si="67"/>
        <v>-0.0371481778839749</v>
      </c>
      <c r="AW120" s="314">
        <f t="shared" si="68"/>
        <v>-0.00951275606274227</v>
      </c>
      <c r="AX120" s="190">
        <v>14</v>
      </c>
      <c r="AY120" s="314">
        <f t="shared" si="69"/>
        <v>0.022373441493684</v>
      </c>
      <c r="AZ120" s="314">
        <f t="shared" si="59"/>
        <v>-0.0672616835911859</v>
      </c>
      <c r="BA120" s="314">
        <f t="shared" si="59"/>
        <v>-0.137366088134525</v>
      </c>
      <c r="BB120" s="314">
        <f t="shared" si="59"/>
        <v>0.0222010237005048</v>
      </c>
      <c r="BC120" s="314">
        <f t="shared" si="59"/>
        <v>-0.0230433751439196</v>
      </c>
      <c r="BD120" s="318"/>
      <c r="BE120" s="318"/>
      <c r="BF120" s="314">
        <f t="shared" si="60"/>
        <v>-0.217232807616157</v>
      </c>
      <c r="BG120" s="314">
        <f t="shared" si="61"/>
        <v>-0.183096681675441</v>
      </c>
      <c r="BH120" s="101"/>
      <c r="BI120" s="314">
        <f t="shared" si="62"/>
        <v>-0.111139685776993</v>
      </c>
      <c r="BJ120" s="323">
        <f t="shared" si="63"/>
        <v>-0.343</v>
      </c>
      <c r="BK120" s="324"/>
      <c r="BL120" s="2">
        <f t="shared" si="64"/>
        <v>-0.1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>
        <f t="shared" si="65"/>
        <v>0.0117199959981469</v>
      </c>
      <c r="AU121" s="314">
        <f t="shared" si="66"/>
        <v>-0.0601939931838929</v>
      </c>
      <c r="AV121" s="314">
        <f t="shared" si="67"/>
        <v>-0.0960019166827409</v>
      </c>
      <c r="AW121" s="314">
        <f t="shared" si="68"/>
        <v>-0.0363313044018793</v>
      </c>
      <c r="AX121" s="190">
        <v>15</v>
      </c>
      <c r="AY121" s="314">
        <f t="shared" si="69"/>
        <v>-0.0452018045675916</v>
      </c>
      <c r="AZ121" s="314">
        <f t="shared" si="59"/>
        <v>0.0349634744296172</v>
      </c>
      <c r="BA121" s="314">
        <f t="shared" si="59"/>
        <v>-0.162430838091214</v>
      </c>
      <c r="BB121" s="314">
        <f t="shared" si="59"/>
        <v>-0.0607507639315271</v>
      </c>
      <c r="BC121" s="314">
        <f t="shared" si="59"/>
        <v>-0.133213537238997</v>
      </c>
      <c r="BD121" s="318"/>
      <c r="BE121" s="318"/>
      <c r="BF121" s="314">
        <f t="shared" si="60"/>
        <v>-0.845887123681012</v>
      </c>
      <c r="BG121" s="314">
        <f t="shared" si="61"/>
        <v>-0.366633469399713</v>
      </c>
      <c r="BH121" s="101"/>
      <c r="BI121" s="314">
        <f t="shared" si="62"/>
        <v>-0.222546515925625</v>
      </c>
      <c r="BJ121" s="323">
        <f t="shared" si="63"/>
        <v>-0.836</v>
      </c>
      <c r="BK121" s="324"/>
      <c r="BL121" s="2">
        <f t="shared" si="64"/>
        <v>-0.1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0.05</v>
      </c>
      <c r="Z122" s="299">
        <f>IF(1-(($AH$18-1)*Z125/10+0.95+(H43-0.95)*Z124)&gt;0,1-(($AH$18-1)*Z125/10+0.95+(H43-0.95)*Z124),0)</f>
        <v>0.05</v>
      </c>
      <c r="AA122" s="299">
        <f>1-(($AH$18-1)*AA125/10+0.95+(H44-0.95)*AA124)</f>
        <v>0.05</v>
      </c>
      <c r="AB122" s="299">
        <f>1-(($AH$18-1)*AB125/10+0.95+(H45-0.95)*AB124)</f>
        <v>0.05</v>
      </c>
      <c r="AR122" s="313"/>
      <c r="AS122" s="190">
        <v>16</v>
      </c>
      <c r="AT122" s="314">
        <f t="shared" si="65"/>
        <v>-0.0338413287104167</v>
      </c>
      <c r="AU122" s="314">
        <f t="shared" si="66"/>
        <v>-0.0282688060661742</v>
      </c>
      <c r="AV122" s="314">
        <f t="shared" si="67"/>
        <v>0.0396304733243118</v>
      </c>
      <c r="AW122" s="314">
        <f t="shared" si="68"/>
        <v>0.0944356351226753</v>
      </c>
      <c r="AX122" s="190">
        <v>16</v>
      </c>
      <c r="AY122" s="314">
        <f t="shared" si="69"/>
        <v>0.017988993417599</v>
      </c>
      <c r="AZ122" s="314">
        <f t="shared" si="59"/>
        <v>0.035805877629313</v>
      </c>
      <c r="BA122" s="314">
        <f t="shared" si="59"/>
        <v>0.0494770394174581</v>
      </c>
      <c r="BB122" s="314">
        <f t="shared" si="59"/>
        <v>0.0276392172954975</v>
      </c>
      <c r="BC122" s="314">
        <f t="shared" si="59"/>
        <v>0.0622517568897777</v>
      </c>
      <c r="BD122" s="318"/>
      <c r="BE122" s="318"/>
      <c r="BF122" s="314">
        <f t="shared" si="60"/>
        <v>0.179160014856121</v>
      </c>
      <c r="BG122" s="314">
        <f t="shared" si="61"/>
        <v>0.193162884649645</v>
      </c>
      <c r="BH122" s="101"/>
      <c r="BI122" s="314">
        <f t="shared" si="62"/>
        <v>0.117249870982335</v>
      </c>
      <c r="BJ122" s="323">
        <f t="shared" si="63"/>
        <v>0.126</v>
      </c>
      <c r="BK122" s="324"/>
      <c r="BL122" s="2">
        <f t="shared" si="64"/>
        <v>-0.1</v>
      </c>
    </row>
    <row r="123" ht="20.1" customHeight="1" spans="24:64">
      <c r="X123" s="282" t="s">
        <v>113</v>
      </c>
      <c r="Y123" s="299">
        <f>1-Y122</f>
        <v>0.95</v>
      </c>
      <c r="Z123" s="299">
        <f>1-Z122</f>
        <v>0.95</v>
      </c>
      <c r="AA123" s="299">
        <f>1-AA122</f>
        <v>0.95</v>
      </c>
      <c r="AB123" s="299">
        <f>1-AB122</f>
        <v>0.95</v>
      </c>
      <c r="AR123" s="313"/>
      <c r="AS123" s="190">
        <v>17</v>
      </c>
      <c r="AT123" s="314">
        <f t="shared" si="65"/>
        <v>-0.246963201807699</v>
      </c>
      <c r="AU123" s="314">
        <f t="shared" si="66"/>
        <v>-0.278551400689286</v>
      </c>
      <c r="AV123" s="314">
        <f t="shared" si="67"/>
        <v>-0.252065362075775</v>
      </c>
      <c r="AW123" s="314">
        <f t="shared" si="68"/>
        <v>-0.274550379217334</v>
      </c>
      <c r="AX123" s="190">
        <v>17</v>
      </c>
      <c r="AY123" s="314">
        <f t="shared" si="69"/>
        <v>-0.263032585947523</v>
      </c>
      <c r="AZ123" s="314">
        <f t="shared" si="59"/>
        <v>-0.318383424329998</v>
      </c>
      <c r="BA123" s="314">
        <f t="shared" si="59"/>
        <v>-0.13998911878893</v>
      </c>
      <c r="BB123" s="314">
        <f t="shared" si="59"/>
        <v>-0.0607507639315271</v>
      </c>
      <c r="BC123" s="314">
        <f t="shared" si="59"/>
        <v>-0.0903671827030728</v>
      </c>
      <c r="BD123" s="318"/>
      <c r="BE123" s="318"/>
      <c r="BF123" s="314">
        <f t="shared" si="60"/>
        <v>-0.241150729900267</v>
      </c>
      <c r="BG123" s="314">
        <f t="shared" si="61"/>
        <v>-0.872523075701051</v>
      </c>
      <c r="BH123" s="101"/>
      <c r="BI123" s="314">
        <f t="shared" si="62"/>
        <v>-0.529621506950538</v>
      </c>
      <c r="BJ123" s="323">
        <f t="shared" si="63"/>
        <v>-0.776</v>
      </c>
      <c r="BK123" s="324"/>
      <c r="BL123" s="2">
        <f t="shared" si="64"/>
        <v>-0.1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>
        <f t="shared" si="65"/>
        <v>-0.154115662472203</v>
      </c>
      <c r="AU124" s="314">
        <f t="shared" si="66"/>
        <v>-0.0903402318781511</v>
      </c>
      <c r="AV124" s="314">
        <f t="shared" si="67"/>
        <v>0.0848738848029507</v>
      </c>
      <c r="AW124" s="314">
        <f t="shared" si="68"/>
        <v>0.185854382270997</v>
      </c>
      <c r="AX124" s="190">
        <v>18</v>
      </c>
      <c r="AY124" s="314">
        <f t="shared" si="69"/>
        <v>0.00656809318089819</v>
      </c>
      <c r="AZ124" s="314">
        <f t="shared" si="59"/>
        <v>0.015058165541002</v>
      </c>
      <c r="BA124" s="314">
        <f t="shared" si="59"/>
        <v>-0.0854535926931155</v>
      </c>
      <c r="BB124" s="314">
        <f t="shared" si="59"/>
        <v>-0.0428551029378515</v>
      </c>
      <c r="BC124" s="314">
        <f t="shared" si="59"/>
        <v>0.0111128420768065</v>
      </c>
      <c r="BD124" s="318"/>
      <c r="BE124" s="318"/>
      <c r="BF124" s="314">
        <f t="shared" si="60"/>
        <v>-0.0510531399288599</v>
      </c>
      <c r="BG124" s="314">
        <f t="shared" si="61"/>
        <v>-0.0955695948322604</v>
      </c>
      <c r="BH124" s="101"/>
      <c r="BI124" s="314">
        <f t="shared" si="62"/>
        <v>-0.058010744063182</v>
      </c>
      <c r="BJ124" s="323">
        <f t="shared" si="63"/>
        <v>-0.189</v>
      </c>
      <c r="BK124" s="324"/>
      <c r="BL124" s="2">
        <f t="shared" si="64"/>
        <v>-0.1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>
        <f t="shared" si="65"/>
        <v>-0.200031942308945</v>
      </c>
      <c r="AU125" s="314">
        <f t="shared" si="66"/>
        <v>-0.126493196520005</v>
      </c>
      <c r="AV125" s="314">
        <f t="shared" si="67"/>
        <v>-0.158351853244602</v>
      </c>
      <c r="AW125" s="314">
        <f t="shared" si="68"/>
        <v>-0.129361721195073</v>
      </c>
      <c r="AX125" s="190">
        <v>19</v>
      </c>
      <c r="AY125" s="314">
        <f t="shared" si="69"/>
        <v>-0.153559678317156</v>
      </c>
      <c r="AZ125" s="314">
        <f t="shared" si="59"/>
        <v>-0.150719147227898</v>
      </c>
      <c r="BA125" s="314">
        <f t="shared" si="59"/>
        <v>-0.162430838091214</v>
      </c>
      <c r="BB125" s="314">
        <f t="shared" si="59"/>
        <v>-0.0607507639315271</v>
      </c>
      <c r="BC125" s="314">
        <f t="shared" si="59"/>
        <v>-0.0672325896090903</v>
      </c>
      <c r="BD125" s="318"/>
      <c r="BE125" s="318"/>
      <c r="BF125" s="314">
        <f t="shared" si="60"/>
        <v>-0.398717196991154</v>
      </c>
      <c r="BG125" s="314">
        <f t="shared" si="61"/>
        <v>-0.594693017176886</v>
      </c>
      <c r="BH125" s="101"/>
      <c r="BI125" s="314">
        <f t="shared" si="62"/>
        <v>-0.36097866142637</v>
      </c>
      <c r="BJ125" s="323">
        <f t="shared" si="63"/>
        <v>-0.703</v>
      </c>
      <c r="BK125" s="324"/>
      <c r="BL125" s="2">
        <f t="shared" si="64"/>
        <v>-0.1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-0.1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115</v>
      </c>
      <c r="AC130" s="338">
        <f>AF65</f>
        <v>115</v>
      </c>
      <c r="AD130" s="338">
        <f>AF66</f>
        <v>177</v>
      </c>
      <c r="AE130" s="338">
        <f>AF67</f>
        <v>180</v>
      </c>
      <c r="AH130" s="101"/>
      <c r="AI130" s="101"/>
      <c r="AJ130" s="101"/>
      <c r="AK130" s="101"/>
      <c r="AL130" s="338">
        <f>AG64</f>
        <v>102</v>
      </c>
      <c r="AM130" s="338">
        <f>AG65</f>
        <v>101</v>
      </c>
      <c r="AN130" s="338">
        <f>AG66</f>
        <v>151</v>
      </c>
      <c r="AO130" s="338">
        <f>AG67</f>
        <v>151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3188</v>
      </c>
      <c r="Y131" s="335">
        <f t="shared" si="70"/>
        <v>3188</v>
      </c>
      <c r="Z131" s="335">
        <f t="shared" si="70"/>
        <v>3388</v>
      </c>
      <c r="AA131" s="335">
        <f t="shared" si="70"/>
        <v>3388</v>
      </c>
      <c r="AB131" s="339">
        <f t="shared" ref="AB131:AE150" si="71">INT(Y$232*D73+0.5)</f>
        <v>115</v>
      </c>
      <c r="AC131" s="339">
        <f t="shared" si="71"/>
        <v>115</v>
      </c>
      <c r="AD131" s="339">
        <f t="shared" si="71"/>
        <v>158</v>
      </c>
      <c r="AE131" s="339">
        <f t="shared" si="71"/>
        <v>179</v>
      </c>
      <c r="AF131" s="334" t="s">
        <v>403</v>
      </c>
      <c r="AG131" s="11">
        <v>1</v>
      </c>
      <c r="AH131" s="340">
        <f t="shared" ref="AH131:AK150" si="72">H50</f>
        <v>6388</v>
      </c>
      <c r="AI131" s="340">
        <f t="shared" si="72"/>
        <v>6388</v>
      </c>
      <c r="AJ131" s="340">
        <f t="shared" si="72"/>
        <v>6888</v>
      </c>
      <c r="AK131" s="340">
        <f t="shared" si="72"/>
        <v>6888</v>
      </c>
      <c r="AL131" s="341">
        <f t="shared" ref="AL131:AO150" si="73">INT(AC$232*H73+0.5)</f>
        <v>95</v>
      </c>
      <c r="AM131" s="341">
        <f t="shared" si="73"/>
        <v>93</v>
      </c>
      <c r="AN131" s="341">
        <f t="shared" si="73"/>
        <v>115</v>
      </c>
      <c r="AO131" s="341">
        <f t="shared" si="73"/>
        <v>133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3399</v>
      </c>
      <c r="Y132" s="335">
        <f t="shared" si="70"/>
        <v>3399</v>
      </c>
      <c r="Z132" s="335">
        <f t="shared" si="70"/>
        <v>3599</v>
      </c>
      <c r="AA132" s="335">
        <f t="shared" si="70"/>
        <v>3599</v>
      </c>
      <c r="AB132" s="339">
        <f t="shared" si="71"/>
        <v>53</v>
      </c>
      <c r="AC132" s="339">
        <f t="shared" si="71"/>
        <v>53</v>
      </c>
      <c r="AD132" s="339">
        <f t="shared" si="71"/>
        <v>49</v>
      </c>
      <c r="AE132" s="339">
        <f t="shared" si="71"/>
        <v>60</v>
      </c>
      <c r="AF132" s="336"/>
      <c r="AG132" s="11">
        <v>2</v>
      </c>
      <c r="AH132" s="340">
        <f t="shared" si="72"/>
        <v>6699</v>
      </c>
      <c r="AI132" s="340">
        <f t="shared" si="72"/>
        <v>6699</v>
      </c>
      <c r="AJ132" s="340">
        <f t="shared" si="72"/>
        <v>6999</v>
      </c>
      <c r="AK132" s="340">
        <f t="shared" si="72"/>
        <v>6999</v>
      </c>
      <c r="AL132" s="341">
        <f t="shared" si="73"/>
        <v>36</v>
      </c>
      <c r="AM132" s="341">
        <f t="shared" si="73"/>
        <v>46</v>
      </c>
      <c r="AN132" s="341">
        <f t="shared" si="73"/>
        <v>48</v>
      </c>
      <c r="AO132" s="341">
        <f t="shared" si="73"/>
        <v>71</v>
      </c>
      <c r="AR132" s="190">
        <v>1</v>
      </c>
      <c r="AS132" s="345">
        <f>IF(F95="","",F95)</f>
        <v>1833149.08</v>
      </c>
      <c r="AT132" s="346">
        <f>IF(G95="","",G95)</f>
        <v>810432.27</v>
      </c>
      <c r="AU132" s="346">
        <f>IF(H95="","",H95)</f>
        <v>99999</v>
      </c>
      <c r="AV132" s="346">
        <f>IF(J95="","",J95)</f>
        <v>16995570.01</v>
      </c>
      <c r="AW132" s="350"/>
      <c r="AX132" s="155"/>
      <c r="AY132" s="346">
        <f>IF(AU132="","",AU132+AX132)</f>
        <v>99999</v>
      </c>
      <c r="AZ132" s="346">
        <f>IF(AV132="","",AV132-AX132)</f>
        <v>16995570.01</v>
      </c>
      <c r="BA132" s="190">
        <v>1</v>
      </c>
      <c r="BB132" s="351">
        <f t="shared" ref="BB132:BC151" si="74">(AY132-AY$153)/AY$178*BB$130</f>
        <v>-0.0165562152679209</v>
      </c>
      <c r="BC132" s="318">
        <f t="shared" si="74"/>
        <v>0.121890889049748</v>
      </c>
      <c r="BD132" s="352">
        <f t="shared" ref="BD132:BD151" si="75">BB132+BC132</f>
        <v>0.105334673781827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3180</v>
      </c>
      <c r="Y133" s="335">
        <f t="shared" si="70"/>
        <v>3230</v>
      </c>
      <c r="Z133" s="335">
        <f t="shared" si="70"/>
        <v>3400</v>
      </c>
      <c r="AA133" s="335">
        <f t="shared" si="70"/>
        <v>3400</v>
      </c>
      <c r="AB133" s="339">
        <f t="shared" si="71"/>
        <v>111</v>
      </c>
      <c r="AC133" s="339">
        <f t="shared" si="71"/>
        <v>98</v>
      </c>
      <c r="AD133" s="339">
        <f t="shared" si="71"/>
        <v>146</v>
      </c>
      <c r="AE133" s="339">
        <f t="shared" si="71"/>
        <v>143</v>
      </c>
      <c r="AF133" s="336"/>
      <c r="AG133" s="11">
        <v>3</v>
      </c>
      <c r="AH133" s="340">
        <f t="shared" si="72"/>
        <v>6550</v>
      </c>
      <c r="AI133" s="340">
        <f t="shared" si="72"/>
        <v>6500</v>
      </c>
      <c r="AJ133" s="340">
        <f t="shared" si="72"/>
        <v>7000</v>
      </c>
      <c r="AK133" s="340">
        <f t="shared" si="72"/>
        <v>7100</v>
      </c>
      <c r="AL133" s="341">
        <f t="shared" si="73"/>
        <v>43</v>
      </c>
      <c r="AM133" s="341">
        <f t="shared" si="73"/>
        <v>48</v>
      </c>
      <c r="AN133" s="341">
        <f t="shared" si="73"/>
        <v>54</v>
      </c>
      <c r="AO133" s="341">
        <f t="shared" si="73"/>
        <v>53</v>
      </c>
      <c r="AR133" s="190">
        <v>2</v>
      </c>
      <c r="AS133" s="346">
        <f t="shared" ref="AS133:AU148" si="76">IF(F96="","",F96)</f>
        <v>490537.51</v>
      </c>
      <c r="AT133" s="346">
        <f t="shared" si="76"/>
        <v>220384.54</v>
      </c>
      <c r="AU133" s="346">
        <f t="shared" si="76"/>
        <v>0</v>
      </c>
      <c r="AV133" s="346">
        <f t="shared" ref="AV133:AV151" si="77">IF(J96="","",J96)</f>
        <v>15343972.45</v>
      </c>
      <c r="AX133" s="155"/>
      <c r="AY133" s="346">
        <f t="shared" ref="AY133:AY151" si="78">IF(AU133="","",AU133+AX133)</f>
        <v>0</v>
      </c>
      <c r="AZ133" s="346">
        <f t="shared" ref="AZ133:AZ151" si="79">IF(AV133="","",AV133-AX133)</f>
        <v>15343972.45</v>
      </c>
      <c r="BA133" s="190">
        <v>2</v>
      </c>
      <c r="BB133" s="351">
        <f t="shared" si="74"/>
        <v>-0.0607507639315271</v>
      </c>
      <c r="BC133" s="318">
        <f t="shared" si="74"/>
        <v>0.0178508493561137</v>
      </c>
      <c r="BD133" s="352">
        <f t="shared" si="75"/>
        <v>-0.0428999145754134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3200</v>
      </c>
      <c r="Y134" s="335">
        <f t="shared" si="70"/>
        <v>3175</v>
      </c>
      <c r="Z134" s="335">
        <f t="shared" si="70"/>
        <v>3375</v>
      </c>
      <c r="AA134" s="335">
        <f t="shared" si="70"/>
        <v>3400</v>
      </c>
      <c r="AB134" s="339">
        <f t="shared" si="71"/>
        <v>124</v>
      </c>
      <c r="AC134" s="339">
        <f t="shared" si="71"/>
        <v>123</v>
      </c>
      <c r="AD134" s="339">
        <f t="shared" si="71"/>
        <v>162</v>
      </c>
      <c r="AE134" s="339">
        <f t="shared" si="71"/>
        <v>186</v>
      </c>
      <c r="AF134" s="336"/>
      <c r="AG134" s="11">
        <v>4</v>
      </c>
      <c r="AH134" s="340">
        <f t="shared" si="72"/>
        <v>6600</v>
      </c>
      <c r="AI134" s="340">
        <f t="shared" si="72"/>
        <v>6550</v>
      </c>
      <c r="AJ134" s="340">
        <f t="shared" si="72"/>
        <v>6950</v>
      </c>
      <c r="AK134" s="340">
        <f t="shared" si="72"/>
        <v>7000</v>
      </c>
      <c r="AL134" s="341">
        <f t="shared" si="73"/>
        <v>67</v>
      </c>
      <c r="AM134" s="341">
        <f t="shared" si="73"/>
        <v>67</v>
      </c>
      <c r="AN134" s="341">
        <f t="shared" si="73"/>
        <v>86</v>
      </c>
      <c r="AO134" s="341">
        <f t="shared" si="73"/>
        <v>87</v>
      </c>
      <c r="AR134" s="190">
        <v>3</v>
      </c>
      <c r="AS134" s="346">
        <f t="shared" si="76"/>
        <v>1114434.89</v>
      </c>
      <c r="AT134" s="346">
        <f t="shared" si="76"/>
        <v>523953.23</v>
      </c>
      <c r="AU134" s="346">
        <f t="shared" si="76"/>
        <v>66651.58</v>
      </c>
      <c r="AV134" s="346">
        <f t="shared" si="77"/>
        <v>16181832.68</v>
      </c>
      <c r="AX134" s="155"/>
      <c r="AY134" s="346">
        <f t="shared" si="78"/>
        <v>66651.58</v>
      </c>
      <c r="AZ134" s="346">
        <f t="shared" si="79"/>
        <v>16181832.68</v>
      </c>
      <c r="BA134" s="190">
        <v>3</v>
      </c>
      <c r="BB134" s="351">
        <f t="shared" si="74"/>
        <v>-0.0312941044067694</v>
      </c>
      <c r="BC134" s="318">
        <f t="shared" si="74"/>
        <v>0.070630663094103</v>
      </c>
      <c r="BD134" s="352">
        <f t="shared" si="75"/>
        <v>0.0393365586873335</v>
      </c>
    </row>
    <row r="135" ht="20.1" customHeight="1" spans="22:56">
      <c r="V135" s="336"/>
      <c r="W135" s="11">
        <v>5</v>
      </c>
      <c r="X135" s="335">
        <f t="shared" si="70"/>
        <v>3075</v>
      </c>
      <c r="Y135" s="335">
        <f t="shared" si="70"/>
        <v>3075</v>
      </c>
      <c r="Z135" s="335">
        <f t="shared" si="70"/>
        <v>3380</v>
      </c>
      <c r="AA135" s="335">
        <f t="shared" si="70"/>
        <v>3430</v>
      </c>
      <c r="AB135" s="339">
        <f t="shared" si="71"/>
        <v>143</v>
      </c>
      <c r="AC135" s="339">
        <f t="shared" si="71"/>
        <v>146</v>
      </c>
      <c r="AD135" s="339">
        <f t="shared" si="71"/>
        <v>156</v>
      </c>
      <c r="AE135" s="339">
        <f t="shared" si="71"/>
        <v>161</v>
      </c>
      <c r="AF135" s="336"/>
      <c r="AG135" s="11">
        <v>5</v>
      </c>
      <c r="AH135" s="340">
        <f t="shared" si="72"/>
        <v>6500</v>
      </c>
      <c r="AI135" s="340">
        <f t="shared" si="72"/>
        <v>6500</v>
      </c>
      <c r="AJ135" s="340">
        <f t="shared" si="72"/>
        <v>6830</v>
      </c>
      <c r="AK135" s="340">
        <f t="shared" si="72"/>
        <v>6910</v>
      </c>
      <c r="AL135" s="341">
        <f t="shared" si="73"/>
        <v>85</v>
      </c>
      <c r="AM135" s="341">
        <f t="shared" si="73"/>
        <v>85</v>
      </c>
      <c r="AN135" s="341">
        <f t="shared" si="73"/>
        <v>123</v>
      </c>
      <c r="AO135" s="341">
        <f t="shared" si="73"/>
        <v>102</v>
      </c>
      <c r="AR135" s="190">
        <v>4</v>
      </c>
      <c r="AS135" s="346">
        <f t="shared" si="76"/>
        <v>1403099.25</v>
      </c>
      <c r="AT135" s="346">
        <f t="shared" si="76"/>
        <v>598458.87</v>
      </c>
      <c r="AU135" s="346">
        <f t="shared" si="76"/>
        <v>110200</v>
      </c>
      <c r="AV135" s="346">
        <f t="shared" si="77"/>
        <v>16359143.38</v>
      </c>
      <c r="AX135" s="155"/>
      <c r="AY135" s="346">
        <f t="shared" si="78"/>
        <v>110200</v>
      </c>
      <c r="AZ135" s="346">
        <f t="shared" si="79"/>
        <v>16359143.38</v>
      </c>
      <c r="BA135" s="190">
        <v>4</v>
      </c>
      <c r="BB135" s="351">
        <f t="shared" si="74"/>
        <v>-0.0120478842754365</v>
      </c>
      <c r="BC135" s="318">
        <f t="shared" si="74"/>
        <v>0.0818000985019067</v>
      </c>
      <c r="BD135" s="352">
        <f t="shared" si="75"/>
        <v>0.0697522142264701</v>
      </c>
    </row>
    <row r="136" ht="20.1" customHeight="1" spans="22:56">
      <c r="V136" s="336"/>
      <c r="W136" s="11">
        <v>6</v>
      </c>
      <c r="X136" s="335">
        <f t="shared" si="70"/>
        <v>3700</v>
      </c>
      <c r="Y136" s="335">
        <f t="shared" si="70"/>
        <v>3700</v>
      </c>
      <c r="Z136" s="335">
        <f t="shared" si="70"/>
        <v>4000</v>
      </c>
      <c r="AA136" s="335">
        <f t="shared" si="70"/>
        <v>4000</v>
      </c>
      <c r="AB136" s="339">
        <f t="shared" si="71"/>
        <v>21</v>
      </c>
      <c r="AC136" s="339">
        <f t="shared" si="71"/>
        <v>21</v>
      </c>
      <c r="AD136" s="339">
        <f t="shared" si="71"/>
        <v>33</v>
      </c>
      <c r="AE136" s="339">
        <f t="shared" si="71"/>
        <v>34</v>
      </c>
      <c r="AF136" s="336"/>
      <c r="AG136" s="11">
        <v>6</v>
      </c>
      <c r="AH136" s="340">
        <f t="shared" si="72"/>
        <v>6521</v>
      </c>
      <c r="AI136" s="340">
        <f t="shared" si="72"/>
        <v>6999</v>
      </c>
      <c r="AJ136" s="340">
        <f t="shared" si="72"/>
        <v>6999</v>
      </c>
      <c r="AK136" s="340">
        <f t="shared" si="72"/>
        <v>6521</v>
      </c>
      <c r="AL136" s="341">
        <f t="shared" si="73"/>
        <v>0</v>
      </c>
      <c r="AM136" s="341">
        <f t="shared" si="73"/>
        <v>17</v>
      </c>
      <c r="AN136" s="341">
        <f t="shared" si="73"/>
        <v>0</v>
      </c>
      <c r="AO136" s="341">
        <f t="shared" si="73"/>
        <v>0</v>
      </c>
      <c r="AR136" s="190">
        <v>5</v>
      </c>
      <c r="AS136" s="346">
        <f t="shared" si="76"/>
        <v>1838765</v>
      </c>
      <c r="AT136" s="346">
        <f t="shared" si="76"/>
        <v>924826.88</v>
      </c>
      <c r="AU136" s="346">
        <f t="shared" si="76"/>
        <v>400000</v>
      </c>
      <c r="AV136" s="346">
        <f t="shared" si="77"/>
        <v>17020987.05</v>
      </c>
      <c r="AX136" s="155"/>
      <c r="AY136" s="346">
        <f t="shared" si="78"/>
        <v>400000</v>
      </c>
      <c r="AZ136" s="346">
        <f t="shared" si="79"/>
        <v>17020987.05</v>
      </c>
      <c r="BA136" s="190">
        <v>5</v>
      </c>
      <c r="BB136" s="351">
        <f t="shared" si="74"/>
        <v>0.116029198522522</v>
      </c>
      <c r="BC136" s="318">
        <f t="shared" si="74"/>
        <v>0.123491999341104</v>
      </c>
      <c r="BD136" s="352">
        <f t="shared" si="75"/>
        <v>0.239521197863626</v>
      </c>
    </row>
    <row r="137" ht="20.1" customHeight="1" spans="22:56">
      <c r="V137" s="336"/>
      <c r="W137" s="11">
        <v>7</v>
      </c>
      <c r="X137" s="335">
        <f t="shared" si="70"/>
        <v>3399</v>
      </c>
      <c r="Y137" s="335">
        <f t="shared" si="70"/>
        <v>3399</v>
      </c>
      <c r="Z137" s="335">
        <f t="shared" si="70"/>
        <v>3499</v>
      </c>
      <c r="AA137" s="335">
        <f t="shared" si="70"/>
        <v>3549</v>
      </c>
      <c r="AB137" s="339">
        <f t="shared" si="71"/>
        <v>66</v>
      </c>
      <c r="AC137" s="339">
        <f t="shared" si="71"/>
        <v>69</v>
      </c>
      <c r="AD137" s="339">
        <f t="shared" si="71"/>
        <v>123</v>
      </c>
      <c r="AE137" s="339">
        <f t="shared" si="71"/>
        <v>114</v>
      </c>
      <c r="AF137" s="336"/>
      <c r="AG137" s="11">
        <v>7</v>
      </c>
      <c r="AH137" s="340">
        <f t="shared" si="72"/>
        <v>6389</v>
      </c>
      <c r="AI137" s="340">
        <f t="shared" si="72"/>
        <v>6389</v>
      </c>
      <c r="AJ137" s="340">
        <f t="shared" si="72"/>
        <v>6699</v>
      </c>
      <c r="AK137" s="340">
        <f t="shared" si="72"/>
        <v>6699</v>
      </c>
      <c r="AL137" s="341">
        <f t="shared" si="73"/>
        <v>76</v>
      </c>
      <c r="AM137" s="341">
        <f t="shared" si="73"/>
        <v>76</v>
      </c>
      <c r="AN137" s="341">
        <f t="shared" si="73"/>
        <v>80</v>
      </c>
      <c r="AO137" s="341">
        <f t="shared" si="73"/>
        <v>81</v>
      </c>
      <c r="AR137" s="190">
        <v>6</v>
      </c>
      <c r="AS137" s="346">
        <f t="shared" si="76"/>
        <v>-3162355.74</v>
      </c>
      <c r="AT137" s="346">
        <f t="shared" si="76"/>
        <v>4515.24</v>
      </c>
      <c r="AU137" s="346">
        <f t="shared" si="76"/>
        <v>0</v>
      </c>
      <c r="AV137" s="346">
        <f t="shared" si="77"/>
        <v>5398683.13</v>
      </c>
      <c r="AX137" s="155"/>
      <c r="AY137" s="346">
        <f t="shared" si="78"/>
        <v>0</v>
      </c>
      <c r="AZ137" s="346">
        <f t="shared" si="79"/>
        <v>5398683.13</v>
      </c>
      <c r="BA137" s="190">
        <v>6</v>
      </c>
      <c r="BB137" s="351">
        <f t="shared" si="74"/>
        <v>-0.0607507639315271</v>
      </c>
      <c r="BC137" s="318">
        <f t="shared" si="74"/>
        <v>-0.608638508994281</v>
      </c>
      <c r="BD137" s="352">
        <f t="shared" si="75"/>
        <v>-0.669389272925808</v>
      </c>
    </row>
    <row r="138" ht="20.1" customHeight="1" spans="22:56">
      <c r="V138" s="336"/>
      <c r="W138" s="11">
        <v>8</v>
      </c>
      <c r="X138" s="335">
        <f t="shared" si="70"/>
        <v>3600</v>
      </c>
      <c r="Y138" s="335">
        <f t="shared" si="70"/>
        <v>3600</v>
      </c>
      <c r="Z138" s="335">
        <f t="shared" si="70"/>
        <v>3700</v>
      </c>
      <c r="AA138" s="335">
        <f t="shared" si="70"/>
        <v>4000</v>
      </c>
      <c r="AB138" s="339">
        <f t="shared" si="71"/>
        <v>45</v>
      </c>
      <c r="AC138" s="339">
        <f t="shared" si="71"/>
        <v>49</v>
      </c>
      <c r="AD138" s="339">
        <f t="shared" si="71"/>
        <v>89</v>
      </c>
      <c r="AE138" s="339">
        <f t="shared" si="71"/>
        <v>51</v>
      </c>
      <c r="AF138" s="336"/>
      <c r="AG138" s="11">
        <v>8</v>
      </c>
      <c r="AH138" s="340">
        <f t="shared" si="72"/>
        <v>6800</v>
      </c>
      <c r="AI138" s="340">
        <f t="shared" si="72"/>
        <v>6800</v>
      </c>
      <c r="AJ138" s="340">
        <f t="shared" si="72"/>
        <v>7400</v>
      </c>
      <c r="AK138" s="340">
        <f t="shared" si="72"/>
        <v>7400</v>
      </c>
      <c r="AL138" s="341">
        <f t="shared" si="73"/>
        <v>46</v>
      </c>
      <c r="AM138" s="341">
        <f t="shared" si="73"/>
        <v>46</v>
      </c>
      <c r="AN138" s="341">
        <f t="shared" si="73"/>
        <v>44</v>
      </c>
      <c r="AO138" s="341">
        <f t="shared" si="73"/>
        <v>44</v>
      </c>
      <c r="AR138" s="190">
        <v>7</v>
      </c>
      <c r="AS138" s="346">
        <f t="shared" si="76"/>
        <v>1073605.51</v>
      </c>
      <c r="AT138" s="346">
        <f t="shared" si="76"/>
        <v>479848.38</v>
      </c>
      <c r="AU138" s="346">
        <f t="shared" si="76"/>
        <v>0</v>
      </c>
      <c r="AV138" s="346">
        <f t="shared" si="77"/>
        <v>16117641.12</v>
      </c>
      <c r="AX138" s="155"/>
      <c r="AY138" s="346">
        <f t="shared" si="78"/>
        <v>0</v>
      </c>
      <c r="AZ138" s="346">
        <f t="shared" si="79"/>
        <v>16117641.12</v>
      </c>
      <c r="BA138" s="190">
        <v>7</v>
      </c>
      <c r="BB138" s="351">
        <f t="shared" si="74"/>
        <v>-0.0607507639315271</v>
      </c>
      <c r="BC138" s="318">
        <f t="shared" si="74"/>
        <v>0.0665870070533442</v>
      </c>
      <c r="BD138" s="352">
        <f t="shared" si="75"/>
        <v>0.00583624312181718</v>
      </c>
    </row>
    <row r="139" ht="20.1" customHeight="1" spans="22:56">
      <c r="V139" s="336"/>
      <c r="W139" s="11">
        <v>9</v>
      </c>
      <c r="X139" s="335">
        <f t="shared" si="70"/>
        <v>3488</v>
      </c>
      <c r="Y139" s="335">
        <f t="shared" si="70"/>
        <v>3508</v>
      </c>
      <c r="Z139" s="335">
        <f t="shared" si="70"/>
        <v>3758</v>
      </c>
      <c r="AA139" s="335">
        <f t="shared" si="70"/>
        <v>3788</v>
      </c>
      <c r="AB139" s="339">
        <f t="shared" si="71"/>
        <v>77</v>
      </c>
      <c r="AC139" s="339">
        <f t="shared" si="71"/>
        <v>77</v>
      </c>
      <c r="AD139" s="339">
        <f t="shared" si="71"/>
        <v>143</v>
      </c>
      <c r="AE139" s="339">
        <f t="shared" si="71"/>
        <v>130</v>
      </c>
      <c r="AF139" s="336"/>
      <c r="AG139" s="11">
        <v>9</v>
      </c>
      <c r="AH139" s="340">
        <f t="shared" si="72"/>
        <v>6468</v>
      </c>
      <c r="AI139" s="340">
        <f t="shared" si="72"/>
        <v>6538</v>
      </c>
      <c r="AJ139" s="340">
        <f t="shared" si="72"/>
        <v>6858</v>
      </c>
      <c r="AK139" s="340">
        <f t="shared" si="72"/>
        <v>7088</v>
      </c>
      <c r="AL139" s="341">
        <f t="shared" si="73"/>
        <v>111</v>
      </c>
      <c r="AM139" s="341">
        <f t="shared" si="73"/>
        <v>100</v>
      </c>
      <c r="AN139" s="341">
        <f t="shared" si="73"/>
        <v>156</v>
      </c>
      <c r="AO139" s="341">
        <f t="shared" si="73"/>
        <v>131</v>
      </c>
      <c r="AR139" s="190">
        <v>8</v>
      </c>
      <c r="AS139" s="346">
        <f t="shared" si="76"/>
        <v>1297649.08</v>
      </c>
      <c r="AT139" s="346">
        <f t="shared" si="76"/>
        <v>615973.58</v>
      </c>
      <c r="AU139" s="346">
        <f t="shared" si="76"/>
        <v>1178761.2</v>
      </c>
      <c r="AV139" s="346">
        <f t="shared" si="77"/>
        <v>15349318.84</v>
      </c>
      <c r="AX139" s="155"/>
      <c r="AY139" s="346">
        <f t="shared" si="78"/>
        <v>1178761.2</v>
      </c>
      <c r="AZ139" s="346">
        <f t="shared" si="79"/>
        <v>15349318.84</v>
      </c>
      <c r="BA139" s="190">
        <v>8</v>
      </c>
      <c r="BB139" s="351">
        <f t="shared" si="74"/>
        <v>0.460202637764197</v>
      </c>
      <c r="BC139" s="318">
        <f t="shared" si="74"/>
        <v>0.0181876375915103</v>
      </c>
      <c r="BD139" s="352">
        <f t="shared" si="75"/>
        <v>0.478390275355708</v>
      </c>
    </row>
    <row r="140" ht="20.1" customHeight="1" spans="22:56">
      <c r="V140" s="336"/>
      <c r="W140" s="11">
        <v>10</v>
      </c>
      <c r="X140" s="335">
        <f t="shared" si="70"/>
        <v>3100</v>
      </c>
      <c r="Y140" s="335">
        <f t="shared" si="70"/>
        <v>3100</v>
      </c>
      <c r="Z140" s="335">
        <f t="shared" si="70"/>
        <v>3150</v>
      </c>
      <c r="AA140" s="335">
        <f t="shared" si="70"/>
        <v>3200</v>
      </c>
      <c r="AB140" s="339">
        <f t="shared" si="71"/>
        <v>133</v>
      </c>
      <c r="AC140" s="339">
        <f t="shared" si="71"/>
        <v>139</v>
      </c>
      <c r="AD140" s="339">
        <f t="shared" si="71"/>
        <v>226</v>
      </c>
      <c r="AE140" s="339">
        <f t="shared" si="71"/>
        <v>220</v>
      </c>
      <c r="AF140" s="336"/>
      <c r="AG140" s="11">
        <v>10</v>
      </c>
      <c r="AH140" s="340">
        <f t="shared" si="72"/>
        <v>6500</v>
      </c>
      <c r="AI140" s="340">
        <f t="shared" si="72"/>
        <v>6500</v>
      </c>
      <c r="AJ140" s="340">
        <f t="shared" si="72"/>
        <v>6850</v>
      </c>
      <c r="AK140" s="340">
        <f t="shared" si="72"/>
        <v>6850</v>
      </c>
      <c r="AL140" s="341">
        <f t="shared" si="73"/>
        <v>95</v>
      </c>
      <c r="AM140" s="341">
        <f t="shared" si="73"/>
        <v>99</v>
      </c>
      <c r="AN140" s="341">
        <f t="shared" si="73"/>
        <v>142</v>
      </c>
      <c r="AO140" s="341">
        <f t="shared" si="73"/>
        <v>156</v>
      </c>
      <c r="AR140" s="190">
        <v>9</v>
      </c>
      <c r="AS140" s="346">
        <f t="shared" si="76"/>
        <v>955824.94</v>
      </c>
      <c r="AT140" s="346">
        <f t="shared" si="76"/>
        <v>428176.14</v>
      </c>
      <c r="AU140" s="346">
        <f t="shared" si="76"/>
        <v>0</v>
      </c>
      <c r="AV140" s="346">
        <f t="shared" si="77"/>
        <v>15955019.21</v>
      </c>
      <c r="AX140" s="155"/>
      <c r="AY140" s="346">
        <f t="shared" si="78"/>
        <v>0</v>
      </c>
      <c r="AZ140" s="346">
        <f t="shared" si="79"/>
        <v>15955019.21</v>
      </c>
      <c r="BA140" s="190">
        <v>9</v>
      </c>
      <c r="BB140" s="351">
        <f t="shared" si="74"/>
        <v>-0.0607507639315271</v>
      </c>
      <c r="BC140" s="318">
        <f t="shared" si="74"/>
        <v>0.0563428710838927</v>
      </c>
      <c r="BD140" s="352">
        <f t="shared" si="75"/>
        <v>-0.00440789284763438</v>
      </c>
    </row>
    <row r="141" ht="20.1" customHeight="1" spans="22:56">
      <c r="V141" s="336"/>
      <c r="W141" s="11">
        <v>11</v>
      </c>
      <c r="X141" s="335">
        <f t="shared" si="70"/>
        <v>3200</v>
      </c>
      <c r="Y141" s="335">
        <f t="shared" si="70"/>
        <v>3200</v>
      </c>
      <c r="Z141" s="335">
        <f t="shared" si="70"/>
        <v>3450</v>
      </c>
      <c r="AA141" s="335">
        <f t="shared" si="70"/>
        <v>3550</v>
      </c>
      <c r="AB141" s="339">
        <f t="shared" si="71"/>
        <v>104</v>
      </c>
      <c r="AC141" s="339">
        <f t="shared" si="71"/>
        <v>104</v>
      </c>
      <c r="AD141" s="339">
        <f t="shared" si="71"/>
        <v>142</v>
      </c>
      <c r="AE141" s="339">
        <f t="shared" si="71"/>
        <v>142</v>
      </c>
      <c r="AF141" s="336"/>
      <c r="AG141" s="11">
        <v>11</v>
      </c>
      <c r="AH141" s="340">
        <f t="shared" si="72"/>
        <v>6350</v>
      </c>
      <c r="AI141" s="340">
        <f t="shared" si="72"/>
        <v>6350</v>
      </c>
      <c r="AJ141" s="340">
        <f t="shared" si="72"/>
        <v>6550</v>
      </c>
      <c r="AK141" s="340">
        <f t="shared" si="72"/>
        <v>6650</v>
      </c>
      <c r="AL141" s="341">
        <f t="shared" si="73"/>
        <v>117</v>
      </c>
      <c r="AM141" s="341">
        <f t="shared" si="73"/>
        <v>110</v>
      </c>
      <c r="AN141" s="341">
        <f t="shared" si="73"/>
        <v>165</v>
      </c>
      <c r="AO141" s="341">
        <f t="shared" si="73"/>
        <v>160</v>
      </c>
      <c r="AR141" s="190">
        <v>10</v>
      </c>
      <c r="AS141" s="346">
        <f t="shared" si="76"/>
        <v>1613459.96</v>
      </c>
      <c r="AT141" s="346">
        <f t="shared" si="76"/>
        <v>672710.13</v>
      </c>
      <c r="AU141" s="346">
        <f t="shared" si="76"/>
        <v>0</v>
      </c>
      <c r="AV141" s="346">
        <f t="shared" si="77"/>
        <v>16679667.08</v>
      </c>
      <c r="AX141" s="155"/>
      <c r="AY141" s="346">
        <f t="shared" si="78"/>
        <v>0</v>
      </c>
      <c r="AZ141" s="346">
        <f t="shared" si="79"/>
        <v>16679667.08</v>
      </c>
      <c r="BA141" s="190">
        <v>10</v>
      </c>
      <c r="BB141" s="351">
        <f t="shared" si="74"/>
        <v>-0.0607507639315271</v>
      </c>
      <c r="BC141" s="318">
        <f t="shared" si="74"/>
        <v>0.101991033193497</v>
      </c>
      <c r="BD141" s="352">
        <f t="shared" si="75"/>
        <v>0.0412402692619702</v>
      </c>
    </row>
    <row r="142" ht="20.1" customHeight="1" spans="22:56">
      <c r="V142" s="336"/>
      <c r="W142" s="11">
        <v>12</v>
      </c>
      <c r="X142" s="335">
        <f t="shared" si="70"/>
        <v>3250</v>
      </c>
      <c r="Y142" s="335">
        <f t="shared" si="70"/>
        <v>3350</v>
      </c>
      <c r="Z142" s="335">
        <f t="shared" si="70"/>
        <v>3550</v>
      </c>
      <c r="AA142" s="335">
        <f t="shared" si="70"/>
        <v>3500</v>
      </c>
      <c r="AB142" s="339">
        <f t="shared" si="71"/>
        <v>60</v>
      </c>
      <c r="AC142" s="339">
        <f t="shared" si="71"/>
        <v>32</v>
      </c>
      <c r="AD142" s="339">
        <f t="shared" si="71"/>
        <v>49</v>
      </c>
      <c r="AE142" s="339">
        <f t="shared" si="71"/>
        <v>73</v>
      </c>
      <c r="AF142" s="336"/>
      <c r="AG142" s="11">
        <v>12</v>
      </c>
      <c r="AH142" s="340">
        <f t="shared" si="72"/>
        <v>6700</v>
      </c>
      <c r="AI142" s="340">
        <f t="shared" si="72"/>
        <v>6900</v>
      </c>
      <c r="AJ142" s="340">
        <f t="shared" si="72"/>
        <v>6950</v>
      </c>
      <c r="AK142" s="340">
        <f t="shared" si="72"/>
        <v>7050</v>
      </c>
      <c r="AL142" s="341">
        <f t="shared" si="73"/>
        <v>45</v>
      </c>
      <c r="AM142" s="341">
        <f t="shared" si="73"/>
        <v>35</v>
      </c>
      <c r="AN142" s="341">
        <f t="shared" si="73"/>
        <v>65</v>
      </c>
      <c r="AO142" s="341">
        <f t="shared" si="73"/>
        <v>62</v>
      </c>
      <c r="AR142" s="190">
        <v>11</v>
      </c>
      <c r="AS142" s="346">
        <f t="shared" si="76"/>
        <v>1583845.38</v>
      </c>
      <c r="AT142" s="346">
        <f t="shared" si="76"/>
        <v>821005.64</v>
      </c>
      <c r="AU142" s="346">
        <f t="shared" si="76"/>
        <v>326893.68</v>
      </c>
      <c r="AV142" s="346">
        <f t="shared" si="77"/>
        <v>16803081.62</v>
      </c>
      <c r="AX142" s="155"/>
      <c r="AY142" s="346">
        <f t="shared" si="78"/>
        <v>326893.68</v>
      </c>
      <c r="AZ142" s="346">
        <f t="shared" si="79"/>
        <v>16803081.62</v>
      </c>
      <c r="BA142" s="190">
        <v>11</v>
      </c>
      <c r="BB142" s="351">
        <f t="shared" si="74"/>
        <v>0.0837198672606378</v>
      </c>
      <c r="BC142" s="318">
        <f t="shared" si="74"/>
        <v>0.109765356643316</v>
      </c>
      <c r="BD142" s="352">
        <f t="shared" si="75"/>
        <v>0.193485223903954</v>
      </c>
    </row>
    <row r="143" ht="20.1" customHeight="1" spans="22:56">
      <c r="V143" s="336"/>
      <c r="W143" s="11">
        <v>13</v>
      </c>
      <c r="X143" s="335">
        <f t="shared" si="70"/>
        <v>3500</v>
      </c>
      <c r="Y143" s="335">
        <f t="shared" si="70"/>
        <v>3540</v>
      </c>
      <c r="Z143" s="335">
        <f t="shared" si="70"/>
        <v>4090</v>
      </c>
      <c r="AA143" s="335">
        <f t="shared" si="70"/>
        <v>3920</v>
      </c>
      <c r="AB143" s="339">
        <f t="shared" si="71"/>
        <v>96</v>
      </c>
      <c r="AC143" s="339">
        <f t="shared" si="71"/>
        <v>99</v>
      </c>
      <c r="AD143" s="339">
        <f t="shared" si="71"/>
        <v>89</v>
      </c>
      <c r="AE143" s="339">
        <f t="shared" si="71"/>
        <v>109</v>
      </c>
      <c r="AF143" s="336"/>
      <c r="AG143" s="11">
        <v>13</v>
      </c>
      <c r="AH143" s="340">
        <f t="shared" si="72"/>
        <v>6390</v>
      </c>
      <c r="AI143" s="340">
        <f t="shared" si="72"/>
        <v>6410</v>
      </c>
      <c r="AJ143" s="340">
        <f t="shared" si="72"/>
        <v>6610</v>
      </c>
      <c r="AK143" s="340">
        <f t="shared" si="72"/>
        <v>6680</v>
      </c>
      <c r="AL143" s="341">
        <f t="shared" si="73"/>
        <v>91</v>
      </c>
      <c r="AM143" s="341">
        <f t="shared" si="73"/>
        <v>91</v>
      </c>
      <c r="AN143" s="341">
        <f t="shared" si="73"/>
        <v>129</v>
      </c>
      <c r="AO143" s="341">
        <f t="shared" si="73"/>
        <v>130</v>
      </c>
      <c r="AR143" s="190">
        <v>12</v>
      </c>
      <c r="AS143" s="346">
        <f t="shared" si="76"/>
        <v>-302552.6</v>
      </c>
      <c r="AT143" s="346">
        <f t="shared" si="76"/>
        <v>172529.22</v>
      </c>
      <c r="AU143" s="346">
        <f t="shared" si="76"/>
        <v>0</v>
      </c>
      <c r="AV143" s="346">
        <f t="shared" si="77"/>
        <v>14886675.34</v>
      </c>
      <c r="AX143" s="155"/>
      <c r="AY143" s="346">
        <f t="shared" si="78"/>
        <v>0</v>
      </c>
      <c r="AZ143" s="346">
        <f t="shared" si="79"/>
        <v>14886675.34</v>
      </c>
      <c r="BA143" s="190">
        <v>12</v>
      </c>
      <c r="BB143" s="351">
        <f t="shared" si="74"/>
        <v>-0.0607507639315271</v>
      </c>
      <c r="BC143" s="318">
        <f t="shared" si="74"/>
        <v>-0.0109559318044157</v>
      </c>
      <c r="BD143" s="352">
        <f t="shared" si="75"/>
        <v>-0.0717066957359427</v>
      </c>
    </row>
    <row r="144" ht="20.1" customHeight="1" spans="22:56">
      <c r="V144" s="336"/>
      <c r="W144" s="11">
        <v>14</v>
      </c>
      <c r="X144" s="335">
        <f t="shared" si="70"/>
        <v>3150</v>
      </c>
      <c r="Y144" s="335">
        <f t="shared" si="70"/>
        <v>3150</v>
      </c>
      <c r="Z144" s="335">
        <f t="shared" si="70"/>
        <v>3250</v>
      </c>
      <c r="AA144" s="335">
        <f t="shared" si="70"/>
        <v>3250</v>
      </c>
      <c r="AB144" s="339">
        <f t="shared" si="71"/>
        <v>114</v>
      </c>
      <c r="AC144" s="339">
        <f t="shared" si="71"/>
        <v>107</v>
      </c>
      <c r="AD144" s="339">
        <f t="shared" si="71"/>
        <v>157</v>
      </c>
      <c r="AE144" s="339">
        <f t="shared" si="71"/>
        <v>157</v>
      </c>
      <c r="AF144" s="336"/>
      <c r="AG144" s="11">
        <v>14</v>
      </c>
      <c r="AH144" s="340">
        <f t="shared" si="72"/>
        <v>6379</v>
      </c>
      <c r="AI144" s="340">
        <f t="shared" si="72"/>
        <v>6479</v>
      </c>
      <c r="AJ144" s="340">
        <f t="shared" si="72"/>
        <v>6700</v>
      </c>
      <c r="AK144" s="340">
        <f t="shared" si="72"/>
        <v>6700</v>
      </c>
      <c r="AL144" s="341">
        <f t="shared" si="73"/>
        <v>61</v>
      </c>
      <c r="AM144" s="341">
        <f t="shared" si="73"/>
        <v>57</v>
      </c>
      <c r="AN144" s="341">
        <f t="shared" si="73"/>
        <v>86</v>
      </c>
      <c r="AO144" s="341">
        <f t="shared" si="73"/>
        <v>88</v>
      </c>
      <c r="AR144" s="190">
        <v>13</v>
      </c>
      <c r="AS144" s="346">
        <f t="shared" si="76"/>
        <v>1364746.94</v>
      </c>
      <c r="AT144" s="346">
        <f t="shared" si="76"/>
        <v>617004.06</v>
      </c>
      <c r="AU144" s="346">
        <f t="shared" si="76"/>
        <v>1061.21</v>
      </c>
      <c r="AV144" s="346">
        <f t="shared" si="77"/>
        <v>16513889.68</v>
      </c>
      <c r="AX144" s="155"/>
      <c r="AY144" s="346">
        <f t="shared" si="78"/>
        <v>1061.21</v>
      </c>
      <c r="AZ144" s="346">
        <f t="shared" si="79"/>
        <v>16513889.68</v>
      </c>
      <c r="BA144" s="190">
        <v>13</v>
      </c>
      <c r="BB144" s="351">
        <f t="shared" si="74"/>
        <v>-0.0602817622716374</v>
      </c>
      <c r="BC144" s="318">
        <f t="shared" si="74"/>
        <v>0.0915481216186537</v>
      </c>
      <c r="BD144" s="352">
        <f t="shared" si="75"/>
        <v>0.0312663593470162</v>
      </c>
    </row>
    <row r="145" ht="20.1" customHeight="1" spans="22:56">
      <c r="V145" s="336"/>
      <c r="W145" s="11">
        <v>15</v>
      </c>
      <c r="X145" s="335">
        <f t="shared" si="70"/>
        <v>3400</v>
      </c>
      <c r="Y145" s="335">
        <f t="shared" si="70"/>
        <v>3300</v>
      </c>
      <c r="Z145" s="335">
        <f t="shared" si="70"/>
        <v>3500</v>
      </c>
      <c r="AA145" s="335">
        <f t="shared" si="70"/>
        <v>3500</v>
      </c>
      <c r="AB145" s="339">
        <f t="shared" si="71"/>
        <v>66</v>
      </c>
      <c r="AC145" s="339">
        <f t="shared" si="71"/>
        <v>92</v>
      </c>
      <c r="AD145" s="339">
        <f t="shared" si="71"/>
        <v>109</v>
      </c>
      <c r="AE145" s="339">
        <f t="shared" si="71"/>
        <v>119</v>
      </c>
      <c r="AF145" s="336"/>
      <c r="AG145" s="11">
        <v>15</v>
      </c>
      <c r="AH145" s="340">
        <f t="shared" si="72"/>
        <v>6600</v>
      </c>
      <c r="AI145" s="340">
        <f t="shared" si="72"/>
        <v>6600</v>
      </c>
      <c r="AJ145" s="340">
        <f t="shared" si="72"/>
        <v>6999</v>
      </c>
      <c r="AK145" s="340">
        <f t="shared" si="72"/>
        <v>7100</v>
      </c>
      <c r="AL145" s="341">
        <f t="shared" si="73"/>
        <v>47</v>
      </c>
      <c r="AM145" s="341">
        <f t="shared" si="73"/>
        <v>50</v>
      </c>
      <c r="AN145" s="341">
        <f t="shared" si="73"/>
        <v>62</v>
      </c>
      <c r="AO145" s="341">
        <f t="shared" si="73"/>
        <v>60</v>
      </c>
      <c r="AR145" s="190">
        <v>14</v>
      </c>
      <c r="AS145" s="346">
        <f t="shared" si="76"/>
        <v>250261.21</v>
      </c>
      <c r="AT145" s="346">
        <f t="shared" si="76"/>
        <v>66781.83</v>
      </c>
      <c r="AU145" s="346">
        <f t="shared" si="76"/>
        <v>187695</v>
      </c>
      <c r="AV145" s="346">
        <f t="shared" si="77"/>
        <v>14694791.6</v>
      </c>
      <c r="AX145" s="155"/>
      <c r="AY145" s="346">
        <f t="shared" si="78"/>
        <v>187695</v>
      </c>
      <c r="AZ145" s="346">
        <f t="shared" si="79"/>
        <v>14694791.6</v>
      </c>
      <c r="BA145" s="190">
        <v>14</v>
      </c>
      <c r="BB145" s="351">
        <f t="shared" si="74"/>
        <v>0.0222010237005048</v>
      </c>
      <c r="BC145" s="318">
        <f t="shared" si="74"/>
        <v>-0.0230433751439196</v>
      </c>
      <c r="BD145" s="352">
        <f t="shared" si="75"/>
        <v>-0.000842351443414852</v>
      </c>
    </row>
    <row r="146" ht="20.1" customHeight="1" spans="22:56">
      <c r="V146" s="336"/>
      <c r="W146" s="11">
        <v>16</v>
      </c>
      <c r="X146" s="335">
        <f t="shared" si="70"/>
        <v>3158</v>
      </c>
      <c r="Y146" s="335">
        <f t="shared" si="70"/>
        <v>3158</v>
      </c>
      <c r="Z146" s="335">
        <f t="shared" si="70"/>
        <v>3358</v>
      </c>
      <c r="AA146" s="335">
        <f t="shared" si="70"/>
        <v>3458</v>
      </c>
      <c r="AB146" s="339">
        <f t="shared" si="71"/>
        <v>73</v>
      </c>
      <c r="AC146" s="339">
        <f t="shared" si="71"/>
        <v>73</v>
      </c>
      <c r="AD146" s="339">
        <f t="shared" si="71"/>
        <v>92</v>
      </c>
      <c r="AE146" s="339">
        <f t="shared" si="71"/>
        <v>85</v>
      </c>
      <c r="AF146" s="336"/>
      <c r="AG146" s="11">
        <v>16</v>
      </c>
      <c r="AH146" s="340">
        <f t="shared" si="72"/>
        <v>6428</v>
      </c>
      <c r="AI146" s="340">
        <f t="shared" si="72"/>
        <v>6428</v>
      </c>
      <c r="AJ146" s="340">
        <f t="shared" si="72"/>
        <v>6718</v>
      </c>
      <c r="AK146" s="340">
        <f t="shared" si="72"/>
        <v>6758</v>
      </c>
      <c r="AL146" s="341">
        <f t="shared" si="73"/>
        <v>56</v>
      </c>
      <c r="AM146" s="341">
        <f t="shared" si="73"/>
        <v>54</v>
      </c>
      <c r="AN146" s="341">
        <f t="shared" si="73"/>
        <v>71</v>
      </c>
      <c r="AO146" s="341">
        <f t="shared" si="73"/>
        <v>71</v>
      </c>
      <c r="AR146" s="190">
        <v>15</v>
      </c>
      <c r="AS146" s="346">
        <f t="shared" si="76"/>
        <v>855987.87</v>
      </c>
      <c r="AT146" s="346">
        <f t="shared" si="76"/>
        <v>4515.24</v>
      </c>
      <c r="AU146" s="346">
        <f t="shared" si="76"/>
        <v>0</v>
      </c>
      <c r="AV146" s="346">
        <f t="shared" si="77"/>
        <v>12945880.59</v>
      </c>
      <c r="AX146" s="155"/>
      <c r="AY146" s="346">
        <f t="shared" si="78"/>
        <v>0</v>
      </c>
      <c r="AZ146" s="346">
        <f t="shared" si="79"/>
        <v>12945880.59</v>
      </c>
      <c r="BA146" s="190">
        <v>15</v>
      </c>
      <c r="BB146" s="351">
        <f t="shared" si="74"/>
        <v>-0.0607507639315271</v>
      </c>
      <c r="BC146" s="318">
        <f t="shared" si="74"/>
        <v>-0.133213537238997</v>
      </c>
      <c r="BD146" s="352">
        <f t="shared" si="75"/>
        <v>-0.193964301170524</v>
      </c>
    </row>
    <row r="147" ht="20.1" customHeight="1" spans="22:56">
      <c r="V147" s="336"/>
      <c r="W147" s="11">
        <v>17</v>
      </c>
      <c r="X147" s="335">
        <f t="shared" si="70"/>
        <v>4200</v>
      </c>
      <c r="Y147" s="335">
        <f t="shared" si="70"/>
        <v>4200</v>
      </c>
      <c r="Z147" s="335">
        <f t="shared" si="70"/>
        <v>4380</v>
      </c>
      <c r="AA147" s="335">
        <f t="shared" si="70"/>
        <v>4380</v>
      </c>
      <c r="AB147" s="339">
        <f t="shared" si="71"/>
        <v>5</v>
      </c>
      <c r="AC147" s="339">
        <f t="shared" si="71"/>
        <v>5</v>
      </c>
      <c r="AD147" s="339">
        <f t="shared" si="71"/>
        <v>14</v>
      </c>
      <c r="AE147" s="339">
        <f t="shared" si="71"/>
        <v>35</v>
      </c>
      <c r="AF147" s="336"/>
      <c r="AG147" s="11">
        <v>17</v>
      </c>
      <c r="AH147" s="340">
        <f t="shared" si="72"/>
        <v>6280</v>
      </c>
      <c r="AI147" s="340">
        <f t="shared" si="72"/>
        <v>6280</v>
      </c>
      <c r="AJ147" s="340">
        <f t="shared" si="72"/>
        <v>6950</v>
      </c>
      <c r="AK147" s="340">
        <f t="shared" si="72"/>
        <v>6850</v>
      </c>
      <c r="AL147" s="341">
        <f t="shared" si="73"/>
        <v>0</v>
      </c>
      <c r="AM147" s="341">
        <f t="shared" si="73"/>
        <v>0</v>
      </c>
      <c r="AN147" s="341">
        <f t="shared" si="73"/>
        <v>0</v>
      </c>
      <c r="AO147" s="341">
        <f t="shared" si="73"/>
        <v>0</v>
      </c>
      <c r="AR147" s="190">
        <v>16</v>
      </c>
      <c r="AS147" s="346">
        <f t="shared" si="76"/>
        <v>860979.46</v>
      </c>
      <c r="AT147" s="346">
        <f t="shared" si="76"/>
        <v>530943.03</v>
      </c>
      <c r="AU147" s="346">
        <f t="shared" si="76"/>
        <v>200000</v>
      </c>
      <c r="AV147" s="346">
        <f t="shared" si="77"/>
        <v>16048820.61</v>
      </c>
      <c r="AX147" s="155"/>
      <c r="AY147" s="346">
        <f t="shared" si="78"/>
        <v>200000</v>
      </c>
      <c r="AZ147" s="346">
        <f t="shared" si="79"/>
        <v>16048820.61</v>
      </c>
      <c r="BA147" s="190">
        <v>16</v>
      </c>
      <c r="BB147" s="351">
        <f t="shared" si="74"/>
        <v>0.0276392172954975</v>
      </c>
      <c r="BC147" s="318">
        <f t="shared" si="74"/>
        <v>0.0622517568897777</v>
      </c>
      <c r="BD147" s="352">
        <f t="shared" si="75"/>
        <v>0.0898909741852751</v>
      </c>
    </row>
    <row r="148" ht="20.1" customHeight="1" spans="22:56">
      <c r="V148" s="336"/>
      <c r="W148" s="11">
        <v>18</v>
      </c>
      <c r="X148" s="335">
        <f t="shared" si="70"/>
        <v>3600</v>
      </c>
      <c r="Y148" s="335">
        <f t="shared" si="70"/>
        <v>3600</v>
      </c>
      <c r="Z148" s="335">
        <f t="shared" si="70"/>
        <v>3688</v>
      </c>
      <c r="AA148" s="335">
        <f t="shared" si="70"/>
        <v>3588</v>
      </c>
      <c r="AB148" s="339">
        <f t="shared" si="71"/>
        <v>29</v>
      </c>
      <c r="AC148" s="339">
        <f t="shared" si="71"/>
        <v>40</v>
      </c>
      <c r="AD148" s="339">
        <f t="shared" si="71"/>
        <v>48</v>
      </c>
      <c r="AE148" s="339">
        <f t="shared" si="71"/>
        <v>57</v>
      </c>
      <c r="AF148" s="336"/>
      <c r="AG148" s="11">
        <v>18</v>
      </c>
      <c r="AH148" s="340">
        <f t="shared" si="72"/>
        <v>6488</v>
      </c>
      <c r="AI148" s="340">
        <f t="shared" si="72"/>
        <v>6400</v>
      </c>
      <c r="AJ148" s="340">
        <f t="shared" si="72"/>
        <v>7000</v>
      </c>
      <c r="AK148" s="340">
        <f t="shared" si="72"/>
        <v>6700</v>
      </c>
      <c r="AL148" s="341">
        <f t="shared" si="73"/>
        <v>41</v>
      </c>
      <c r="AM148" s="341">
        <f t="shared" si="73"/>
        <v>49</v>
      </c>
      <c r="AN148" s="341">
        <f t="shared" si="73"/>
        <v>41</v>
      </c>
      <c r="AO148" s="341">
        <f t="shared" si="73"/>
        <v>54</v>
      </c>
      <c r="AR148" s="190">
        <v>17</v>
      </c>
      <c r="AS148" s="346">
        <f t="shared" si="76"/>
        <v>-1237739.75</v>
      </c>
      <c r="AT148" s="346">
        <f t="shared" si="76"/>
        <v>60265.62</v>
      </c>
      <c r="AU148" s="346">
        <f t="shared" si="76"/>
        <v>0</v>
      </c>
      <c r="AV148" s="346">
        <f t="shared" si="77"/>
        <v>13626050.79</v>
      </c>
      <c r="AX148" s="155"/>
      <c r="AY148" s="346">
        <f t="shared" si="78"/>
        <v>0</v>
      </c>
      <c r="AZ148" s="346">
        <f t="shared" si="79"/>
        <v>13626050.79</v>
      </c>
      <c r="BA148" s="190">
        <v>17</v>
      </c>
      <c r="BB148" s="351">
        <f t="shared" si="74"/>
        <v>-0.0607507639315271</v>
      </c>
      <c r="BC148" s="318">
        <f t="shared" si="74"/>
        <v>-0.0903671827030728</v>
      </c>
      <c r="BD148" s="352">
        <f t="shared" si="75"/>
        <v>-0.1511179466346</v>
      </c>
    </row>
    <row r="149" ht="20.1" customHeight="1" spans="22:56">
      <c r="V149" s="336"/>
      <c r="W149" s="11">
        <v>19</v>
      </c>
      <c r="X149" s="335">
        <f t="shared" si="70"/>
        <v>3050</v>
      </c>
      <c r="Y149" s="335">
        <f t="shared" si="70"/>
        <v>3050</v>
      </c>
      <c r="Z149" s="335">
        <f t="shared" si="70"/>
        <v>3150</v>
      </c>
      <c r="AA149" s="335">
        <f t="shared" si="70"/>
        <v>3350</v>
      </c>
      <c r="AB149" s="339">
        <f t="shared" si="71"/>
        <v>24</v>
      </c>
      <c r="AC149" s="339">
        <f t="shared" si="71"/>
        <v>24</v>
      </c>
      <c r="AD149" s="339">
        <f t="shared" si="71"/>
        <v>33</v>
      </c>
      <c r="AE149" s="339">
        <f t="shared" si="71"/>
        <v>33</v>
      </c>
      <c r="AF149" s="336"/>
      <c r="AG149" s="11">
        <v>19</v>
      </c>
      <c r="AH149" s="340">
        <f t="shared" si="72"/>
        <v>6000</v>
      </c>
      <c r="AI149" s="340">
        <f t="shared" si="72"/>
        <v>6000</v>
      </c>
      <c r="AJ149" s="340">
        <f t="shared" si="72"/>
        <v>7000</v>
      </c>
      <c r="AK149" s="340">
        <f t="shared" si="72"/>
        <v>7000</v>
      </c>
      <c r="AL149" s="341">
        <f t="shared" si="73"/>
        <v>29</v>
      </c>
      <c r="AM149" s="341">
        <f t="shared" si="73"/>
        <v>33</v>
      </c>
      <c r="AN149" s="341">
        <f t="shared" si="73"/>
        <v>45</v>
      </c>
      <c r="AO149" s="341">
        <f t="shared" si="73"/>
        <v>48</v>
      </c>
      <c r="AR149" s="190">
        <v>18</v>
      </c>
      <c r="AS149" s="346">
        <f t="shared" ref="AS149:AU151" si="80">IF(F112="","",F112)</f>
        <v>738040.62</v>
      </c>
      <c r="AT149" s="346">
        <f t="shared" si="80"/>
        <v>195744.38</v>
      </c>
      <c r="AU149" s="346">
        <f t="shared" si="80"/>
        <v>40492.51</v>
      </c>
      <c r="AV149" s="346">
        <f t="shared" si="77"/>
        <v>15237009.05</v>
      </c>
      <c r="AX149" s="155"/>
      <c r="AY149" s="346">
        <f t="shared" si="78"/>
        <v>40492.51</v>
      </c>
      <c r="AZ149" s="346">
        <f t="shared" si="79"/>
        <v>15237009.05</v>
      </c>
      <c r="BA149" s="190">
        <v>18</v>
      </c>
      <c r="BB149" s="351">
        <f t="shared" si="74"/>
        <v>-0.0428551029378515</v>
      </c>
      <c r="BC149" s="318">
        <f t="shared" si="74"/>
        <v>0.0111128420768065</v>
      </c>
      <c r="BD149" s="352">
        <f t="shared" si="75"/>
        <v>-0.031742260861045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>
        <f t="shared" si="71"/>
        <v>0</v>
      </c>
      <c r="AC150" s="339">
        <f t="shared" si="71"/>
        <v>0</v>
      </c>
      <c r="AD150" s="339">
        <f t="shared" si="71"/>
        <v>0</v>
      </c>
      <c r="AE150" s="339">
        <f t="shared" si="71"/>
        <v>0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>
        <f t="shared" si="73"/>
        <v>0</v>
      </c>
      <c r="AM150" s="341">
        <f t="shared" si="73"/>
        <v>0</v>
      </c>
      <c r="AN150" s="341">
        <f t="shared" si="73"/>
        <v>0</v>
      </c>
      <c r="AO150" s="341">
        <f t="shared" si="73"/>
        <v>0</v>
      </c>
      <c r="AR150" s="190">
        <v>19</v>
      </c>
      <c r="AS150" s="346">
        <f t="shared" si="80"/>
        <v>-244259.04</v>
      </c>
      <c r="AT150" s="346">
        <f t="shared" si="80"/>
        <v>4515.24</v>
      </c>
      <c r="AU150" s="346">
        <f t="shared" si="80"/>
        <v>0</v>
      </c>
      <c r="AV150" s="346">
        <f t="shared" si="77"/>
        <v>13993303.99</v>
      </c>
      <c r="AX150" s="155"/>
      <c r="AY150" s="346">
        <f t="shared" si="78"/>
        <v>0</v>
      </c>
      <c r="AZ150" s="346">
        <f t="shared" si="79"/>
        <v>13993303.99</v>
      </c>
      <c r="BA150" s="190">
        <v>19</v>
      </c>
      <c r="BB150" s="351">
        <f t="shared" si="74"/>
        <v>-0.0607507639315271</v>
      </c>
      <c r="BC150" s="318">
        <f t="shared" si="74"/>
        <v>-0.0672325896090903</v>
      </c>
      <c r="BD150" s="352">
        <f t="shared" si="75"/>
        <v>-0.127983353540617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56</v>
      </c>
      <c r="AC153" s="338">
        <f>AH65</f>
        <v>57</v>
      </c>
      <c r="AD153" s="338">
        <f>AH66</f>
        <v>66</v>
      </c>
      <c r="AE153" s="338">
        <f>AH67</f>
        <v>79</v>
      </c>
      <c r="AH153" s="101"/>
      <c r="AI153" s="101"/>
      <c r="AJ153" s="101"/>
      <c r="AK153" s="101"/>
      <c r="AL153" s="338">
        <f>AI64</f>
        <v>47</v>
      </c>
      <c r="AM153" s="338">
        <f>AI65</f>
        <v>46</v>
      </c>
      <c r="AN153" s="338">
        <f>AI66</f>
        <v>61</v>
      </c>
      <c r="AO153" s="338">
        <f>AI67</f>
        <v>61</v>
      </c>
      <c r="AR153" s="2" t="s">
        <v>25</v>
      </c>
      <c r="AS153" s="2">
        <f>SUM(AS132:AS151)/比赛参数!$G$4</f>
        <v>648814.714210526</v>
      </c>
      <c r="AT153" s="2">
        <f>SUM(AT132:AT151)/比赛参数!$G$4</f>
        <v>408030.711578947</v>
      </c>
      <c r="AU153" s="2">
        <f>SUM(AU132:AU151)/比赛参数!$G$4</f>
        <v>137460.746315789</v>
      </c>
      <c r="AV153" s="2">
        <f>SUM(AV132:AV151)/比赛参数!$G$4</f>
        <v>15060596.7484211</v>
      </c>
      <c r="AY153" s="2">
        <f>SUM(AY132:AY151)/比赛参数!$G$4</f>
        <v>137460.746315789</v>
      </c>
      <c r="AZ153" s="2">
        <f>SUM(AZ132:AZ151)/比赛参数!$G$4</f>
        <v>15060596.7484211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9188</v>
      </c>
      <c r="Y154" s="335">
        <f t="shared" si="81"/>
        <v>9188</v>
      </c>
      <c r="Z154" s="335">
        <f t="shared" si="81"/>
        <v>9688</v>
      </c>
      <c r="AA154" s="335">
        <f t="shared" si="81"/>
        <v>9688</v>
      </c>
      <c r="AB154" s="339">
        <f t="shared" ref="AB154:AE173" si="82">INT(AG$232*L73+0.5)</f>
        <v>66</v>
      </c>
      <c r="AC154" s="339">
        <f t="shared" si="82"/>
        <v>66</v>
      </c>
      <c r="AD154" s="339">
        <f t="shared" si="82"/>
        <v>87</v>
      </c>
      <c r="AE154" s="339">
        <f t="shared" si="82"/>
        <v>92</v>
      </c>
      <c r="AF154" s="334" t="s">
        <v>24</v>
      </c>
      <c r="AG154" s="11">
        <v>1</v>
      </c>
      <c r="AH154" s="340">
        <f t="shared" ref="AH154:AK173" si="83">P50</f>
        <v>13088</v>
      </c>
      <c r="AI154" s="340">
        <f t="shared" si="83"/>
        <v>13088</v>
      </c>
      <c r="AJ154" s="340">
        <f t="shared" si="83"/>
        <v>14288</v>
      </c>
      <c r="AK154" s="340">
        <f t="shared" si="83"/>
        <v>14088</v>
      </c>
      <c r="AL154" s="341">
        <f t="shared" ref="AL154:AO173" si="84">INT(AK$232*P73+0.5)</f>
        <v>28</v>
      </c>
      <c r="AM154" s="341">
        <f t="shared" si="84"/>
        <v>28</v>
      </c>
      <c r="AN154" s="341">
        <f t="shared" si="84"/>
        <v>28</v>
      </c>
      <c r="AO154" s="341">
        <f t="shared" si="84"/>
        <v>35</v>
      </c>
    </row>
    <row r="155" ht="20.1" customHeight="1" spans="22:41">
      <c r="V155" s="336"/>
      <c r="W155" s="11">
        <v>2</v>
      </c>
      <c r="X155" s="335">
        <f t="shared" si="81"/>
        <v>9699</v>
      </c>
      <c r="Y155" s="335">
        <f t="shared" si="81"/>
        <v>9699</v>
      </c>
      <c r="Z155" s="335">
        <f t="shared" si="81"/>
        <v>10299</v>
      </c>
      <c r="AA155" s="335">
        <f t="shared" si="81"/>
        <v>10299</v>
      </c>
      <c r="AB155" s="339">
        <f t="shared" si="82"/>
        <v>45</v>
      </c>
      <c r="AC155" s="339">
        <f t="shared" si="82"/>
        <v>48</v>
      </c>
      <c r="AD155" s="339">
        <f t="shared" si="82"/>
        <v>36</v>
      </c>
      <c r="AE155" s="339">
        <f t="shared" si="82"/>
        <v>38</v>
      </c>
      <c r="AF155" s="336"/>
      <c r="AG155" s="11">
        <v>2</v>
      </c>
      <c r="AH155" s="340">
        <f t="shared" si="83"/>
        <v>12199</v>
      </c>
      <c r="AI155" s="340">
        <f t="shared" si="83"/>
        <v>12199</v>
      </c>
      <c r="AJ155" s="340">
        <f t="shared" si="83"/>
        <v>13299</v>
      </c>
      <c r="AK155" s="340">
        <f t="shared" si="83"/>
        <v>13499</v>
      </c>
      <c r="AL155" s="341">
        <f t="shared" si="84"/>
        <v>58</v>
      </c>
      <c r="AM155" s="341">
        <f t="shared" si="84"/>
        <v>58</v>
      </c>
      <c r="AN155" s="341">
        <f t="shared" si="84"/>
        <v>49</v>
      </c>
      <c r="AO155" s="341">
        <f t="shared" si="84"/>
        <v>35</v>
      </c>
    </row>
    <row r="156" ht="20.1" customHeight="1" spans="22:44">
      <c r="V156" s="336"/>
      <c r="W156" s="11">
        <v>3</v>
      </c>
      <c r="X156" s="335">
        <f t="shared" si="81"/>
        <v>9400</v>
      </c>
      <c r="Y156" s="335">
        <f t="shared" si="81"/>
        <v>9400</v>
      </c>
      <c r="Z156" s="335">
        <f t="shared" si="81"/>
        <v>9750</v>
      </c>
      <c r="AA156" s="335">
        <f t="shared" si="81"/>
        <v>9850</v>
      </c>
      <c r="AB156" s="339">
        <f t="shared" si="82"/>
        <v>29</v>
      </c>
      <c r="AC156" s="339">
        <f t="shared" si="82"/>
        <v>29</v>
      </c>
      <c r="AD156" s="339">
        <f t="shared" si="82"/>
        <v>36</v>
      </c>
      <c r="AE156" s="339">
        <f t="shared" si="82"/>
        <v>36</v>
      </c>
      <c r="AF156" s="336"/>
      <c r="AG156" s="11">
        <v>3</v>
      </c>
      <c r="AH156" s="340">
        <f t="shared" si="83"/>
        <v>12500</v>
      </c>
      <c r="AI156" s="340">
        <f t="shared" si="83"/>
        <v>12600</v>
      </c>
      <c r="AJ156" s="340">
        <f t="shared" si="83"/>
        <v>13150</v>
      </c>
      <c r="AK156" s="340">
        <f t="shared" si="83"/>
        <v>13200</v>
      </c>
      <c r="AL156" s="341">
        <f t="shared" si="84"/>
        <v>26</v>
      </c>
      <c r="AM156" s="341">
        <f t="shared" si="84"/>
        <v>24</v>
      </c>
      <c r="AN156" s="341">
        <f t="shared" si="84"/>
        <v>37</v>
      </c>
      <c r="AO156" s="341">
        <f t="shared" si="84"/>
        <v>38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9750</v>
      </c>
      <c r="Y157" s="335">
        <f t="shared" si="81"/>
        <v>9750</v>
      </c>
      <c r="Z157" s="335">
        <f t="shared" si="81"/>
        <v>10500</v>
      </c>
      <c r="AA157" s="335">
        <f t="shared" si="81"/>
        <v>10500</v>
      </c>
      <c r="AB157" s="339">
        <f t="shared" si="82"/>
        <v>42</v>
      </c>
      <c r="AC157" s="339">
        <f t="shared" si="82"/>
        <v>43</v>
      </c>
      <c r="AD157" s="339">
        <f t="shared" si="82"/>
        <v>36</v>
      </c>
      <c r="AE157" s="339">
        <f t="shared" si="82"/>
        <v>36</v>
      </c>
      <c r="AF157" s="336"/>
      <c r="AG157" s="11">
        <v>4</v>
      </c>
      <c r="AH157" s="340">
        <f t="shared" si="83"/>
        <v>12550</v>
      </c>
      <c r="AI157" s="340">
        <f t="shared" si="83"/>
        <v>12550</v>
      </c>
      <c r="AJ157" s="340">
        <f t="shared" si="83"/>
        <v>13800</v>
      </c>
      <c r="AK157" s="340">
        <f t="shared" si="83"/>
        <v>13800</v>
      </c>
      <c r="AL157" s="341">
        <f t="shared" si="84"/>
        <v>68</v>
      </c>
      <c r="AM157" s="341">
        <f t="shared" si="84"/>
        <v>72</v>
      </c>
      <c r="AN157" s="341">
        <f t="shared" si="84"/>
        <v>48</v>
      </c>
      <c r="AO157" s="341">
        <f t="shared" si="84"/>
        <v>48</v>
      </c>
      <c r="AR157" s="2">
        <v>1</v>
      </c>
      <c r="AS157" s="2">
        <f>IF(AS132="","",(AS132-AS$153)^2)</f>
        <v>1402647889989.96</v>
      </c>
      <c r="AT157" s="2">
        <f>IF(AT132="","",(AT132-AT$153)^2)</f>
        <v>161927014219.692</v>
      </c>
      <c r="AU157" s="2">
        <f>IF(AU132="","",(AU132-AU$153)^2)</f>
        <v>1403382437.02857</v>
      </c>
      <c r="AV157" s="2">
        <f>IF(AV132="","",(AV132-AV$153)^2)</f>
        <v>3744121523025.47</v>
      </c>
      <c r="AY157" s="2">
        <f>IF(AY132="","",(AY132-AY$153)^2)</f>
        <v>1403382437.02857</v>
      </c>
      <c r="AZ157" s="2">
        <f>IF(AZ132="","",(AZ132-AZ$153)^2)</f>
        <v>3744121523025.47</v>
      </c>
    </row>
    <row r="158" ht="20.1" customHeight="1" spans="22:52">
      <c r="V158" s="336"/>
      <c r="W158" s="11">
        <v>5</v>
      </c>
      <c r="X158" s="335">
        <f t="shared" si="81"/>
        <v>9100</v>
      </c>
      <c r="Y158" s="335">
        <f t="shared" si="81"/>
        <v>9150</v>
      </c>
      <c r="Z158" s="335">
        <f t="shared" si="81"/>
        <v>9750</v>
      </c>
      <c r="AA158" s="335">
        <f t="shared" si="81"/>
        <v>9700</v>
      </c>
      <c r="AB158" s="339">
        <f t="shared" si="82"/>
        <v>68</v>
      </c>
      <c r="AC158" s="339">
        <f t="shared" si="82"/>
        <v>67</v>
      </c>
      <c r="AD158" s="339">
        <f t="shared" si="82"/>
        <v>76</v>
      </c>
      <c r="AE158" s="339">
        <f t="shared" si="82"/>
        <v>80</v>
      </c>
      <c r="AF158" s="336"/>
      <c r="AG158" s="11">
        <v>5</v>
      </c>
      <c r="AH158" s="340">
        <f t="shared" si="83"/>
        <v>13530</v>
      </c>
      <c r="AI158" s="340">
        <f t="shared" si="83"/>
        <v>13530</v>
      </c>
      <c r="AJ158" s="340">
        <f t="shared" si="83"/>
        <v>13600</v>
      </c>
      <c r="AK158" s="340">
        <f t="shared" si="83"/>
        <v>13750</v>
      </c>
      <c r="AL158" s="341">
        <f t="shared" si="84"/>
        <v>23</v>
      </c>
      <c r="AM158" s="341">
        <f t="shared" si="84"/>
        <v>24</v>
      </c>
      <c r="AN158" s="341">
        <f t="shared" si="84"/>
        <v>53</v>
      </c>
      <c r="AO158" s="341">
        <f t="shared" si="84"/>
        <v>47</v>
      </c>
      <c r="AR158" s="2">
        <v>2</v>
      </c>
      <c r="AS158" s="2">
        <f t="shared" ref="AS158:AV173" si="85">IF(AS133="","",(AS133-AS$153)^2)</f>
        <v>25051673372.7006</v>
      </c>
      <c r="AT158" s="2">
        <f t="shared" si="85"/>
        <v>35211085708.2358</v>
      </c>
      <c r="AU158" s="2">
        <f t="shared" si="85"/>
        <v>18895456777.6938</v>
      </c>
      <c r="AV158" s="2">
        <f t="shared" si="85"/>
        <v>80301788245.3593</v>
      </c>
      <c r="AY158" s="2">
        <f t="shared" ref="AY158:AZ173" si="86">IF(AY133="","",(AY133-AY$153)^2)</f>
        <v>18895456777.6938</v>
      </c>
      <c r="AZ158" s="2">
        <f t="shared" si="86"/>
        <v>80301788245.3593</v>
      </c>
    </row>
    <row r="159" ht="20.1" customHeight="1" spans="22:52">
      <c r="V159" s="336"/>
      <c r="W159" s="11">
        <v>6</v>
      </c>
      <c r="X159" s="335">
        <f t="shared" si="81"/>
        <v>11000</v>
      </c>
      <c r="Y159" s="335">
        <f t="shared" si="81"/>
        <v>12000</v>
      </c>
      <c r="Z159" s="335">
        <f t="shared" si="81"/>
        <v>12000</v>
      </c>
      <c r="AA159" s="335">
        <f t="shared" si="81"/>
        <v>11000</v>
      </c>
      <c r="AB159" s="339">
        <f t="shared" si="82"/>
        <v>0</v>
      </c>
      <c r="AC159" s="339">
        <f t="shared" si="82"/>
        <v>1</v>
      </c>
      <c r="AD159" s="339">
        <f t="shared" si="82"/>
        <v>2</v>
      </c>
      <c r="AE159" s="339">
        <f t="shared" si="82"/>
        <v>0</v>
      </c>
      <c r="AF159" s="336"/>
      <c r="AG159" s="11">
        <v>6</v>
      </c>
      <c r="AH159" s="340">
        <f t="shared" si="83"/>
        <v>9999</v>
      </c>
      <c r="AI159" s="340">
        <f t="shared" si="83"/>
        <v>9999</v>
      </c>
      <c r="AJ159" s="340">
        <f t="shared" si="83"/>
        <v>11999</v>
      </c>
      <c r="AK159" s="340">
        <f t="shared" si="83"/>
        <v>11999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>
        <f t="shared" si="85"/>
        <v>216802148102.22</v>
      </c>
      <c r="AT159" s="2">
        <f t="shared" si="85"/>
        <v>13438030277.0793</v>
      </c>
      <c r="AU159" s="2">
        <f t="shared" si="85"/>
        <v>5013938034.33713</v>
      </c>
      <c r="AV159" s="2">
        <f t="shared" si="85"/>
        <v>1257170014263.71</v>
      </c>
      <c r="AY159" s="2">
        <f t="shared" si="86"/>
        <v>5013938034.33713</v>
      </c>
      <c r="AZ159" s="2">
        <f t="shared" si="86"/>
        <v>1257170014263.71</v>
      </c>
    </row>
    <row r="160" ht="20.1" customHeight="1" spans="22:52">
      <c r="V160" s="336"/>
      <c r="W160" s="11">
        <v>7</v>
      </c>
      <c r="X160" s="335">
        <f t="shared" si="81"/>
        <v>9549</v>
      </c>
      <c r="Y160" s="335">
        <f t="shared" si="81"/>
        <v>9549</v>
      </c>
      <c r="Z160" s="335">
        <f t="shared" si="81"/>
        <v>9649</v>
      </c>
      <c r="AA160" s="335">
        <f t="shared" si="81"/>
        <v>9649</v>
      </c>
      <c r="AB160" s="339">
        <f t="shared" si="82"/>
        <v>41</v>
      </c>
      <c r="AC160" s="339">
        <f t="shared" si="82"/>
        <v>42</v>
      </c>
      <c r="AD160" s="339">
        <f t="shared" si="82"/>
        <v>66</v>
      </c>
      <c r="AE160" s="339">
        <f t="shared" si="82"/>
        <v>66</v>
      </c>
      <c r="AF160" s="336"/>
      <c r="AG160" s="11">
        <v>7</v>
      </c>
      <c r="AH160" s="340">
        <f t="shared" si="83"/>
        <v>12099</v>
      </c>
      <c r="AI160" s="340">
        <f t="shared" si="83"/>
        <v>12099</v>
      </c>
      <c r="AJ160" s="340">
        <f t="shared" si="83"/>
        <v>13499</v>
      </c>
      <c r="AK160" s="340">
        <f t="shared" si="83"/>
        <v>13499</v>
      </c>
      <c r="AL160" s="341">
        <f t="shared" si="84"/>
        <v>59</v>
      </c>
      <c r="AM160" s="341">
        <f t="shared" si="84"/>
        <v>61</v>
      </c>
      <c r="AN160" s="341">
        <f t="shared" si="84"/>
        <v>43</v>
      </c>
      <c r="AO160" s="341">
        <f t="shared" si="84"/>
        <v>43</v>
      </c>
      <c r="AR160" s="2">
        <v>4</v>
      </c>
      <c r="AS160" s="2">
        <f t="shared" si="85"/>
        <v>568945160931.142</v>
      </c>
      <c r="AT160" s="2">
        <f t="shared" si="85"/>
        <v>36262883519.6335</v>
      </c>
      <c r="AU160" s="2">
        <f t="shared" si="85"/>
        <v>743148289.693829</v>
      </c>
      <c r="AV160" s="2">
        <f t="shared" si="85"/>
        <v>1686223354385.03</v>
      </c>
      <c r="AY160" s="2">
        <f t="shared" si="86"/>
        <v>743148289.693829</v>
      </c>
      <c r="AZ160" s="2">
        <f t="shared" si="86"/>
        <v>1686223354385.03</v>
      </c>
    </row>
    <row r="161" ht="20.1" customHeight="1" spans="22:52">
      <c r="V161" s="336"/>
      <c r="W161" s="11">
        <v>8</v>
      </c>
      <c r="X161" s="335">
        <f t="shared" si="81"/>
        <v>9400</v>
      </c>
      <c r="Y161" s="335">
        <f t="shared" si="81"/>
        <v>9400</v>
      </c>
      <c r="Z161" s="335">
        <f t="shared" si="81"/>
        <v>9700</v>
      </c>
      <c r="AA161" s="335">
        <f t="shared" si="81"/>
        <v>9700</v>
      </c>
      <c r="AB161" s="339">
        <f t="shared" si="82"/>
        <v>71</v>
      </c>
      <c r="AC161" s="339">
        <f t="shared" si="82"/>
        <v>72</v>
      </c>
      <c r="AD161" s="339">
        <f t="shared" si="82"/>
        <v>70</v>
      </c>
      <c r="AE161" s="339">
        <f t="shared" si="82"/>
        <v>71</v>
      </c>
      <c r="AF161" s="336"/>
      <c r="AG161" s="11">
        <v>8</v>
      </c>
      <c r="AH161" s="340">
        <f t="shared" si="83"/>
        <v>12500</v>
      </c>
      <c r="AI161" s="340">
        <f t="shared" si="83"/>
        <v>12500</v>
      </c>
      <c r="AJ161" s="340">
        <f t="shared" si="83"/>
        <v>13000</v>
      </c>
      <c r="AK161" s="340">
        <f t="shared" si="83"/>
        <v>13000</v>
      </c>
      <c r="AL161" s="341">
        <f t="shared" si="84"/>
        <v>62</v>
      </c>
      <c r="AM161" s="341">
        <f t="shared" si="84"/>
        <v>62</v>
      </c>
      <c r="AN161" s="341">
        <f t="shared" si="84"/>
        <v>64</v>
      </c>
      <c r="AO161" s="341">
        <f t="shared" si="84"/>
        <v>65</v>
      </c>
      <c r="AR161" s="2">
        <v>5</v>
      </c>
      <c r="AS161" s="2">
        <f t="shared" si="85"/>
        <v>1415981682650.45</v>
      </c>
      <c r="AT161" s="2">
        <f t="shared" si="85"/>
        <v>267078279694.681</v>
      </c>
      <c r="AU161" s="2">
        <f t="shared" si="85"/>
        <v>68926859725.0623</v>
      </c>
      <c r="AV161" s="2">
        <f t="shared" si="85"/>
        <v>3843130134524.79</v>
      </c>
      <c r="AY161" s="2">
        <f t="shared" si="86"/>
        <v>68926859725.0623</v>
      </c>
      <c r="AZ161" s="2">
        <f t="shared" si="86"/>
        <v>3843130134524.79</v>
      </c>
    </row>
    <row r="162" ht="20.1" customHeight="1" spans="22:52">
      <c r="V162" s="336"/>
      <c r="W162" s="11">
        <v>9</v>
      </c>
      <c r="X162" s="335">
        <f t="shared" si="81"/>
        <v>10238</v>
      </c>
      <c r="Y162" s="335">
        <f t="shared" si="81"/>
        <v>10238</v>
      </c>
      <c r="Z162" s="335">
        <f t="shared" si="81"/>
        <v>10558</v>
      </c>
      <c r="AA162" s="335">
        <f t="shared" si="81"/>
        <v>10798</v>
      </c>
      <c r="AB162" s="339">
        <f t="shared" si="82"/>
        <v>25</v>
      </c>
      <c r="AC162" s="339">
        <f t="shared" si="82"/>
        <v>25</v>
      </c>
      <c r="AD162" s="339">
        <f t="shared" si="82"/>
        <v>33</v>
      </c>
      <c r="AE162" s="339">
        <f t="shared" si="82"/>
        <v>27</v>
      </c>
      <c r="AF162" s="336"/>
      <c r="AG162" s="11">
        <v>9</v>
      </c>
      <c r="AH162" s="340">
        <f t="shared" si="83"/>
        <v>13818</v>
      </c>
      <c r="AI162" s="340">
        <f t="shared" si="83"/>
        <v>13818</v>
      </c>
      <c r="AJ162" s="340">
        <f t="shared" si="83"/>
        <v>15278</v>
      </c>
      <c r="AK162" s="340">
        <f t="shared" si="83"/>
        <v>15588</v>
      </c>
      <c r="AL162" s="341">
        <f t="shared" si="84"/>
        <v>20</v>
      </c>
      <c r="AM162" s="341">
        <f t="shared" si="84"/>
        <v>20</v>
      </c>
      <c r="AN162" s="341">
        <f t="shared" si="84"/>
        <v>15</v>
      </c>
      <c r="AO162" s="341">
        <f t="shared" si="84"/>
        <v>12</v>
      </c>
      <c r="AR162" s="2">
        <v>6</v>
      </c>
      <c r="AS162" s="2">
        <f t="shared" si="85"/>
        <v>14525020231047.3</v>
      </c>
      <c r="AT162" s="2">
        <f t="shared" si="85"/>
        <v>162824735803.58</v>
      </c>
      <c r="AU162" s="2">
        <f t="shared" si="85"/>
        <v>18895456777.6938</v>
      </c>
      <c r="AV162" s="2">
        <f t="shared" si="85"/>
        <v>93352574769830.2</v>
      </c>
      <c r="AY162" s="2">
        <f t="shared" si="86"/>
        <v>18895456777.6938</v>
      </c>
      <c r="AZ162" s="2">
        <f t="shared" si="86"/>
        <v>93352574769830.2</v>
      </c>
    </row>
    <row r="163" ht="20.1" customHeight="1" spans="22:52">
      <c r="V163" s="336"/>
      <c r="W163" s="11">
        <v>10</v>
      </c>
      <c r="X163" s="335">
        <f t="shared" si="81"/>
        <v>9850</v>
      </c>
      <c r="Y163" s="335">
        <f t="shared" si="81"/>
        <v>9850</v>
      </c>
      <c r="Z163" s="335">
        <f t="shared" si="81"/>
        <v>10050</v>
      </c>
      <c r="AA163" s="335">
        <f t="shared" si="81"/>
        <v>10050</v>
      </c>
      <c r="AB163" s="339">
        <f t="shared" si="82"/>
        <v>40</v>
      </c>
      <c r="AC163" s="339">
        <f t="shared" si="82"/>
        <v>41</v>
      </c>
      <c r="AD163" s="339">
        <f t="shared" si="82"/>
        <v>70</v>
      </c>
      <c r="AE163" s="339">
        <f t="shared" si="82"/>
        <v>72</v>
      </c>
      <c r="AF163" s="336"/>
      <c r="AG163" s="11">
        <v>10</v>
      </c>
      <c r="AH163" s="340">
        <f t="shared" si="83"/>
        <v>13150</v>
      </c>
      <c r="AI163" s="340">
        <f t="shared" si="83"/>
        <v>13150</v>
      </c>
      <c r="AJ163" s="340">
        <f t="shared" si="83"/>
        <v>13800</v>
      </c>
      <c r="AK163" s="340">
        <f t="shared" si="83"/>
        <v>13800</v>
      </c>
      <c r="AL163" s="341">
        <f t="shared" si="84"/>
        <v>29</v>
      </c>
      <c r="AM163" s="341">
        <f t="shared" si="84"/>
        <v>29</v>
      </c>
      <c r="AN163" s="341">
        <f t="shared" si="84"/>
        <v>48</v>
      </c>
      <c r="AO163" s="341">
        <f t="shared" si="84"/>
        <v>49</v>
      </c>
      <c r="AR163" s="2">
        <v>7</v>
      </c>
      <c r="AS163" s="2">
        <f t="shared" si="85"/>
        <v>180447220187.454</v>
      </c>
      <c r="AT163" s="2">
        <f t="shared" si="85"/>
        <v>5157777497.43626</v>
      </c>
      <c r="AU163" s="2">
        <f t="shared" si="85"/>
        <v>18895456777.6938</v>
      </c>
      <c r="AV163" s="2">
        <f t="shared" si="85"/>
        <v>1117342803486.73</v>
      </c>
      <c r="AY163" s="2">
        <f t="shared" si="86"/>
        <v>18895456777.6938</v>
      </c>
      <c r="AZ163" s="2">
        <f t="shared" si="86"/>
        <v>1117342803486.73</v>
      </c>
    </row>
    <row r="164" ht="20.1" customHeight="1" spans="22:52">
      <c r="V164" s="336"/>
      <c r="W164" s="11">
        <v>11</v>
      </c>
      <c r="X164" s="335">
        <f t="shared" si="81"/>
        <v>10050</v>
      </c>
      <c r="Y164" s="335">
        <f t="shared" si="81"/>
        <v>10050</v>
      </c>
      <c r="Z164" s="335">
        <f t="shared" si="81"/>
        <v>10250</v>
      </c>
      <c r="AA164" s="335">
        <f t="shared" si="81"/>
        <v>10350</v>
      </c>
      <c r="AB164" s="339">
        <f t="shared" si="82"/>
        <v>25</v>
      </c>
      <c r="AC164" s="339">
        <f t="shared" si="82"/>
        <v>25</v>
      </c>
      <c r="AD164" s="339">
        <f t="shared" si="82"/>
        <v>41</v>
      </c>
      <c r="AE164" s="339">
        <f t="shared" si="82"/>
        <v>38</v>
      </c>
      <c r="AF164" s="336"/>
      <c r="AG164" s="11">
        <v>11</v>
      </c>
      <c r="AH164" s="340">
        <f t="shared" si="83"/>
        <v>13050</v>
      </c>
      <c r="AI164" s="340">
        <f t="shared" si="83"/>
        <v>13050</v>
      </c>
      <c r="AJ164" s="340">
        <f t="shared" si="83"/>
        <v>13450</v>
      </c>
      <c r="AK164" s="340">
        <f t="shared" si="83"/>
        <v>13600</v>
      </c>
      <c r="AL164" s="341">
        <f t="shared" si="84"/>
        <v>33</v>
      </c>
      <c r="AM164" s="341">
        <f t="shared" si="84"/>
        <v>34</v>
      </c>
      <c r="AN164" s="341">
        <f t="shared" si="84"/>
        <v>47</v>
      </c>
      <c r="AO164" s="341">
        <f t="shared" si="84"/>
        <v>47</v>
      </c>
      <c r="AR164" s="2">
        <v>8</v>
      </c>
      <c r="AS164" s="2">
        <f t="shared" si="85"/>
        <v>420986034229.429</v>
      </c>
      <c r="AT164" s="2">
        <f t="shared" si="85"/>
        <v>43240236527.1752</v>
      </c>
      <c r="AU164" s="2">
        <f t="shared" si="85"/>
        <v>1084306634842.94</v>
      </c>
      <c r="AV164" s="2">
        <f t="shared" si="85"/>
        <v>83360446165.721</v>
      </c>
      <c r="AY164" s="2">
        <f t="shared" si="86"/>
        <v>1084306634842.94</v>
      </c>
      <c r="AZ164" s="2">
        <f t="shared" si="86"/>
        <v>83360446165.721</v>
      </c>
    </row>
    <row r="165" ht="20.1" customHeight="1" spans="22:52">
      <c r="V165" s="336"/>
      <c r="W165" s="11">
        <v>12</v>
      </c>
      <c r="X165" s="335">
        <f t="shared" si="81"/>
        <v>9300</v>
      </c>
      <c r="Y165" s="335">
        <f t="shared" si="81"/>
        <v>9400</v>
      </c>
      <c r="Z165" s="335">
        <f t="shared" si="81"/>
        <v>8850</v>
      </c>
      <c r="AA165" s="335">
        <f t="shared" si="81"/>
        <v>9000</v>
      </c>
      <c r="AB165" s="339">
        <f t="shared" si="82"/>
        <v>0</v>
      </c>
      <c r="AC165" s="339">
        <f t="shared" si="82"/>
        <v>0</v>
      </c>
      <c r="AD165" s="339">
        <f t="shared" si="82"/>
        <v>105</v>
      </c>
      <c r="AE165" s="339">
        <f t="shared" si="82"/>
        <v>88</v>
      </c>
      <c r="AF165" s="336"/>
      <c r="AG165" s="11">
        <v>12</v>
      </c>
      <c r="AH165" s="340">
        <f t="shared" si="83"/>
        <v>11500</v>
      </c>
      <c r="AI165" s="340">
        <f t="shared" si="83"/>
        <v>12250</v>
      </c>
      <c r="AJ165" s="340">
        <f t="shared" si="83"/>
        <v>12500</v>
      </c>
      <c r="AK165" s="340">
        <f t="shared" si="83"/>
        <v>12400</v>
      </c>
      <c r="AL165" s="341">
        <f t="shared" si="84"/>
        <v>36</v>
      </c>
      <c r="AM165" s="341">
        <f t="shared" si="84"/>
        <v>38</v>
      </c>
      <c r="AN165" s="341">
        <f t="shared" si="84"/>
        <v>8</v>
      </c>
      <c r="AO165" s="341">
        <f t="shared" si="84"/>
        <v>11</v>
      </c>
      <c r="AR165" s="2">
        <v>9</v>
      </c>
      <c r="AS165" s="2">
        <f t="shared" si="85"/>
        <v>94255278739.3036</v>
      </c>
      <c r="AT165" s="2">
        <f t="shared" si="85"/>
        <v>405838286.267755</v>
      </c>
      <c r="AU165" s="2">
        <f t="shared" si="85"/>
        <v>18895456777.6938</v>
      </c>
      <c r="AV165" s="2">
        <f t="shared" si="85"/>
        <v>799991539776.942</v>
      </c>
      <c r="AY165" s="2">
        <f t="shared" si="86"/>
        <v>18895456777.6938</v>
      </c>
      <c r="AZ165" s="2">
        <f t="shared" si="86"/>
        <v>799991539776.942</v>
      </c>
    </row>
    <row r="166" ht="20.1" customHeight="1" spans="22:52">
      <c r="V166" s="336"/>
      <c r="W166" s="11">
        <v>13</v>
      </c>
      <c r="X166" s="335">
        <f t="shared" si="81"/>
        <v>9660</v>
      </c>
      <c r="Y166" s="335">
        <f t="shared" si="81"/>
        <v>9660</v>
      </c>
      <c r="Z166" s="335">
        <f t="shared" si="81"/>
        <v>10100</v>
      </c>
      <c r="AA166" s="335">
        <f t="shared" si="81"/>
        <v>10100</v>
      </c>
      <c r="AB166" s="339">
        <f t="shared" si="82"/>
        <v>38</v>
      </c>
      <c r="AC166" s="339">
        <f t="shared" si="82"/>
        <v>37</v>
      </c>
      <c r="AD166" s="339">
        <f t="shared" si="82"/>
        <v>48</v>
      </c>
      <c r="AE166" s="339">
        <f t="shared" si="82"/>
        <v>49</v>
      </c>
      <c r="AF166" s="336"/>
      <c r="AG166" s="11">
        <v>13</v>
      </c>
      <c r="AH166" s="340">
        <f t="shared" si="83"/>
        <v>12750</v>
      </c>
      <c r="AI166" s="340">
        <f t="shared" si="83"/>
        <v>12750</v>
      </c>
      <c r="AJ166" s="340">
        <f t="shared" si="83"/>
        <v>13300</v>
      </c>
      <c r="AK166" s="340">
        <f t="shared" si="83"/>
        <v>13500</v>
      </c>
      <c r="AL166" s="341">
        <f t="shared" si="84"/>
        <v>38</v>
      </c>
      <c r="AM166" s="341">
        <f t="shared" si="84"/>
        <v>38</v>
      </c>
      <c r="AN166" s="341">
        <f t="shared" si="84"/>
        <v>53</v>
      </c>
      <c r="AO166" s="341">
        <f t="shared" si="84"/>
        <v>54</v>
      </c>
      <c r="AR166" s="2">
        <v>10</v>
      </c>
      <c r="AS166" s="2">
        <f t="shared" si="85"/>
        <v>930540450224.234</v>
      </c>
      <c r="AT166" s="2">
        <f t="shared" si="85"/>
        <v>70055194535.7066</v>
      </c>
      <c r="AU166" s="2">
        <f t="shared" si="85"/>
        <v>18895456777.6938</v>
      </c>
      <c r="AV166" s="2">
        <f t="shared" si="85"/>
        <v>2621388738599.16</v>
      </c>
      <c r="AY166" s="2">
        <f t="shared" si="86"/>
        <v>18895456777.6938</v>
      </c>
      <c r="AZ166" s="2">
        <f t="shared" si="86"/>
        <v>2621388738599.16</v>
      </c>
    </row>
    <row r="167" ht="19.5" customHeight="1" spans="22:52">
      <c r="V167" s="336"/>
      <c r="W167" s="11">
        <v>14</v>
      </c>
      <c r="X167" s="335">
        <f t="shared" si="81"/>
        <v>9500</v>
      </c>
      <c r="Y167" s="335">
        <f t="shared" si="81"/>
        <v>9500</v>
      </c>
      <c r="Z167" s="335">
        <f t="shared" si="81"/>
        <v>9839</v>
      </c>
      <c r="AA167" s="335">
        <f t="shared" si="81"/>
        <v>9839</v>
      </c>
      <c r="AB167" s="339">
        <f t="shared" si="82"/>
        <v>36</v>
      </c>
      <c r="AC167" s="339">
        <f t="shared" si="82"/>
        <v>37</v>
      </c>
      <c r="AD167" s="339">
        <f t="shared" si="82"/>
        <v>28</v>
      </c>
      <c r="AE167" s="339">
        <f t="shared" si="82"/>
        <v>34</v>
      </c>
      <c r="AF167" s="336"/>
      <c r="AG167" s="11">
        <v>14</v>
      </c>
      <c r="AH167" s="340">
        <f t="shared" si="83"/>
        <v>11599</v>
      </c>
      <c r="AI167" s="340">
        <f t="shared" si="83"/>
        <v>11599</v>
      </c>
      <c r="AJ167" s="340">
        <f t="shared" si="83"/>
        <v>12599</v>
      </c>
      <c r="AK167" s="340">
        <f t="shared" si="83"/>
        <v>12599</v>
      </c>
      <c r="AL167" s="341">
        <f t="shared" si="84"/>
        <v>44</v>
      </c>
      <c r="AM167" s="341">
        <f t="shared" si="84"/>
        <v>42</v>
      </c>
      <c r="AN167" s="341">
        <f t="shared" si="84"/>
        <v>27</v>
      </c>
      <c r="AO167" s="341">
        <f t="shared" si="84"/>
        <v>24</v>
      </c>
      <c r="AR167" s="2">
        <v>11</v>
      </c>
      <c r="AS167" s="2">
        <f t="shared" si="85"/>
        <v>874282345966.706</v>
      </c>
      <c r="AT167" s="2">
        <f t="shared" si="85"/>
        <v>170548291504.374</v>
      </c>
      <c r="AU167" s="2">
        <f t="shared" si="85"/>
        <v>35884836364.2065</v>
      </c>
      <c r="AV167" s="2">
        <f t="shared" si="85"/>
        <v>3036253527681.5</v>
      </c>
      <c r="AY167" s="2">
        <f t="shared" si="86"/>
        <v>35884836364.2065</v>
      </c>
      <c r="AZ167" s="2">
        <f t="shared" si="86"/>
        <v>3036253527681.5</v>
      </c>
    </row>
    <row r="168" ht="19.5" customHeight="1" spans="22:52">
      <c r="V168" s="336"/>
      <c r="W168" s="11">
        <v>15</v>
      </c>
      <c r="X168" s="335">
        <f t="shared" si="81"/>
        <v>9700</v>
      </c>
      <c r="Y168" s="335">
        <f t="shared" si="81"/>
        <v>9699</v>
      </c>
      <c r="Z168" s="335">
        <f t="shared" si="81"/>
        <v>9999</v>
      </c>
      <c r="AA168" s="335">
        <f t="shared" si="81"/>
        <v>9999</v>
      </c>
      <c r="AB168" s="339">
        <f t="shared" si="82"/>
        <v>21</v>
      </c>
      <c r="AC168" s="339">
        <f t="shared" si="82"/>
        <v>23</v>
      </c>
      <c r="AD168" s="339">
        <f t="shared" si="82"/>
        <v>29</v>
      </c>
      <c r="AE168" s="339">
        <f t="shared" si="82"/>
        <v>28</v>
      </c>
      <c r="AF168" s="336"/>
      <c r="AG168" s="11">
        <v>15</v>
      </c>
      <c r="AH168" s="340">
        <f t="shared" si="83"/>
        <v>12452</v>
      </c>
      <c r="AI168" s="340">
        <f t="shared" si="83"/>
        <v>12383</v>
      </c>
      <c r="AJ168" s="340">
        <f t="shared" si="83"/>
        <v>13349</v>
      </c>
      <c r="AK168" s="340">
        <f t="shared" si="83"/>
        <v>13426</v>
      </c>
      <c r="AL168" s="341">
        <f t="shared" si="84"/>
        <v>31</v>
      </c>
      <c r="AM168" s="341">
        <f t="shared" si="84"/>
        <v>33</v>
      </c>
      <c r="AN168" s="341">
        <f t="shared" si="84"/>
        <v>29</v>
      </c>
      <c r="AO168" s="341">
        <f t="shared" si="84"/>
        <v>31</v>
      </c>
      <c r="AR168" s="2">
        <v>12</v>
      </c>
      <c r="AS168" s="2">
        <f t="shared" si="85"/>
        <v>905099766548.15</v>
      </c>
      <c r="AT168" s="2">
        <f t="shared" si="85"/>
        <v>55460952535.909</v>
      </c>
      <c r="AU168" s="2">
        <f t="shared" si="85"/>
        <v>18895456777.6938</v>
      </c>
      <c r="AV168" s="2">
        <f t="shared" si="85"/>
        <v>30248656307.1632</v>
      </c>
      <c r="AY168" s="2">
        <f t="shared" si="86"/>
        <v>18895456777.6938</v>
      </c>
      <c r="AZ168" s="2">
        <f t="shared" si="86"/>
        <v>30248656307.1632</v>
      </c>
    </row>
    <row r="169" ht="19.5" customHeight="1" spans="22:52">
      <c r="V169" s="336"/>
      <c r="W169" s="11">
        <v>16</v>
      </c>
      <c r="X169" s="335">
        <f t="shared" si="81"/>
        <v>9318</v>
      </c>
      <c r="Y169" s="335">
        <f t="shared" si="81"/>
        <v>9318</v>
      </c>
      <c r="Z169" s="335">
        <f t="shared" si="81"/>
        <v>9758</v>
      </c>
      <c r="AA169" s="335">
        <f t="shared" si="81"/>
        <v>9858</v>
      </c>
      <c r="AB169" s="339">
        <f t="shared" si="82"/>
        <v>36</v>
      </c>
      <c r="AC169" s="339">
        <f t="shared" si="82"/>
        <v>35</v>
      </c>
      <c r="AD169" s="339">
        <f t="shared" si="82"/>
        <v>55</v>
      </c>
      <c r="AE169" s="339">
        <f t="shared" si="82"/>
        <v>64</v>
      </c>
      <c r="AF169" s="336"/>
      <c r="AG169" s="11">
        <v>16</v>
      </c>
      <c r="AH169" s="340">
        <f t="shared" si="83"/>
        <v>12218</v>
      </c>
      <c r="AI169" s="340">
        <f t="shared" si="83"/>
        <v>12218</v>
      </c>
      <c r="AJ169" s="340">
        <f t="shared" si="83"/>
        <v>13018</v>
      </c>
      <c r="AK169" s="340">
        <f t="shared" si="83"/>
        <v>13358</v>
      </c>
      <c r="AL169" s="341">
        <f t="shared" si="84"/>
        <v>42</v>
      </c>
      <c r="AM169" s="341">
        <f t="shared" si="84"/>
        <v>44</v>
      </c>
      <c r="AN169" s="341">
        <f t="shared" si="84"/>
        <v>49</v>
      </c>
      <c r="AO169" s="341">
        <f t="shared" si="84"/>
        <v>57</v>
      </c>
      <c r="AR169" s="2">
        <v>13</v>
      </c>
      <c r="AS169" s="2">
        <f t="shared" si="85"/>
        <v>512558951923.87</v>
      </c>
      <c r="AT169" s="2">
        <f t="shared" si="85"/>
        <v>43669860350.3067</v>
      </c>
      <c r="AU169" s="2">
        <f t="shared" si="85"/>
        <v>18604833507.1624</v>
      </c>
      <c r="AV169" s="2">
        <f t="shared" si="85"/>
        <v>2112060344977.33</v>
      </c>
      <c r="AY169" s="2">
        <f t="shared" si="86"/>
        <v>18604833507.1624</v>
      </c>
      <c r="AZ169" s="2">
        <f t="shared" si="86"/>
        <v>2112060344977.33</v>
      </c>
    </row>
    <row r="170" ht="19.5" customHeight="1" spans="22:52">
      <c r="V170" s="336"/>
      <c r="W170" s="11">
        <v>17</v>
      </c>
      <c r="X170" s="335">
        <f t="shared" si="81"/>
        <v>9300</v>
      </c>
      <c r="Y170" s="335">
        <f t="shared" si="81"/>
        <v>9300</v>
      </c>
      <c r="Z170" s="335">
        <f t="shared" si="81"/>
        <v>9400</v>
      </c>
      <c r="AA170" s="335">
        <f t="shared" si="81"/>
        <v>9400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2</v>
      </c>
      <c r="AF170" s="336"/>
      <c r="AG170" s="11">
        <v>17</v>
      </c>
      <c r="AH170" s="340">
        <f t="shared" si="83"/>
        <v>11800</v>
      </c>
      <c r="AI170" s="340">
        <f t="shared" si="83"/>
        <v>11800</v>
      </c>
      <c r="AJ170" s="340">
        <f t="shared" si="83"/>
        <v>13200</v>
      </c>
      <c r="AK170" s="340">
        <f t="shared" si="83"/>
        <v>13200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1</v>
      </c>
      <c r="AR170" s="2">
        <v>14</v>
      </c>
      <c r="AS170" s="2">
        <f t="shared" si="85"/>
        <v>158844895718.49</v>
      </c>
      <c r="AT170" s="2">
        <f t="shared" si="85"/>
        <v>116450799178.882</v>
      </c>
      <c r="AU170" s="2">
        <f t="shared" si="85"/>
        <v>2523480243.20962</v>
      </c>
      <c r="AV170" s="2">
        <f t="shared" si="85"/>
        <v>133813406611.35</v>
      </c>
      <c r="AY170" s="2">
        <f t="shared" si="86"/>
        <v>2523480243.20962</v>
      </c>
      <c r="AZ170" s="2">
        <f t="shared" si="86"/>
        <v>133813406611.35</v>
      </c>
    </row>
    <row r="171" ht="19.5" customHeight="1" spans="22:52">
      <c r="V171" s="336"/>
      <c r="W171" s="11">
        <v>18</v>
      </c>
      <c r="X171" s="335">
        <f t="shared" si="81"/>
        <v>9400</v>
      </c>
      <c r="Y171" s="335">
        <f t="shared" si="81"/>
        <v>9588</v>
      </c>
      <c r="Z171" s="335">
        <f t="shared" si="81"/>
        <v>9799</v>
      </c>
      <c r="AA171" s="335">
        <f t="shared" si="81"/>
        <v>9799</v>
      </c>
      <c r="AB171" s="339">
        <f t="shared" si="82"/>
        <v>53</v>
      </c>
      <c r="AC171" s="339">
        <f t="shared" si="82"/>
        <v>45</v>
      </c>
      <c r="AD171" s="339">
        <f t="shared" si="82"/>
        <v>57</v>
      </c>
      <c r="AE171" s="339">
        <f t="shared" si="82"/>
        <v>60</v>
      </c>
      <c r="AF171" s="336"/>
      <c r="AG171" s="11">
        <v>18</v>
      </c>
      <c r="AH171" s="340">
        <f t="shared" si="83"/>
        <v>12588</v>
      </c>
      <c r="AI171" s="340">
        <f t="shared" si="83"/>
        <v>12588</v>
      </c>
      <c r="AJ171" s="340">
        <f t="shared" si="83"/>
        <v>13099</v>
      </c>
      <c r="AK171" s="340">
        <f t="shared" si="83"/>
        <v>13299</v>
      </c>
      <c r="AL171" s="341">
        <f t="shared" si="84"/>
        <v>49</v>
      </c>
      <c r="AM171" s="341">
        <f t="shared" si="84"/>
        <v>53</v>
      </c>
      <c r="AN171" s="341">
        <f t="shared" si="84"/>
        <v>73</v>
      </c>
      <c r="AO171" s="341">
        <f t="shared" si="84"/>
        <v>65</v>
      </c>
      <c r="AR171" s="2">
        <v>15</v>
      </c>
      <c r="AS171" s="2">
        <f t="shared" si="85"/>
        <v>42920716479.7696</v>
      </c>
      <c r="AT171" s="2">
        <f t="shared" si="85"/>
        <v>162824735803.58</v>
      </c>
      <c r="AU171" s="2">
        <f t="shared" si="85"/>
        <v>18895456777.6938</v>
      </c>
      <c r="AV171" s="2">
        <f t="shared" si="85"/>
        <v>4472024430687.1</v>
      </c>
      <c r="AY171" s="2">
        <f t="shared" si="86"/>
        <v>18895456777.6938</v>
      </c>
      <c r="AZ171" s="2">
        <f t="shared" si="86"/>
        <v>4472024430687.1</v>
      </c>
    </row>
    <row r="172" ht="19.5" customHeight="1" spans="22:52">
      <c r="V172" s="336"/>
      <c r="W172" s="11">
        <v>19</v>
      </c>
      <c r="X172" s="335">
        <f t="shared" si="81"/>
        <v>8700</v>
      </c>
      <c r="Y172" s="335">
        <f t="shared" si="81"/>
        <v>9000</v>
      </c>
      <c r="Z172" s="335">
        <f t="shared" si="81"/>
        <v>9100</v>
      </c>
      <c r="AA172" s="335">
        <f t="shared" si="81"/>
        <v>9500</v>
      </c>
      <c r="AB172" s="339">
        <f t="shared" si="82"/>
        <v>10</v>
      </c>
      <c r="AC172" s="339">
        <f t="shared" si="82"/>
        <v>14</v>
      </c>
      <c r="AD172" s="339">
        <f t="shared" si="82"/>
        <v>19</v>
      </c>
      <c r="AE172" s="339">
        <f t="shared" si="82"/>
        <v>19</v>
      </c>
      <c r="AF172" s="336"/>
      <c r="AG172" s="11">
        <v>19</v>
      </c>
      <c r="AH172" s="340">
        <f t="shared" si="83"/>
        <v>12000</v>
      </c>
      <c r="AI172" s="340">
        <f t="shared" si="83"/>
        <v>10500</v>
      </c>
      <c r="AJ172" s="340">
        <f t="shared" si="83"/>
        <v>11500</v>
      </c>
      <c r="AK172" s="340">
        <f t="shared" si="83"/>
        <v>12000</v>
      </c>
      <c r="AL172" s="341">
        <f t="shared" si="84"/>
        <v>19</v>
      </c>
      <c r="AM172" s="341">
        <f t="shared" si="84"/>
        <v>19</v>
      </c>
      <c r="AN172" s="341">
        <f t="shared" si="84"/>
        <v>19</v>
      </c>
      <c r="AO172" s="341">
        <f t="shared" si="84"/>
        <v>19</v>
      </c>
      <c r="AR172" s="2">
        <v>16</v>
      </c>
      <c r="AS172" s="2">
        <f t="shared" si="85"/>
        <v>45013879355.912</v>
      </c>
      <c r="AT172" s="2">
        <f t="shared" si="85"/>
        <v>15107438019.6382</v>
      </c>
      <c r="AU172" s="2">
        <f t="shared" si="85"/>
        <v>3911158251.37804</v>
      </c>
      <c r="AV172" s="2">
        <f t="shared" si="85"/>
        <v>976586400594.002</v>
      </c>
      <c r="AY172" s="2">
        <f t="shared" si="86"/>
        <v>3911158251.37804</v>
      </c>
      <c r="AZ172" s="2">
        <f t="shared" si="86"/>
        <v>976586400594.002</v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>
        <f t="shared" si="85"/>
        <v>3559087746432.67</v>
      </c>
      <c r="AT173" s="2">
        <f t="shared" si="85"/>
        <v>120940558920.914</v>
      </c>
      <c r="AU173" s="2">
        <f t="shared" si="85"/>
        <v>18895456777.6938</v>
      </c>
      <c r="AV173" s="2">
        <f t="shared" si="85"/>
        <v>2057922106822.18</v>
      </c>
      <c r="AY173" s="2">
        <f t="shared" si="86"/>
        <v>18895456777.6938</v>
      </c>
      <c r="AZ173" s="2">
        <f t="shared" si="86"/>
        <v>2057922106822.18</v>
      </c>
    </row>
    <row r="174" ht="19.5" customHeight="1" spans="44:52">
      <c r="AR174" s="2">
        <v>18</v>
      </c>
      <c r="AS174" s="2">
        <f t="shared" ref="AS174:AV176" si="87">IF(AS149="","",(AS149-AS$153)^2)</f>
        <v>7961262263.95205</v>
      </c>
      <c r="AT174" s="2">
        <f t="shared" si="87"/>
        <v>45065486575.2468</v>
      </c>
      <c r="AU174" s="2">
        <f t="shared" si="87"/>
        <v>9402838854.19479</v>
      </c>
      <c r="AV174" s="2">
        <f t="shared" si="87"/>
        <v>31121300148.3811</v>
      </c>
      <c r="AY174" s="2">
        <f t="shared" ref="AY174:AZ176" si="88">IF(AY149="","",(AY149-AY$153)^2)</f>
        <v>9402838854.19479</v>
      </c>
      <c r="AZ174" s="2">
        <f t="shared" si="88"/>
        <v>31121300148.3811</v>
      </c>
    </row>
    <row r="175" ht="19.5" customHeight="1" spans="44:52">
      <c r="AR175" s="2">
        <v>19</v>
      </c>
      <c r="AS175" s="2">
        <f t="shared" si="87"/>
        <v>797580730459.683</v>
      </c>
      <c r="AT175" s="2">
        <f t="shared" si="87"/>
        <v>162824735803.58</v>
      </c>
      <c r="AU175" s="2">
        <f t="shared" si="87"/>
        <v>18895456777.6938</v>
      </c>
      <c r="AV175" s="2">
        <f t="shared" si="87"/>
        <v>1139113832178.02</v>
      </c>
      <c r="AY175" s="2">
        <f t="shared" si="88"/>
        <v>18895456777.6938</v>
      </c>
      <c r="AZ175" s="2">
        <f t="shared" si="88"/>
        <v>1139113832178.02</v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1185083.34294134</v>
      </c>
      <c r="AT178" s="2">
        <f>(SUM(AT157:AT176)/比赛参数!$G$4)^0.5</f>
        <v>298107.534003377</v>
      </c>
      <c r="AU178" s="2">
        <f>(SUM(AU157:AU176)/比赛参数!$G$4)^0.5</f>
        <v>271523.985714596</v>
      </c>
      <c r="AV178" s="2">
        <f>(SUM(AV157:AV176)/比赛参数!$G$4)^0.5</f>
        <v>2539941.4530997</v>
      </c>
      <c r="AY178" s="2">
        <f>(SUM(AY157:AY176)/比赛参数!$G$4)^0.5</f>
        <v>271523.985714596</v>
      </c>
      <c r="AZ178" s="2">
        <f>(SUM(AZ157:AZ176)/比赛参数!$G$4)^0.5</f>
        <v>2539941.4530997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>
        <f t="shared" ref="AS183:AV198" si="89">IF(AS132="","",(AS132-AS$153)/AS$178*AS$181)</f>
        <v>0.199873599244083</v>
      </c>
      <c r="AT183" s="318">
        <f t="shared" si="89"/>
        <v>0.161982444261135</v>
      </c>
      <c r="AU183" s="318">
        <f t="shared" si="89"/>
        <v>-0.0165562152679209</v>
      </c>
      <c r="AV183" s="318">
        <f t="shared" si="89"/>
        <v>0.121890889049748</v>
      </c>
    </row>
    <row r="184" customHeight="1" spans="44:48">
      <c r="AR184" s="347">
        <v>2</v>
      </c>
      <c r="AS184" s="318">
        <f t="shared" si="89"/>
        <v>-0.0267115735198315</v>
      </c>
      <c r="AT184" s="318">
        <f t="shared" si="89"/>
        <v>-0.0755349597746785</v>
      </c>
      <c r="AU184" s="318">
        <f t="shared" si="89"/>
        <v>-0.0607507639315271</v>
      </c>
      <c r="AV184" s="318">
        <f t="shared" si="89"/>
        <v>0.0178508493561137</v>
      </c>
    </row>
    <row r="185" customHeight="1" spans="44:48">
      <c r="AR185" s="347">
        <v>3</v>
      </c>
      <c r="AS185" s="318">
        <f t="shared" si="89"/>
        <v>0.0785801570096867</v>
      </c>
      <c r="AT185" s="318">
        <f t="shared" si="89"/>
        <v>0.0466633701728878</v>
      </c>
      <c r="AU185" s="318">
        <f t="shared" si="89"/>
        <v>-0.0312941044067694</v>
      </c>
      <c r="AV185" s="318">
        <f t="shared" si="89"/>
        <v>0.070630663094103</v>
      </c>
    </row>
    <row r="186" customHeight="1" spans="44:48">
      <c r="AR186" s="347">
        <v>4</v>
      </c>
      <c r="AS186" s="318">
        <f t="shared" si="89"/>
        <v>0.127296453921521</v>
      </c>
      <c r="AT186" s="318">
        <f t="shared" si="89"/>
        <v>0.0766548188287903</v>
      </c>
      <c r="AU186" s="318">
        <f t="shared" si="89"/>
        <v>-0.0120478842754365</v>
      </c>
      <c r="AV186" s="318">
        <f t="shared" si="89"/>
        <v>0.0818000985019067</v>
      </c>
    </row>
    <row r="187" customHeight="1" spans="44:48">
      <c r="AR187" s="347">
        <v>5</v>
      </c>
      <c r="AS187" s="318">
        <f t="shared" si="89"/>
        <v>0.200821367185207</v>
      </c>
      <c r="AT187" s="318">
        <f t="shared" si="89"/>
        <v>0.208030771237817</v>
      </c>
      <c r="AU187" s="318">
        <f t="shared" si="89"/>
        <v>0.116029198522522</v>
      </c>
      <c r="AV187" s="318">
        <f t="shared" si="89"/>
        <v>0.123491999341104</v>
      </c>
    </row>
    <row r="188" customHeight="1" spans="44:48">
      <c r="AR188" s="347">
        <v>6</v>
      </c>
      <c r="AS188" s="318">
        <f t="shared" si="89"/>
        <v>-0.643190283098794</v>
      </c>
      <c r="AT188" s="318">
        <f t="shared" si="89"/>
        <v>-0.162430838091214</v>
      </c>
      <c r="AU188" s="318">
        <f t="shared" si="89"/>
        <v>-0.0607507639315271</v>
      </c>
      <c r="AV188" s="318">
        <f t="shared" si="89"/>
        <v>-0.608638508994281</v>
      </c>
    </row>
    <row r="189" customHeight="1" spans="44:48">
      <c r="AR189" s="347">
        <v>7</v>
      </c>
      <c r="AS189" s="318">
        <f t="shared" si="89"/>
        <v>0.0716896070339081</v>
      </c>
      <c r="AT189" s="318">
        <f t="shared" si="89"/>
        <v>0.0289094344406226</v>
      </c>
      <c r="AU189" s="318">
        <f t="shared" si="89"/>
        <v>-0.0607507639315271</v>
      </c>
      <c r="AV189" s="318">
        <f t="shared" si="89"/>
        <v>0.0665870070533442</v>
      </c>
    </row>
    <row r="190" customHeight="1" spans="44:48">
      <c r="AR190" s="347">
        <v>8</v>
      </c>
      <c r="AS190" s="318">
        <f t="shared" si="89"/>
        <v>0.109500208513452</v>
      </c>
      <c r="AT190" s="318">
        <f t="shared" si="89"/>
        <v>0.0837051780457304</v>
      </c>
      <c r="AU190" s="318">
        <f t="shared" si="89"/>
        <v>0.460202637764197</v>
      </c>
      <c r="AV190" s="318">
        <f t="shared" si="89"/>
        <v>0.0181876375915103</v>
      </c>
    </row>
    <row r="191" customHeight="1" spans="44:48">
      <c r="AR191" s="347">
        <v>9</v>
      </c>
      <c r="AS191" s="318">
        <f t="shared" si="89"/>
        <v>0.0518124278124582</v>
      </c>
      <c r="AT191" s="318">
        <f t="shared" si="89"/>
        <v>0.00810932678574615</v>
      </c>
      <c r="AU191" s="318">
        <f t="shared" si="89"/>
        <v>-0.0607507639315271</v>
      </c>
      <c r="AV191" s="318">
        <f t="shared" si="89"/>
        <v>0.0563428710838927</v>
      </c>
    </row>
    <row r="192" customHeight="1" spans="44:48">
      <c r="AR192" s="347">
        <v>10</v>
      </c>
      <c r="AS192" s="318">
        <f t="shared" si="89"/>
        <v>0.162797874349538</v>
      </c>
      <c r="AT192" s="318">
        <f t="shared" si="89"/>
        <v>0.106543869535905</v>
      </c>
      <c r="AU192" s="318">
        <f t="shared" si="89"/>
        <v>-0.0607507639315271</v>
      </c>
      <c r="AV192" s="318">
        <f t="shared" si="89"/>
        <v>0.101991033193497</v>
      </c>
    </row>
    <row r="193" customHeight="1" spans="44:48">
      <c r="AR193" s="347">
        <v>11</v>
      </c>
      <c r="AS193" s="318">
        <f t="shared" si="89"/>
        <v>0.157799984508897</v>
      </c>
      <c r="AT193" s="318">
        <f t="shared" si="89"/>
        <v>0.166238641288297</v>
      </c>
      <c r="AU193" s="318">
        <f t="shared" si="89"/>
        <v>0.0837198672606378</v>
      </c>
      <c r="AV193" s="318">
        <f t="shared" si="89"/>
        <v>0.109765356643316</v>
      </c>
    </row>
    <row r="194" customHeight="1" spans="44:48">
      <c r="AR194" s="347">
        <v>12</v>
      </c>
      <c r="AS194" s="318">
        <f t="shared" si="89"/>
        <v>-0.160557030841268</v>
      </c>
      <c r="AT194" s="318">
        <f t="shared" si="89"/>
        <v>-0.0947986070997908</v>
      </c>
      <c r="AU194" s="318">
        <f t="shared" si="89"/>
        <v>-0.0607507639315271</v>
      </c>
      <c r="AV194" s="318">
        <f t="shared" si="89"/>
        <v>-0.0109559318044157</v>
      </c>
    </row>
    <row r="195" customHeight="1" spans="44:48">
      <c r="AR195" s="347">
        <v>13</v>
      </c>
      <c r="AS195" s="318">
        <f t="shared" si="89"/>
        <v>0.120823945430294</v>
      </c>
      <c r="AT195" s="318">
        <f t="shared" si="89"/>
        <v>0.084119986750292</v>
      </c>
      <c r="AU195" s="318">
        <f t="shared" si="89"/>
        <v>-0.0602817622716374</v>
      </c>
      <c r="AV195" s="318">
        <f t="shared" si="89"/>
        <v>0.0915481216186537</v>
      </c>
    </row>
    <row r="196" customHeight="1" spans="44:48">
      <c r="AR196" s="347">
        <v>14</v>
      </c>
      <c r="AS196" s="318">
        <f t="shared" si="89"/>
        <v>-0.0672616835911859</v>
      </c>
      <c r="AT196" s="318">
        <f t="shared" si="89"/>
        <v>-0.137366088134525</v>
      </c>
      <c r="AU196" s="318">
        <f t="shared" si="89"/>
        <v>0.0222010237005048</v>
      </c>
      <c r="AV196" s="318">
        <f t="shared" si="89"/>
        <v>-0.0230433751439196</v>
      </c>
    </row>
    <row r="197" ht="19.5" customHeight="1" spans="44:48">
      <c r="AR197" s="347">
        <v>15</v>
      </c>
      <c r="AS197" s="318">
        <f t="shared" si="89"/>
        <v>0.0349634744296172</v>
      </c>
      <c r="AT197" s="318">
        <f t="shared" si="89"/>
        <v>-0.162430838091214</v>
      </c>
      <c r="AU197" s="318">
        <f t="shared" si="89"/>
        <v>-0.0607507639315271</v>
      </c>
      <c r="AV197" s="318">
        <f t="shared" si="89"/>
        <v>-0.133213537238997</v>
      </c>
    </row>
    <row r="198" ht="19.5" customHeight="1" spans="44:48">
      <c r="AR198" s="347">
        <v>16</v>
      </c>
      <c r="AS198" s="318">
        <f t="shared" si="89"/>
        <v>0.035805877629313</v>
      </c>
      <c r="AT198" s="318">
        <f t="shared" si="89"/>
        <v>0.0494770394174581</v>
      </c>
      <c r="AU198" s="318">
        <f t="shared" si="89"/>
        <v>0.0276392172954975</v>
      </c>
      <c r="AV198" s="318">
        <f t="shared" si="89"/>
        <v>0.0622517568897777</v>
      </c>
    </row>
    <row r="199" ht="19.5" customHeight="1" spans="44:48">
      <c r="AR199" s="347">
        <v>17</v>
      </c>
      <c r="AS199" s="318">
        <f t="shared" ref="AS199:AV202" si="90">IF(AS148="","",(AS148-AS$153)/AS$178*AS$181)</f>
        <v>-0.318383424329998</v>
      </c>
      <c r="AT199" s="318">
        <f>IF(AT148="","",(AT148-AT$153)/AT$178*AT$181)</f>
        <v>-0.13998911878893</v>
      </c>
      <c r="AU199" s="318">
        <f>IF(AU148="","",(AU148-AU$153)/AU$178*AU$181)</f>
        <v>-0.0607507639315271</v>
      </c>
      <c r="AV199" s="318">
        <f>IF(AV148="","",(AV148-AV$153)/AV$178*AV$181)</f>
        <v>-0.0903671827030728</v>
      </c>
    </row>
    <row r="200" ht="19.5" customHeight="1" spans="44:48">
      <c r="AR200" s="347">
        <v>18</v>
      </c>
      <c r="AS200" s="318">
        <f t="shared" si="90"/>
        <v>0.015058165541002</v>
      </c>
      <c r="AT200" s="318">
        <f t="shared" si="90"/>
        <v>-0.0854535926931155</v>
      </c>
      <c r="AU200" s="318">
        <f t="shared" si="90"/>
        <v>-0.0428551029378515</v>
      </c>
      <c r="AV200" s="318">
        <f t="shared" si="90"/>
        <v>0.0111128420768065</v>
      </c>
    </row>
    <row r="201" ht="19.5" customHeight="1" spans="44:48">
      <c r="AR201" s="347">
        <v>19</v>
      </c>
      <c r="AS201" s="318">
        <f t="shared" si="90"/>
        <v>-0.150719147227898</v>
      </c>
      <c r="AT201" s="318">
        <f t="shared" si="90"/>
        <v>-0.162430838091214</v>
      </c>
      <c r="AU201" s="318">
        <f t="shared" si="90"/>
        <v>-0.0607507639315271</v>
      </c>
      <c r="AV201" s="318">
        <f t="shared" si="90"/>
        <v>-0.0672325896090903</v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104</v>
      </c>
      <c r="Z231" s="65">
        <f>G25</f>
        <v>104</v>
      </c>
      <c r="AA231" s="65">
        <f>G26</f>
        <v>142</v>
      </c>
      <c r="AB231" s="65">
        <f>G27</f>
        <v>142</v>
      </c>
      <c r="AC231" s="65">
        <f>G28</f>
        <v>117</v>
      </c>
      <c r="AD231" s="65">
        <f>G29</f>
        <v>110</v>
      </c>
      <c r="AE231" s="65">
        <f>G30</f>
        <v>165</v>
      </c>
      <c r="AF231" s="65">
        <f>G31</f>
        <v>160</v>
      </c>
      <c r="AG231" s="65">
        <f>G32</f>
        <v>25</v>
      </c>
      <c r="AH231" s="65">
        <f>G33</f>
        <v>25</v>
      </c>
      <c r="AI231" s="65">
        <f>G34</f>
        <v>41</v>
      </c>
      <c r="AJ231" s="65">
        <f>G35</f>
        <v>38</v>
      </c>
      <c r="AK231" s="65">
        <f>G36</f>
        <v>33</v>
      </c>
      <c r="AL231" s="65">
        <f>G37</f>
        <v>34</v>
      </c>
      <c r="AM231" s="65">
        <f>G38</f>
        <v>47</v>
      </c>
      <c r="AN231" s="65">
        <f>G39</f>
        <v>47</v>
      </c>
    </row>
    <row r="232" customHeight="1" spans="24:40">
      <c r="X232" s="11" t="s">
        <v>406</v>
      </c>
      <c r="Y232" s="65">
        <f t="shared" ref="Y232:AF232" si="91">INT(Y231/DS37+0.5)</f>
        <v>1459</v>
      </c>
      <c r="Z232" s="65">
        <f t="shared" si="91"/>
        <v>1467</v>
      </c>
      <c r="AA232" s="65">
        <f t="shared" si="91"/>
        <v>2017</v>
      </c>
      <c r="AB232" s="65">
        <f t="shared" si="91"/>
        <v>2088</v>
      </c>
      <c r="AC232" s="65">
        <f t="shared" si="91"/>
        <v>1141</v>
      </c>
      <c r="AD232" s="65">
        <f t="shared" si="91"/>
        <v>1155</v>
      </c>
      <c r="AE232" s="65">
        <f t="shared" si="91"/>
        <v>1512</v>
      </c>
      <c r="AF232" s="65">
        <f t="shared" si="91"/>
        <v>1531</v>
      </c>
      <c r="AG232" s="65">
        <f t="shared" ref="AG232:AN232" si="92">IF(EA37&gt;0,INT(AG231/EA37+0.5),0)</f>
        <v>646</v>
      </c>
      <c r="AH232" s="65">
        <f t="shared" si="92"/>
        <v>649</v>
      </c>
      <c r="AI232" s="65">
        <f t="shared" si="92"/>
        <v>893</v>
      </c>
      <c r="AJ232" s="65">
        <f t="shared" si="92"/>
        <v>900</v>
      </c>
      <c r="AK232" s="65">
        <f t="shared" si="92"/>
        <v>665</v>
      </c>
      <c r="AL232" s="65">
        <f t="shared" si="92"/>
        <v>679</v>
      </c>
      <c r="AM232" s="65">
        <f t="shared" si="92"/>
        <v>690</v>
      </c>
      <c r="AN232" s="65">
        <f t="shared" si="92"/>
        <v>681</v>
      </c>
    </row>
    <row r="233" customHeight="1" spans="24:40">
      <c r="X233" s="11" t="s">
        <v>407</v>
      </c>
      <c r="Y233" s="113">
        <f>SUM(AB131:AB150)/比赛参数!$G$4</f>
        <v>76.7894736842105</v>
      </c>
      <c r="Z233" s="113">
        <f>SUM(AC131:AC150)/比赛参数!$G$4</f>
        <v>77.1578947368421</v>
      </c>
      <c r="AA233" s="113">
        <f>SUM(AD131:AD150)/比赛参数!$G$4</f>
        <v>106.210526315789</v>
      </c>
      <c r="AB233" s="113">
        <f>SUM(AE131:AE150)/比赛参数!$G$4</f>
        <v>109.894736842105</v>
      </c>
      <c r="AC233" s="113">
        <f>SUM(AL131:AL150)/比赛参数!$G$4</f>
        <v>60.0526315789474</v>
      </c>
      <c r="AD233" s="113">
        <f>SUM(AM131:AM150)/比赛参数!$G$4</f>
        <v>60.8421052631579</v>
      </c>
      <c r="AE233" s="113">
        <f>SUM(AN131:AN150)/比赛参数!$G$4</f>
        <v>79.5789473684211</v>
      </c>
      <c r="AF233" s="113">
        <f>SUM(AO131:AO150)/比赛参数!$G$4</f>
        <v>80.5789473684211</v>
      </c>
      <c r="AG233" s="113">
        <f>SUM(AB154:AB173)/比赛参数!$G$4</f>
        <v>34</v>
      </c>
      <c r="AH233" s="113">
        <f>SUM(AC154:AC173)/比赛参数!$G$4</f>
        <v>34.2105263157895</v>
      </c>
      <c r="AI233" s="113">
        <f>SUM(AD154:AD173)/比赛参数!$G$4</f>
        <v>47.0526315789474</v>
      </c>
      <c r="AJ233" s="113">
        <f>SUM(AE154:AE173)/比赛参数!$G$4</f>
        <v>47.3684210526316</v>
      </c>
      <c r="AK233" s="113">
        <f>SUM(AL154:AL173)/比赛参数!$G$4</f>
        <v>35</v>
      </c>
      <c r="AL233" s="113">
        <f>SUM(AM154:AM173)/比赛参数!$G$4</f>
        <v>35.7368421052632</v>
      </c>
      <c r="AM233" s="113">
        <f>SUM(AN154:AN173)/比赛参数!$G$4</f>
        <v>36.3157894736842</v>
      </c>
      <c r="AN233" s="113">
        <f>SUM(AO154:AO173)/比赛参数!$G$4</f>
        <v>35.8421052631579</v>
      </c>
    </row>
    <row r="234" customHeight="1" spans="24:40">
      <c r="X234" s="11" t="s">
        <v>408</v>
      </c>
      <c r="Y234" s="304">
        <f t="shared" ref="Y234:AN234" si="93">SUMPRODUCT(D50:D69,D73:D92)</f>
        <v>3260.1973</v>
      </c>
      <c r="Z234" s="304">
        <f t="shared" si="93"/>
        <v>3268.5908</v>
      </c>
      <c r="AA234" s="304">
        <f t="shared" si="93"/>
        <v>3466.439</v>
      </c>
      <c r="AB234" s="304">
        <f t="shared" si="93"/>
        <v>3501.4147</v>
      </c>
      <c r="AC234" s="304">
        <f t="shared" si="93"/>
        <v>6471.6551</v>
      </c>
      <c r="AD234" s="304">
        <f t="shared" si="93"/>
        <v>6488.6343</v>
      </c>
      <c r="AE234" s="304">
        <f t="shared" si="93"/>
        <v>6826.8798</v>
      </c>
      <c r="AF234" s="304">
        <f t="shared" si="93"/>
        <v>6879.3249</v>
      </c>
      <c r="AG234" s="304">
        <f t="shared" si="93"/>
        <v>9500.4266</v>
      </c>
      <c r="AH234" s="304">
        <f t="shared" si="93"/>
        <v>9527.2782</v>
      </c>
      <c r="AI234" s="304">
        <f t="shared" si="93"/>
        <v>9779.915</v>
      </c>
      <c r="AJ234" s="304">
        <f t="shared" si="93"/>
        <v>9826.5233</v>
      </c>
      <c r="AK234" s="304">
        <f t="shared" si="93"/>
        <v>12471.6389</v>
      </c>
      <c r="AL234" s="304">
        <f t="shared" si="93"/>
        <v>12473.0315</v>
      </c>
      <c r="AM234" s="304">
        <f t="shared" si="93"/>
        <v>13335.5882</v>
      </c>
      <c r="AN234" s="304">
        <f t="shared" si="93"/>
        <v>13441.7045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-60.1973000000003</v>
      </c>
      <c r="Z235" s="113">
        <f t="shared" si="94"/>
        <v>-68.5908000000004</v>
      </c>
      <c r="AA235" s="113">
        <f t="shared" si="94"/>
        <v>-16.4389999999999</v>
      </c>
      <c r="AB235" s="113">
        <f t="shared" si="94"/>
        <v>48.5852999999997</v>
      </c>
      <c r="AC235" s="113">
        <f t="shared" si="94"/>
        <v>-121.6551</v>
      </c>
      <c r="AD235" s="113">
        <f t="shared" si="94"/>
        <v>-138.634299999999</v>
      </c>
      <c r="AE235" s="113">
        <f t="shared" si="94"/>
        <v>-276.879800000002</v>
      </c>
      <c r="AF235" s="113">
        <f t="shared" si="94"/>
        <v>-229.324900000001</v>
      </c>
      <c r="AG235" s="113">
        <f t="shared" si="94"/>
        <v>549.573399999999</v>
      </c>
      <c r="AH235" s="113">
        <f t="shared" si="94"/>
        <v>522.721799999998</v>
      </c>
      <c r="AI235" s="113">
        <f t="shared" si="94"/>
        <v>470.085000000001</v>
      </c>
      <c r="AJ235" s="113">
        <f t="shared" si="94"/>
        <v>523.476699999999</v>
      </c>
      <c r="AK235" s="113">
        <f t="shared" si="94"/>
        <v>578.361099999998</v>
      </c>
      <c r="AL235" s="113">
        <f t="shared" si="94"/>
        <v>576.968500000001</v>
      </c>
      <c r="AM235" s="113">
        <f t="shared" si="94"/>
        <v>114.411800000002</v>
      </c>
      <c r="AN235" s="113">
        <f t="shared" si="94"/>
        <v>158.295500000004</v>
      </c>
    </row>
    <row r="236" customHeight="1" spans="24:40">
      <c r="X236" s="2" t="s">
        <v>410</v>
      </c>
      <c r="Y236" s="114">
        <f t="shared" ref="Y236:AN236" si="95">Y235/Y234</f>
        <v>-0.0184643119605063</v>
      </c>
      <c r="Z236" s="114">
        <f t="shared" si="95"/>
        <v>-0.0209848231843522</v>
      </c>
      <c r="AA236" s="114">
        <f t="shared" si="95"/>
        <v>-0.00474233067421635</v>
      </c>
      <c r="AB236" s="114">
        <f t="shared" si="95"/>
        <v>0.0138759056446526</v>
      </c>
      <c r="AC236" s="114">
        <f t="shared" si="95"/>
        <v>-0.0187981433064936</v>
      </c>
      <c r="AD236" s="114">
        <f t="shared" si="95"/>
        <v>-0.0213657132749797</v>
      </c>
      <c r="AE236" s="114">
        <f t="shared" si="95"/>
        <v>-0.0405572982257578</v>
      </c>
      <c r="AF236" s="114">
        <f t="shared" si="95"/>
        <v>-0.033335378592164</v>
      </c>
      <c r="AG236" s="114">
        <f t="shared" si="95"/>
        <v>0.0578472339336845</v>
      </c>
      <c r="AH236" s="114">
        <f t="shared" si="95"/>
        <v>0.0548658062698324</v>
      </c>
      <c r="AI236" s="114">
        <f t="shared" si="95"/>
        <v>0.0480663686749835</v>
      </c>
      <c r="AJ236" s="114">
        <f t="shared" si="95"/>
        <v>0.0532718118116098</v>
      </c>
      <c r="AK236" s="114">
        <f t="shared" si="95"/>
        <v>0.046374105651824</v>
      </c>
      <c r="AL236" s="114">
        <f t="shared" si="95"/>
        <v>0.0462572791546306</v>
      </c>
      <c r="AM236" s="114">
        <f t="shared" si="95"/>
        <v>0.00857943408900417</v>
      </c>
      <c r="AN236" s="114">
        <f t="shared" si="95"/>
        <v>0.0117764454649337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(第十三期!#REF!-$BE$54)&lt;0</formula>
    </cfRule>
  </conditionalFormatting>
  <conditionalFormatting sqref="BF132:BF133">
    <cfRule type="expression" dxfId="6" priority="26" stopIfTrue="1">
      <formula>(第十三期!#REF!-$BF$54)&lt;0</formula>
    </cfRule>
  </conditionalFormatting>
  <conditionalFormatting sqref="BG132:BG133">
    <cfRule type="expression" dxfId="6" priority="25" stopIfTrue="1">
      <formula>(第十三期!#REF!-$BG$54)&lt;0</formula>
    </cfRule>
  </conditionalFormatting>
  <conditionalFormatting sqref="BH132:BH133">
    <cfRule type="expression" dxfId="6" priority="24" stopIfTrue="1">
      <formula>(第十三期!#REF!-$BH$54)&lt;0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2"/>
  </sheetPr>
  <dimension ref="A1:EH236"/>
  <sheetViews>
    <sheetView tabSelected="1" zoomScale="55" zoomScaleNormal="55" topLeftCell="S57" workbookViewId="0">
      <selection activeCell="AC64" sqref="AC64"/>
    </sheetView>
  </sheetViews>
  <sheetFormatPr defaultColWidth="9" defaultRowHeight="18" customHeight="1"/>
  <cols>
    <col min="1" max="1" width="9" style="1"/>
    <col min="2" max="2" width="2.4" style="2" customWidth="1"/>
    <col min="3" max="3" width="11.7" style="2"/>
    <col min="4" max="4" width="16.7" style="2"/>
    <col min="5" max="5" width="9.4" style="2" customWidth="1"/>
    <col min="6" max="6" width="13" style="2"/>
    <col min="7" max="18" width="9.4" style="2" customWidth="1"/>
    <col min="19" max="19" width="9.2" style="2"/>
    <col min="20" max="20" width="9" style="2"/>
    <col min="21" max="21" width="9" style="1"/>
    <col min="22" max="22" width="10.4" style="3" customWidth="1"/>
    <col min="23" max="29" width="13.6" style="2" customWidth="1"/>
    <col min="30" max="30" width="8.6" style="2" customWidth="1"/>
    <col min="31" max="33" width="13.6" style="2" customWidth="1"/>
    <col min="34" max="34" width="15.2" style="2" customWidth="1"/>
    <col min="35" max="36" width="13.6" style="2" customWidth="1"/>
    <col min="37" max="37" width="17.1" style="2" customWidth="1"/>
    <col min="38" max="41" width="13.6" style="2" customWidth="1"/>
    <col min="42" max="42" width="9" style="1"/>
    <col min="43" max="67" width="13.6" style="2" customWidth="1"/>
    <col min="68" max="68" width="9" style="1"/>
    <col min="69" max="76" width="13.6" style="2" customWidth="1"/>
    <col min="77" max="77" width="9" style="1"/>
    <col min="78" max="80" width="13.6" style="2" customWidth="1"/>
    <col min="81" max="134" width="9" style="2"/>
    <col min="135" max="135" width="11.6" style="2" customWidth="1"/>
    <col min="136" max="137" width="9" style="2"/>
    <col min="138" max="138" width="10" style="2"/>
    <col min="139" max="16384" width="9" style="2"/>
  </cols>
  <sheetData>
    <row r="1" customHeight="1" spans="1:77">
      <c r="A1" s="2"/>
      <c r="U1" s="2"/>
      <c r="AP1" s="2"/>
      <c r="BP1" s="2"/>
      <c r="BY1" s="2"/>
    </row>
    <row r="2" ht="60.75" customHeight="1" spans="2:76">
      <c r="B2" s="4" t="s">
        <v>134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V2" s="4" t="s">
        <v>135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4" t="s">
        <v>136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Q2" s="4" t="s">
        <v>137</v>
      </c>
      <c r="BR2" s="4"/>
      <c r="BS2" s="4"/>
      <c r="BT2" s="4"/>
      <c r="BU2" s="4"/>
      <c r="BV2" s="4"/>
      <c r="BW2" s="4"/>
      <c r="BX2" s="4"/>
    </row>
    <row r="3" customHeight="1" spans="3:67">
      <c r="C3" s="6"/>
      <c r="D3" s="6"/>
      <c r="E3" s="6"/>
      <c r="X3" s="42" t="s">
        <v>138</v>
      </c>
      <c r="Y3" s="42" t="s">
        <v>139</v>
      </c>
      <c r="Z3" s="42" t="s">
        <v>140</v>
      </c>
      <c r="AB3" s="66" t="s">
        <v>141</v>
      </c>
      <c r="AC3" s="66" t="s">
        <v>142</v>
      </c>
      <c r="AE3" s="42" t="s">
        <v>143</v>
      </c>
      <c r="AF3" s="42" t="s">
        <v>144</v>
      </c>
      <c r="AG3" s="42" t="s">
        <v>145</v>
      </c>
      <c r="AH3" s="42" t="s">
        <v>146</v>
      </c>
      <c r="AJ3" s="42" t="s">
        <v>147</v>
      </c>
      <c r="AK3" s="42" t="s">
        <v>148</v>
      </c>
      <c r="AL3" s="42" t="s">
        <v>149</v>
      </c>
      <c r="AM3" s="42" t="s">
        <v>142</v>
      </c>
      <c r="AN3" s="42" t="s">
        <v>150</v>
      </c>
      <c r="AO3" s="42" t="s">
        <v>151</v>
      </c>
      <c r="AQ3" s="5"/>
      <c r="AR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</row>
    <row r="4" customHeight="1" spans="2:67">
      <c r="B4" s="7"/>
      <c r="C4" s="8" t="s">
        <v>162</v>
      </c>
      <c r="D4" s="9">
        <v>443</v>
      </c>
      <c r="E4" s="9"/>
      <c r="F4" s="10"/>
      <c r="G4" s="11" t="s">
        <v>153</v>
      </c>
      <c r="H4" s="12">
        <v>993843</v>
      </c>
      <c r="W4" s="43">
        <f>AC4-X4</f>
        <v>75.5</v>
      </c>
      <c r="X4" s="32">
        <f>SUM(AF70:AF73)</f>
        <v>587</v>
      </c>
      <c r="Y4" s="67" t="e">
        <f>AVERAGE(Y76:Y79)</f>
        <v>#DIV/0!</v>
      </c>
      <c r="Z4" s="67">
        <f>1/比赛参数!$G$4</f>
        <v>0.0526315789473684</v>
      </c>
      <c r="AA4" s="68">
        <f>(AC4-X4)/X4</f>
        <v>0.128620102214651</v>
      </c>
      <c r="AB4" s="69" t="e">
        <f>SUM(Y232:AB232)/比赛参数!$G$4</f>
        <v>#DIV/0!</v>
      </c>
      <c r="AC4" s="70">
        <f>AN4+SUM(Y57:Y60)-SUM(AF57:AF60)-SUM(Y108:Y111)</f>
        <v>662.5</v>
      </c>
      <c r="AD4" s="2">
        <v>571</v>
      </c>
      <c r="AE4" s="71">
        <f>DK29</f>
        <v>13.5700718390805</v>
      </c>
      <c r="AF4" s="72">
        <f>DK41</f>
        <v>19.480933908046</v>
      </c>
      <c r="AG4" s="71">
        <f>DQ29</f>
        <v>11.3083931992337</v>
      </c>
      <c r="AH4" s="77">
        <f>DK35*15</f>
        <v>10.4645389791982</v>
      </c>
      <c r="AJ4" s="72">
        <f>DD29</f>
        <v>5.87776414677276</v>
      </c>
      <c r="AK4" s="77">
        <f>DD35*15</f>
        <v>3.24702616659008</v>
      </c>
      <c r="AL4" s="132">
        <f>CJ24/比赛参数!D26</f>
        <v>19.6793070338823</v>
      </c>
      <c r="AM4" s="32">
        <f>AF68</f>
        <v>662</v>
      </c>
      <c r="AN4" s="32">
        <f>Y93</f>
        <v>696.5</v>
      </c>
      <c r="AO4" s="32">
        <f>AC9+D42-Y92</f>
        <v>178</v>
      </c>
      <c r="AQ4" s="5"/>
      <c r="AR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customHeight="1" spans="2:128">
      <c r="B5" s="7"/>
      <c r="C5" s="8" t="s">
        <v>154</v>
      </c>
      <c r="D5" s="9">
        <v>338</v>
      </c>
      <c r="E5" s="9"/>
      <c r="F5" s="10"/>
      <c r="G5" s="11" t="s">
        <v>155</v>
      </c>
      <c r="H5" s="13">
        <v>437570.45</v>
      </c>
      <c r="M5" s="27"/>
      <c r="N5" s="28"/>
      <c r="O5" s="29"/>
      <c r="P5" s="29"/>
      <c r="Q5" s="44"/>
      <c r="W5" s="43">
        <f>AC5-X5</f>
        <v>61</v>
      </c>
      <c r="X5" s="32">
        <f>SUM(AG70:AG73)</f>
        <v>505</v>
      </c>
      <c r="Y5" s="67" t="e">
        <f>AVERAGE(Z76:Z79)</f>
        <v>#DIV/0!</v>
      </c>
      <c r="Z5" s="67">
        <f>1/比赛参数!$G$4</f>
        <v>0.0526315789473684</v>
      </c>
      <c r="AA5" s="68">
        <f>(AC5-X5)/X5</f>
        <v>0.120792079207921</v>
      </c>
      <c r="AB5" s="69" t="e">
        <f>SUM(AC232:AF232)/比赛参数!$G$4</f>
        <v>#DIV/0!</v>
      </c>
      <c r="AC5" s="70">
        <f>AN5+SUM(Z57:Z60)-SUM(AG57:AG60)-SUM(Z108:Z111)</f>
        <v>566</v>
      </c>
      <c r="AD5" s="2">
        <v>679.25</v>
      </c>
      <c r="AE5" s="71">
        <f>DK30</f>
        <v>11.604966442953</v>
      </c>
      <c r="AF5" s="72">
        <f>DK42</f>
        <v>14.4232214765101</v>
      </c>
      <c r="AG5" s="71">
        <f>DQ30</f>
        <v>19.341610738255</v>
      </c>
      <c r="AH5" s="77">
        <f>DK36*15</f>
        <v>12.0746828889143</v>
      </c>
      <c r="AJ5" s="72">
        <f>DD30</f>
        <v>3.91265875064533</v>
      </c>
      <c r="AK5" s="77">
        <f>DD36*15</f>
        <v>2.65354838992901</v>
      </c>
      <c r="AL5" s="132">
        <f>CK24/比赛参数!E26</f>
        <v>16.4445017475734</v>
      </c>
      <c r="AM5" s="32">
        <f>AG68</f>
        <v>566</v>
      </c>
      <c r="AN5" s="32">
        <f>Z93</f>
        <v>596</v>
      </c>
      <c r="AO5" s="32">
        <f>AC10+D43-Z92</f>
        <v>154</v>
      </c>
      <c r="AQ5" s="5"/>
      <c r="AR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DT5" s="196" t="s">
        <v>156</v>
      </c>
      <c r="DU5" s="195" t="s">
        <v>157</v>
      </c>
      <c r="DV5" s="196" t="s">
        <v>158</v>
      </c>
      <c r="DW5" s="196" t="s">
        <v>159</v>
      </c>
      <c r="DX5" s="196" t="s">
        <v>160</v>
      </c>
    </row>
    <row r="6" customHeight="1" spans="2:128">
      <c r="B6" s="7"/>
      <c r="C6" s="8" t="s">
        <v>161</v>
      </c>
      <c r="D6" s="14">
        <v>420842</v>
      </c>
      <c r="E6" s="9"/>
      <c r="F6" s="10"/>
      <c r="M6" s="30"/>
      <c r="N6" s="31" t="s">
        <v>162</v>
      </c>
      <c r="O6" s="32">
        <f>K8+Y18-AA18</f>
        <v>448</v>
      </c>
      <c r="P6" s="33" t="s">
        <v>163</v>
      </c>
      <c r="Q6" s="32">
        <f>AH15</f>
        <v>1210339</v>
      </c>
      <c r="W6" s="43">
        <f>AC6-X6</f>
        <v>-49.75</v>
      </c>
      <c r="X6" s="32">
        <f>SUM(AH70:AH73)</f>
        <v>258</v>
      </c>
      <c r="Y6" s="67" t="e">
        <f>AVERAGE(AA76:AA79)</f>
        <v>#DIV/0!</v>
      </c>
      <c r="Z6" s="67">
        <f>1/比赛参数!$G$4</f>
        <v>0.0526315789473684</v>
      </c>
      <c r="AA6" s="68">
        <f>(AC6-X6)/X6</f>
        <v>-0.192829457364341</v>
      </c>
      <c r="AB6" s="69">
        <f>SUM(AG232:AJ232)/比赛参数!$G$4</f>
        <v>0</v>
      </c>
      <c r="AC6" s="70">
        <f>AN6+SUM(AA57:AA60)-SUM(AH57:AH60)-SUM(AA108:AA111)</f>
        <v>208.25</v>
      </c>
      <c r="AD6" s="2">
        <v>294</v>
      </c>
      <c r="AE6" s="71">
        <f>DK31</f>
        <v>13.2398358281024</v>
      </c>
      <c r="AF6" s="72">
        <f>DK43</f>
        <v>12.9479961371318</v>
      </c>
      <c r="AG6" s="71">
        <f>DQ31</f>
        <v>31.4446100917431</v>
      </c>
      <c r="AH6" s="77">
        <f>DK37*15</f>
        <v>15.3449897239064</v>
      </c>
      <c r="AJ6" s="72">
        <f>DD31</f>
        <v>5.54752813579467</v>
      </c>
      <c r="AK6" s="77">
        <f>DD37*15</f>
        <v>4.03255386196015</v>
      </c>
      <c r="AL6" s="132">
        <f>CL24/比赛参数!F26</f>
        <v>16.6592701301478</v>
      </c>
      <c r="AM6" s="32">
        <f>AH68</f>
        <v>208</v>
      </c>
      <c r="AN6" s="32">
        <f>AA93</f>
        <v>218.25</v>
      </c>
      <c r="AO6" s="32">
        <f>AC11+D44-AA92</f>
        <v>53</v>
      </c>
      <c r="AR6" s="11" t="s">
        <v>99</v>
      </c>
      <c r="BR6" s="194" t="s">
        <v>164</v>
      </c>
      <c r="BS6" s="195" t="s">
        <v>55</v>
      </c>
      <c r="BT6" s="196" t="s">
        <v>56</v>
      </c>
      <c r="BU6" s="196" t="s">
        <v>57</v>
      </c>
      <c r="BV6" s="196" t="s">
        <v>58</v>
      </c>
      <c r="BW6" s="199" t="s">
        <v>165</v>
      </c>
      <c r="DT6" s="249" t="s">
        <v>21</v>
      </c>
      <c r="DU6" s="250">
        <v>1</v>
      </c>
      <c r="DV6" s="251">
        <f t="shared" ref="DV6:DV21" si="0">F24</f>
        <v>115</v>
      </c>
      <c r="DW6" s="251">
        <f t="shared" ref="DW6:DX21" si="1">I24</f>
        <v>0</v>
      </c>
      <c r="DX6" s="251">
        <f t="shared" si="1"/>
        <v>0</v>
      </c>
    </row>
    <row r="7" customHeight="1" spans="2:128">
      <c r="B7" s="7"/>
      <c r="C7" s="8" t="s">
        <v>189</v>
      </c>
      <c r="D7" s="14">
        <v>6115713.98217115</v>
      </c>
      <c r="E7" s="9"/>
      <c r="F7" s="10"/>
      <c r="M7" s="30"/>
      <c r="N7" s="31" t="s">
        <v>154</v>
      </c>
      <c r="O7" s="32"/>
      <c r="P7" s="33" t="s">
        <v>167</v>
      </c>
      <c r="Q7" s="32">
        <f>BS58</f>
        <v>487262.6</v>
      </c>
      <c r="W7" s="43">
        <f>AC7-X7</f>
        <v>23.5</v>
      </c>
      <c r="X7" s="32">
        <f>SUM(AI70:AI73)</f>
        <v>215</v>
      </c>
      <c r="Y7" s="67" t="e">
        <f>AVERAGE(AB76:AB79)</f>
        <v>#DIV/0!</v>
      </c>
      <c r="Z7" s="67">
        <f>1/比赛参数!$G$4</f>
        <v>0.0526315789473684</v>
      </c>
      <c r="AA7" s="68">
        <f>(AC7-X7)/X7</f>
        <v>0.109302325581395</v>
      </c>
      <c r="AB7" s="69">
        <f>SUM(AK232:AN232)/比赛参数!$G$4</f>
        <v>0</v>
      </c>
      <c r="AC7" s="70">
        <f>AN7+SUM(AB57:AB60)-SUM(AI57:AI60)-SUM(AB108:AB111)</f>
        <v>238.5</v>
      </c>
      <c r="AE7" s="71">
        <f>DK32</f>
        <v>13.2680769230769</v>
      </c>
      <c r="AF7" s="72">
        <f>DK44</f>
        <v>12.1911538461538</v>
      </c>
      <c r="AG7" s="71">
        <f>DQ32</f>
        <v>38.33</v>
      </c>
      <c r="AH7" s="77">
        <f>DK38*15</f>
        <v>16.3291336556129</v>
      </c>
      <c r="AJ7" s="72">
        <f>DD32</f>
        <v>5.57576923076923</v>
      </c>
      <c r="AK7" s="77">
        <f>DD38*15</f>
        <v>4.20567583415166</v>
      </c>
      <c r="AL7" s="132">
        <f>CM24/比赛参数!G26</f>
        <v>16.0943398000383</v>
      </c>
      <c r="AM7" s="32">
        <f>AI68</f>
        <v>238</v>
      </c>
      <c r="AN7" s="32">
        <f>AB93</f>
        <v>250.5</v>
      </c>
      <c r="AO7" s="32">
        <f>AC12+D45-AB92</f>
        <v>65</v>
      </c>
      <c r="AR7" s="174" t="s">
        <v>107</v>
      </c>
      <c r="BR7" s="197" t="s">
        <v>21</v>
      </c>
      <c r="BS7" s="198">
        <f>第十四期!AF76</f>
        <v>3200</v>
      </c>
      <c r="BT7" s="198">
        <f>第十四期!AF77</f>
        <v>3200</v>
      </c>
      <c r="BU7" s="198">
        <f>第十四期!AF78</f>
        <v>3350</v>
      </c>
      <c r="BV7" s="198">
        <f>第十四期!AF79</f>
        <v>3400</v>
      </c>
      <c r="BW7" s="200">
        <f>第十四期!$AF$80</f>
        <v>70000</v>
      </c>
      <c r="DT7" s="252" t="s">
        <v>21</v>
      </c>
      <c r="DU7" s="250">
        <v>2</v>
      </c>
      <c r="DV7" s="251">
        <f t="shared" si="0"/>
        <v>115</v>
      </c>
      <c r="DW7" s="251">
        <f t="shared" si="1"/>
        <v>0</v>
      </c>
      <c r="DX7" s="251">
        <f t="shared" si="1"/>
        <v>0</v>
      </c>
    </row>
    <row r="8" customHeight="1" spans="2:128">
      <c r="B8" s="7"/>
      <c r="C8" s="8" t="s">
        <v>168</v>
      </c>
      <c r="D8" s="14"/>
      <c r="E8" s="9"/>
      <c r="F8" s="10"/>
      <c r="J8" s="11" t="s">
        <v>162</v>
      </c>
      <c r="K8" s="34">
        <f>D4</f>
        <v>443</v>
      </c>
      <c r="M8" s="30"/>
      <c r="N8" s="31" t="s">
        <v>161</v>
      </c>
      <c r="O8" s="32">
        <f>AL23</f>
        <v>455290</v>
      </c>
      <c r="P8" s="35"/>
      <c r="Q8" s="45"/>
      <c r="X8" s="46" t="s">
        <v>169</v>
      </c>
      <c r="Y8" s="73" t="s">
        <v>88</v>
      </c>
      <c r="Z8" s="11" t="s">
        <v>89</v>
      </c>
      <c r="AA8" s="11" t="s">
        <v>90</v>
      </c>
      <c r="AB8" s="74" t="s">
        <v>91</v>
      </c>
      <c r="AC8" s="42" t="s">
        <v>20</v>
      </c>
      <c r="AE8" s="42" t="s">
        <v>170</v>
      </c>
      <c r="AF8" s="42" t="s">
        <v>148</v>
      </c>
      <c r="AG8" s="42" t="s">
        <v>171</v>
      </c>
      <c r="AH8" s="42" t="s">
        <v>172</v>
      </c>
      <c r="AI8" s="42" t="s">
        <v>173</v>
      </c>
      <c r="AJ8" s="65" t="s">
        <v>88</v>
      </c>
      <c r="AK8" s="65" t="s">
        <v>89</v>
      </c>
      <c r="AL8" s="65" t="s">
        <v>90</v>
      </c>
      <c r="AM8" s="65" t="s">
        <v>91</v>
      </c>
      <c r="AQ8" s="173"/>
      <c r="AR8" s="11" t="s">
        <v>174</v>
      </c>
      <c r="AS8" s="11" t="s">
        <v>175</v>
      </c>
      <c r="AT8" s="11" t="s">
        <v>176</v>
      </c>
      <c r="AU8" s="11" t="s">
        <v>100</v>
      </c>
      <c r="AV8" s="11" t="s">
        <v>177</v>
      </c>
      <c r="AW8" s="11" t="s">
        <v>178</v>
      </c>
      <c r="AX8" s="11" t="s">
        <v>179</v>
      </c>
      <c r="AY8" s="11" t="s">
        <v>180</v>
      </c>
      <c r="AZ8" s="11" t="s">
        <v>181</v>
      </c>
      <c r="BA8" s="11" t="s">
        <v>36</v>
      </c>
      <c r="BB8" s="11" t="s">
        <v>182</v>
      </c>
      <c r="BC8" s="11" t="s">
        <v>183</v>
      </c>
      <c r="BD8" s="11" t="s">
        <v>184</v>
      </c>
      <c r="BE8" s="11" t="s">
        <v>185</v>
      </c>
      <c r="BF8" s="11" t="s">
        <v>186</v>
      </c>
      <c r="BQ8" s="173"/>
      <c r="BR8" s="196" t="s">
        <v>22</v>
      </c>
      <c r="BS8" s="198">
        <f>第十四期!$AG$76</f>
        <v>6350</v>
      </c>
      <c r="BT8" s="198">
        <f>第十四期!$AG$77</f>
        <v>6350</v>
      </c>
      <c r="BU8" s="198">
        <f>第十四期!$AG$78</f>
        <v>6570</v>
      </c>
      <c r="BV8" s="198">
        <f>第十四期!$AG$79</f>
        <v>6650</v>
      </c>
      <c r="BW8" s="200">
        <f>第十四期!$AG$80</f>
        <v>117700</v>
      </c>
      <c r="BX8" s="173"/>
      <c r="DT8" s="253" t="s">
        <v>21</v>
      </c>
      <c r="DU8" s="254">
        <v>3</v>
      </c>
      <c r="DV8" s="255">
        <f t="shared" si="0"/>
        <v>177</v>
      </c>
      <c r="DW8" s="255">
        <f t="shared" si="1"/>
        <v>0</v>
      </c>
      <c r="DX8" s="255">
        <f t="shared" si="1"/>
        <v>0</v>
      </c>
    </row>
    <row r="9" customHeight="1" spans="2:128">
      <c r="B9" s="7"/>
      <c r="C9" s="8" t="s">
        <v>195</v>
      </c>
      <c r="D9" s="14">
        <v>4944782</v>
      </c>
      <c r="E9" s="9"/>
      <c r="F9" s="10"/>
      <c r="J9" s="11" t="s">
        <v>154</v>
      </c>
      <c r="K9" s="34">
        <f>D5</f>
        <v>338</v>
      </c>
      <c r="M9" s="36" t="s">
        <v>188</v>
      </c>
      <c r="N9" s="31" t="s">
        <v>189</v>
      </c>
      <c r="O9" s="32">
        <f>AJ20</f>
        <v>9618135.59025289</v>
      </c>
      <c r="P9" s="35"/>
      <c r="Q9" s="45"/>
      <c r="X9" s="47" t="s">
        <v>190</v>
      </c>
      <c r="Y9" s="75">
        <v>710</v>
      </c>
      <c r="Z9" s="75"/>
      <c r="AA9" s="75"/>
      <c r="AB9" s="75"/>
      <c r="AC9" s="76">
        <f>SUM(Y9:AB9)</f>
        <v>710</v>
      </c>
      <c r="AE9" s="72">
        <f>SUMPRODUCT(Y96:Y99,AF64:AF67)/SUM(AF64:AF67)</f>
        <v>13.3728077697431</v>
      </c>
      <c r="AF9" s="77">
        <f>CC24*15</f>
        <v>10.2102317769403</v>
      </c>
      <c r="AG9" s="133">
        <f>SUMPRODUCT(Y102:Y105,AF64:AF67)/SUM(AF64:AF67)*20</f>
        <v>8.09674548884022</v>
      </c>
      <c r="AH9" s="32">
        <f>AC9*比赛参数!D26</f>
        <v>71000</v>
      </c>
      <c r="AI9" s="134">
        <f>第十四期!DB56</f>
        <v>1336.01567123412</v>
      </c>
      <c r="AJ9" s="65">
        <f t="shared" ref="AJ9:AM12" si="2">CS17+CS35+AVERAGE($CS41:$CV41)</f>
        <v>1643.75</v>
      </c>
      <c r="AK9" s="65">
        <f t="shared" si="2"/>
        <v>2243.75</v>
      </c>
      <c r="AL9" s="65">
        <f t="shared" si="2"/>
        <v>1883.75</v>
      </c>
      <c r="AM9" s="65">
        <f t="shared" si="2"/>
        <v>2603.75</v>
      </c>
      <c r="AQ9" s="173"/>
      <c r="AR9" s="11">
        <v>1</v>
      </c>
      <c r="AS9" s="65" t="e">
        <f>SUM(AB131:AE131)*比赛参数!$D$26+SUM(AL131:AO131)*比赛参数!$E$26+SUM(AB154:AE154)*比赛参数!$F$26+SUM(AL154:AO154)*比赛参数!$G$26</f>
        <v>#DIV/0!</v>
      </c>
      <c r="AT9" s="55" t="e">
        <f t="shared" ref="AT9:AT28" si="3">AS9/1300</f>
        <v>#DIV/0!</v>
      </c>
      <c r="AU9" s="175">
        <f t="shared" ref="AU9:AU28" si="4">F95</f>
        <v>0</v>
      </c>
      <c r="AV9" s="176" t="e">
        <f t="shared" ref="AV9:AV28" si="5">AU9/AS9</f>
        <v>#DIV/0!</v>
      </c>
      <c r="AW9" s="175">
        <f t="shared" ref="AW9:AW28" si="6">E95</f>
        <v>0</v>
      </c>
      <c r="AX9" s="192" t="e">
        <f t="shared" ref="AX9:AX28" si="7">AU9/AW9</f>
        <v>#DIV/0!</v>
      </c>
      <c r="AY9" s="65" t="e">
        <f t="shared" ref="AY9:AY28" si="8">X131*AB131+Y131*AC131+Z131*AD131+AA131*AE131+AH131*AL131+AI131*AM131+AJ131*AN131+AK131*AO131+X154*AB154+Y154*AC154+Z154*AD154+AA154*AE154+AH154*AL154+AI154*AM154+AJ154*AN154+AK154*AO154</f>
        <v>#DIV/0!</v>
      </c>
      <c r="AZ9" s="193">
        <f t="shared" ref="AZ9:AZ28" si="9">D95</f>
        <v>0</v>
      </c>
      <c r="BA9" s="65" t="e">
        <f t="shared" ref="BA9:BA28" si="10">AZ9-AY9</f>
        <v>#DIV/0!</v>
      </c>
      <c r="BB9" s="65" t="e">
        <f>IF(BA9&lt;比赛参数!$K$34,0,IF(BA9&lt;比赛参数!$K$35,BA9/(1-比赛参数!$E$36),IF(BA9&lt;比赛参数!$K$36,BA9/(1-比赛参数!$E$34))))</f>
        <v>#DIV/0!</v>
      </c>
      <c r="BC9" s="65" t="e">
        <f t="shared" ref="BC9:BC28" si="11">AU9-BA9</f>
        <v>#DIV/0!</v>
      </c>
      <c r="BD9" s="101"/>
      <c r="BE9" s="65" t="e">
        <f t="shared" ref="BE9:BE28" si="12">BC9-BD9</f>
        <v>#DIV/0!</v>
      </c>
      <c r="BF9" s="176" t="e">
        <f t="shared" ref="BF9:BF28" si="13">BE9/AS9</f>
        <v>#DIV/0!</v>
      </c>
      <c r="BQ9" s="173"/>
      <c r="BR9" s="196" t="s">
        <v>23</v>
      </c>
      <c r="BS9" s="198">
        <f>第十四期!$AH$76</f>
        <v>9800</v>
      </c>
      <c r="BT9" s="198">
        <f>第十四期!$AH$77</f>
        <v>9800</v>
      </c>
      <c r="BU9" s="198">
        <f>第十四期!$AH$78</f>
        <v>10050</v>
      </c>
      <c r="BV9" s="198">
        <f>第十四期!$AH$79</f>
        <v>10050</v>
      </c>
      <c r="BW9" s="200">
        <f>第十四期!$AH$80</f>
        <v>66300</v>
      </c>
      <c r="BX9" s="173"/>
      <c r="DT9" s="256" t="s">
        <v>21</v>
      </c>
      <c r="DU9" s="257">
        <v>4</v>
      </c>
      <c r="DV9" s="258">
        <f t="shared" si="0"/>
        <v>180</v>
      </c>
      <c r="DW9" s="258">
        <f t="shared" si="1"/>
        <v>0</v>
      </c>
      <c r="DX9" s="259">
        <f t="shared" si="1"/>
        <v>0</v>
      </c>
    </row>
    <row r="10" customHeight="1" spans="2:128">
      <c r="B10" s="7"/>
      <c r="C10" s="8" t="s">
        <v>191</v>
      </c>
      <c r="D10" s="9">
        <v>0</v>
      </c>
      <c r="E10" s="9"/>
      <c r="F10" s="10"/>
      <c r="J10" s="11" t="s">
        <v>161</v>
      </c>
      <c r="K10" s="34">
        <f>D6</f>
        <v>420842</v>
      </c>
      <c r="M10" s="30"/>
      <c r="N10" s="31" t="s">
        <v>168</v>
      </c>
      <c r="O10" s="37"/>
      <c r="P10" s="35"/>
      <c r="Q10" s="45"/>
      <c r="X10" s="11" t="s">
        <v>192</v>
      </c>
      <c r="Y10" s="75">
        <v>419</v>
      </c>
      <c r="Z10" s="75"/>
      <c r="AA10" s="75">
        <v>197</v>
      </c>
      <c r="AB10" s="75"/>
      <c r="AC10" s="76">
        <f>SUM(Y10:AB10)</f>
        <v>616</v>
      </c>
      <c r="AE10" s="72">
        <f>SUMPRODUCT(Z96:Z99,AG64:AG67)/SUM(AG64:AG67)</f>
        <v>9.58390814641953</v>
      </c>
      <c r="AF10" s="77">
        <f>CD24*15</f>
        <v>8.74551415355153</v>
      </c>
      <c r="AG10" s="133">
        <f>SUMPRODUCT(Z102:Z105,AG64:AG67)/SUM(AG64:AG67)*20</f>
        <v>7.36524498034282</v>
      </c>
      <c r="AH10" s="32">
        <f>AC10*比赛参数!E26</f>
        <v>154000</v>
      </c>
      <c r="AI10" s="134">
        <f>第十四期!DB57</f>
        <v>2389.72261964375</v>
      </c>
      <c r="AJ10" s="65">
        <f t="shared" si="2"/>
        <v>3225</v>
      </c>
      <c r="AK10" s="65">
        <f t="shared" si="2"/>
        <v>3975</v>
      </c>
      <c r="AL10" s="65">
        <f t="shared" si="2"/>
        <v>3525</v>
      </c>
      <c r="AM10" s="65">
        <f t="shared" si="2"/>
        <v>4425</v>
      </c>
      <c r="AQ10" s="173"/>
      <c r="AR10" s="11">
        <v>2</v>
      </c>
      <c r="AS10" s="65" t="e">
        <f>SUM(AB132:AE132)*比赛参数!$D$26+SUM(AL132:AO132)*比赛参数!$E$26+SUM(AB155:AE155)*比赛参数!$F$26+SUM(AL155:AO155)*比赛参数!$G$26</f>
        <v>#DIV/0!</v>
      </c>
      <c r="AT10" s="55" t="e">
        <f t="shared" si="3"/>
        <v>#DIV/0!</v>
      </c>
      <c r="AU10" s="175">
        <f t="shared" si="4"/>
        <v>0</v>
      </c>
      <c r="AV10" s="176" t="e">
        <f t="shared" si="5"/>
        <v>#DIV/0!</v>
      </c>
      <c r="AW10" s="175">
        <f t="shared" si="6"/>
        <v>0</v>
      </c>
      <c r="AX10" s="192" t="e">
        <f t="shared" si="7"/>
        <v>#DIV/0!</v>
      </c>
      <c r="AY10" s="65" t="e">
        <f t="shared" si="8"/>
        <v>#DIV/0!</v>
      </c>
      <c r="AZ10" s="193">
        <f t="shared" si="9"/>
        <v>0</v>
      </c>
      <c r="BA10" s="65" t="e">
        <f t="shared" si="10"/>
        <v>#DIV/0!</v>
      </c>
      <c r="BB10" s="65" t="e">
        <f>IF(BA10&lt;比赛参数!$K$34,0,IF(BA10&lt;比赛参数!$K$35,BA10/(1-比赛参数!$E$36),IF(BA10&lt;比赛参数!$K$36,BA10/(1-比赛参数!$E$34))))</f>
        <v>#DIV/0!</v>
      </c>
      <c r="BC10" s="65" t="e">
        <f t="shared" si="11"/>
        <v>#DIV/0!</v>
      </c>
      <c r="BD10" s="101"/>
      <c r="BE10" s="65" t="e">
        <f t="shared" si="12"/>
        <v>#DIV/0!</v>
      </c>
      <c r="BF10" s="176" t="e">
        <f t="shared" si="13"/>
        <v>#DIV/0!</v>
      </c>
      <c r="BQ10" s="173"/>
      <c r="BR10" s="196" t="s">
        <v>24</v>
      </c>
      <c r="BS10" s="198">
        <f>第十四期!$AI$76</f>
        <v>12950</v>
      </c>
      <c r="BT10" s="198">
        <f>第十四期!$AI$77</f>
        <v>12950</v>
      </c>
      <c r="BU10" s="198">
        <f>第十四期!$AI$78</f>
        <v>13350</v>
      </c>
      <c r="BV10" s="198">
        <f>第十四期!$AI$79</f>
        <v>13500</v>
      </c>
      <c r="BW10" s="200">
        <f>第十四期!$AI$80</f>
        <v>100900</v>
      </c>
      <c r="BX10" s="173"/>
      <c r="DT10" s="249" t="s">
        <v>22</v>
      </c>
      <c r="DU10" s="260">
        <v>1</v>
      </c>
      <c r="DV10" s="261">
        <f t="shared" si="0"/>
        <v>102</v>
      </c>
      <c r="DW10" s="261">
        <f t="shared" si="1"/>
        <v>0</v>
      </c>
      <c r="DX10" s="261">
        <f t="shared" si="1"/>
        <v>0</v>
      </c>
    </row>
    <row r="11" customHeight="1" spans="2:128">
      <c r="B11" s="7"/>
      <c r="C11" s="8" t="s">
        <v>201</v>
      </c>
      <c r="D11" s="14">
        <v>7963969.25</v>
      </c>
      <c r="E11" s="9"/>
      <c r="F11" s="10"/>
      <c r="J11" s="11" t="s">
        <v>166</v>
      </c>
      <c r="K11" s="34">
        <f>D7</f>
        <v>6115713.98217115</v>
      </c>
      <c r="M11" s="36" t="s">
        <v>194</v>
      </c>
      <c r="N11" s="32" t="s">
        <v>195</v>
      </c>
      <c r="O11" s="32">
        <f>AL14</f>
        <v>4443551</v>
      </c>
      <c r="P11" s="35"/>
      <c r="Q11" s="45"/>
      <c r="X11" s="11" t="s">
        <v>196</v>
      </c>
      <c r="Y11" s="75"/>
      <c r="Z11" s="75"/>
      <c r="AA11" s="75">
        <v>144</v>
      </c>
      <c r="AB11" s="75">
        <v>67</v>
      </c>
      <c r="AC11" s="76">
        <f>SUM(Y11:AB11)</f>
        <v>211</v>
      </c>
      <c r="AE11" s="72">
        <f>SUMPRODUCT(AA96:AA99,AH64:AH67)/SUM(AH64:AH67)</f>
        <v>9.52873594272672</v>
      </c>
      <c r="AF11" s="77">
        <f>CE24*15</f>
        <v>8.58275240202089</v>
      </c>
      <c r="AG11" s="133">
        <f>SUMPRODUCT(AA102:AA105,AH64:AH67)/SUM(AH64:AH67)*20</f>
        <v>7.27797533878063</v>
      </c>
      <c r="AH11" s="32">
        <f>AC11*比赛参数!F26</f>
        <v>80180</v>
      </c>
      <c r="AI11" s="134">
        <f>第十四期!DB58</f>
        <v>3618.27542746692</v>
      </c>
      <c r="AJ11" s="65">
        <f t="shared" si="2"/>
        <v>4512.5</v>
      </c>
      <c r="AK11" s="65">
        <f t="shared" si="2"/>
        <v>5312.5</v>
      </c>
      <c r="AL11" s="65">
        <f t="shared" si="2"/>
        <v>4832.5</v>
      </c>
      <c r="AM11" s="65">
        <f t="shared" si="2"/>
        <v>5792.5</v>
      </c>
      <c r="AQ11" s="173"/>
      <c r="AR11" s="11">
        <v>3</v>
      </c>
      <c r="AS11" s="65" t="e">
        <f>SUM(AB133:AE133)*比赛参数!$D$26+SUM(AL133:AO133)*比赛参数!$E$26+SUM(AB156:AE156)*比赛参数!$F$26+SUM(AL156:AO156)*比赛参数!$G$26</f>
        <v>#DIV/0!</v>
      </c>
      <c r="AT11" s="55" t="e">
        <f t="shared" si="3"/>
        <v>#DIV/0!</v>
      </c>
      <c r="AU11" s="175">
        <f t="shared" si="4"/>
        <v>0</v>
      </c>
      <c r="AV11" s="176" t="e">
        <f t="shared" si="5"/>
        <v>#DIV/0!</v>
      </c>
      <c r="AW11" s="175">
        <f t="shared" si="6"/>
        <v>0</v>
      </c>
      <c r="AX11" s="192" t="e">
        <f t="shared" si="7"/>
        <v>#DIV/0!</v>
      </c>
      <c r="AY11" s="65" t="e">
        <f t="shared" si="8"/>
        <v>#DIV/0!</v>
      </c>
      <c r="AZ11" s="193">
        <f t="shared" si="9"/>
        <v>0</v>
      </c>
      <c r="BA11" s="65" t="e">
        <f t="shared" si="10"/>
        <v>#DIV/0!</v>
      </c>
      <c r="BB11" s="65" t="e">
        <f>IF(BA11&lt;比赛参数!$K$34,0,IF(BA11&lt;比赛参数!$K$35,BA11/(1-比赛参数!$E$36),IF(BA11&lt;比赛参数!$K$36,BA11/(1-比赛参数!$E$34))))</f>
        <v>#DIV/0!</v>
      </c>
      <c r="BC11" s="65" t="e">
        <f t="shared" si="11"/>
        <v>#DIV/0!</v>
      </c>
      <c r="BD11" s="101"/>
      <c r="BE11" s="65" t="e">
        <f t="shared" si="12"/>
        <v>#DIV/0!</v>
      </c>
      <c r="BF11" s="176" t="e">
        <f t="shared" si="13"/>
        <v>#DIV/0!</v>
      </c>
      <c r="BQ11" s="173"/>
      <c r="BR11" s="199" t="s">
        <v>197</v>
      </c>
      <c r="BS11" s="200">
        <f>第十四期!$AJ$76</f>
        <v>68600</v>
      </c>
      <c r="BT11" s="200">
        <f>第十四期!$AJ$77</f>
        <v>68600</v>
      </c>
      <c r="BU11" s="200">
        <f>第十四期!$AJ$78</f>
        <v>108300</v>
      </c>
      <c r="BV11" s="200">
        <f>第十四期!$AJ$79</f>
        <v>109500</v>
      </c>
      <c r="BW11" s="210"/>
      <c r="BX11" s="173"/>
      <c r="DT11" s="252" t="s">
        <v>22</v>
      </c>
      <c r="DU11" s="250">
        <v>2</v>
      </c>
      <c r="DV11" s="251">
        <f t="shared" si="0"/>
        <v>101</v>
      </c>
      <c r="DW11" s="251">
        <f t="shared" si="1"/>
        <v>0</v>
      </c>
      <c r="DX11" s="251">
        <f t="shared" si="1"/>
        <v>0</v>
      </c>
    </row>
    <row r="12" ht="17.25" customHeight="1" spans="2:128">
      <c r="B12" s="7"/>
      <c r="C12" s="8" t="s">
        <v>198</v>
      </c>
      <c r="D12" s="14"/>
      <c r="E12" s="9"/>
      <c r="F12" s="10"/>
      <c r="J12" s="11" t="s">
        <v>187</v>
      </c>
      <c r="K12" s="34">
        <f>D9</f>
        <v>4944782</v>
      </c>
      <c r="M12" s="30"/>
      <c r="N12" s="32" t="s">
        <v>191</v>
      </c>
      <c r="O12" s="32">
        <f>AF20</f>
        <v>0</v>
      </c>
      <c r="P12" s="35"/>
      <c r="Q12" s="45"/>
      <c r="X12" s="11" t="s">
        <v>199</v>
      </c>
      <c r="Y12" s="75"/>
      <c r="Z12" s="75"/>
      <c r="AA12" s="75">
        <v>138</v>
      </c>
      <c r="AB12" s="75">
        <v>120</v>
      </c>
      <c r="AC12" s="78">
        <f>SUM(Y12:AB12)</f>
        <v>258</v>
      </c>
      <c r="AE12" s="72">
        <f>SUMPRODUCT(AB96:AB99,AI64:AI67)/SUM(AI64:AI67)</f>
        <v>9.36218896531398</v>
      </c>
      <c r="AF12" s="77">
        <f>CF24*15</f>
        <v>8.72615024567537</v>
      </c>
      <c r="AG12" s="133">
        <f>SUMPRODUCT(AB102:AB105,AI64:AI67)/SUM(AI64:AI67)*20</f>
        <v>7.3553156002316</v>
      </c>
      <c r="AH12" s="32">
        <f>AC12*比赛参数!G26</f>
        <v>134160</v>
      </c>
      <c r="AI12" s="134">
        <f>第十四期!DB59</f>
        <v>4849.9559090221</v>
      </c>
      <c r="AJ12" s="65">
        <f t="shared" si="2"/>
        <v>5875</v>
      </c>
      <c r="AK12" s="65">
        <f t="shared" si="2"/>
        <v>6775</v>
      </c>
      <c r="AL12" s="65">
        <f t="shared" si="2"/>
        <v>6235</v>
      </c>
      <c r="AM12" s="65">
        <f t="shared" si="2"/>
        <v>7315</v>
      </c>
      <c r="AQ12" s="173"/>
      <c r="AR12" s="11">
        <v>4</v>
      </c>
      <c r="AS12" s="65" t="e">
        <f>SUM(AB134:AE134)*比赛参数!$D$26+SUM(AL134:AO134)*比赛参数!$E$26+SUM(AB157:AE157)*比赛参数!$F$26+SUM(AL157:AO157)*比赛参数!$G$26</f>
        <v>#DIV/0!</v>
      </c>
      <c r="AT12" s="55" t="e">
        <f t="shared" si="3"/>
        <v>#DIV/0!</v>
      </c>
      <c r="AU12" s="175">
        <f t="shared" si="4"/>
        <v>0</v>
      </c>
      <c r="AV12" s="176" t="e">
        <f t="shared" si="5"/>
        <v>#DIV/0!</v>
      </c>
      <c r="AW12" s="175">
        <f t="shared" si="6"/>
        <v>0</v>
      </c>
      <c r="AX12" s="192" t="e">
        <f t="shared" si="7"/>
        <v>#DIV/0!</v>
      </c>
      <c r="AY12" s="65" t="e">
        <f t="shared" si="8"/>
        <v>#DIV/0!</v>
      </c>
      <c r="AZ12" s="193">
        <f t="shared" si="9"/>
        <v>0</v>
      </c>
      <c r="BA12" s="65" t="e">
        <f t="shared" si="10"/>
        <v>#DIV/0!</v>
      </c>
      <c r="BB12" s="65" t="e">
        <f>IF(BA12&lt;比赛参数!$K$34,0,IF(BA12&lt;比赛参数!$K$35,BA12/(1-比赛参数!$E$36),IF(BA12&lt;比赛参数!$K$36,BA12/(1-比赛参数!$E$34))))</f>
        <v>#DIV/0!</v>
      </c>
      <c r="BC12" s="65" t="e">
        <f t="shared" si="11"/>
        <v>#DIV/0!</v>
      </c>
      <c r="BD12" s="101"/>
      <c r="BE12" s="65" t="e">
        <f t="shared" si="12"/>
        <v>#DIV/0!</v>
      </c>
      <c r="BF12" s="176" t="e">
        <f t="shared" si="13"/>
        <v>#DIV/0!</v>
      </c>
      <c r="BQ12" s="173"/>
      <c r="BR12" s="201"/>
      <c r="BS12" s="202"/>
      <c r="BT12" s="202"/>
      <c r="BU12" s="202"/>
      <c r="BV12" s="202"/>
      <c r="BW12" s="202"/>
      <c r="BX12" s="173"/>
      <c r="DT12" s="252" t="s">
        <v>22</v>
      </c>
      <c r="DU12" s="250">
        <v>3</v>
      </c>
      <c r="DV12" s="251">
        <f t="shared" si="0"/>
        <v>151</v>
      </c>
      <c r="DW12" s="251">
        <f t="shared" si="1"/>
        <v>0</v>
      </c>
      <c r="DX12" s="251">
        <f t="shared" si="1"/>
        <v>0</v>
      </c>
    </row>
    <row r="13" customHeight="1" spans="2:128">
      <c r="B13" s="7"/>
      <c r="C13" s="8" t="s">
        <v>100</v>
      </c>
      <c r="D13" s="14"/>
      <c r="E13" s="9"/>
      <c r="F13" s="10"/>
      <c r="J13" s="11" t="s">
        <v>191</v>
      </c>
      <c r="K13" s="34">
        <f>D10</f>
        <v>0</v>
      </c>
      <c r="M13" s="36" t="s">
        <v>200</v>
      </c>
      <c r="N13" s="32" t="s">
        <v>201</v>
      </c>
      <c r="O13" s="32">
        <f>K14-BS58+AH15</f>
        <v>8687045.65</v>
      </c>
      <c r="P13" s="35"/>
      <c r="Q13" s="45"/>
      <c r="W13" s="48"/>
      <c r="X13" s="49" t="s">
        <v>202</v>
      </c>
      <c r="Y13" s="72">
        <f>(Y9*比赛参数!D27+Y10*比赛参数!E27+Y11*比赛参数!F27+Y12*比赛参数!G27)/520</f>
        <v>284.711538461538</v>
      </c>
      <c r="Z13" s="72">
        <f>(Z9*比赛参数!D27+Z10*比赛参数!E27+Z11*比赛参数!F27+Z12*比赛参数!G27)/260</f>
        <v>0</v>
      </c>
      <c r="AA13" s="72">
        <f>(AA9*比赛参数!D27+AA10*比赛参数!E27+AA11*比赛参数!F27+AA12*比赛参数!G27)/520</f>
        <v>148.903846153846</v>
      </c>
      <c r="AB13" s="79">
        <f>(AB9*比赛参数!D27+AB10*比赛参数!E27+AB11*比赛参数!F27+AB12*比赛参数!G27)/260</f>
        <v>124.307692307692</v>
      </c>
      <c r="AC13" s="80" t="str">
        <f>IF(Y21&lt;=Y20,IF(Z13&lt;=Y13,IF(AB13&lt;=AA13,"人数 YES","人数 NO"),"人数 NO"),"人数 NO")</f>
        <v>人数 YES</v>
      </c>
      <c r="AE13" s="42" t="s">
        <v>178</v>
      </c>
      <c r="AF13" s="81">
        <f>第十四期!BU86</f>
        <v>8972210.92735577</v>
      </c>
      <c r="AG13" s="135" t="s">
        <v>203</v>
      </c>
      <c r="AH13" s="136">
        <f>第十四期!BV76</f>
        <v>0.741546153556556</v>
      </c>
      <c r="AI13" s="42" t="s">
        <v>204</v>
      </c>
      <c r="AJ13" s="137">
        <f>SUMPRODUCT(AE4:AE7,AH9:AH12)</f>
        <v>5592255.16948673</v>
      </c>
      <c r="AL13" s="48"/>
      <c r="AQ13" s="173"/>
      <c r="AR13" s="11">
        <v>5</v>
      </c>
      <c r="AS13" s="65" t="e">
        <f>SUM(AB135:AE135)*比赛参数!$D$26+SUM(AL135:AO135)*比赛参数!$E$26+SUM(AB158:AE158)*比赛参数!$F$26+SUM(AL158:AO158)*比赛参数!$G$26</f>
        <v>#DIV/0!</v>
      </c>
      <c r="AT13" s="55" t="e">
        <f t="shared" si="3"/>
        <v>#DIV/0!</v>
      </c>
      <c r="AU13" s="175">
        <f t="shared" si="4"/>
        <v>0</v>
      </c>
      <c r="AV13" s="176" t="e">
        <f t="shared" si="5"/>
        <v>#DIV/0!</v>
      </c>
      <c r="AW13" s="175">
        <f t="shared" si="6"/>
        <v>0</v>
      </c>
      <c r="AX13" s="192" t="e">
        <f t="shared" si="7"/>
        <v>#DIV/0!</v>
      </c>
      <c r="AY13" s="65" t="e">
        <f t="shared" si="8"/>
        <v>#DIV/0!</v>
      </c>
      <c r="AZ13" s="193">
        <f t="shared" si="9"/>
        <v>0</v>
      </c>
      <c r="BA13" s="65" t="e">
        <f t="shared" si="10"/>
        <v>#DIV/0!</v>
      </c>
      <c r="BB13" s="65" t="e">
        <f>IF(BA13&lt;比赛参数!$K$34,0,IF(BA13&lt;比赛参数!$K$35,BA13/(1-比赛参数!$E$36),IF(BA13&lt;比赛参数!$K$36,BA13/(1-比赛参数!$E$34))))</f>
        <v>#DIV/0!</v>
      </c>
      <c r="BC13" s="65" t="e">
        <f t="shared" si="11"/>
        <v>#DIV/0!</v>
      </c>
      <c r="BD13" s="101"/>
      <c r="BE13" s="65" t="e">
        <f t="shared" si="12"/>
        <v>#DIV/0!</v>
      </c>
      <c r="BF13" s="176" t="e">
        <f t="shared" si="13"/>
        <v>#DIV/0!</v>
      </c>
      <c r="BQ13" s="173"/>
      <c r="BR13" s="203" t="s">
        <v>205</v>
      </c>
      <c r="BS13" s="195" t="s">
        <v>55</v>
      </c>
      <c r="BT13" s="196" t="s">
        <v>56</v>
      </c>
      <c r="BU13" s="196" t="s">
        <v>57</v>
      </c>
      <c r="BV13" s="196" t="s">
        <v>58</v>
      </c>
      <c r="BW13" s="202"/>
      <c r="BX13" s="173"/>
      <c r="DT13" s="262" t="s">
        <v>22</v>
      </c>
      <c r="DU13" s="263">
        <v>4</v>
      </c>
      <c r="DV13" s="264">
        <f t="shared" si="0"/>
        <v>151</v>
      </c>
      <c r="DW13" s="264">
        <f t="shared" si="1"/>
        <v>0</v>
      </c>
      <c r="DX13" s="265">
        <f t="shared" si="1"/>
        <v>0</v>
      </c>
    </row>
    <row r="14" customHeight="1" spans="2:128">
      <c r="B14" s="7"/>
      <c r="C14" s="8" t="s">
        <v>206</v>
      </c>
      <c r="D14" s="9"/>
      <c r="E14" s="9"/>
      <c r="F14" s="10"/>
      <c r="J14" s="11" t="s">
        <v>193</v>
      </c>
      <c r="K14" s="34">
        <f>D11</f>
        <v>7963969.25</v>
      </c>
      <c r="M14" s="30"/>
      <c r="N14" s="31" t="s">
        <v>198</v>
      </c>
      <c r="O14" s="37"/>
      <c r="P14" s="35"/>
      <c r="Q14" s="45"/>
      <c r="W14" s="50"/>
      <c r="X14" s="49" t="s">
        <v>207</v>
      </c>
      <c r="Y14" s="72">
        <f>(Y9*比赛参数!D26+Y10*比赛参数!E26+Y11*比赛参数!F26+Y12*比赛参数!G26)/520</f>
        <v>337.980769230769</v>
      </c>
      <c r="Z14" s="72">
        <f>(Z9*比赛参数!D26+Z10*比赛参数!E26+Z11*比赛参数!F26+Z12*比赛参数!G26)/260</f>
        <v>0</v>
      </c>
      <c r="AA14" s="72">
        <f>(AA9*比赛参数!D26+AA10*比赛参数!E26+AA11*比赛参数!F26+AA12*比赛参数!G26)/520</f>
        <v>337.942307692308</v>
      </c>
      <c r="AB14" s="79">
        <f>(AB9*比赛参数!D26+AB10*比赛参数!E26+AB11*比赛参数!F26+AB12*比赛参数!G26)/260</f>
        <v>337.923076923077</v>
      </c>
      <c r="AC14" s="82" t="str">
        <f>IF(AA21&lt;=AA20,IF((Z14+AA14)&lt;=AA20,"机器 YES","机器 NO"),"机器 NO")</f>
        <v>机器 YES</v>
      </c>
      <c r="AE14" s="83" t="s">
        <v>100</v>
      </c>
      <c r="AF14" s="84">
        <f>第十四期!BW92</f>
        <v>2301374.91264423</v>
      </c>
      <c r="AG14" s="73" t="s">
        <v>208</v>
      </c>
      <c r="AH14" s="138">
        <v>501231</v>
      </c>
      <c r="AI14" s="42" t="s">
        <v>93</v>
      </c>
      <c r="AJ14" s="139">
        <f>第十四期!K12</f>
        <v>4944782</v>
      </c>
      <c r="AK14" s="42" t="s">
        <v>209</v>
      </c>
      <c r="AL14" s="91">
        <f>AJ14-AH14</f>
        <v>4443551</v>
      </c>
      <c r="AQ14" s="173"/>
      <c r="AR14" s="11">
        <v>6</v>
      </c>
      <c r="AS14" s="65" t="e">
        <f>SUM(AB136:AE136)*比赛参数!$D$26+SUM(AL136:AO136)*比赛参数!$E$26+SUM(AB159:AE159)*比赛参数!$F$26+SUM(AL159:AO159)*比赛参数!$G$26</f>
        <v>#DIV/0!</v>
      </c>
      <c r="AT14" s="55" t="e">
        <f t="shared" si="3"/>
        <v>#DIV/0!</v>
      </c>
      <c r="AU14" s="175">
        <f t="shared" si="4"/>
        <v>0</v>
      </c>
      <c r="AV14" s="176" t="e">
        <f t="shared" si="5"/>
        <v>#DIV/0!</v>
      </c>
      <c r="AW14" s="175">
        <f t="shared" si="6"/>
        <v>0</v>
      </c>
      <c r="AX14" s="192" t="e">
        <f t="shared" si="7"/>
        <v>#DIV/0!</v>
      </c>
      <c r="AY14" s="65" t="e">
        <f t="shared" si="8"/>
        <v>#DIV/0!</v>
      </c>
      <c r="AZ14" s="193">
        <f t="shared" si="9"/>
        <v>0</v>
      </c>
      <c r="BA14" s="65" t="e">
        <f t="shared" si="10"/>
        <v>#DIV/0!</v>
      </c>
      <c r="BB14" s="65" t="e">
        <f>IF(BA14&lt;比赛参数!$K$34,0,IF(BA14&lt;比赛参数!$K$35,BA14/(1-比赛参数!$E$36),IF(BA14&lt;比赛参数!$K$36,BA14/(1-比赛参数!$E$34))))</f>
        <v>#DIV/0!</v>
      </c>
      <c r="BC14" s="65" t="e">
        <f t="shared" si="11"/>
        <v>#DIV/0!</v>
      </c>
      <c r="BD14" s="101"/>
      <c r="BE14" s="65" t="e">
        <f t="shared" si="12"/>
        <v>#DIV/0!</v>
      </c>
      <c r="BF14" s="176" t="e">
        <f t="shared" si="13"/>
        <v>#DIV/0!</v>
      </c>
      <c r="BQ14" s="173"/>
      <c r="BR14" s="197" t="s">
        <v>21</v>
      </c>
      <c r="BS14" s="198">
        <f>第十四期!Y88</f>
        <v>139</v>
      </c>
      <c r="BT14" s="198">
        <f>第十四期!Y89</f>
        <v>139</v>
      </c>
      <c r="BU14" s="198">
        <f>第十四期!Y90</f>
        <v>209</v>
      </c>
      <c r="BV14" s="198">
        <f>第十四期!Y91</f>
        <v>209</v>
      </c>
      <c r="BW14" s="202"/>
      <c r="BX14" s="173"/>
      <c r="DT14" s="249" t="s">
        <v>23</v>
      </c>
      <c r="DU14" s="260">
        <v>1</v>
      </c>
      <c r="DV14" s="261">
        <f t="shared" si="0"/>
        <v>56</v>
      </c>
      <c r="DW14" s="261">
        <f t="shared" si="1"/>
        <v>0</v>
      </c>
      <c r="DX14" s="261">
        <f t="shared" si="1"/>
        <v>0</v>
      </c>
    </row>
    <row r="15" customHeight="1" spans="2:128">
      <c r="B15" s="7"/>
      <c r="C15" s="8" t="s">
        <v>210</v>
      </c>
      <c r="D15" s="9"/>
      <c r="E15" s="9"/>
      <c r="F15" s="10"/>
      <c r="J15" s="11" t="s">
        <v>211</v>
      </c>
      <c r="K15" s="34">
        <f>D16</f>
        <v>0</v>
      </c>
      <c r="M15" s="36" t="s">
        <v>212</v>
      </c>
      <c r="N15" s="31" t="s">
        <v>100</v>
      </c>
      <c r="O15" s="37"/>
      <c r="P15" s="35"/>
      <c r="Q15" s="45"/>
      <c r="W15" s="50"/>
      <c r="X15" s="49" t="s">
        <v>213</v>
      </c>
      <c r="Y15" s="85">
        <f>Y14/AA20</f>
        <v>0.999943104233045</v>
      </c>
      <c r="Z15" s="86">
        <f>(Z14+AA14)/AA20</f>
        <v>0.999829312699135</v>
      </c>
      <c r="AA15" s="87"/>
      <c r="AB15" s="88">
        <f>AB14/AA20</f>
        <v>0.99977241693218</v>
      </c>
      <c r="AC15" s="89" t="str">
        <f>IF(AC21&lt;=AC20,"材料 YES","材料 NO")</f>
        <v>材料 YES</v>
      </c>
      <c r="AE15" s="83" t="s">
        <v>105</v>
      </c>
      <c r="AF15" s="90">
        <f>AF14/(Y18+第十四期!K8-AA18)</f>
        <v>5136.99757286658</v>
      </c>
      <c r="AG15" s="73" t="s">
        <v>214</v>
      </c>
      <c r="AH15" s="138">
        <v>1210339</v>
      </c>
      <c r="AI15" s="42" t="s">
        <v>215</v>
      </c>
      <c r="AJ15" s="139">
        <f>第十四期!K16*0.5-第十四期!K14</f>
        <v>1210339.50300865</v>
      </c>
      <c r="AK15" s="42" t="s">
        <v>216</v>
      </c>
      <c r="AL15" s="111">
        <f>O20*0.5-O13</f>
        <v>1292744.32243413</v>
      </c>
      <c r="AQ15" s="173"/>
      <c r="AR15" s="11">
        <v>7</v>
      </c>
      <c r="AS15" s="65" t="e">
        <f>SUM(AB137:AE137)*比赛参数!$D$26+SUM(AL137:AO137)*比赛参数!$E$26+SUM(AB160:AE160)*比赛参数!$F$26+SUM(AL160:AO160)*比赛参数!$G$26</f>
        <v>#DIV/0!</v>
      </c>
      <c r="AT15" s="55" t="e">
        <f t="shared" si="3"/>
        <v>#DIV/0!</v>
      </c>
      <c r="AU15" s="175">
        <f t="shared" si="4"/>
        <v>0</v>
      </c>
      <c r="AV15" s="176" t="e">
        <f t="shared" si="5"/>
        <v>#DIV/0!</v>
      </c>
      <c r="AW15" s="175">
        <f t="shared" si="6"/>
        <v>0</v>
      </c>
      <c r="AX15" s="192" t="e">
        <f t="shared" si="7"/>
        <v>#DIV/0!</v>
      </c>
      <c r="AY15" s="65" t="e">
        <f t="shared" si="8"/>
        <v>#DIV/0!</v>
      </c>
      <c r="AZ15" s="193">
        <f t="shared" si="9"/>
        <v>0</v>
      </c>
      <c r="BA15" s="65" t="e">
        <f t="shared" si="10"/>
        <v>#DIV/0!</v>
      </c>
      <c r="BB15" s="65" t="e">
        <f>IF(BA15&lt;比赛参数!$K$34,0,IF(BA15&lt;比赛参数!$K$35,BA15/(1-比赛参数!$E$36),IF(BA15&lt;比赛参数!$K$36,BA15/(1-比赛参数!$E$34))))</f>
        <v>#DIV/0!</v>
      </c>
      <c r="BC15" s="65" t="e">
        <f t="shared" si="11"/>
        <v>#DIV/0!</v>
      </c>
      <c r="BD15" s="101"/>
      <c r="BE15" s="65" t="e">
        <f t="shared" si="12"/>
        <v>#DIV/0!</v>
      </c>
      <c r="BF15" s="176" t="e">
        <f t="shared" si="13"/>
        <v>#DIV/0!</v>
      </c>
      <c r="BQ15" s="173"/>
      <c r="BR15" s="196" t="s">
        <v>22</v>
      </c>
      <c r="BS15" s="198">
        <f>第十四期!Z88</f>
        <v>118</v>
      </c>
      <c r="BT15" s="198">
        <f>第十四期!Z89</f>
        <v>118</v>
      </c>
      <c r="BU15" s="198">
        <f>第十四期!Z90</f>
        <v>180</v>
      </c>
      <c r="BV15" s="198">
        <f>第十四期!Z91</f>
        <v>180</v>
      </c>
      <c r="BW15" s="202"/>
      <c r="BX15" s="173"/>
      <c r="DT15" s="252" t="s">
        <v>23</v>
      </c>
      <c r="DU15" s="250">
        <v>2</v>
      </c>
      <c r="DV15" s="251">
        <f t="shared" si="0"/>
        <v>57</v>
      </c>
      <c r="DW15" s="251">
        <f t="shared" si="1"/>
        <v>0</v>
      </c>
      <c r="DX15" s="251">
        <f t="shared" si="1"/>
        <v>0</v>
      </c>
    </row>
    <row r="16" customHeight="1" spans="2:130">
      <c r="B16" s="7"/>
      <c r="C16" s="8" t="s">
        <v>211</v>
      </c>
      <c r="D16" s="14"/>
      <c r="E16" s="9"/>
      <c r="F16" s="10">
        <f>D16*4</f>
        <v>0</v>
      </c>
      <c r="J16" s="11" t="s">
        <v>104</v>
      </c>
      <c r="K16" s="34">
        <f>D18</f>
        <v>18348617.5060173</v>
      </c>
      <c r="M16" s="30"/>
      <c r="N16" s="31" t="s">
        <v>206</v>
      </c>
      <c r="O16" s="37"/>
      <c r="P16" s="35"/>
      <c r="Q16" s="45"/>
      <c r="W16" s="50"/>
      <c r="X16" s="11" t="s">
        <v>217</v>
      </c>
      <c r="Y16" s="91">
        <f>第十四期!DM60</f>
        <v>102000</v>
      </c>
      <c r="Z16" s="92" t="s">
        <v>218</v>
      </c>
      <c r="AA16" s="93">
        <f>AH20+Y16+第十四期!K9*比赛参数!D30*比赛参数!F30</f>
        <v>4446120</v>
      </c>
      <c r="AB16" s="73" t="s">
        <v>219</v>
      </c>
      <c r="AC16" s="94">
        <f>Y20-Y21</f>
        <v>0.134615384615358</v>
      </c>
      <c r="AE16" s="83" t="s">
        <v>220</v>
      </c>
      <c r="AF16" s="95">
        <f>AJ13/SUM(AH9:AH12)</f>
        <v>12.7287639857211</v>
      </c>
      <c r="AG16" s="83" t="s">
        <v>221</v>
      </c>
      <c r="AH16" s="140">
        <f>AF14/AL111</f>
        <v>7288.15441275883</v>
      </c>
      <c r="AI16" s="42" t="s">
        <v>222</v>
      </c>
      <c r="AJ16" s="141">
        <f>BS75+BS76</f>
        <v>709900</v>
      </c>
      <c r="AK16" s="142">
        <f>AJ16/BS77</f>
        <v>0.0640041401184875</v>
      </c>
      <c r="AL16" s="143"/>
      <c r="AQ16" s="173"/>
      <c r="AR16" s="11">
        <v>8</v>
      </c>
      <c r="AS16" s="65" t="e">
        <f>SUM(AB138:AE138)*比赛参数!$D$26+SUM(AL138:AO138)*比赛参数!$E$26+SUM(AB161:AE161)*比赛参数!$F$26+SUM(AL161:AO161)*比赛参数!$G$26</f>
        <v>#DIV/0!</v>
      </c>
      <c r="AT16" s="55" t="e">
        <f t="shared" si="3"/>
        <v>#DIV/0!</v>
      </c>
      <c r="AU16" s="175">
        <f t="shared" si="4"/>
        <v>0</v>
      </c>
      <c r="AV16" s="176" t="e">
        <f t="shared" si="5"/>
        <v>#DIV/0!</v>
      </c>
      <c r="AW16" s="175">
        <f t="shared" si="6"/>
        <v>0</v>
      </c>
      <c r="AX16" s="192" t="e">
        <f t="shared" si="7"/>
        <v>#DIV/0!</v>
      </c>
      <c r="AY16" s="65" t="e">
        <f t="shared" si="8"/>
        <v>#DIV/0!</v>
      </c>
      <c r="AZ16" s="193">
        <f t="shared" si="9"/>
        <v>0</v>
      </c>
      <c r="BA16" s="65" t="e">
        <f t="shared" si="10"/>
        <v>#DIV/0!</v>
      </c>
      <c r="BB16" s="65" t="e">
        <f>IF(BA16&lt;比赛参数!$K$34,0,IF(BA16&lt;比赛参数!$K$35,BA16/(1-比赛参数!$E$36),IF(BA16&lt;比赛参数!$K$36,BA16/(1-比赛参数!$E$34))))</f>
        <v>#DIV/0!</v>
      </c>
      <c r="BC16" s="65" t="e">
        <f t="shared" si="11"/>
        <v>#DIV/0!</v>
      </c>
      <c r="BD16" s="101"/>
      <c r="BE16" s="65" t="e">
        <f t="shared" si="12"/>
        <v>#DIV/0!</v>
      </c>
      <c r="BF16" s="176" t="e">
        <f t="shared" si="13"/>
        <v>#DIV/0!</v>
      </c>
      <c r="BQ16" s="173"/>
      <c r="BR16" s="196" t="s">
        <v>23</v>
      </c>
      <c r="BS16" s="198">
        <f>第十四期!AA88</f>
        <v>43</v>
      </c>
      <c r="BT16" s="198">
        <f>第十四期!AA89</f>
        <v>43</v>
      </c>
      <c r="BU16" s="198">
        <f>第十四期!AA90</f>
        <v>66</v>
      </c>
      <c r="BV16" s="198">
        <f>第十四期!AA91</f>
        <v>66</v>
      </c>
      <c r="BW16" s="202"/>
      <c r="BX16" s="173"/>
      <c r="CR16" s="2" t="s">
        <v>223</v>
      </c>
      <c r="CS16" s="2" t="s">
        <v>224</v>
      </c>
      <c r="CT16" s="2" t="s">
        <v>225</v>
      </c>
      <c r="CU16" s="2" t="s">
        <v>226</v>
      </c>
      <c r="CV16" s="2" t="s">
        <v>227</v>
      </c>
      <c r="CW16" s="2" t="s">
        <v>228</v>
      </c>
      <c r="CY16" s="2" t="s">
        <v>229</v>
      </c>
      <c r="CZ16" s="2" t="s">
        <v>55</v>
      </c>
      <c r="DA16" s="2" t="s">
        <v>56</v>
      </c>
      <c r="DB16" s="2" t="s">
        <v>57</v>
      </c>
      <c r="DC16" s="2" t="s">
        <v>58</v>
      </c>
      <c r="DF16" s="2" t="s">
        <v>230</v>
      </c>
      <c r="DG16" s="2" t="s">
        <v>55</v>
      </c>
      <c r="DH16" s="2" t="s">
        <v>56</v>
      </c>
      <c r="DI16" s="2" t="s">
        <v>57</v>
      </c>
      <c r="DJ16" s="2" t="s">
        <v>58</v>
      </c>
      <c r="DT16" s="252" t="s">
        <v>23</v>
      </c>
      <c r="DU16" s="250">
        <v>3</v>
      </c>
      <c r="DV16" s="251">
        <f t="shared" si="0"/>
        <v>66</v>
      </c>
      <c r="DW16" s="251">
        <f t="shared" si="1"/>
        <v>0</v>
      </c>
      <c r="DX16" s="251">
        <f t="shared" si="1"/>
        <v>0</v>
      </c>
      <c r="DZ16" s="43"/>
    </row>
    <row r="17" customHeight="1" spans="2:128">
      <c r="B17" s="7"/>
      <c r="C17" s="8" t="s">
        <v>102</v>
      </c>
      <c r="D17" s="9"/>
      <c r="E17" s="9"/>
      <c r="F17" s="10"/>
      <c r="M17" s="36" t="s">
        <v>231</v>
      </c>
      <c r="N17" s="31" t="s">
        <v>210</v>
      </c>
      <c r="O17" s="37"/>
      <c r="P17" s="35"/>
      <c r="Q17" s="45"/>
      <c r="W17" s="48"/>
      <c r="X17" s="51"/>
      <c r="Y17" s="96"/>
      <c r="Z17" s="96"/>
      <c r="AA17" s="97"/>
      <c r="AB17" s="98" t="s">
        <v>232</v>
      </c>
      <c r="AC17" s="99">
        <f>AC16*比赛参数!D65*520</f>
        <v>699.999999999864</v>
      </c>
      <c r="AE17" s="83" t="s">
        <v>233</v>
      </c>
      <c r="AF17" s="100">
        <f>(AE9*SUM(AF64:AF67)+AE10*SUM(AG64:AG67)+AE11*SUM(AH64:AH67)+AE12*SUM(AI64:AI67))/SUM(AF64:AI67)</f>
        <v>11.0438881745969</v>
      </c>
      <c r="AG17" s="2" t="s">
        <v>106</v>
      </c>
      <c r="AH17" s="2">
        <f>AF14/(O20+O13)</f>
        <v>0.0803366841592853</v>
      </c>
      <c r="AI17" s="48"/>
      <c r="AJ17" s="48"/>
      <c r="AK17" s="48"/>
      <c r="AL17" s="48"/>
      <c r="AQ17" s="173"/>
      <c r="AR17" s="11">
        <v>9</v>
      </c>
      <c r="AS17" s="65" t="e">
        <f>SUM(AB139:AE139)*比赛参数!$D$26+SUM(AL139:AO139)*比赛参数!$E$26+SUM(AB162:AE162)*比赛参数!$F$26+SUM(AL162:AO162)*比赛参数!$G$26</f>
        <v>#DIV/0!</v>
      </c>
      <c r="AT17" s="55" t="e">
        <f t="shared" si="3"/>
        <v>#DIV/0!</v>
      </c>
      <c r="AU17" s="175">
        <f t="shared" si="4"/>
        <v>0</v>
      </c>
      <c r="AV17" s="176" t="e">
        <f t="shared" si="5"/>
        <v>#DIV/0!</v>
      </c>
      <c r="AW17" s="175">
        <f t="shared" si="6"/>
        <v>0</v>
      </c>
      <c r="AX17" s="192" t="e">
        <f t="shared" si="7"/>
        <v>#DIV/0!</v>
      </c>
      <c r="AY17" s="65" t="e">
        <f t="shared" si="8"/>
        <v>#DIV/0!</v>
      </c>
      <c r="AZ17" s="193">
        <f t="shared" si="9"/>
        <v>0</v>
      </c>
      <c r="BA17" s="65" t="e">
        <f t="shared" si="10"/>
        <v>#DIV/0!</v>
      </c>
      <c r="BB17" s="65" t="e">
        <f>IF(BA17&lt;比赛参数!$K$34,0,IF(BA17&lt;比赛参数!$K$35,BA17/(1-比赛参数!$E$36),IF(BA17&lt;比赛参数!$K$36,BA17/(1-比赛参数!$E$34))))</f>
        <v>#DIV/0!</v>
      </c>
      <c r="BC17" s="65" t="e">
        <f t="shared" si="11"/>
        <v>#DIV/0!</v>
      </c>
      <c r="BD17" s="101"/>
      <c r="BE17" s="65" t="e">
        <f t="shared" si="12"/>
        <v>#DIV/0!</v>
      </c>
      <c r="BF17" s="176" t="e">
        <f t="shared" si="13"/>
        <v>#DIV/0!</v>
      </c>
      <c r="BQ17" s="173"/>
      <c r="BR17" s="196" t="s">
        <v>24</v>
      </c>
      <c r="BS17" s="198">
        <f>第十四期!AB88</f>
        <v>49</v>
      </c>
      <c r="BT17" s="198">
        <f>第十四期!AB89</f>
        <v>49</v>
      </c>
      <c r="BU17" s="198">
        <f>第十四期!AB90</f>
        <v>76</v>
      </c>
      <c r="BV17" s="198">
        <f>第十四期!AB91</f>
        <v>76</v>
      </c>
      <c r="BW17" s="202"/>
      <c r="BX17" s="173"/>
      <c r="CA17" s="211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38"/>
      <c r="CR17" s="2" t="s">
        <v>38</v>
      </c>
      <c r="CS17" s="2">
        <f>比赛参数!D$65*CS29</f>
        <v>1200</v>
      </c>
      <c r="CT17" s="2">
        <f>比赛参数!E$65*CT29</f>
        <v>1800</v>
      </c>
      <c r="CU17" s="2">
        <f>比赛参数!F$65*CU29</f>
        <v>1440</v>
      </c>
      <c r="CV17" s="2">
        <f>比赛参数!G$65*CV29</f>
        <v>2160</v>
      </c>
      <c r="CW17" s="241">
        <f>(CS17*520+CU17*520+CV17*260)/1300</f>
        <v>1488</v>
      </c>
      <c r="CY17" s="2" t="s">
        <v>38</v>
      </c>
      <c r="CZ17" s="2">
        <f>$CW17+CS35+CS41+比赛参数!$D$30*比赛参数!$F$30*CS23/520</f>
        <v>2640.23076923077</v>
      </c>
      <c r="DA17" s="2">
        <f>$CW17+CT35+CT41+比赛参数!$D$30*比赛参数!$F$30*CT23/520</f>
        <v>2599.23076923077</v>
      </c>
      <c r="DB17" s="2">
        <f>$CW17+CU35+CU41+比赛参数!$D$30*比赛参数!$F$30*CU23/520</f>
        <v>2757.23076923077</v>
      </c>
      <c r="DC17" s="2">
        <f>$CW17+CV35+CV41+比赛参数!$D$30*比赛参数!$F$30*CV23/520</f>
        <v>2807.23076923077</v>
      </c>
      <c r="DF17" s="2" t="s">
        <v>38</v>
      </c>
      <c r="DG17" s="2">
        <f>$CW17+CS35+AVERAGE(CS41:CT41)</f>
        <v>1850.5</v>
      </c>
      <c r="DH17" s="2">
        <f>$CW17+CT35+AVERAGE(CS41:CT41)</f>
        <v>1850.5</v>
      </c>
      <c r="DI17" s="2">
        <f>$CW17+CU35+AVERAGE(CU41:CV41)</f>
        <v>2013</v>
      </c>
      <c r="DJ17" s="2">
        <f>$CW17+CV35+AVERAGE(CU41:CV41)</f>
        <v>2013</v>
      </c>
      <c r="DT17" s="266" t="s">
        <v>23</v>
      </c>
      <c r="DU17" s="267">
        <v>4</v>
      </c>
      <c r="DV17" s="268">
        <f t="shared" si="0"/>
        <v>79</v>
      </c>
      <c r="DW17" s="268">
        <f t="shared" si="1"/>
        <v>0</v>
      </c>
      <c r="DX17" s="268">
        <f t="shared" si="1"/>
        <v>0</v>
      </c>
    </row>
    <row r="18" customHeight="1" spans="2:130">
      <c r="B18" s="7"/>
      <c r="C18" s="8" t="s">
        <v>104</v>
      </c>
      <c r="D18" s="14">
        <v>18348617.5060173</v>
      </c>
      <c r="E18" s="9"/>
      <c r="F18" s="10"/>
      <c r="M18" s="30"/>
      <c r="N18" s="32" t="s">
        <v>211</v>
      </c>
      <c r="O18" s="32"/>
      <c r="P18" s="35"/>
      <c r="Q18" s="45"/>
      <c r="W18" s="50"/>
      <c r="X18" s="11" t="s">
        <v>234</v>
      </c>
      <c r="Y18" s="101">
        <v>19</v>
      </c>
      <c r="Z18" s="11" t="s">
        <v>235</v>
      </c>
      <c r="AA18" s="101">
        <v>14</v>
      </c>
      <c r="AB18" s="11" t="s">
        <v>236</v>
      </c>
      <c r="AC18" s="102">
        <v>2276448</v>
      </c>
      <c r="AE18" s="11" t="s">
        <v>237</v>
      </c>
      <c r="AF18" s="103"/>
      <c r="AG18" s="73" t="s">
        <v>108</v>
      </c>
      <c r="AH18" s="144">
        <v>1</v>
      </c>
      <c r="AI18" s="73" t="s">
        <v>238</v>
      </c>
      <c r="AJ18" s="102"/>
      <c r="AK18" s="42" t="s">
        <v>239</v>
      </c>
      <c r="AL18" s="145">
        <f>AL109</f>
        <v>338</v>
      </c>
      <c r="AQ18" s="173"/>
      <c r="AR18" s="11">
        <v>10</v>
      </c>
      <c r="AS18" s="65" t="e">
        <f>SUM(AB140:AE140)*比赛参数!$D$26+SUM(AL140:AO140)*比赛参数!$E$26+SUM(AB163:AE163)*比赛参数!$F$26+SUM(AL163:AO163)*比赛参数!$G$26</f>
        <v>#DIV/0!</v>
      </c>
      <c r="AT18" s="55" t="e">
        <f t="shared" si="3"/>
        <v>#DIV/0!</v>
      </c>
      <c r="AU18" s="175">
        <f t="shared" si="4"/>
        <v>0</v>
      </c>
      <c r="AV18" s="176" t="e">
        <f t="shared" si="5"/>
        <v>#DIV/0!</v>
      </c>
      <c r="AW18" s="175">
        <f t="shared" si="6"/>
        <v>0</v>
      </c>
      <c r="AX18" s="192" t="e">
        <f t="shared" si="7"/>
        <v>#DIV/0!</v>
      </c>
      <c r="AY18" s="65" t="e">
        <f t="shared" si="8"/>
        <v>#DIV/0!</v>
      </c>
      <c r="AZ18" s="193">
        <f t="shared" si="9"/>
        <v>0</v>
      </c>
      <c r="BA18" s="65" t="e">
        <f t="shared" si="10"/>
        <v>#DIV/0!</v>
      </c>
      <c r="BB18" s="65" t="e">
        <f>IF(BA18&lt;比赛参数!$K$34,0,IF(BA18&lt;比赛参数!$K$35,BA18/(1-比赛参数!$E$36),IF(BA18&lt;比赛参数!$K$36,BA18/(1-比赛参数!$E$34))))</f>
        <v>#DIV/0!</v>
      </c>
      <c r="BC18" s="65" t="e">
        <f t="shared" si="11"/>
        <v>#DIV/0!</v>
      </c>
      <c r="BD18" s="101"/>
      <c r="BE18" s="65" t="e">
        <f t="shared" si="12"/>
        <v>#DIV/0!</v>
      </c>
      <c r="BF18" s="176" t="e">
        <f t="shared" si="13"/>
        <v>#DIV/0!</v>
      </c>
      <c r="BQ18" s="173"/>
      <c r="BR18" s="201"/>
      <c r="BS18" s="202"/>
      <c r="BT18" s="202"/>
      <c r="BU18" s="202"/>
      <c r="BV18" s="202"/>
      <c r="BW18" s="202"/>
      <c r="BX18" s="173"/>
      <c r="CA18" s="213"/>
      <c r="CB18" s="214" t="s">
        <v>240</v>
      </c>
      <c r="CC18" s="224" t="s">
        <v>38</v>
      </c>
      <c r="CD18" s="224" t="s">
        <v>39</v>
      </c>
      <c r="CE18" s="224" t="s">
        <v>40</v>
      </c>
      <c r="CF18" s="224" t="s">
        <v>41</v>
      </c>
      <c r="CG18" s="217"/>
      <c r="CH18" s="217"/>
      <c r="CI18" s="214" t="s">
        <v>241</v>
      </c>
      <c r="CJ18" s="195" t="s">
        <v>38</v>
      </c>
      <c r="CK18" s="195" t="s">
        <v>39</v>
      </c>
      <c r="CL18" s="195" t="s">
        <v>40</v>
      </c>
      <c r="CM18" s="195" t="s">
        <v>41</v>
      </c>
      <c r="CN18" s="48"/>
      <c r="CO18" s="239"/>
      <c r="CR18" s="2" t="s">
        <v>39</v>
      </c>
      <c r="CS18" s="2">
        <f>比赛参数!D$65*CS30</f>
        <v>1500</v>
      </c>
      <c r="CT18" s="2">
        <f>比赛参数!E$65*CT30</f>
        <v>2250</v>
      </c>
      <c r="CU18" s="2">
        <f>比赛参数!F$65*CU30</f>
        <v>1800</v>
      </c>
      <c r="CV18" s="2">
        <f>比赛参数!G$65*CV30</f>
        <v>2700</v>
      </c>
      <c r="CW18" s="241">
        <f>(CS18*520+CU18*520+CV18*260)/1300</f>
        <v>1860</v>
      </c>
      <c r="CY18" s="2" t="s">
        <v>39</v>
      </c>
      <c r="CZ18" s="2">
        <f>$CW18+CS36+CS42+比赛参数!$D$30*比赛参数!$F$30*CS24/520</f>
        <v>5450.07692307692</v>
      </c>
      <c r="DA18" s="2">
        <f>$CW18+CT36+CT42+比赛参数!$D$30*比赛参数!$F$30*CT24/520</f>
        <v>5366.07692307692</v>
      </c>
      <c r="DB18" s="2">
        <f>$CW18+CU36+CU42+比赛参数!$D$30*比赛参数!$F$30*CU24/520</f>
        <v>5583.07692307692</v>
      </c>
      <c r="DC18" s="2">
        <f>$CW18+CV36+CV42+比赛参数!$D$30*比赛参数!$F$30*CV24/520</f>
        <v>5633.07692307692</v>
      </c>
      <c r="DF18" s="2" t="s">
        <v>39</v>
      </c>
      <c r="DG18" s="2">
        <f>$CW18+CS36+AVERAGE(CS42:CT42)</f>
        <v>3485</v>
      </c>
      <c r="DH18" s="2">
        <f>$CW18+CT36+AVERAGE(CS42:CT42)</f>
        <v>3485</v>
      </c>
      <c r="DI18" s="2">
        <f>$CW18+CU36+AVERAGE(CU42:CV42)</f>
        <v>3685</v>
      </c>
      <c r="DJ18" s="2">
        <f>$CW18+CV36+AVERAGE(CU42:CV42)</f>
        <v>3685</v>
      </c>
      <c r="DT18" s="249" t="s">
        <v>24</v>
      </c>
      <c r="DU18" s="260">
        <v>1</v>
      </c>
      <c r="DV18" s="261">
        <f t="shared" si="0"/>
        <v>47</v>
      </c>
      <c r="DW18" s="261">
        <f t="shared" si="1"/>
        <v>0</v>
      </c>
      <c r="DX18" s="261">
        <f t="shared" si="1"/>
        <v>0</v>
      </c>
      <c r="DZ18" s="43"/>
    </row>
    <row r="19" customHeight="1" spans="2:128">
      <c r="B19" s="7"/>
      <c r="C19" s="8" t="s">
        <v>105</v>
      </c>
      <c r="D19" s="14"/>
      <c r="E19" s="9"/>
      <c r="F19" s="10"/>
      <c r="M19" s="36" t="s">
        <v>242</v>
      </c>
      <c r="N19" s="31" t="s">
        <v>102</v>
      </c>
      <c r="O19" s="37"/>
      <c r="P19" s="35"/>
      <c r="Q19" s="45"/>
      <c r="W19" s="48"/>
      <c r="X19" s="52" t="s">
        <v>243</v>
      </c>
      <c r="Y19" s="99">
        <f>第十四期!K8*比赛参数!D57</f>
        <v>221.5</v>
      </c>
      <c r="Z19" s="104" t="s">
        <v>244</v>
      </c>
      <c r="AA19" s="99">
        <f>第十四期!K8*比赛参数!D60</f>
        <v>13.29</v>
      </c>
      <c r="AB19" s="104" t="s">
        <v>244</v>
      </c>
      <c r="AC19" s="105">
        <f>IF((AC21-第十四期!K10)/比赛参数!D41&gt;0,(AC21-第十四期!K10)/比赛参数!D41,0)</f>
        <v>2276447.5</v>
      </c>
      <c r="AE19" s="42" t="s">
        <v>36</v>
      </c>
      <c r="AF19" s="106">
        <f>BS67</f>
        <v>182115.84</v>
      </c>
      <c r="AG19" s="48"/>
      <c r="AH19" s="48"/>
      <c r="AI19" s="146" t="s">
        <v>245</v>
      </c>
      <c r="AJ19" s="105">
        <f>IF((第十四期!BW92-第十四期!BS87)&gt;0,第十四期!BW92-第十四期!BS87,0)</f>
        <v>1610962.43885096</v>
      </c>
      <c r="AK19" s="42" t="s">
        <v>246</v>
      </c>
      <c r="AL19" s="145">
        <f>AL110</f>
        <v>315.769230769231</v>
      </c>
      <c r="AM19" s="2" t="s">
        <v>247</v>
      </c>
      <c r="AR19" s="11">
        <v>11</v>
      </c>
      <c r="AS19" s="65" t="e">
        <f>SUM(AB141:AE141)*比赛参数!$D$26+SUM(AL141:AO141)*比赛参数!$E$26+SUM(AB164:AE164)*比赛参数!$F$26+SUM(AL164:AO164)*比赛参数!$G$26</f>
        <v>#DIV/0!</v>
      </c>
      <c r="AT19" s="55" t="e">
        <f t="shared" si="3"/>
        <v>#DIV/0!</v>
      </c>
      <c r="AU19" s="175">
        <f t="shared" si="4"/>
        <v>0</v>
      </c>
      <c r="AV19" s="176" t="e">
        <f t="shared" si="5"/>
        <v>#DIV/0!</v>
      </c>
      <c r="AW19" s="175">
        <f t="shared" si="6"/>
        <v>0</v>
      </c>
      <c r="AX19" s="192" t="e">
        <f t="shared" si="7"/>
        <v>#DIV/0!</v>
      </c>
      <c r="AY19" s="65" t="e">
        <f t="shared" si="8"/>
        <v>#DIV/0!</v>
      </c>
      <c r="AZ19" s="193">
        <f t="shared" si="9"/>
        <v>0</v>
      </c>
      <c r="BA19" s="65" t="e">
        <f t="shared" si="10"/>
        <v>#DIV/0!</v>
      </c>
      <c r="BB19" s="65" t="e">
        <f>IF(BA19&lt;比赛参数!$K$34,0,IF(BA19&lt;比赛参数!$K$35,BA19/(1-比赛参数!$E$36),IF(BA19&lt;比赛参数!$K$36,BA19/(1-比赛参数!$E$34))))</f>
        <v>#DIV/0!</v>
      </c>
      <c r="BC19" s="65" t="e">
        <f t="shared" si="11"/>
        <v>#DIV/0!</v>
      </c>
      <c r="BD19" s="101"/>
      <c r="BE19" s="65" t="e">
        <f t="shared" si="12"/>
        <v>#DIV/0!</v>
      </c>
      <c r="BF19" s="176" t="e">
        <f t="shared" si="13"/>
        <v>#DIV/0!</v>
      </c>
      <c r="BR19" s="203" t="s">
        <v>169</v>
      </c>
      <c r="BS19" s="195" t="s">
        <v>88</v>
      </c>
      <c r="BT19" s="196" t="s">
        <v>89</v>
      </c>
      <c r="BU19" s="196" t="s">
        <v>90</v>
      </c>
      <c r="BV19" s="196" t="s">
        <v>91</v>
      </c>
      <c r="BW19" s="199" t="s">
        <v>248</v>
      </c>
      <c r="BX19" s="215"/>
      <c r="CA19" s="213"/>
      <c r="CB19" s="216" t="s">
        <v>55</v>
      </c>
      <c r="CC19" s="110">
        <f>第十四期!$CX$68</f>
        <v>0.692464113712216</v>
      </c>
      <c r="CD19" s="110">
        <f>第十四期!$CX$69</f>
        <v>0.574792456227052</v>
      </c>
      <c r="CE19" s="110">
        <f>第十四期!$CX$70</f>
        <v>0.567943661267243</v>
      </c>
      <c r="CF19" s="110">
        <f>第十四期!$CX$71</f>
        <v>0.56845283659912</v>
      </c>
      <c r="CG19" s="219"/>
      <c r="CH19" s="225"/>
      <c r="CI19" s="226" t="s">
        <v>55</v>
      </c>
      <c r="CJ19" s="110">
        <f>第十四期!$CX$50</f>
        <v>1890.73432876588</v>
      </c>
      <c r="CK19" s="110">
        <f>第十四期!$CX$51</f>
        <v>4032.27738035625</v>
      </c>
      <c r="CL19" s="110">
        <f>第十四期!$CX$52</f>
        <v>6250.22457253308</v>
      </c>
      <c r="CM19" s="110">
        <f>第十四期!$CX$53</f>
        <v>8256.5440909779</v>
      </c>
      <c r="CN19" s="48"/>
      <c r="CO19" s="239"/>
      <c r="CR19" s="2" t="s">
        <v>40</v>
      </c>
      <c r="CS19" s="2">
        <f>比赛参数!D$65*CS31</f>
        <v>1600</v>
      </c>
      <c r="CT19" s="2">
        <f>比赛参数!E$65*CT31</f>
        <v>2400</v>
      </c>
      <c r="CU19" s="2">
        <f>比赛参数!F$65*CU31</f>
        <v>1920</v>
      </c>
      <c r="CV19" s="2">
        <f>比赛参数!G$65*CV31</f>
        <v>2880</v>
      </c>
      <c r="CW19" s="241">
        <f>(CS19*520+CU19*520+CV19*260)/1300</f>
        <v>1984</v>
      </c>
      <c r="CY19" s="2" t="s">
        <v>40</v>
      </c>
      <c r="CZ19" s="2">
        <f>$CW19+CS37+CS43+比赛参数!$D$30*比赛参数!$F$30*CS25/520</f>
        <v>7763.07692307692</v>
      </c>
      <c r="DA19" s="2">
        <f>$CW19+CT37+CT43+比赛参数!$D$30*比赛参数!$F$30*CT25/520</f>
        <v>7651.07692307692</v>
      </c>
      <c r="DB19" s="2">
        <f>$CW19+CU37+CU43+比赛参数!$D$30*比赛参数!$F$30*CU25/520</f>
        <v>7907.07692307692</v>
      </c>
      <c r="DC19" s="2">
        <f>$CW19+CV37+CV43+比赛参数!$D$30*比赛参数!$F$30*CV25/520</f>
        <v>7957.07692307692</v>
      </c>
      <c r="DF19" s="2" t="s">
        <v>40</v>
      </c>
      <c r="DG19" s="2">
        <f>$CW19+CS37+AVERAGE(CS43:CT43)</f>
        <v>4784</v>
      </c>
      <c r="DH19" s="2">
        <f>$CW19+CT37+AVERAGE(CS43:CT43)</f>
        <v>4784</v>
      </c>
      <c r="DI19" s="2">
        <f>$CW19+CU37+AVERAGE(CU43:CV43)</f>
        <v>5009</v>
      </c>
      <c r="DJ19" s="2">
        <f>$CW19+CV37+AVERAGE(CU43:CV43)</f>
        <v>5009</v>
      </c>
      <c r="DT19" s="252" t="s">
        <v>24</v>
      </c>
      <c r="DU19" s="250">
        <v>2</v>
      </c>
      <c r="DV19" s="251">
        <f t="shared" si="0"/>
        <v>46</v>
      </c>
      <c r="DW19" s="251">
        <f t="shared" si="1"/>
        <v>0</v>
      </c>
      <c r="DX19" s="251">
        <f t="shared" si="1"/>
        <v>0</v>
      </c>
    </row>
    <row r="20" customHeight="1" spans="2:130">
      <c r="B20" s="7"/>
      <c r="C20" s="8" t="s">
        <v>262</v>
      </c>
      <c r="D20" s="9"/>
      <c r="E20" s="9"/>
      <c r="F20" s="10"/>
      <c r="M20" s="30"/>
      <c r="N20" s="32" t="s">
        <v>104</v>
      </c>
      <c r="O20" s="38">
        <f>K16+AJ19-AJ18</f>
        <v>19959579.9448683</v>
      </c>
      <c r="P20" s="35"/>
      <c r="Q20" s="45"/>
      <c r="W20" s="50"/>
      <c r="X20" s="42" t="s">
        <v>249</v>
      </c>
      <c r="Y20" s="107">
        <f>第十四期!K8+第十四期!Y18*比赛参数!D59-第十四期!AA18</f>
        <v>433.75</v>
      </c>
      <c r="Z20" s="42" t="s">
        <v>239</v>
      </c>
      <c r="AA20" s="108">
        <f>第十四期!K9</f>
        <v>338</v>
      </c>
      <c r="AB20" s="42" t="s">
        <v>250</v>
      </c>
      <c r="AC20" s="109">
        <f>AC18*比赛参数!D41+第十四期!K10</f>
        <v>2242000.4</v>
      </c>
      <c r="AE20" s="11" t="s">
        <v>251</v>
      </c>
      <c r="AF20" s="101"/>
      <c r="AG20" s="42" t="s">
        <v>87</v>
      </c>
      <c r="AH20" s="147">
        <f>第十四期!BS62+第十四期!BS71</f>
        <v>2992120</v>
      </c>
      <c r="AI20" s="73" t="s">
        <v>252</v>
      </c>
      <c r="AJ20" s="111">
        <f>第十四期!BV90</f>
        <v>9618135.59025289</v>
      </c>
      <c r="AK20" s="148" t="s">
        <v>253</v>
      </c>
      <c r="AL20" s="145">
        <f>AL111</f>
        <v>315.769230769231</v>
      </c>
      <c r="AM20" s="2">
        <f>AF14/AL20/1300</f>
        <v>5.6062726251991</v>
      </c>
      <c r="AR20" s="11">
        <v>12</v>
      </c>
      <c r="AS20" s="65" t="e">
        <f>SUM(AB142:AE142)*比赛参数!$D$26+SUM(AL142:AO142)*比赛参数!$E$26+SUM(AB165:AE165)*比赛参数!$F$26+SUM(AL165:AO165)*比赛参数!$G$26</f>
        <v>#DIV/0!</v>
      </c>
      <c r="AT20" s="55" t="e">
        <f t="shared" si="3"/>
        <v>#DIV/0!</v>
      </c>
      <c r="AU20" s="175">
        <f t="shared" si="4"/>
        <v>0</v>
      </c>
      <c r="AV20" s="176" t="e">
        <f t="shared" si="5"/>
        <v>#DIV/0!</v>
      </c>
      <c r="AW20" s="175">
        <f t="shared" si="6"/>
        <v>0</v>
      </c>
      <c r="AX20" s="192" t="e">
        <f t="shared" si="7"/>
        <v>#DIV/0!</v>
      </c>
      <c r="AY20" s="65" t="e">
        <f t="shared" si="8"/>
        <v>#DIV/0!</v>
      </c>
      <c r="AZ20" s="193">
        <f t="shared" si="9"/>
        <v>0</v>
      </c>
      <c r="BA20" s="65" t="e">
        <f t="shared" si="10"/>
        <v>#DIV/0!</v>
      </c>
      <c r="BB20" s="65" t="e">
        <f>IF(BA20&lt;比赛参数!$K$34,0,IF(BA20&lt;比赛参数!$K$35,BA20/(1-比赛参数!$E$36),IF(BA20&lt;比赛参数!$K$36,BA20/(1-比赛参数!$E$34))))</f>
        <v>#DIV/0!</v>
      </c>
      <c r="BC20" s="65" t="e">
        <f t="shared" si="11"/>
        <v>#DIV/0!</v>
      </c>
      <c r="BD20" s="101"/>
      <c r="BE20" s="65" t="e">
        <f t="shared" si="12"/>
        <v>#DIV/0!</v>
      </c>
      <c r="BF20" s="176" t="e">
        <f t="shared" si="13"/>
        <v>#DIV/0!</v>
      </c>
      <c r="BR20" s="197" t="s">
        <v>21</v>
      </c>
      <c r="BS20" s="198">
        <f>第十四期!Y9</f>
        <v>710</v>
      </c>
      <c r="BT20" s="198">
        <f>第十四期!Z9</f>
        <v>0</v>
      </c>
      <c r="BU20" s="198">
        <f>第十四期!AA9</f>
        <v>0</v>
      </c>
      <c r="BV20" s="198">
        <f>第十四期!AB9</f>
        <v>0</v>
      </c>
      <c r="BW20" s="200">
        <f>第十四期!AJ34</f>
        <v>0</v>
      </c>
      <c r="BX20" s="215"/>
      <c r="CA20" s="213"/>
      <c r="CB20" s="196" t="s">
        <v>56</v>
      </c>
      <c r="CC20" s="110">
        <f>第十四期!$CY$68</f>
        <v>0.72997816509953</v>
      </c>
      <c r="CD20" s="110">
        <f>第十四期!$CY$69</f>
        <v>0.608296324770132</v>
      </c>
      <c r="CE20" s="110">
        <f>第十四期!$CY$70</f>
        <v>0.596552860553912</v>
      </c>
      <c r="CF20" s="110">
        <f>第十四期!$CY$71</f>
        <v>0.595113588702593</v>
      </c>
      <c r="CG20" s="219"/>
      <c r="CH20" s="225"/>
      <c r="CI20" s="227" t="s">
        <v>56</v>
      </c>
      <c r="CJ20" s="110">
        <f>第十四期!$CY$50</f>
        <v>1849.73432876588</v>
      </c>
      <c r="CK20" s="110">
        <f>第十四期!$CY$51</f>
        <v>3948.27738035625</v>
      </c>
      <c r="CL20" s="110">
        <f>第十四期!$CY$52</f>
        <v>6138.22457253308</v>
      </c>
      <c r="CM20" s="110">
        <f>第十四期!$CY$53</f>
        <v>8118.5440909779</v>
      </c>
      <c r="CN20" s="48"/>
      <c r="CO20" s="239"/>
      <c r="CR20" s="2" t="s">
        <v>41</v>
      </c>
      <c r="CS20" s="2">
        <f>比赛参数!D$65*CS32</f>
        <v>1800</v>
      </c>
      <c r="CT20" s="2">
        <f>比赛参数!E$65*CT32</f>
        <v>2700</v>
      </c>
      <c r="CU20" s="2">
        <f>比赛参数!F$65*CU32</f>
        <v>2160</v>
      </c>
      <c r="CV20" s="2">
        <f>比赛参数!G$65*CV32</f>
        <v>3240</v>
      </c>
      <c r="CW20" s="241">
        <f>(CS20*520+CU20*520+CV20*260)/1300</f>
        <v>2232</v>
      </c>
      <c r="CY20" s="2" t="s">
        <v>41</v>
      </c>
      <c r="CZ20" s="2">
        <f>$CW20+CS38+CS44+比赛参数!$D$30*比赛参数!$F$30*CS26/520</f>
        <v>10226</v>
      </c>
      <c r="DA20" s="2">
        <f>$CW20+CT38+CT44+比赛参数!$D$30*比赛参数!$F$30*CT26/520</f>
        <v>10088</v>
      </c>
      <c r="DB20" s="2">
        <f>$CW20+CU38+CU44+比赛参数!$D$30*比赛参数!$F$30*CU26/520</f>
        <v>10432</v>
      </c>
      <c r="DC20" s="2">
        <f>$CW20+CV38+CV44+比赛参数!$D$30*比赛参数!$F$30*CV26/520</f>
        <v>10482</v>
      </c>
      <c r="DF20" s="2" t="s">
        <v>41</v>
      </c>
      <c r="DG20" s="2">
        <f>$CW20+CS38+AVERAGE(CS44:CT44)</f>
        <v>6157</v>
      </c>
      <c r="DH20" s="2">
        <f>$CW20+CT38+AVERAGE(CS44:CT44)</f>
        <v>6157</v>
      </c>
      <c r="DI20" s="2">
        <f>$CW20+CU38+AVERAGE(CU44:CV44)</f>
        <v>6457</v>
      </c>
      <c r="DJ20" s="2">
        <f>$CW20+CV38+AVERAGE(CU44:CV44)</f>
        <v>6457</v>
      </c>
      <c r="DT20" s="252" t="s">
        <v>24</v>
      </c>
      <c r="DU20" s="250">
        <v>3</v>
      </c>
      <c r="DV20" s="251">
        <f t="shared" si="0"/>
        <v>61</v>
      </c>
      <c r="DW20" s="251">
        <f t="shared" si="1"/>
        <v>0</v>
      </c>
      <c r="DX20" s="251">
        <f t="shared" si="1"/>
        <v>0</v>
      </c>
      <c r="DZ20" s="43"/>
    </row>
    <row r="21" customHeight="1" spans="2:128">
      <c r="B21" s="7"/>
      <c r="C21" s="8" t="s">
        <v>254</v>
      </c>
      <c r="D21" s="9"/>
      <c r="E21" s="9"/>
      <c r="F21" s="10"/>
      <c r="M21" s="30"/>
      <c r="N21" s="31" t="s">
        <v>105</v>
      </c>
      <c r="O21" s="37"/>
      <c r="P21" s="35"/>
      <c r="Q21" s="45"/>
      <c r="W21" s="48"/>
      <c r="X21" s="42" t="s">
        <v>255</v>
      </c>
      <c r="Y21" s="110">
        <f>Y13+AA13</f>
        <v>433.615384615385</v>
      </c>
      <c r="Z21" s="42" t="s">
        <v>256</v>
      </c>
      <c r="AA21" s="110">
        <f>MAX(Y14,Z14+AA14,AB14)</f>
        <v>337.980769230769</v>
      </c>
      <c r="AB21" s="42" t="s">
        <v>257</v>
      </c>
      <c r="AC21" s="111">
        <f>AC9*比赛参数!D28+AC10*比赛参数!E28+AC11*比赛参数!F28+AC12*比赛参数!G28</f>
        <v>2242000</v>
      </c>
      <c r="AE21" s="42" t="s">
        <v>258</v>
      </c>
      <c r="AF21" s="112">
        <f>AF20*比赛参数!D70/4</f>
        <v>0</v>
      </c>
      <c r="AG21" s="149" t="s">
        <v>259</v>
      </c>
      <c r="AH21" s="147">
        <f>CN53+CN59</f>
        <v>629213.29409746</v>
      </c>
      <c r="AI21" s="42" t="s">
        <v>260</v>
      </c>
      <c r="AJ21" s="139">
        <f>比赛参数!D67</f>
        <v>2500000</v>
      </c>
      <c r="AK21" s="148" t="s">
        <v>261</v>
      </c>
      <c r="AL21" s="150">
        <f>AL112</f>
        <v>1</v>
      </c>
      <c r="AR21" s="11">
        <v>13</v>
      </c>
      <c r="AS21" s="65" t="e">
        <f>SUM(AB143:AE143)*比赛参数!$D$26+SUM(AL143:AO143)*比赛参数!$E$26+SUM(AB166:AE166)*比赛参数!$F$26+SUM(AL166:AO166)*比赛参数!$G$26</f>
        <v>#DIV/0!</v>
      </c>
      <c r="AT21" s="55" t="e">
        <f t="shared" si="3"/>
        <v>#DIV/0!</v>
      </c>
      <c r="AU21" s="175">
        <f t="shared" si="4"/>
        <v>0</v>
      </c>
      <c r="AV21" s="176" t="e">
        <f t="shared" si="5"/>
        <v>#DIV/0!</v>
      </c>
      <c r="AW21" s="175">
        <f t="shared" si="6"/>
        <v>0</v>
      </c>
      <c r="AX21" s="192" t="e">
        <f t="shared" si="7"/>
        <v>#DIV/0!</v>
      </c>
      <c r="AY21" s="65" t="e">
        <f t="shared" si="8"/>
        <v>#DIV/0!</v>
      </c>
      <c r="AZ21" s="193">
        <f t="shared" si="9"/>
        <v>0</v>
      </c>
      <c r="BA21" s="65" t="e">
        <f t="shared" si="10"/>
        <v>#DIV/0!</v>
      </c>
      <c r="BB21" s="65" t="e">
        <f>IF(BA21&lt;比赛参数!$K$34,0,IF(BA21&lt;比赛参数!$K$35,BA21/(1-比赛参数!$E$36),IF(BA21&lt;比赛参数!$K$36,BA21/(1-比赛参数!$E$34))))</f>
        <v>#DIV/0!</v>
      </c>
      <c r="BC21" s="65" t="e">
        <f t="shared" si="11"/>
        <v>#DIV/0!</v>
      </c>
      <c r="BD21" s="101"/>
      <c r="BE21" s="65" t="e">
        <f t="shared" si="12"/>
        <v>#DIV/0!</v>
      </c>
      <c r="BF21" s="176" t="e">
        <f t="shared" si="13"/>
        <v>#DIV/0!</v>
      </c>
      <c r="BR21" s="196" t="s">
        <v>22</v>
      </c>
      <c r="BS21" s="198">
        <f>第十四期!Y10</f>
        <v>419</v>
      </c>
      <c r="BT21" s="198">
        <f>第十四期!Z10</f>
        <v>0</v>
      </c>
      <c r="BU21" s="198">
        <f>第十四期!AA10</f>
        <v>197</v>
      </c>
      <c r="BV21" s="198">
        <f>第十四期!AB10</f>
        <v>0</v>
      </c>
      <c r="BW21" s="200">
        <f>第十四期!AJ35</f>
        <v>0</v>
      </c>
      <c r="BX21" s="215"/>
      <c r="CA21" s="213"/>
      <c r="CB21" s="196" t="s">
        <v>57</v>
      </c>
      <c r="CC21" s="110">
        <f>第十四期!$CZ$68</f>
        <v>0.668547452719601</v>
      </c>
      <c r="CD21" s="110">
        <f>第十四期!$CZ$69</f>
        <v>0.577325925755773</v>
      </c>
      <c r="CE21" s="110">
        <f>第十四期!$CZ$70</f>
        <v>0.571730846484593</v>
      </c>
      <c r="CF21" s="110">
        <f>第十四期!$CZ$71</f>
        <v>0.577539786673929</v>
      </c>
      <c r="CG21" s="219"/>
      <c r="CH21" s="225"/>
      <c r="CI21" s="227" t="s">
        <v>57</v>
      </c>
      <c r="CJ21" s="110">
        <f>第十四期!$CZ$50</f>
        <v>2007.73432876588</v>
      </c>
      <c r="CK21" s="110">
        <f>第十四期!$CZ$51</f>
        <v>4165.27738035625</v>
      </c>
      <c r="CL21" s="110">
        <f>第十四期!$CZ$52</f>
        <v>6394.22457253308</v>
      </c>
      <c r="CM21" s="110">
        <f>第十四期!$CZ$53</f>
        <v>8462.5440909779</v>
      </c>
      <c r="CN21" s="48"/>
      <c r="CO21" s="239"/>
      <c r="DT21" s="252" t="s">
        <v>24</v>
      </c>
      <c r="DU21" s="250">
        <v>4</v>
      </c>
      <c r="DV21" s="251">
        <f t="shared" si="0"/>
        <v>61</v>
      </c>
      <c r="DW21" s="251">
        <f t="shared" si="1"/>
        <v>0</v>
      </c>
      <c r="DX21" s="251">
        <f t="shared" si="1"/>
        <v>0</v>
      </c>
    </row>
    <row r="22" customHeight="1" spans="3:130">
      <c r="C22" s="15"/>
      <c r="D22" s="15"/>
      <c r="E22" s="15"/>
      <c r="M22" s="30"/>
      <c r="N22" s="31" t="s">
        <v>262</v>
      </c>
      <c r="O22" s="37"/>
      <c r="P22" s="35"/>
      <c r="Q22" s="45"/>
      <c r="Z22" s="2" t="s">
        <v>263</v>
      </c>
      <c r="AA22" s="113">
        <f>SUM(AH9:AH12)/1300</f>
        <v>337.953846153846</v>
      </c>
      <c r="AB22" s="114">
        <f>AA22/AA20</f>
        <v>0.999863450159308</v>
      </c>
      <c r="AD22" s="115"/>
      <c r="AH22" s="151">
        <f>AH20+AH21</f>
        <v>3621333.29409746</v>
      </c>
      <c r="AI22" s="42" t="s">
        <v>264</v>
      </c>
      <c r="AJ22" s="139">
        <f>K11</f>
        <v>6115713.98217115</v>
      </c>
      <c r="AK22" s="2" t="s">
        <v>265</v>
      </c>
      <c r="AL22" s="152">
        <f>K10</f>
        <v>420842</v>
      </c>
      <c r="AR22" s="11">
        <v>14</v>
      </c>
      <c r="AS22" s="65" t="e">
        <f>SUM(AB144:AE144)*比赛参数!$D$26+SUM(AL144:AO144)*比赛参数!$E$26+SUM(AB167:AE167)*比赛参数!$F$26+SUM(AL167:AO167)*比赛参数!$G$26</f>
        <v>#DIV/0!</v>
      </c>
      <c r="AT22" s="55" t="e">
        <f t="shared" si="3"/>
        <v>#DIV/0!</v>
      </c>
      <c r="AU22" s="175">
        <f t="shared" si="4"/>
        <v>0</v>
      </c>
      <c r="AV22" s="176" t="e">
        <f t="shared" si="5"/>
        <v>#DIV/0!</v>
      </c>
      <c r="AW22" s="175">
        <f t="shared" si="6"/>
        <v>0</v>
      </c>
      <c r="AX22" s="192" t="e">
        <f t="shared" si="7"/>
        <v>#DIV/0!</v>
      </c>
      <c r="AY22" s="65" t="e">
        <f t="shared" si="8"/>
        <v>#DIV/0!</v>
      </c>
      <c r="AZ22" s="193">
        <f t="shared" si="9"/>
        <v>0</v>
      </c>
      <c r="BA22" s="65" t="e">
        <f t="shared" si="10"/>
        <v>#DIV/0!</v>
      </c>
      <c r="BB22" s="65" t="e">
        <f>IF(BA22&lt;比赛参数!$K$34,0,IF(BA22&lt;比赛参数!$K$35,BA22/(1-比赛参数!$E$36),IF(BA22&lt;比赛参数!$K$36,BA22/(1-比赛参数!$E$34))))</f>
        <v>#DIV/0!</v>
      </c>
      <c r="BC22" s="65" t="e">
        <f t="shared" si="11"/>
        <v>#DIV/0!</v>
      </c>
      <c r="BD22" s="101"/>
      <c r="BE22" s="65" t="e">
        <f t="shared" si="12"/>
        <v>#DIV/0!</v>
      </c>
      <c r="BF22" s="176" t="e">
        <f t="shared" si="13"/>
        <v>#DIV/0!</v>
      </c>
      <c r="BR22" s="196" t="s">
        <v>23</v>
      </c>
      <c r="BS22" s="198">
        <f>第十四期!Y11</f>
        <v>0</v>
      </c>
      <c r="BT22" s="198">
        <f>第十四期!Z11</f>
        <v>0</v>
      </c>
      <c r="BU22" s="198">
        <f>第十四期!AA11</f>
        <v>144</v>
      </c>
      <c r="BV22" s="198">
        <f>第十四期!AB11</f>
        <v>67</v>
      </c>
      <c r="BW22" s="200">
        <f>第十四期!AJ36</f>
        <v>0</v>
      </c>
      <c r="BX22" s="215"/>
      <c r="CA22" s="213"/>
      <c r="CB22" s="196" t="s">
        <v>58</v>
      </c>
      <c r="CC22" s="110">
        <f>第十四期!$DA$68</f>
        <v>0.6523027061706</v>
      </c>
      <c r="CD22" s="110">
        <f>第十四期!$DA$69</f>
        <v>0.577594876908903</v>
      </c>
      <c r="CE22" s="110">
        <f>第十四期!$DA$70</f>
        <v>0.559535966954915</v>
      </c>
      <c r="CF22" s="110">
        <f>第十四期!$DA$71</f>
        <v>0.585894869467765</v>
      </c>
      <c r="CG22" s="219"/>
      <c r="CH22" s="225"/>
      <c r="CI22" s="227" t="s">
        <v>58</v>
      </c>
      <c r="CJ22" s="110">
        <f>第十四期!$DA$50</f>
        <v>2057.73432876588</v>
      </c>
      <c r="CK22" s="110">
        <f>第十四期!$DA$51</f>
        <v>4215.27738035625</v>
      </c>
      <c r="CL22" s="110">
        <f>第十四期!$DA$52</f>
        <v>6444.22457253308</v>
      </c>
      <c r="CM22" s="110">
        <f>第十四期!$DA$53</f>
        <v>8512.5440909779</v>
      </c>
      <c r="CN22" s="48"/>
      <c r="CO22" s="239"/>
      <c r="CR22" s="2" t="s">
        <v>266</v>
      </c>
      <c r="CS22" s="2" t="s">
        <v>224</v>
      </c>
      <c r="CT22" s="2" t="s">
        <v>225</v>
      </c>
      <c r="CU22" s="2" t="s">
        <v>226</v>
      </c>
      <c r="CV22" s="2" t="s">
        <v>227</v>
      </c>
      <c r="CY22" s="2" t="s">
        <v>173</v>
      </c>
      <c r="CZ22" s="2" t="s">
        <v>55</v>
      </c>
      <c r="DA22" s="2" t="s">
        <v>56</v>
      </c>
      <c r="DB22" s="2" t="s">
        <v>57</v>
      </c>
      <c r="DC22" s="2" t="s">
        <v>58</v>
      </c>
      <c r="DF22" s="2" t="s">
        <v>173</v>
      </c>
      <c r="DG22" s="2" t="s">
        <v>55</v>
      </c>
      <c r="DH22" s="2" t="s">
        <v>56</v>
      </c>
      <c r="DI22" s="2" t="s">
        <v>57</v>
      </c>
      <c r="DJ22" s="2" t="s">
        <v>58</v>
      </c>
      <c r="DZ22" s="43"/>
    </row>
    <row r="23" customHeight="1" spans="2:126">
      <c r="B23" s="7"/>
      <c r="C23" s="16" t="s">
        <v>156</v>
      </c>
      <c r="D23" s="17" t="s">
        <v>157</v>
      </c>
      <c r="E23" s="17" t="s">
        <v>267</v>
      </c>
      <c r="F23" s="17" t="s">
        <v>268</v>
      </c>
      <c r="G23" s="17" t="s">
        <v>269</v>
      </c>
      <c r="H23" s="17" t="s">
        <v>101</v>
      </c>
      <c r="I23" s="17" t="s">
        <v>159</v>
      </c>
      <c r="J23" s="17" t="s">
        <v>160</v>
      </c>
      <c r="K23" s="20" t="s">
        <v>270</v>
      </c>
      <c r="L23" s="10"/>
      <c r="M23" s="39" t="s">
        <v>268</v>
      </c>
      <c r="N23" s="31" t="s">
        <v>254</v>
      </c>
      <c r="O23" s="37"/>
      <c r="P23" s="35"/>
      <c r="Q23" s="45"/>
      <c r="Y23" s="2">
        <f>比赛参数!D26</f>
        <v>100</v>
      </c>
      <c r="Z23" s="2">
        <f>比赛参数!E26</f>
        <v>250</v>
      </c>
      <c r="AA23" s="2">
        <f>比赛参数!F26</f>
        <v>380</v>
      </c>
      <c r="AB23" s="2">
        <f>比赛参数!G26</f>
        <v>520</v>
      </c>
      <c r="AD23" s="115"/>
      <c r="AI23" s="42" t="s">
        <v>271</v>
      </c>
      <c r="AJ23" s="139">
        <f>AF13</f>
        <v>8972210.92735577</v>
      </c>
      <c r="AK23" s="2" t="s">
        <v>272</v>
      </c>
      <c r="AL23" s="152">
        <f>AL22+AC18-AC21</f>
        <v>455290</v>
      </c>
      <c r="AQ23" s="177"/>
      <c r="AR23" s="11">
        <v>15</v>
      </c>
      <c r="AS23" s="65" t="e">
        <f>SUM(AB145:AE145)*比赛参数!$D$26+SUM(AL145:AO145)*比赛参数!$E$26+SUM(AB168:AE168)*比赛参数!$F$26+SUM(AL168:AO168)*比赛参数!$G$26</f>
        <v>#DIV/0!</v>
      </c>
      <c r="AT23" s="55" t="e">
        <f t="shared" si="3"/>
        <v>#DIV/0!</v>
      </c>
      <c r="AU23" s="175">
        <f t="shared" si="4"/>
        <v>0</v>
      </c>
      <c r="AV23" s="176" t="e">
        <f t="shared" si="5"/>
        <v>#DIV/0!</v>
      </c>
      <c r="AW23" s="175">
        <f t="shared" si="6"/>
        <v>0</v>
      </c>
      <c r="AX23" s="192" t="e">
        <f t="shared" si="7"/>
        <v>#DIV/0!</v>
      </c>
      <c r="AY23" s="65" t="e">
        <f t="shared" si="8"/>
        <v>#DIV/0!</v>
      </c>
      <c r="AZ23" s="193">
        <f t="shared" si="9"/>
        <v>0</v>
      </c>
      <c r="BA23" s="65" t="e">
        <f t="shared" si="10"/>
        <v>#DIV/0!</v>
      </c>
      <c r="BB23" s="65" t="e">
        <f>IF(BA23&lt;比赛参数!$K$34,0,IF(BA23&lt;比赛参数!$K$35,BA23/(1-比赛参数!$E$36),IF(BA23&lt;比赛参数!$K$36,BA23/(1-比赛参数!$E$34))))</f>
        <v>#DIV/0!</v>
      </c>
      <c r="BC23" s="65" t="e">
        <f t="shared" si="11"/>
        <v>#DIV/0!</v>
      </c>
      <c r="BD23" s="101"/>
      <c r="BE23" s="65" t="e">
        <f t="shared" si="12"/>
        <v>#DIV/0!</v>
      </c>
      <c r="BF23" s="176" t="e">
        <f t="shared" si="13"/>
        <v>#DIV/0!</v>
      </c>
      <c r="BQ23" s="177"/>
      <c r="BR23" s="196" t="s">
        <v>24</v>
      </c>
      <c r="BS23" s="198">
        <f>第十四期!Y12</f>
        <v>0</v>
      </c>
      <c r="BT23" s="198">
        <f>第十四期!Z12</f>
        <v>0</v>
      </c>
      <c r="BU23" s="198">
        <f>第十四期!AA12</f>
        <v>138</v>
      </c>
      <c r="BV23" s="198">
        <f>第十四期!AB12</f>
        <v>120</v>
      </c>
      <c r="BW23" s="200">
        <f>第十四期!AJ37</f>
        <v>0</v>
      </c>
      <c r="BX23" s="215"/>
      <c r="CA23" s="213"/>
      <c r="CB23" s="217"/>
      <c r="CC23" s="225"/>
      <c r="CD23" s="225"/>
      <c r="CE23" s="225"/>
      <c r="CF23" s="225"/>
      <c r="CG23" s="219"/>
      <c r="CH23" s="225"/>
      <c r="CI23" s="225"/>
      <c r="CJ23" s="228"/>
      <c r="CK23" s="225"/>
      <c r="CL23" s="225"/>
      <c r="CM23" s="225"/>
      <c r="CN23" s="5"/>
      <c r="CO23" s="239"/>
      <c r="CR23" s="2" t="s">
        <v>38</v>
      </c>
      <c r="CS23" s="2">
        <f>比赛参数!$D$26</f>
        <v>100</v>
      </c>
      <c r="CT23" s="2">
        <f>比赛参数!$D$26</f>
        <v>100</v>
      </c>
      <c r="CU23" s="2">
        <f>比赛参数!$D$26</f>
        <v>100</v>
      </c>
      <c r="CV23" s="2">
        <f>比赛参数!$D$26</f>
        <v>100</v>
      </c>
      <c r="CY23" s="2" t="s">
        <v>38</v>
      </c>
      <c r="CZ23" s="2">
        <f t="shared" ref="CZ23:DC26" si="14">BS7-CZ17</f>
        <v>559.76923076923</v>
      </c>
      <c r="DA23" s="2">
        <f t="shared" si="14"/>
        <v>600.76923076923</v>
      </c>
      <c r="DB23" s="2">
        <f t="shared" si="14"/>
        <v>592.76923076923</v>
      </c>
      <c r="DC23" s="2">
        <f t="shared" si="14"/>
        <v>592.76923076923</v>
      </c>
      <c r="DF23" s="2" t="s">
        <v>38</v>
      </c>
      <c r="DG23" s="2">
        <f t="shared" ref="DG23:DJ26" si="15">BS7-DG17</f>
        <v>1349.5</v>
      </c>
      <c r="DH23" s="2">
        <f t="shared" si="15"/>
        <v>1349.5</v>
      </c>
      <c r="DI23" s="2">
        <f t="shared" si="15"/>
        <v>1337</v>
      </c>
      <c r="DJ23" s="2">
        <f t="shared" si="15"/>
        <v>1387</v>
      </c>
      <c r="DM23" s="2">
        <f t="shared" ref="DM23:DP26" si="16">DG23/CS23</f>
        <v>13.495</v>
      </c>
      <c r="DN23" s="2">
        <f t="shared" si="16"/>
        <v>13.495</v>
      </c>
      <c r="DO23" s="2">
        <f t="shared" si="16"/>
        <v>13.37</v>
      </c>
      <c r="DP23" s="2">
        <f t="shared" si="16"/>
        <v>13.87</v>
      </c>
      <c r="DQ23" s="2">
        <f>SUMPRODUCT(DM23:DP23,BS14:BV14)/SUM(BS14:BV14)</f>
        <v>13.5700718390805</v>
      </c>
      <c r="DT23" s="219"/>
      <c r="DU23" s="196" t="s">
        <v>273</v>
      </c>
      <c r="DV23" s="251">
        <f>SUM(E42:E45)</f>
        <v>0</v>
      </c>
    </row>
    <row r="24" ht="16.35" spans="2:126">
      <c r="B24" s="7"/>
      <c r="C24" s="18">
        <v>1</v>
      </c>
      <c r="D24" s="18">
        <v>1</v>
      </c>
      <c r="E24" s="9"/>
      <c r="F24" s="9">
        <v>115</v>
      </c>
      <c r="G24" s="9"/>
      <c r="H24" s="19"/>
      <c r="I24" s="9"/>
      <c r="J24" s="9"/>
      <c r="K24" s="9"/>
      <c r="L24" s="10"/>
      <c r="M24" s="39">
        <f>AF64-AF104</f>
        <v>132</v>
      </c>
      <c r="N24" s="35"/>
      <c r="O24" s="35"/>
      <c r="P24" s="35"/>
      <c r="Q24" s="45"/>
      <c r="AH24" s="153"/>
      <c r="AQ24" s="177"/>
      <c r="AR24" s="11">
        <v>16</v>
      </c>
      <c r="AS24" s="65" t="e">
        <f>SUM(AB146:AE146)*比赛参数!$D$26+SUM(AL146:AO146)*比赛参数!$E$26+SUM(AB169:AE169)*比赛参数!$F$26+SUM(AL169:AO169)*比赛参数!$G$26</f>
        <v>#DIV/0!</v>
      </c>
      <c r="AT24" s="55" t="e">
        <f t="shared" si="3"/>
        <v>#DIV/0!</v>
      </c>
      <c r="AU24" s="175">
        <f t="shared" si="4"/>
        <v>0</v>
      </c>
      <c r="AV24" s="176" t="e">
        <f t="shared" si="5"/>
        <v>#DIV/0!</v>
      </c>
      <c r="AW24" s="175">
        <f t="shared" si="6"/>
        <v>0</v>
      </c>
      <c r="AX24" s="192" t="e">
        <f t="shared" si="7"/>
        <v>#DIV/0!</v>
      </c>
      <c r="AY24" s="65" t="e">
        <f t="shared" si="8"/>
        <v>#DIV/0!</v>
      </c>
      <c r="AZ24" s="193">
        <f t="shared" si="9"/>
        <v>0</v>
      </c>
      <c r="BA24" s="65" t="e">
        <f t="shared" si="10"/>
        <v>#DIV/0!</v>
      </c>
      <c r="BB24" s="65" t="e">
        <f>IF(BA24&lt;比赛参数!$K$34,0,IF(BA24&lt;比赛参数!$K$35,BA24/(1-比赛参数!$E$36),IF(BA24&lt;比赛参数!$K$36,BA24/(1-比赛参数!$E$34))))</f>
        <v>#DIV/0!</v>
      </c>
      <c r="BC24" s="65" t="e">
        <f t="shared" si="11"/>
        <v>#DIV/0!</v>
      </c>
      <c r="BD24" s="101"/>
      <c r="BE24" s="65" t="e">
        <f t="shared" si="12"/>
        <v>#DIV/0!</v>
      </c>
      <c r="BF24" s="176" t="e">
        <f t="shared" si="13"/>
        <v>#DIV/0!</v>
      </c>
      <c r="BQ24" s="177"/>
      <c r="BX24" s="215"/>
      <c r="CA24" s="213"/>
      <c r="CB24" s="196" t="s">
        <v>274</v>
      </c>
      <c r="CC24" s="110">
        <f>SUMPRODUCT(CC19:CC22,AF64:AF67)/SUM(AF64:AF67)</f>
        <v>0.680682118462689</v>
      </c>
      <c r="CD24" s="110">
        <f>SUMPRODUCT(CD19:CD22,AG64:AG67)/SUM(AG64:AG67)</f>
        <v>0.583034276903435</v>
      </c>
      <c r="CE24" s="110">
        <f>SUMPRODUCT(CE19:CE22,AH64:AH67)/SUM(AH64:AH67)</f>
        <v>0.57218349346806</v>
      </c>
      <c r="CF24" s="110">
        <f>SUMPRODUCT(CF19:CF22,AI64:AI67)/SUM(AI64:AI67)</f>
        <v>0.581743349711691</v>
      </c>
      <c r="CG24" s="219"/>
      <c r="CH24" s="225"/>
      <c r="CI24" s="227" t="s">
        <v>274</v>
      </c>
      <c r="CJ24" s="110">
        <f>SUMPRODUCT(CJ19:CJ22,AF64:AF67)/SUM(AF64:AF67)</f>
        <v>1967.93070338823</v>
      </c>
      <c r="CK24" s="110">
        <f>SUMPRODUCT(CK19:CK22,AG64:AG67)/SUM(AG64:AG67)</f>
        <v>4111.12543689335</v>
      </c>
      <c r="CL24" s="110">
        <f>SUMPRODUCT(CL19:CL22,AH64:AH67)/SUM(AH64:AH67)</f>
        <v>6330.52264945615</v>
      </c>
      <c r="CM24" s="110">
        <f>SUMPRODUCT(CM19:CM22,AI64:AI67)/SUM(AI64:AI67)</f>
        <v>8369.05669601992</v>
      </c>
      <c r="CN24" s="5"/>
      <c r="CO24" s="239"/>
      <c r="CR24" s="2" t="s">
        <v>39</v>
      </c>
      <c r="CS24" s="2">
        <f>比赛参数!$E$26</f>
        <v>250</v>
      </c>
      <c r="CT24" s="2">
        <f>比赛参数!$E$26</f>
        <v>250</v>
      </c>
      <c r="CU24" s="2">
        <f>比赛参数!$E$26</f>
        <v>250</v>
      </c>
      <c r="CV24" s="2">
        <f>比赛参数!$E$26</f>
        <v>250</v>
      </c>
      <c r="CY24" s="2" t="s">
        <v>39</v>
      </c>
      <c r="CZ24" s="2">
        <f t="shared" si="14"/>
        <v>899.923076923077</v>
      </c>
      <c r="DA24" s="2">
        <f t="shared" si="14"/>
        <v>983.923076923077</v>
      </c>
      <c r="DB24" s="2">
        <f t="shared" si="14"/>
        <v>986.923076923077</v>
      </c>
      <c r="DC24" s="2">
        <f t="shared" si="14"/>
        <v>1016.92307692308</v>
      </c>
      <c r="DF24" s="2" t="s">
        <v>39</v>
      </c>
      <c r="DG24" s="2">
        <f t="shared" si="15"/>
        <v>2865</v>
      </c>
      <c r="DH24" s="2">
        <f t="shared" si="15"/>
        <v>2865</v>
      </c>
      <c r="DI24" s="2">
        <f t="shared" si="15"/>
        <v>2885</v>
      </c>
      <c r="DJ24" s="2">
        <f t="shared" si="15"/>
        <v>2965</v>
      </c>
      <c r="DM24" s="2">
        <f t="shared" si="16"/>
        <v>11.46</v>
      </c>
      <c r="DN24" s="2">
        <f t="shared" si="16"/>
        <v>11.46</v>
      </c>
      <c r="DO24" s="2">
        <f t="shared" si="16"/>
        <v>11.54</v>
      </c>
      <c r="DP24" s="2">
        <f t="shared" si="16"/>
        <v>11.86</v>
      </c>
      <c r="DQ24" s="2">
        <f>SUMPRODUCT(DM24:DP24,BS15:BV15)/SUM(BS15:BV15)</f>
        <v>11.604966442953</v>
      </c>
      <c r="DT24" s="219"/>
      <c r="DU24" s="219"/>
      <c r="DV24" s="219"/>
    </row>
    <row r="25" ht="17.1" spans="2:126">
      <c r="B25" s="7"/>
      <c r="C25" s="18">
        <v>1</v>
      </c>
      <c r="D25" s="18">
        <v>2</v>
      </c>
      <c r="E25" s="9"/>
      <c r="F25" s="9">
        <v>115</v>
      </c>
      <c r="G25" s="9"/>
      <c r="H25" s="19"/>
      <c r="I25" s="9"/>
      <c r="J25" s="9"/>
      <c r="K25" s="9"/>
      <c r="L25" s="10"/>
      <c r="M25" s="39">
        <f>AF65-AF105</f>
        <v>132</v>
      </c>
      <c r="N25" s="35"/>
      <c r="O25" s="35"/>
      <c r="P25" s="35"/>
      <c r="Q25" s="45"/>
      <c r="W25" s="3"/>
      <c r="AD25" s="116" t="s">
        <v>275</v>
      </c>
      <c r="AE25" s="117">
        <f>AC5/AC$4</f>
        <v>0.854339622641509</v>
      </c>
      <c r="AF25" s="117">
        <f>AC6/AC$4</f>
        <v>0.314339622641509</v>
      </c>
      <c r="AG25" s="117">
        <f>AC7/AC$4</f>
        <v>0.36</v>
      </c>
      <c r="AI25" s="65" t="s">
        <v>276</v>
      </c>
      <c r="AJ25" s="65" t="s">
        <v>277</v>
      </c>
      <c r="AK25" s="154" t="s">
        <v>278</v>
      </c>
      <c r="AL25" s="42" t="s">
        <v>27</v>
      </c>
      <c r="AM25" s="42" t="s">
        <v>279</v>
      </c>
      <c r="AN25" s="42" t="s">
        <v>229</v>
      </c>
      <c r="AQ25" s="177"/>
      <c r="AR25" s="11">
        <v>17</v>
      </c>
      <c r="AS25" s="65" t="e">
        <f>SUM(AB147:AE147)*比赛参数!$D$26+SUM(AL147:AO147)*比赛参数!$E$26+SUM(AB170:AE170)*比赛参数!$F$26+SUM(AL170:AO170)*比赛参数!$G$26</f>
        <v>#DIV/0!</v>
      </c>
      <c r="AT25" s="55" t="e">
        <f t="shared" si="3"/>
        <v>#DIV/0!</v>
      </c>
      <c r="AU25" s="175">
        <f t="shared" si="4"/>
        <v>0</v>
      </c>
      <c r="AV25" s="176" t="e">
        <f t="shared" si="5"/>
        <v>#DIV/0!</v>
      </c>
      <c r="AW25" s="175">
        <f t="shared" si="6"/>
        <v>0</v>
      </c>
      <c r="AX25" s="192" t="e">
        <f t="shared" si="7"/>
        <v>#DIV/0!</v>
      </c>
      <c r="AY25" s="65" t="e">
        <f t="shared" si="8"/>
        <v>#DIV/0!</v>
      </c>
      <c r="AZ25" s="193">
        <f t="shared" si="9"/>
        <v>0</v>
      </c>
      <c r="BA25" s="65" t="e">
        <f t="shared" si="10"/>
        <v>#DIV/0!</v>
      </c>
      <c r="BB25" s="65" t="e">
        <f>IF(BA25&lt;比赛参数!$K$34,0,IF(BA25&lt;比赛参数!$K$35,BA25/(1-比赛参数!$E$36),IF(BA25&lt;比赛参数!$K$36,BA25/(1-比赛参数!$E$34))))</f>
        <v>#DIV/0!</v>
      </c>
      <c r="BC25" s="65" t="e">
        <f t="shared" si="11"/>
        <v>#DIV/0!</v>
      </c>
      <c r="BD25" s="101"/>
      <c r="BE25" s="65" t="e">
        <f t="shared" si="12"/>
        <v>#DIV/0!</v>
      </c>
      <c r="BF25" s="176" t="e">
        <f t="shared" si="13"/>
        <v>#DIV/0!</v>
      </c>
      <c r="BQ25" s="177"/>
      <c r="BR25" s="203" t="s">
        <v>280</v>
      </c>
      <c r="BS25" s="196" t="s">
        <v>234</v>
      </c>
      <c r="BT25" s="196" t="s">
        <v>281</v>
      </c>
      <c r="BU25" s="196" t="s">
        <v>282</v>
      </c>
      <c r="BV25" s="196" t="s">
        <v>283</v>
      </c>
      <c r="BW25" s="202"/>
      <c r="BX25" s="215"/>
      <c r="CA25" s="213"/>
      <c r="CB25" s="217"/>
      <c r="CC25" s="225"/>
      <c r="CD25" s="225"/>
      <c r="CE25" s="225"/>
      <c r="CF25" s="225"/>
      <c r="CG25" s="225"/>
      <c r="CH25" s="225"/>
      <c r="CI25" s="225"/>
      <c r="CJ25" s="225"/>
      <c r="CK25" s="225"/>
      <c r="CL25" s="225"/>
      <c r="CM25" s="225"/>
      <c r="CN25" s="48"/>
      <c r="CO25" s="239"/>
      <c r="CR25" s="2" t="s">
        <v>40</v>
      </c>
      <c r="CS25" s="2">
        <f>比赛参数!$F$26</f>
        <v>380</v>
      </c>
      <c r="CT25" s="2">
        <f>比赛参数!$F$26</f>
        <v>380</v>
      </c>
      <c r="CU25" s="2">
        <f>比赛参数!$F$26</f>
        <v>380</v>
      </c>
      <c r="CV25" s="2">
        <f>比赛参数!$F$26</f>
        <v>380</v>
      </c>
      <c r="CY25" s="2" t="s">
        <v>40</v>
      </c>
      <c r="CZ25" s="2">
        <f t="shared" si="14"/>
        <v>2036.92307692308</v>
      </c>
      <c r="DA25" s="2">
        <f t="shared" si="14"/>
        <v>2148.92307692308</v>
      </c>
      <c r="DB25" s="2">
        <f t="shared" si="14"/>
        <v>2142.92307692308</v>
      </c>
      <c r="DC25" s="2">
        <f t="shared" si="14"/>
        <v>2092.92307692308</v>
      </c>
      <c r="DF25" s="2" t="s">
        <v>40</v>
      </c>
      <c r="DG25" s="2">
        <f t="shared" si="15"/>
        <v>5016</v>
      </c>
      <c r="DH25" s="2">
        <f t="shared" si="15"/>
        <v>5016</v>
      </c>
      <c r="DI25" s="2">
        <f t="shared" si="15"/>
        <v>5041</v>
      </c>
      <c r="DJ25" s="2">
        <f t="shared" si="15"/>
        <v>5041</v>
      </c>
      <c r="DM25" s="2">
        <f t="shared" si="16"/>
        <v>13.2</v>
      </c>
      <c r="DN25" s="2">
        <f t="shared" si="16"/>
        <v>13.2</v>
      </c>
      <c r="DO25" s="2">
        <f t="shared" si="16"/>
        <v>13.2657894736842</v>
      </c>
      <c r="DP25" s="2">
        <f t="shared" si="16"/>
        <v>13.2657894736842</v>
      </c>
      <c r="DQ25" s="2">
        <f>SUMPRODUCT(DM25:DP25,BS16:BV16)/SUM(BS16:BV16)</f>
        <v>13.2398358281024</v>
      </c>
      <c r="DT25" s="196" t="s">
        <v>151</v>
      </c>
      <c r="DU25" s="269"/>
      <c r="DV25" s="196" t="s">
        <v>284</v>
      </c>
    </row>
    <row r="26" ht="17.1" spans="2:126">
      <c r="B26" s="7"/>
      <c r="C26" s="18">
        <v>1</v>
      </c>
      <c r="D26" s="18">
        <v>3</v>
      </c>
      <c r="E26" s="9"/>
      <c r="F26" s="9">
        <v>177</v>
      </c>
      <c r="G26" s="9"/>
      <c r="H26" s="19"/>
      <c r="I26" s="9"/>
      <c r="J26" s="9"/>
      <c r="K26" s="9"/>
      <c r="L26" s="10"/>
      <c r="M26" s="39">
        <f>AF66-AF106</f>
        <v>199</v>
      </c>
      <c r="N26" s="35"/>
      <c r="O26" s="35"/>
      <c r="P26" s="35"/>
      <c r="Q26" s="45"/>
      <c r="W26" s="11" t="s">
        <v>285</v>
      </c>
      <c r="X26" s="11" t="s">
        <v>176</v>
      </c>
      <c r="Y26" s="11" t="s">
        <v>286</v>
      </c>
      <c r="Z26" s="92" t="s">
        <v>177</v>
      </c>
      <c r="AA26" s="21" t="s">
        <v>287</v>
      </c>
      <c r="AB26" s="22" t="s">
        <v>288</v>
      </c>
      <c r="AC26" s="22" t="s">
        <v>289</v>
      </c>
      <c r="AD26" s="61" t="s">
        <v>290</v>
      </c>
      <c r="AE26" s="21" t="s">
        <v>288</v>
      </c>
      <c r="AF26" s="22" t="s">
        <v>289</v>
      </c>
      <c r="AG26" s="61" t="s">
        <v>290</v>
      </c>
      <c r="AI26" s="65">
        <f>第十四期!BV57-第十四期!BV76</f>
        <v>7827283.240625</v>
      </c>
      <c r="AJ26" s="65">
        <f>第十四期!K9</f>
        <v>338</v>
      </c>
      <c r="AK26" s="155"/>
      <c r="AL26" s="156">
        <f>比赛参数!D27/比赛参数!D26</f>
        <v>1.2</v>
      </c>
      <c r="AM26" s="157">
        <f>比赛参数!D28+比赛参数!D27*比赛参数!D65+比赛参数!D26*比赛参数!D30*比赛参数!F30/520</f>
        <v>2269.23076923077</v>
      </c>
      <c r="AN26" s="157">
        <f>第十四期!DB50</f>
        <v>1951.48432876588</v>
      </c>
      <c r="AQ26" s="177"/>
      <c r="AR26" s="11">
        <v>18</v>
      </c>
      <c r="AS26" s="65" t="e">
        <f>SUM(AB148:AE148)*比赛参数!$D$26+SUM(AL148:AO148)*比赛参数!$E$26+SUM(AB171:AE171)*比赛参数!$F$26+SUM(AL171:AO171)*比赛参数!$G$26</f>
        <v>#DIV/0!</v>
      </c>
      <c r="AT26" s="55" t="e">
        <f t="shared" si="3"/>
        <v>#DIV/0!</v>
      </c>
      <c r="AU26" s="178">
        <f t="shared" si="4"/>
        <v>0</v>
      </c>
      <c r="AV26" s="176" t="e">
        <f t="shared" si="5"/>
        <v>#DIV/0!</v>
      </c>
      <c r="AW26" s="175">
        <f t="shared" si="6"/>
        <v>0</v>
      </c>
      <c r="AX26" s="192" t="e">
        <f t="shared" si="7"/>
        <v>#DIV/0!</v>
      </c>
      <c r="AY26" s="65" t="e">
        <f t="shared" si="8"/>
        <v>#DIV/0!</v>
      </c>
      <c r="AZ26" s="193">
        <f t="shared" si="9"/>
        <v>0</v>
      </c>
      <c r="BA26" s="65" t="e">
        <f t="shared" si="10"/>
        <v>#DIV/0!</v>
      </c>
      <c r="BB26" s="65" t="e">
        <f>IF(BA26&lt;比赛参数!$K$34,0,IF(BA26&lt;比赛参数!$K$35,BA26/(1-比赛参数!$E$36),IF(BA26&lt;比赛参数!$K$36,BA26/(1-比赛参数!$E$34))))</f>
        <v>#DIV/0!</v>
      </c>
      <c r="BC26" s="65" t="e">
        <f t="shared" si="11"/>
        <v>#DIV/0!</v>
      </c>
      <c r="BD26" s="101"/>
      <c r="BE26" s="65" t="e">
        <f t="shared" si="12"/>
        <v>#DIV/0!</v>
      </c>
      <c r="BF26" s="176" t="e">
        <f t="shared" si="13"/>
        <v>#DIV/0!</v>
      </c>
      <c r="BQ26" s="177"/>
      <c r="BR26" s="201"/>
      <c r="BS26" s="198">
        <f>第十四期!Y18</f>
        <v>19</v>
      </c>
      <c r="BT26" s="198">
        <f>第十四期!AA18</f>
        <v>14</v>
      </c>
      <c r="BU26" s="198">
        <f>第十四期!AF18</f>
        <v>0</v>
      </c>
      <c r="BV26" s="204">
        <f>第十四期!AC18</f>
        <v>2276448</v>
      </c>
      <c r="BW26" s="202"/>
      <c r="BX26" s="215"/>
      <c r="CA26" s="213"/>
      <c r="CB26" s="214" t="s">
        <v>291</v>
      </c>
      <c r="CC26" s="224" t="s">
        <v>38</v>
      </c>
      <c r="CD26" s="224" t="s">
        <v>39</v>
      </c>
      <c r="CE26" s="224" t="s">
        <v>40</v>
      </c>
      <c r="CF26" s="224" t="s">
        <v>41</v>
      </c>
      <c r="CG26" s="225"/>
      <c r="CH26" s="225"/>
      <c r="CI26" s="229" t="s">
        <v>292</v>
      </c>
      <c r="CJ26" s="224" t="s">
        <v>38</v>
      </c>
      <c r="CK26" s="224" t="s">
        <v>39</v>
      </c>
      <c r="CL26" s="224" t="s">
        <v>40</v>
      </c>
      <c r="CM26" s="224" t="s">
        <v>41</v>
      </c>
      <c r="CN26" s="48"/>
      <c r="CO26" s="239"/>
      <c r="CR26" s="2" t="s">
        <v>41</v>
      </c>
      <c r="CS26" s="2">
        <f>比赛参数!$G$26</f>
        <v>520</v>
      </c>
      <c r="CT26" s="2">
        <f>比赛参数!$G$26</f>
        <v>520</v>
      </c>
      <c r="CU26" s="2">
        <f>比赛参数!$G$26</f>
        <v>520</v>
      </c>
      <c r="CV26" s="2">
        <f>比赛参数!$G$26</f>
        <v>520</v>
      </c>
      <c r="CY26" s="2" t="s">
        <v>41</v>
      </c>
      <c r="CZ26" s="2">
        <f t="shared" si="14"/>
        <v>2724</v>
      </c>
      <c r="DA26" s="2">
        <f t="shared" si="14"/>
        <v>2862</v>
      </c>
      <c r="DB26" s="2">
        <f t="shared" si="14"/>
        <v>2918</v>
      </c>
      <c r="DC26" s="2">
        <f t="shared" si="14"/>
        <v>3018</v>
      </c>
      <c r="DF26" s="2" t="s">
        <v>41</v>
      </c>
      <c r="DG26" s="2">
        <f t="shared" si="15"/>
        <v>6793</v>
      </c>
      <c r="DH26" s="2">
        <f t="shared" si="15"/>
        <v>6793</v>
      </c>
      <c r="DI26" s="2">
        <f t="shared" si="15"/>
        <v>6893</v>
      </c>
      <c r="DJ26" s="2">
        <f t="shared" si="15"/>
        <v>7043</v>
      </c>
      <c r="DM26" s="2">
        <f t="shared" si="16"/>
        <v>13.0634615384615</v>
      </c>
      <c r="DN26" s="2">
        <f t="shared" si="16"/>
        <v>13.0634615384615</v>
      </c>
      <c r="DO26" s="2">
        <f t="shared" si="16"/>
        <v>13.2557692307692</v>
      </c>
      <c r="DP26" s="2">
        <f t="shared" si="16"/>
        <v>13.5442307692308</v>
      </c>
      <c r="DQ26" s="2">
        <f>SUMPRODUCT(DM26:DP26,BS17:BV17)/SUM(BS17:BV17)</f>
        <v>13.2680769230769</v>
      </c>
      <c r="DT26" s="127" t="s">
        <v>21</v>
      </c>
      <c r="DU26" s="251">
        <f>D42</f>
        <v>164</v>
      </c>
      <c r="DV26" s="270">
        <f>G42</f>
        <v>3</v>
      </c>
    </row>
    <row r="27" ht="17.1" spans="2:126">
      <c r="B27" s="7"/>
      <c r="C27" s="18">
        <v>1</v>
      </c>
      <c r="D27" s="18">
        <v>4</v>
      </c>
      <c r="E27" s="9"/>
      <c r="F27" s="9">
        <v>180</v>
      </c>
      <c r="G27" s="9"/>
      <c r="H27" s="19"/>
      <c r="I27" s="9"/>
      <c r="J27" s="9"/>
      <c r="K27" s="9"/>
      <c r="L27" s="10"/>
      <c r="M27" s="39">
        <f>AF67-AF107</f>
        <v>199</v>
      </c>
      <c r="N27" s="35"/>
      <c r="O27" s="35"/>
      <c r="P27" s="35"/>
      <c r="Q27" s="45"/>
      <c r="U27" s="53"/>
      <c r="V27" s="54"/>
      <c r="W27" s="11">
        <v>1</v>
      </c>
      <c r="X27" s="55" t="e">
        <f t="shared" ref="X27:Z46" si="17">AT9</f>
        <v>#DIV/0!</v>
      </c>
      <c r="Y27" s="118">
        <f t="shared" si="17"/>
        <v>0</v>
      </c>
      <c r="Z27" s="119" t="e">
        <f t="shared" si="17"/>
        <v>#DIV/0!</v>
      </c>
      <c r="AA27" s="120" t="e">
        <f t="shared" ref="AA27:AA46" si="18">SUM(AB131:AE131)</f>
        <v>#DIV/0!</v>
      </c>
      <c r="AB27" s="121" t="e">
        <f t="shared" ref="AB27:AB46" si="19">SUM(AL131:AO131)</f>
        <v>#DIV/0!</v>
      </c>
      <c r="AC27" s="121">
        <f t="shared" ref="AC27:AC46" si="20">SUM(AB154:AE154)</f>
        <v>0</v>
      </c>
      <c r="AD27" s="122">
        <f t="shared" ref="AD27:AD46" si="21">SUM(AL154:AO154)</f>
        <v>0</v>
      </c>
      <c r="AE27" s="123" t="e">
        <f t="shared" ref="AE27:AG46" si="22">AB27/$AA27</f>
        <v>#DIV/0!</v>
      </c>
      <c r="AF27" s="124" t="e">
        <f t="shared" si="22"/>
        <v>#DIV/0!</v>
      </c>
      <c r="AG27" s="158" t="e">
        <f t="shared" si="22"/>
        <v>#DIV/0!</v>
      </c>
      <c r="AI27" s="108" t="s">
        <v>293</v>
      </c>
      <c r="AJ27" s="159">
        <f>AI26/AJ26*AK26</f>
        <v>0</v>
      </c>
      <c r="AK27" s="160"/>
      <c r="AL27" s="156">
        <f>比赛参数!E27/比赛参数!E26</f>
        <v>0.6</v>
      </c>
      <c r="AM27" s="157">
        <f>比赛参数!E28+比赛参数!E27*比赛参数!D65+比赛参数!E26*比赛参数!D30*比赛参数!F30/520</f>
        <v>4623.07692307692</v>
      </c>
      <c r="AN27" s="157">
        <f>第十四期!DB51</f>
        <v>4090.27738035625</v>
      </c>
      <c r="AO27" s="179"/>
      <c r="AQ27" s="177"/>
      <c r="AR27" s="11">
        <v>19</v>
      </c>
      <c r="AS27" s="65" t="e">
        <f>SUM(AB149:AE149)*比赛参数!$D$26+SUM(AL149:AO149)*比赛参数!$E$26+SUM(AB172:AE172)*比赛参数!$F$26+SUM(AL172:AO172)*比赛参数!$G$26</f>
        <v>#DIV/0!</v>
      </c>
      <c r="AT27" s="55" t="e">
        <f t="shared" si="3"/>
        <v>#DIV/0!</v>
      </c>
      <c r="AU27" s="175">
        <f t="shared" si="4"/>
        <v>0</v>
      </c>
      <c r="AV27" s="176" t="e">
        <f t="shared" si="5"/>
        <v>#DIV/0!</v>
      </c>
      <c r="AW27" s="175">
        <f t="shared" si="6"/>
        <v>0</v>
      </c>
      <c r="AX27" s="192" t="e">
        <f t="shared" si="7"/>
        <v>#DIV/0!</v>
      </c>
      <c r="AY27" s="65" t="e">
        <f t="shared" si="8"/>
        <v>#DIV/0!</v>
      </c>
      <c r="AZ27" s="193">
        <f t="shared" si="9"/>
        <v>0</v>
      </c>
      <c r="BA27" s="65" t="e">
        <f t="shared" si="10"/>
        <v>#DIV/0!</v>
      </c>
      <c r="BB27" s="65" t="e">
        <f>IF(BA27&lt;比赛参数!$K$34,0,IF(BA27&lt;比赛参数!$K$35,BA27/(1-比赛参数!$E$36),IF(BA27&lt;比赛参数!$K$36,BA27/(1-比赛参数!$E$34))))</f>
        <v>#DIV/0!</v>
      </c>
      <c r="BC27" s="65" t="e">
        <f t="shared" si="11"/>
        <v>#DIV/0!</v>
      </c>
      <c r="BD27" s="101"/>
      <c r="BE27" s="65" t="e">
        <f t="shared" si="12"/>
        <v>#DIV/0!</v>
      </c>
      <c r="BF27" s="176" t="e">
        <f t="shared" si="13"/>
        <v>#DIV/0!</v>
      </c>
      <c r="BQ27" s="177"/>
      <c r="BR27" s="201"/>
      <c r="BS27" s="202"/>
      <c r="BT27" s="202"/>
      <c r="BU27" s="202"/>
      <c r="BV27" s="202"/>
      <c r="BW27" s="202"/>
      <c r="BX27" s="215"/>
      <c r="CA27" s="213"/>
      <c r="CB27" s="197" t="s">
        <v>55</v>
      </c>
      <c r="CC27" s="107">
        <f t="shared" ref="CC27:CF30" si="23">IF(Y88&gt;0,CC38/Y88,0)</f>
        <v>97.4676258992806</v>
      </c>
      <c r="CD27" s="107">
        <f t="shared" si="23"/>
        <v>547.881355932203</v>
      </c>
      <c r="CE27" s="107">
        <f t="shared" si="23"/>
        <v>963.488372093023</v>
      </c>
      <c r="CF27" s="107">
        <f t="shared" si="23"/>
        <v>1110.32653061224</v>
      </c>
      <c r="CG27" s="225"/>
      <c r="CH27" s="225"/>
      <c r="CI27" s="226" t="s">
        <v>55</v>
      </c>
      <c r="CJ27" s="110">
        <f t="shared" ref="CJ27:CM30" si="24">IF(AF64&gt;0,CJ19+CC27,0)</f>
        <v>1988.20195466516</v>
      </c>
      <c r="CK27" s="110">
        <f t="shared" si="24"/>
        <v>4580.15873628845</v>
      </c>
      <c r="CL27" s="110">
        <f t="shared" si="24"/>
        <v>7213.7129446261</v>
      </c>
      <c r="CM27" s="110">
        <f t="shared" si="24"/>
        <v>9366.87062159015</v>
      </c>
      <c r="CN27" s="48"/>
      <c r="CO27" s="239"/>
      <c r="DT27" s="271" t="s">
        <v>22</v>
      </c>
      <c r="DU27" s="251">
        <f>D43</f>
        <v>134</v>
      </c>
      <c r="DV27" s="270">
        <f>G43</f>
        <v>3</v>
      </c>
    </row>
    <row r="28" ht="17.1" spans="2:126">
      <c r="B28" s="7"/>
      <c r="C28" s="18">
        <v>2</v>
      </c>
      <c r="D28" s="18">
        <v>1</v>
      </c>
      <c r="E28" s="9"/>
      <c r="F28" s="9">
        <v>102</v>
      </c>
      <c r="G28" s="9"/>
      <c r="H28" s="19"/>
      <c r="I28" s="9"/>
      <c r="J28" s="9"/>
      <c r="K28" s="9"/>
      <c r="L28" s="10"/>
      <c r="M28" s="39">
        <f>AG64-AG104</f>
        <v>112</v>
      </c>
      <c r="N28" s="35"/>
      <c r="O28" s="35"/>
      <c r="P28" s="35"/>
      <c r="Q28" s="45"/>
      <c r="U28" s="53"/>
      <c r="V28" s="54"/>
      <c r="W28" s="11">
        <v>2</v>
      </c>
      <c r="X28" s="55" t="e">
        <f t="shared" si="17"/>
        <v>#DIV/0!</v>
      </c>
      <c r="Y28" s="118">
        <f t="shared" si="17"/>
        <v>0</v>
      </c>
      <c r="Z28" s="119" t="e">
        <f t="shared" si="17"/>
        <v>#DIV/0!</v>
      </c>
      <c r="AA28" s="120" t="e">
        <f t="shared" si="18"/>
        <v>#DIV/0!</v>
      </c>
      <c r="AB28" s="121" t="e">
        <f t="shared" si="19"/>
        <v>#DIV/0!</v>
      </c>
      <c r="AC28" s="121">
        <f t="shared" si="20"/>
        <v>0</v>
      </c>
      <c r="AD28" s="122">
        <f t="shared" si="21"/>
        <v>0</v>
      </c>
      <c r="AE28" s="123" t="e">
        <f t="shared" si="22"/>
        <v>#DIV/0!</v>
      </c>
      <c r="AF28" s="124" t="e">
        <f t="shared" si="22"/>
        <v>#DIV/0!</v>
      </c>
      <c r="AG28" s="158" t="e">
        <f t="shared" si="22"/>
        <v>#DIV/0!</v>
      </c>
      <c r="AL28" s="156">
        <f>比赛参数!F27/比赛参数!F26</f>
        <v>0.421052631578947</v>
      </c>
      <c r="AM28" s="157">
        <f>比赛参数!F28+比赛参数!F27*比赛参数!D65+比赛参数!F26*比赛参数!D30*比赛参数!F30/520</f>
        <v>6723.07692307692</v>
      </c>
      <c r="AN28" s="157">
        <f>第十四期!DB52</f>
        <v>6306.72457253308</v>
      </c>
      <c r="AQ28" s="177"/>
      <c r="AR28" s="11">
        <v>20</v>
      </c>
      <c r="AS28" s="65" t="e">
        <f>SUM(AB150:AE150)*比赛参数!$D$26+SUM(AL150:AO150)*比赛参数!$E$26+SUM(AB173:AE173)*比赛参数!$F$26+SUM(AL173:AO173)*比赛参数!$G$26</f>
        <v>#DIV/0!</v>
      </c>
      <c r="AT28" s="55" t="e">
        <f t="shared" si="3"/>
        <v>#DIV/0!</v>
      </c>
      <c r="AU28" s="175">
        <f t="shared" si="4"/>
        <v>0</v>
      </c>
      <c r="AV28" s="176" t="e">
        <f t="shared" si="5"/>
        <v>#DIV/0!</v>
      </c>
      <c r="AW28" s="175">
        <f t="shared" si="6"/>
        <v>0</v>
      </c>
      <c r="AX28" s="192" t="e">
        <f t="shared" si="7"/>
        <v>#DIV/0!</v>
      </c>
      <c r="AY28" s="65" t="e">
        <f t="shared" si="8"/>
        <v>#DIV/0!</v>
      </c>
      <c r="AZ28" s="193">
        <f t="shared" si="9"/>
        <v>0</v>
      </c>
      <c r="BA28" s="65" t="e">
        <f t="shared" si="10"/>
        <v>#DIV/0!</v>
      </c>
      <c r="BB28" s="65" t="e">
        <f>IF(BA28&lt;比赛参数!$K$34,0,IF(BA28&lt;比赛参数!$K$35,BA28/(1-比赛参数!$E$36),IF(BA28&lt;比赛参数!$K$36,BA28/(1-比赛参数!$E$34))))</f>
        <v>#DIV/0!</v>
      </c>
      <c r="BC28" s="65" t="e">
        <f t="shared" si="11"/>
        <v>#DIV/0!</v>
      </c>
      <c r="BD28" s="101"/>
      <c r="BE28" s="65" t="e">
        <f t="shared" si="12"/>
        <v>#DIV/0!</v>
      </c>
      <c r="BF28" s="176" t="e">
        <f t="shared" si="13"/>
        <v>#DIV/0!</v>
      </c>
      <c r="BQ28" s="177"/>
      <c r="BR28" s="203" t="s">
        <v>294</v>
      </c>
      <c r="BS28" s="196" t="s">
        <v>208</v>
      </c>
      <c r="BT28" s="196" t="s">
        <v>295</v>
      </c>
      <c r="BU28" s="196" t="s">
        <v>251</v>
      </c>
      <c r="BV28" s="196" t="s">
        <v>238</v>
      </c>
      <c r="BW28" s="196" t="s">
        <v>108</v>
      </c>
      <c r="BX28" s="215"/>
      <c r="CA28" s="213"/>
      <c r="CB28" s="196" t="s">
        <v>56</v>
      </c>
      <c r="CC28" s="107">
        <f t="shared" si="23"/>
        <v>51.273381294964</v>
      </c>
      <c r="CD28" s="107">
        <f t="shared" si="23"/>
        <v>443.64406779661</v>
      </c>
      <c r="CE28" s="107">
        <f t="shared" si="23"/>
        <v>806.279069767442</v>
      </c>
      <c r="CF28" s="107">
        <f t="shared" si="23"/>
        <v>921.30612244898</v>
      </c>
      <c r="CG28" s="225"/>
      <c r="CH28" s="225"/>
      <c r="CI28" s="227" t="s">
        <v>56</v>
      </c>
      <c r="CJ28" s="110">
        <f t="shared" si="24"/>
        <v>1901.00771006084</v>
      </c>
      <c r="CK28" s="110">
        <f t="shared" si="24"/>
        <v>4391.92144815286</v>
      </c>
      <c r="CL28" s="110">
        <f t="shared" si="24"/>
        <v>6944.50364230052</v>
      </c>
      <c r="CM28" s="110">
        <f t="shared" si="24"/>
        <v>9039.85021342688</v>
      </c>
      <c r="CN28" s="48"/>
      <c r="CO28" s="239"/>
      <c r="CR28" s="2" t="s">
        <v>296</v>
      </c>
      <c r="CS28" s="2" t="s">
        <v>224</v>
      </c>
      <c r="CT28" s="2" t="s">
        <v>225</v>
      </c>
      <c r="CU28" s="2" t="s">
        <v>226</v>
      </c>
      <c r="CV28" s="2" t="s">
        <v>227</v>
      </c>
      <c r="CY28" s="2" t="s">
        <v>297</v>
      </c>
      <c r="CZ28" s="2" t="s">
        <v>55</v>
      </c>
      <c r="DA28" s="2" t="s">
        <v>56</v>
      </c>
      <c r="DB28" s="2" t="s">
        <v>57</v>
      </c>
      <c r="DC28" s="2" t="s">
        <v>58</v>
      </c>
      <c r="DF28" s="2" t="s">
        <v>297</v>
      </c>
      <c r="DG28" s="2" t="s">
        <v>55</v>
      </c>
      <c r="DH28" s="2" t="s">
        <v>56</v>
      </c>
      <c r="DI28" s="2" t="s">
        <v>57</v>
      </c>
      <c r="DJ28" s="2" t="s">
        <v>58</v>
      </c>
      <c r="DL28" s="2" t="s">
        <v>145</v>
      </c>
      <c r="DT28" s="271" t="s">
        <v>23</v>
      </c>
      <c r="DU28" s="251">
        <f>D44</f>
        <v>60</v>
      </c>
      <c r="DV28" s="270">
        <f>G44</f>
        <v>2</v>
      </c>
    </row>
    <row r="29" ht="16.35" spans="2:126">
      <c r="B29" s="7"/>
      <c r="C29" s="18">
        <v>2</v>
      </c>
      <c r="D29" s="18">
        <v>2</v>
      </c>
      <c r="E29" s="9"/>
      <c r="F29" s="9">
        <v>101</v>
      </c>
      <c r="G29" s="9"/>
      <c r="H29" s="19"/>
      <c r="I29" s="9"/>
      <c r="J29" s="9"/>
      <c r="K29" s="9"/>
      <c r="L29" s="10"/>
      <c r="M29" s="39">
        <f>AG65-AG105</f>
        <v>112</v>
      </c>
      <c r="N29" s="35"/>
      <c r="O29" s="35"/>
      <c r="P29" s="35"/>
      <c r="Q29" s="45"/>
      <c r="U29" s="53"/>
      <c r="V29" s="56"/>
      <c r="W29" s="11">
        <v>3</v>
      </c>
      <c r="X29" s="55" t="e">
        <f t="shared" si="17"/>
        <v>#DIV/0!</v>
      </c>
      <c r="Y29" s="118">
        <f t="shared" si="17"/>
        <v>0</v>
      </c>
      <c r="Z29" s="119" t="e">
        <f t="shared" si="17"/>
        <v>#DIV/0!</v>
      </c>
      <c r="AA29" s="120" t="e">
        <f t="shared" si="18"/>
        <v>#DIV/0!</v>
      </c>
      <c r="AB29" s="121" t="e">
        <f t="shared" si="19"/>
        <v>#DIV/0!</v>
      </c>
      <c r="AC29" s="121">
        <f t="shared" si="20"/>
        <v>0</v>
      </c>
      <c r="AD29" s="122">
        <f t="shared" si="21"/>
        <v>0</v>
      </c>
      <c r="AE29" s="123" t="e">
        <f t="shared" si="22"/>
        <v>#DIV/0!</v>
      </c>
      <c r="AF29" s="124" t="e">
        <f t="shared" si="22"/>
        <v>#DIV/0!</v>
      </c>
      <c r="AG29" s="158" t="e">
        <f t="shared" si="22"/>
        <v>#DIV/0!</v>
      </c>
      <c r="AL29" s="156">
        <f>比赛参数!G27/比赛参数!G26</f>
        <v>0.346153846153846</v>
      </c>
      <c r="AM29" s="157">
        <f>比赛参数!G28+比赛参数!G27*比赛参数!D65+比赛参数!G26*比赛参数!D30*比赛参数!F30/520</f>
        <v>9000</v>
      </c>
      <c r="AN29" s="157">
        <f>第十四期!DB53</f>
        <v>8337.5440909779</v>
      </c>
      <c r="BQ29" s="177"/>
      <c r="BR29" s="201"/>
      <c r="BS29" s="204">
        <f>第十四期!AH14</f>
        <v>501231</v>
      </c>
      <c r="BT29" s="204">
        <f>第十四期!AH15</f>
        <v>1210339</v>
      </c>
      <c r="BU29" s="198">
        <f>第十四期!AF20</f>
        <v>0</v>
      </c>
      <c r="BV29" s="204">
        <f>第十四期!AJ18</f>
        <v>0</v>
      </c>
      <c r="BW29" s="218">
        <f>第十四期!AH18</f>
        <v>1</v>
      </c>
      <c r="BX29" s="215"/>
      <c r="CA29" s="213"/>
      <c r="CB29" s="196" t="s">
        <v>57</v>
      </c>
      <c r="CC29" s="107">
        <f t="shared" si="23"/>
        <v>219.617224880383</v>
      </c>
      <c r="CD29" s="107">
        <f t="shared" si="23"/>
        <v>666.666666666667</v>
      </c>
      <c r="CE29" s="107">
        <f t="shared" si="23"/>
        <v>1042.42424242424</v>
      </c>
      <c r="CF29" s="107">
        <f t="shared" si="23"/>
        <v>1236.84210526316</v>
      </c>
      <c r="CG29" s="225"/>
      <c r="CH29" s="225"/>
      <c r="CI29" s="227" t="s">
        <v>57</v>
      </c>
      <c r="CJ29" s="110">
        <f t="shared" si="24"/>
        <v>2227.35155364626</v>
      </c>
      <c r="CK29" s="110">
        <f t="shared" si="24"/>
        <v>4831.94404702292</v>
      </c>
      <c r="CL29" s="110">
        <f t="shared" si="24"/>
        <v>7436.64881495732</v>
      </c>
      <c r="CM29" s="110">
        <f t="shared" si="24"/>
        <v>9699.38619624106</v>
      </c>
      <c r="CN29" s="48"/>
      <c r="CO29" s="239"/>
      <c r="CR29" s="2" t="s">
        <v>38</v>
      </c>
      <c r="CS29" s="2">
        <f>比赛参数!$D$27</f>
        <v>120</v>
      </c>
      <c r="CT29" s="2">
        <f>比赛参数!$D$27</f>
        <v>120</v>
      </c>
      <c r="CU29" s="2">
        <f>比赛参数!$D$27</f>
        <v>120</v>
      </c>
      <c r="CV29" s="2">
        <f>比赛参数!$D$27</f>
        <v>120</v>
      </c>
      <c r="CY29" s="2" t="s">
        <v>38</v>
      </c>
      <c r="CZ29" s="2">
        <f t="shared" ref="CZ29:DC32" si="25">CZ23/CS23</f>
        <v>5.5976923076923</v>
      </c>
      <c r="DA29" s="2">
        <f t="shared" si="25"/>
        <v>6.0076923076923</v>
      </c>
      <c r="DB29" s="2">
        <f t="shared" si="25"/>
        <v>5.9276923076923</v>
      </c>
      <c r="DC29" s="2">
        <f t="shared" si="25"/>
        <v>5.9276923076923</v>
      </c>
      <c r="DD29" s="2">
        <f>SUMPRODUCT(CZ29:DC29,BS14:BV14)/SUM(BS14:BV14)</f>
        <v>5.87776414677276</v>
      </c>
      <c r="DF29" s="2" t="s">
        <v>38</v>
      </c>
      <c r="DG29" s="2">
        <f t="shared" ref="DG29:DJ32" si="26">DG23/CS23</f>
        <v>13.495</v>
      </c>
      <c r="DH29" s="2">
        <f t="shared" si="26"/>
        <v>13.495</v>
      </c>
      <c r="DI29" s="2">
        <f t="shared" si="26"/>
        <v>13.37</v>
      </c>
      <c r="DJ29" s="2">
        <f t="shared" si="26"/>
        <v>13.87</v>
      </c>
      <c r="DK29" s="2">
        <f>SUMPRODUCT(DG29:DJ29,BS14:BV14)/SUM(BS14:BV14)</f>
        <v>13.5700718390805</v>
      </c>
      <c r="DM29" s="2">
        <f t="shared" ref="DM29:DP32" si="27">DG23/CS29</f>
        <v>11.2458333333333</v>
      </c>
      <c r="DN29" s="2">
        <f t="shared" si="27"/>
        <v>11.2458333333333</v>
      </c>
      <c r="DO29" s="2">
        <f t="shared" si="27"/>
        <v>11.1416666666667</v>
      </c>
      <c r="DP29" s="2">
        <f t="shared" si="27"/>
        <v>11.5583333333333</v>
      </c>
      <c r="DQ29" s="2">
        <f>SUMPRODUCT(DM29:DP29,BS14:BV14)/SUM(BS14:BV14)</f>
        <v>11.3083931992337</v>
      </c>
      <c r="DT29" s="127" t="s">
        <v>24</v>
      </c>
      <c r="DU29" s="251">
        <f>D45</f>
        <v>57</v>
      </c>
      <c r="DV29" s="270">
        <f>G45</f>
        <v>2</v>
      </c>
    </row>
    <row r="30" ht="16.35" spans="2:121">
      <c r="B30" s="7"/>
      <c r="C30" s="18">
        <v>2</v>
      </c>
      <c r="D30" s="18">
        <v>3</v>
      </c>
      <c r="E30" s="9"/>
      <c r="F30" s="9">
        <v>151</v>
      </c>
      <c r="G30" s="9"/>
      <c r="H30" s="19"/>
      <c r="I30" s="9"/>
      <c r="J30" s="9"/>
      <c r="K30" s="9"/>
      <c r="L30" s="10"/>
      <c r="M30" s="39">
        <f>AG66-AG106</f>
        <v>171</v>
      </c>
      <c r="N30" s="35"/>
      <c r="O30" s="35"/>
      <c r="P30" s="35"/>
      <c r="Q30" s="45"/>
      <c r="U30" s="53"/>
      <c r="V30" s="54"/>
      <c r="W30" s="11">
        <v>4</v>
      </c>
      <c r="X30" s="55" t="e">
        <f t="shared" si="17"/>
        <v>#DIV/0!</v>
      </c>
      <c r="Y30" s="118">
        <f t="shared" si="17"/>
        <v>0</v>
      </c>
      <c r="Z30" s="119" t="e">
        <f t="shared" si="17"/>
        <v>#DIV/0!</v>
      </c>
      <c r="AA30" s="120" t="e">
        <f t="shared" si="18"/>
        <v>#DIV/0!</v>
      </c>
      <c r="AB30" s="121" t="e">
        <f t="shared" si="19"/>
        <v>#DIV/0!</v>
      </c>
      <c r="AC30" s="121">
        <f t="shared" si="20"/>
        <v>0</v>
      </c>
      <c r="AD30" s="122">
        <f t="shared" si="21"/>
        <v>0</v>
      </c>
      <c r="AE30" s="123" t="e">
        <f t="shared" si="22"/>
        <v>#DIV/0!</v>
      </c>
      <c r="AF30" s="124" t="e">
        <f t="shared" si="22"/>
        <v>#DIV/0!</v>
      </c>
      <c r="AG30" s="158" t="e">
        <f t="shared" si="22"/>
        <v>#DIV/0!</v>
      </c>
      <c r="AL30" s="42" t="s">
        <v>298</v>
      </c>
      <c r="BQ30" s="177"/>
      <c r="BR30" s="177"/>
      <c r="BS30" s="177"/>
      <c r="BT30" s="177"/>
      <c r="BU30" s="177"/>
      <c r="BV30" s="177"/>
      <c r="BW30" s="177"/>
      <c r="BX30" s="215"/>
      <c r="CA30" s="213"/>
      <c r="CB30" s="196" t="s">
        <v>58</v>
      </c>
      <c r="CC30" s="107">
        <f t="shared" si="23"/>
        <v>273.923444976077</v>
      </c>
      <c r="CD30" s="107">
        <f t="shared" si="23"/>
        <v>722.222222222222</v>
      </c>
      <c r="CE30" s="107">
        <f t="shared" si="23"/>
        <v>1107.57575757576</v>
      </c>
      <c r="CF30" s="107">
        <f t="shared" si="23"/>
        <v>1306.57894736842</v>
      </c>
      <c r="CG30" s="225"/>
      <c r="CH30" s="225"/>
      <c r="CI30" s="227" t="s">
        <v>58</v>
      </c>
      <c r="CJ30" s="110">
        <f t="shared" si="24"/>
        <v>2331.65777374195</v>
      </c>
      <c r="CK30" s="110">
        <f t="shared" si="24"/>
        <v>4937.49960257847</v>
      </c>
      <c r="CL30" s="110">
        <f t="shared" si="24"/>
        <v>7551.80033010884</v>
      </c>
      <c r="CM30" s="110">
        <f t="shared" si="24"/>
        <v>9819.12303834633</v>
      </c>
      <c r="CN30" s="48"/>
      <c r="CO30" s="239"/>
      <c r="CR30" s="2" t="s">
        <v>39</v>
      </c>
      <c r="CS30" s="2">
        <f>比赛参数!$E$27</f>
        <v>150</v>
      </c>
      <c r="CT30" s="2">
        <f>比赛参数!$E$27</f>
        <v>150</v>
      </c>
      <c r="CU30" s="2">
        <f>比赛参数!$E$27</f>
        <v>150</v>
      </c>
      <c r="CV30" s="2">
        <f>比赛参数!$E$27</f>
        <v>150</v>
      </c>
      <c r="CY30" s="2" t="s">
        <v>39</v>
      </c>
      <c r="CZ30" s="2">
        <f t="shared" si="25"/>
        <v>3.59969230769231</v>
      </c>
      <c r="DA30" s="2">
        <f t="shared" si="25"/>
        <v>3.93569230769231</v>
      </c>
      <c r="DB30" s="2">
        <f t="shared" si="25"/>
        <v>3.94769230769231</v>
      </c>
      <c r="DC30" s="2">
        <f t="shared" si="25"/>
        <v>4.06769230769231</v>
      </c>
      <c r="DD30" s="2">
        <f>SUMPRODUCT(CZ30:DC30,BS15:BV15)/SUM(BS15:BV15)</f>
        <v>3.91265875064533</v>
      </c>
      <c r="DF30" s="2" t="s">
        <v>39</v>
      </c>
      <c r="DG30" s="2">
        <f t="shared" si="26"/>
        <v>11.46</v>
      </c>
      <c r="DH30" s="2">
        <f t="shared" si="26"/>
        <v>11.46</v>
      </c>
      <c r="DI30" s="2">
        <f t="shared" si="26"/>
        <v>11.54</v>
      </c>
      <c r="DJ30" s="2">
        <f t="shared" si="26"/>
        <v>11.86</v>
      </c>
      <c r="DK30" s="2">
        <f>SUMPRODUCT(DG30:DJ30,BS15:BV15)/SUM(BS15:BV15)</f>
        <v>11.604966442953</v>
      </c>
      <c r="DM30" s="2">
        <f t="shared" si="27"/>
        <v>19.1</v>
      </c>
      <c r="DN30" s="2">
        <f t="shared" si="27"/>
        <v>19.1</v>
      </c>
      <c r="DO30" s="2">
        <f t="shared" si="27"/>
        <v>19.2333333333333</v>
      </c>
      <c r="DP30" s="2">
        <f t="shared" si="27"/>
        <v>19.7666666666667</v>
      </c>
      <c r="DQ30" s="2">
        <f>SUMPRODUCT(DM30:DP30,BS15:BV15)/SUM(BS15:BV15)</f>
        <v>19.341610738255</v>
      </c>
    </row>
    <row r="31" ht="16.35" spans="2:138">
      <c r="B31" s="7"/>
      <c r="C31" s="18">
        <v>2</v>
      </c>
      <c r="D31" s="18">
        <v>4</v>
      </c>
      <c r="E31" s="9"/>
      <c r="F31" s="9">
        <v>151</v>
      </c>
      <c r="G31" s="9"/>
      <c r="H31" s="19"/>
      <c r="I31" s="9"/>
      <c r="J31" s="9"/>
      <c r="K31" s="9"/>
      <c r="L31" s="10"/>
      <c r="M31" s="39">
        <f>AG67-AG107</f>
        <v>171</v>
      </c>
      <c r="N31" s="35"/>
      <c r="O31" s="35"/>
      <c r="P31" s="35"/>
      <c r="Q31" s="45"/>
      <c r="U31" s="53"/>
      <c r="V31" s="54"/>
      <c r="W31" s="11">
        <v>5</v>
      </c>
      <c r="X31" s="55" t="e">
        <f t="shared" si="17"/>
        <v>#DIV/0!</v>
      </c>
      <c r="Y31" s="118">
        <f t="shared" si="17"/>
        <v>0</v>
      </c>
      <c r="Z31" s="119" t="e">
        <f t="shared" si="17"/>
        <v>#DIV/0!</v>
      </c>
      <c r="AA31" s="120" t="e">
        <f t="shared" si="18"/>
        <v>#DIV/0!</v>
      </c>
      <c r="AB31" s="121" t="e">
        <f t="shared" si="19"/>
        <v>#DIV/0!</v>
      </c>
      <c r="AC31" s="121">
        <f t="shared" si="20"/>
        <v>0</v>
      </c>
      <c r="AD31" s="122">
        <f t="shared" si="21"/>
        <v>0</v>
      </c>
      <c r="AE31" s="123" t="e">
        <f t="shared" si="22"/>
        <v>#DIV/0!</v>
      </c>
      <c r="AF31" s="124" t="e">
        <f t="shared" si="22"/>
        <v>#DIV/0!</v>
      </c>
      <c r="AG31" s="158" t="e">
        <f t="shared" si="22"/>
        <v>#DIV/0!</v>
      </c>
      <c r="AL31" s="156">
        <f>Y20/AA20/2</f>
        <v>0.64164201183432</v>
      </c>
      <c r="AR31" s="92"/>
      <c r="AS31" s="180" t="s">
        <v>21</v>
      </c>
      <c r="AT31" s="181"/>
      <c r="AU31" s="181"/>
      <c r="AV31" s="182"/>
      <c r="AW31" s="180" t="s">
        <v>22</v>
      </c>
      <c r="AX31" s="181"/>
      <c r="AY31" s="181"/>
      <c r="AZ31" s="182"/>
      <c r="BA31" s="180" t="s">
        <v>23</v>
      </c>
      <c r="BB31" s="181"/>
      <c r="BC31" s="181"/>
      <c r="BD31" s="182"/>
      <c r="BE31" s="180" t="s">
        <v>24</v>
      </c>
      <c r="BF31" s="181"/>
      <c r="BG31" s="181"/>
      <c r="BH31" s="182"/>
      <c r="BX31" s="215"/>
      <c r="CA31" s="213"/>
      <c r="CB31" s="219"/>
      <c r="CC31" s="219"/>
      <c r="CD31" s="219"/>
      <c r="CE31" s="219"/>
      <c r="CF31" s="219"/>
      <c r="CG31" s="225"/>
      <c r="CH31" s="225"/>
      <c r="CI31" s="225"/>
      <c r="CJ31" s="225"/>
      <c r="CK31" s="225"/>
      <c r="CL31" s="225"/>
      <c r="CM31" s="225"/>
      <c r="CN31" s="5"/>
      <c r="CO31" s="239"/>
      <c r="CR31" s="2" t="s">
        <v>40</v>
      </c>
      <c r="CS31" s="2">
        <f>比赛参数!$F$27</f>
        <v>160</v>
      </c>
      <c r="CT31" s="2">
        <f>比赛参数!$F$27</f>
        <v>160</v>
      </c>
      <c r="CU31" s="2">
        <f>比赛参数!$F$27</f>
        <v>160</v>
      </c>
      <c r="CV31" s="2">
        <f>比赛参数!$F$27</f>
        <v>160</v>
      </c>
      <c r="CY31" s="2" t="s">
        <v>40</v>
      </c>
      <c r="CZ31" s="2">
        <f t="shared" si="25"/>
        <v>5.36032388663968</v>
      </c>
      <c r="DA31" s="2">
        <f t="shared" si="25"/>
        <v>5.65506072874494</v>
      </c>
      <c r="DB31" s="2">
        <f t="shared" si="25"/>
        <v>5.63927125506073</v>
      </c>
      <c r="DC31" s="2">
        <f t="shared" si="25"/>
        <v>5.50769230769231</v>
      </c>
      <c r="DD31" s="2">
        <f>SUMPRODUCT(CZ31:DC31,BS16:BV16)/SUM(BS16:BV16)</f>
        <v>5.54752813579467</v>
      </c>
      <c r="DF31" s="2" t="s">
        <v>40</v>
      </c>
      <c r="DG31" s="2">
        <f t="shared" si="26"/>
        <v>13.2</v>
      </c>
      <c r="DH31" s="2">
        <f t="shared" si="26"/>
        <v>13.2</v>
      </c>
      <c r="DI31" s="2">
        <f t="shared" si="26"/>
        <v>13.2657894736842</v>
      </c>
      <c r="DJ31" s="2">
        <f t="shared" si="26"/>
        <v>13.2657894736842</v>
      </c>
      <c r="DK31" s="2">
        <f>SUMPRODUCT(DG31:DJ31,BS16:BV16)/SUM(BS16:BV16)</f>
        <v>13.2398358281024</v>
      </c>
      <c r="DM31" s="2">
        <f t="shared" si="27"/>
        <v>31.35</v>
      </c>
      <c r="DN31" s="2">
        <f t="shared" si="27"/>
        <v>31.35</v>
      </c>
      <c r="DO31" s="2">
        <f t="shared" si="27"/>
        <v>31.50625</v>
      </c>
      <c r="DP31" s="2">
        <f t="shared" si="27"/>
        <v>31.50625</v>
      </c>
      <c r="DQ31" s="2">
        <f>SUMPRODUCT(DM31:DP31,BS16:BV16)/SUM(BS16:BV16)</f>
        <v>31.4446100917431</v>
      </c>
      <c r="DS31" s="174" t="s">
        <v>21</v>
      </c>
      <c r="DT31" s="272"/>
      <c r="DU31" s="272"/>
      <c r="DV31" s="272"/>
      <c r="DW31" s="174" t="s">
        <v>22</v>
      </c>
      <c r="DX31" s="272"/>
      <c r="DY31" s="272"/>
      <c r="DZ31" s="272"/>
      <c r="EA31" s="174" t="s">
        <v>23</v>
      </c>
      <c r="EB31" s="272"/>
      <c r="EC31" s="272"/>
      <c r="ED31" s="272"/>
      <c r="EE31" s="174" t="s">
        <v>24</v>
      </c>
      <c r="EF31" s="272"/>
      <c r="EG31" s="272"/>
      <c r="EH31" s="272"/>
    </row>
    <row r="32" ht="17.1" spans="2:138">
      <c r="B32" s="7"/>
      <c r="C32" s="18">
        <v>3</v>
      </c>
      <c r="D32" s="18">
        <v>1</v>
      </c>
      <c r="E32" s="9"/>
      <c r="F32" s="9">
        <v>56</v>
      </c>
      <c r="G32" s="9"/>
      <c r="H32" s="19"/>
      <c r="I32" s="9"/>
      <c r="J32" s="9"/>
      <c r="K32" s="9"/>
      <c r="L32" s="10"/>
      <c r="M32" s="39">
        <f>AH64-AH104</f>
        <v>41</v>
      </c>
      <c r="N32" s="35"/>
      <c r="O32" s="35"/>
      <c r="P32" s="35"/>
      <c r="Q32" s="45"/>
      <c r="U32" s="53"/>
      <c r="V32" s="54"/>
      <c r="W32" s="11">
        <v>6</v>
      </c>
      <c r="X32" s="55" t="e">
        <f t="shared" si="17"/>
        <v>#DIV/0!</v>
      </c>
      <c r="Y32" s="118">
        <f t="shared" si="17"/>
        <v>0</v>
      </c>
      <c r="Z32" s="119" t="e">
        <f t="shared" si="17"/>
        <v>#DIV/0!</v>
      </c>
      <c r="AA32" s="120" t="e">
        <f t="shared" si="18"/>
        <v>#DIV/0!</v>
      </c>
      <c r="AB32" s="121" t="e">
        <f t="shared" si="19"/>
        <v>#DIV/0!</v>
      </c>
      <c r="AC32" s="121">
        <f t="shared" si="20"/>
        <v>0</v>
      </c>
      <c r="AD32" s="122">
        <f t="shared" si="21"/>
        <v>0</v>
      </c>
      <c r="AE32" s="123" t="e">
        <f t="shared" si="22"/>
        <v>#DIV/0!</v>
      </c>
      <c r="AF32" s="124" t="e">
        <f t="shared" si="22"/>
        <v>#DIV/0!</v>
      </c>
      <c r="AG32" s="158" t="e">
        <f t="shared" si="22"/>
        <v>#DIV/0!</v>
      </c>
      <c r="AR32" s="92" t="s">
        <v>285</v>
      </c>
      <c r="AS32" s="183" t="s">
        <v>55</v>
      </c>
      <c r="AT32" s="11" t="s">
        <v>56</v>
      </c>
      <c r="AU32" s="11" t="s">
        <v>57</v>
      </c>
      <c r="AV32" s="184" t="s">
        <v>58</v>
      </c>
      <c r="AW32" s="183" t="s">
        <v>55</v>
      </c>
      <c r="AX32" s="11" t="s">
        <v>56</v>
      </c>
      <c r="AY32" s="11" t="s">
        <v>57</v>
      </c>
      <c r="AZ32" s="184" t="s">
        <v>58</v>
      </c>
      <c r="BA32" s="183" t="s">
        <v>55</v>
      </c>
      <c r="BB32" s="11" t="s">
        <v>56</v>
      </c>
      <c r="BC32" s="11" t="s">
        <v>57</v>
      </c>
      <c r="BD32" s="184" t="s">
        <v>58</v>
      </c>
      <c r="BE32" s="183" t="s">
        <v>55</v>
      </c>
      <c r="BF32" s="11" t="s">
        <v>56</v>
      </c>
      <c r="BG32" s="11" t="s">
        <v>57</v>
      </c>
      <c r="BH32" s="184" t="s">
        <v>58</v>
      </c>
      <c r="BX32" s="215"/>
      <c r="CA32" s="213"/>
      <c r="CB32" s="214" t="s">
        <v>299</v>
      </c>
      <c r="CC32" s="227" t="s">
        <v>38</v>
      </c>
      <c r="CD32" s="227" t="s">
        <v>39</v>
      </c>
      <c r="CE32" s="227" t="s">
        <v>40</v>
      </c>
      <c r="CF32" s="227" t="s">
        <v>41</v>
      </c>
      <c r="CG32" s="225"/>
      <c r="CH32" s="225"/>
      <c r="CI32" s="214" t="s">
        <v>300</v>
      </c>
      <c r="CJ32" s="195" t="s">
        <v>38</v>
      </c>
      <c r="CK32" s="195" t="s">
        <v>39</v>
      </c>
      <c r="CL32" s="195" t="s">
        <v>40</v>
      </c>
      <c r="CM32" s="195" t="s">
        <v>41</v>
      </c>
      <c r="CN32" s="5"/>
      <c r="CO32" s="239"/>
      <c r="CR32" s="2" t="s">
        <v>41</v>
      </c>
      <c r="CS32" s="2">
        <f>比赛参数!$G$27</f>
        <v>180</v>
      </c>
      <c r="CT32" s="2">
        <f>比赛参数!$G$27</f>
        <v>180</v>
      </c>
      <c r="CU32" s="2">
        <f>比赛参数!$G$27</f>
        <v>180</v>
      </c>
      <c r="CV32" s="2">
        <f>比赛参数!$G$27</f>
        <v>180</v>
      </c>
      <c r="CY32" s="2" t="s">
        <v>41</v>
      </c>
      <c r="CZ32" s="2">
        <f t="shared" si="25"/>
        <v>5.23846153846154</v>
      </c>
      <c r="DA32" s="2">
        <f t="shared" si="25"/>
        <v>5.50384615384615</v>
      </c>
      <c r="DB32" s="2">
        <f t="shared" si="25"/>
        <v>5.61153846153846</v>
      </c>
      <c r="DC32" s="2">
        <f t="shared" si="25"/>
        <v>5.80384615384615</v>
      </c>
      <c r="DD32" s="2">
        <f>SUMPRODUCT(CZ32:DC32,BS17:BV17)/SUM(BS17:BV17)</f>
        <v>5.57576923076923</v>
      </c>
      <c r="DF32" s="2" t="s">
        <v>41</v>
      </c>
      <c r="DG32" s="2">
        <f t="shared" si="26"/>
        <v>13.0634615384615</v>
      </c>
      <c r="DH32" s="2">
        <f t="shared" si="26"/>
        <v>13.0634615384615</v>
      </c>
      <c r="DI32" s="2">
        <f t="shared" si="26"/>
        <v>13.2557692307692</v>
      </c>
      <c r="DJ32" s="2">
        <f t="shared" si="26"/>
        <v>13.5442307692308</v>
      </c>
      <c r="DK32" s="2">
        <f>SUMPRODUCT(DG32:DJ32,BS17:BV17)/SUM(BS17:BV17)</f>
        <v>13.2680769230769</v>
      </c>
      <c r="DM32" s="2">
        <f t="shared" si="27"/>
        <v>37.7388888888889</v>
      </c>
      <c r="DN32" s="2">
        <f t="shared" si="27"/>
        <v>37.7388888888889</v>
      </c>
      <c r="DO32" s="2">
        <f t="shared" si="27"/>
        <v>38.2944444444444</v>
      </c>
      <c r="DP32" s="2">
        <f t="shared" si="27"/>
        <v>39.1277777777778</v>
      </c>
      <c r="DQ32" s="2">
        <f>SUMPRODUCT(DM32:DP32,BS17:BV17)/SUM(BS17:BV17)</f>
        <v>38.33</v>
      </c>
      <c r="DS32" s="174" t="s">
        <v>55</v>
      </c>
      <c r="DT32" s="174" t="s">
        <v>56</v>
      </c>
      <c r="DU32" s="174" t="s">
        <v>57</v>
      </c>
      <c r="DV32" s="174" t="s">
        <v>58</v>
      </c>
      <c r="DW32" s="174" t="s">
        <v>55</v>
      </c>
      <c r="DX32" s="174" t="s">
        <v>56</v>
      </c>
      <c r="DY32" s="174" t="s">
        <v>57</v>
      </c>
      <c r="DZ32" s="174" t="s">
        <v>58</v>
      </c>
      <c r="EA32" s="174" t="s">
        <v>55</v>
      </c>
      <c r="EB32" s="174" t="s">
        <v>56</v>
      </c>
      <c r="EC32" s="174" t="s">
        <v>57</v>
      </c>
      <c r="ED32" s="174" t="s">
        <v>58</v>
      </c>
      <c r="EE32" s="174" t="s">
        <v>55</v>
      </c>
      <c r="EF32" s="174" t="s">
        <v>56</v>
      </c>
      <c r="EG32" s="174" t="s">
        <v>57</v>
      </c>
      <c r="EH32" s="174" t="s">
        <v>58</v>
      </c>
    </row>
    <row r="33" ht="17.1" spans="2:138">
      <c r="B33" s="7"/>
      <c r="C33" s="18">
        <v>3</v>
      </c>
      <c r="D33" s="18">
        <v>2</v>
      </c>
      <c r="E33" s="9"/>
      <c r="F33" s="9">
        <v>57</v>
      </c>
      <c r="G33" s="9"/>
      <c r="H33" s="19"/>
      <c r="I33" s="9"/>
      <c r="J33" s="9"/>
      <c r="K33" s="9"/>
      <c r="L33" s="10"/>
      <c r="M33" s="39">
        <f>AH65-AH105</f>
        <v>41</v>
      </c>
      <c r="N33" s="35"/>
      <c r="O33" s="35"/>
      <c r="P33" s="35"/>
      <c r="Q33" s="45"/>
      <c r="U33" s="53"/>
      <c r="V33" s="54"/>
      <c r="W33" s="11">
        <v>7</v>
      </c>
      <c r="X33" s="55" t="e">
        <f t="shared" si="17"/>
        <v>#DIV/0!</v>
      </c>
      <c r="Y33" s="118">
        <f t="shared" si="17"/>
        <v>0</v>
      </c>
      <c r="Z33" s="119" t="e">
        <f t="shared" si="17"/>
        <v>#DIV/0!</v>
      </c>
      <c r="AA33" s="120" t="e">
        <f t="shared" si="18"/>
        <v>#DIV/0!</v>
      </c>
      <c r="AB33" s="121" t="e">
        <f t="shared" si="19"/>
        <v>#DIV/0!</v>
      </c>
      <c r="AC33" s="121">
        <f t="shared" si="20"/>
        <v>0</v>
      </c>
      <c r="AD33" s="122">
        <f t="shared" si="21"/>
        <v>0</v>
      </c>
      <c r="AE33" s="123" t="e">
        <f t="shared" si="22"/>
        <v>#DIV/0!</v>
      </c>
      <c r="AF33" s="124" t="e">
        <f t="shared" si="22"/>
        <v>#DIV/0!</v>
      </c>
      <c r="AG33" s="158" t="e">
        <f t="shared" si="22"/>
        <v>#DIV/0!</v>
      </c>
      <c r="AI33" s="63" t="s">
        <v>37</v>
      </c>
      <c r="AJ33" s="161" t="s">
        <v>301</v>
      </c>
      <c r="AK33" s="42" t="s">
        <v>302</v>
      </c>
      <c r="AL33" s="162"/>
      <c r="AM33" s="11" t="s">
        <v>303</v>
      </c>
      <c r="AN33" s="126"/>
      <c r="AR33" s="185">
        <v>1</v>
      </c>
      <c r="AS33" s="186" t="str">
        <f t="shared" ref="AS33:BH48" si="28">IF(D73="","",D73)</f>
        <v/>
      </c>
      <c r="AT33" s="187" t="str">
        <f t="shared" si="28"/>
        <v/>
      </c>
      <c r="AU33" s="187" t="str">
        <f t="shared" si="28"/>
        <v/>
      </c>
      <c r="AV33" s="188" t="str">
        <f t="shared" si="28"/>
        <v/>
      </c>
      <c r="AW33" s="186" t="str">
        <f t="shared" si="28"/>
        <v/>
      </c>
      <c r="AX33" s="187" t="str">
        <f t="shared" si="28"/>
        <v/>
      </c>
      <c r="AY33" s="187" t="str">
        <f t="shared" si="28"/>
        <v/>
      </c>
      <c r="AZ33" s="188" t="str">
        <f t="shared" si="28"/>
        <v/>
      </c>
      <c r="BA33" s="186" t="str">
        <f t="shared" si="28"/>
        <v/>
      </c>
      <c r="BB33" s="187" t="str">
        <f t="shared" si="28"/>
        <v/>
      </c>
      <c r="BC33" s="187" t="str">
        <f t="shared" si="28"/>
        <v/>
      </c>
      <c r="BD33" s="188" t="str">
        <f t="shared" si="28"/>
        <v/>
      </c>
      <c r="BE33" s="186" t="str">
        <f t="shared" si="28"/>
        <v/>
      </c>
      <c r="BF33" s="187" t="str">
        <f t="shared" si="28"/>
        <v/>
      </c>
      <c r="BG33" s="187" t="str">
        <f t="shared" si="28"/>
        <v/>
      </c>
      <c r="BH33" s="188" t="str">
        <f t="shared" si="28"/>
        <v/>
      </c>
      <c r="BX33" s="215"/>
      <c r="CA33" s="213"/>
      <c r="CB33" s="196" t="s">
        <v>304</v>
      </c>
      <c r="CC33" s="230">
        <f t="shared" ref="CC33:CF35" si="29">CC70</f>
        <v>1337.28077697431</v>
      </c>
      <c r="CD33" s="230">
        <f t="shared" si="29"/>
        <v>2395.97703660488</v>
      </c>
      <c r="CE33" s="230">
        <f t="shared" si="29"/>
        <v>3620.91965823615</v>
      </c>
      <c r="CF33" s="230">
        <f t="shared" si="29"/>
        <v>4868.33826196327</v>
      </c>
      <c r="CG33" s="225"/>
      <c r="CH33" s="225"/>
      <c r="CI33" s="197" t="s">
        <v>55</v>
      </c>
      <c r="CJ33" s="231">
        <f t="shared" ref="CJ33:CM36" si="30">IF(CJ27&gt;0,(AF76-CJ27)/CJ27,0)</f>
        <v>0.609494444209481</v>
      </c>
      <c r="CK33" s="231">
        <f t="shared" si="30"/>
        <v>0.386414830929145</v>
      </c>
      <c r="CL33" s="231">
        <f t="shared" si="30"/>
        <v>0.358523699962385</v>
      </c>
      <c r="CM33" s="231">
        <f t="shared" si="30"/>
        <v>0.382532173568291</v>
      </c>
      <c r="CN33" s="48"/>
      <c r="CO33" s="239"/>
      <c r="DS33" s="37">
        <f t="shared" ref="DS33:EH33" si="31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+IF($C$66=$S$47,D66,0)+IF($C$67=$S$47,D67,0)+IF($C$68=$S$47,D68,0)+IF($C$69=$S$47,D69,0)</f>
        <v>3250</v>
      </c>
      <c r="DT33" s="37">
        <f t="shared" si="31"/>
        <v>3250</v>
      </c>
      <c r="DU33" s="37">
        <f t="shared" si="31"/>
        <v>3400</v>
      </c>
      <c r="DV33" s="37">
        <f t="shared" si="31"/>
        <v>3450</v>
      </c>
      <c r="DW33" s="37">
        <f t="shared" si="31"/>
        <v>6400</v>
      </c>
      <c r="DX33" s="37">
        <f t="shared" si="31"/>
        <v>6400</v>
      </c>
      <c r="DY33" s="37">
        <f t="shared" si="31"/>
        <v>6620</v>
      </c>
      <c r="DZ33" s="37">
        <f t="shared" si="31"/>
        <v>6700</v>
      </c>
      <c r="EA33" s="37">
        <f t="shared" si="31"/>
        <v>9850</v>
      </c>
      <c r="EB33" s="37">
        <f t="shared" si="31"/>
        <v>9850</v>
      </c>
      <c r="EC33" s="37">
        <f t="shared" si="31"/>
        <v>10100</v>
      </c>
      <c r="ED33" s="37">
        <f t="shared" si="31"/>
        <v>10100</v>
      </c>
      <c r="EE33" s="37">
        <f t="shared" si="31"/>
        <v>12950</v>
      </c>
      <c r="EF33" s="37">
        <f t="shared" si="31"/>
        <v>12950</v>
      </c>
      <c r="EG33" s="37">
        <f t="shared" si="31"/>
        <v>13350</v>
      </c>
      <c r="EH33" s="37">
        <f t="shared" si="31"/>
        <v>13500</v>
      </c>
    </row>
    <row r="34" ht="16.35" spans="2:110">
      <c r="B34" s="7"/>
      <c r="C34" s="18">
        <v>3</v>
      </c>
      <c r="D34" s="18">
        <v>3</v>
      </c>
      <c r="E34" s="9"/>
      <c r="F34" s="9">
        <v>66</v>
      </c>
      <c r="G34" s="9"/>
      <c r="H34" s="19"/>
      <c r="I34" s="9"/>
      <c r="J34" s="9"/>
      <c r="K34" s="9"/>
      <c r="L34" s="10"/>
      <c r="M34" s="39">
        <f>AH66-AH106</f>
        <v>63</v>
      </c>
      <c r="N34" s="35"/>
      <c r="O34" s="35"/>
      <c r="P34" s="35"/>
      <c r="Q34" s="45"/>
      <c r="U34" s="53"/>
      <c r="V34" s="54"/>
      <c r="W34" s="11">
        <v>8</v>
      </c>
      <c r="X34" s="55" t="e">
        <f t="shared" si="17"/>
        <v>#DIV/0!</v>
      </c>
      <c r="Y34" s="118">
        <f t="shared" si="17"/>
        <v>0</v>
      </c>
      <c r="Z34" s="119" t="e">
        <f t="shared" si="17"/>
        <v>#DIV/0!</v>
      </c>
      <c r="AA34" s="120" t="e">
        <f t="shared" si="18"/>
        <v>#DIV/0!</v>
      </c>
      <c r="AB34" s="121" t="e">
        <f t="shared" si="19"/>
        <v>#DIV/0!</v>
      </c>
      <c r="AC34" s="121">
        <f t="shared" si="20"/>
        <v>0</v>
      </c>
      <c r="AD34" s="122">
        <f t="shared" si="21"/>
        <v>0</v>
      </c>
      <c r="AE34" s="123" t="e">
        <f t="shared" si="22"/>
        <v>#DIV/0!</v>
      </c>
      <c r="AF34" s="124" t="e">
        <f t="shared" si="22"/>
        <v>#DIV/0!</v>
      </c>
      <c r="AG34" s="158" t="e">
        <f t="shared" si="22"/>
        <v>#DIV/0!</v>
      </c>
      <c r="AI34" s="64" t="s">
        <v>38</v>
      </c>
      <c r="AJ34" s="163"/>
      <c r="AK34" s="164">
        <f>IF(AM34=1,CK70-CJ70,IF(AM34=2,CL70-CK70,IF(AM34=3,CM70-CL70,IF(AM34=4,CN70-CM70,0))))</f>
        <v>100000</v>
      </c>
      <c r="AL34" s="162"/>
      <c r="AM34" s="65">
        <f>INT(第十四期!DV26)</f>
        <v>3</v>
      </c>
      <c r="AN34" s="126"/>
      <c r="AR34" s="185">
        <v>2</v>
      </c>
      <c r="AS34" s="186" t="str">
        <f t="shared" si="28"/>
        <v/>
      </c>
      <c r="AT34" s="187" t="str">
        <f t="shared" si="28"/>
        <v/>
      </c>
      <c r="AU34" s="187" t="str">
        <f t="shared" si="28"/>
        <v/>
      </c>
      <c r="AV34" s="188" t="str">
        <f t="shared" si="28"/>
        <v/>
      </c>
      <c r="AW34" s="186" t="str">
        <f t="shared" si="28"/>
        <v/>
      </c>
      <c r="AX34" s="187" t="str">
        <f t="shared" si="28"/>
        <v/>
      </c>
      <c r="AY34" s="187" t="str">
        <f t="shared" si="28"/>
        <v/>
      </c>
      <c r="AZ34" s="188" t="str">
        <f t="shared" si="28"/>
        <v/>
      </c>
      <c r="BA34" s="186" t="str">
        <f t="shared" si="28"/>
        <v/>
      </c>
      <c r="BB34" s="187" t="str">
        <f t="shared" si="28"/>
        <v/>
      </c>
      <c r="BC34" s="187" t="str">
        <f t="shared" si="28"/>
        <v/>
      </c>
      <c r="BD34" s="188" t="str">
        <f t="shared" si="28"/>
        <v/>
      </c>
      <c r="BE34" s="186" t="str">
        <f t="shared" si="28"/>
        <v/>
      </c>
      <c r="BF34" s="187" t="str">
        <f t="shared" si="28"/>
        <v/>
      </c>
      <c r="BG34" s="187" t="str">
        <f t="shared" si="28"/>
        <v/>
      </c>
      <c r="BH34" s="188" t="str">
        <f t="shared" si="28"/>
        <v/>
      </c>
      <c r="BX34" s="215"/>
      <c r="CA34" s="213"/>
      <c r="CB34" s="196" t="s">
        <v>305</v>
      </c>
      <c r="CC34" s="230">
        <f t="shared" si="29"/>
        <v>13.3728077697431</v>
      </c>
      <c r="CD34" s="230">
        <f t="shared" si="29"/>
        <v>9.58390814641953</v>
      </c>
      <c r="CE34" s="230">
        <f t="shared" si="29"/>
        <v>9.52873594272672</v>
      </c>
      <c r="CF34" s="230">
        <f t="shared" si="29"/>
        <v>9.36218896531399</v>
      </c>
      <c r="CG34" s="232"/>
      <c r="CH34" s="225"/>
      <c r="CI34" s="196" t="s">
        <v>56</v>
      </c>
      <c r="CJ34" s="231">
        <f t="shared" si="30"/>
        <v>0.683317738831047</v>
      </c>
      <c r="CK34" s="231">
        <f t="shared" si="30"/>
        <v>0.445836423752675</v>
      </c>
      <c r="CL34" s="231">
        <f t="shared" si="30"/>
        <v>0.41118797034046</v>
      </c>
      <c r="CM34" s="231">
        <f t="shared" si="30"/>
        <v>0.43254586019195</v>
      </c>
      <c r="CN34" s="215"/>
      <c r="CO34" s="239"/>
      <c r="CR34" s="2" t="s">
        <v>161</v>
      </c>
      <c r="CS34" s="2" t="s">
        <v>224</v>
      </c>
      <c r="CT34" s="2" t="s">
        <v>225</v>
      </c>
      <c r="CU34" s="2" t="s">
        <v>226</v>
      </c>
      <c r="CV34" s="2" t="s">
        <v>227</v>
      </c>
      <c r="CY34" s="2" t="s">
        <v>306</v>
      </c>
      <c r="DF34" s="2" t="s">
        <v>306</v>
      </c>
    </row>
    <row r="35" ht="15.6" spans="2:138">
      <c r="B35" s="7"/>
      <c r="C35" s="18">
        <v>3</v>
      </c>
      <c r="D35" s="18">
        <v>4</v>
      </c>
      <c r="E35" s="9"/>
      <c r="F35" s="9">
        <v>79</v>
      </c>
      <c r="G35" s="9"/>
      <c r="H35" s="19"/>
      <c r="I35" s="9"/>
      <c r="J35" s="9"/>
      <c r="K35" s="9"/>
      <c r="L35" s="10"/>
      <c r="M35" s="39">
        <f>AH67-AH107</f>
        <v>63</v>
      </c>
      <c r="N35" s="35"/>
      <c r="O35" s="35"/>
      <c r="P35" s="35"/>
      <c r="Q35" s="57"/>
      <c r="U35" s="53"/>
      <c r="V35" s="54"/>
      <c r="W35" s="11">
        <v>9</v>
      </c>
      <c r="X35" s="55" t="e">
        <f t="shared" si="17"/>
        <v>#DIV/0!</v>
      </c>
      <c r="Y35" s="118">
        <f t="shared" si="17"/>
        <v>0</v>
      </c>
      <c r="Z35" s="119" t="e">
        <f t="shared" si="17"/>
        <v>#DIV/0!</v>
      </c>
      <c r="AA35" s="120" t="e">
        <f t="shared" si="18"/>
        <v>#DIV/0!</v>
      </c>
      <c r="AB35" s="121" t="e">
        <f t="shared" si="19"/>
        <v>#DIV/0!</v>
      </c>
      <c r="AC35" s="121">
        <f t="shared" si="20"/>
        <v>0</v>
      </c>
      <c r="AD35" s="122">
        <f t="shared" si="21"/>
        <v>0</v>
      </c>
      <c r="AE35" s="123" t="e">
        <f t="shared" si="22"/>
        <v>#DIV/0!</v>
      </c>
      <c r="AF35" s="124" t="e">
        <f t="shared" si="22"/>
        <v>#DIV/0!</v>
      </c>
      <c r="AG35" s="158" t="e">
        <f t="shared" si="22"/>
        <v>#DIV/0!</v>
      </c>
      <c r="AI35" s="11" t="s">
        <v>39</v>
      </c>
      <c r="AJ35" s="163"/>
      <c r="AK35" s="164">
        <f>IF(AM35=1,CK71-CJ71,IF(AM35=2,CL71-CK71,IF(AM35=3,CM71-CL71,IF(AM35=4,CN71-CM71,0))))</f>
        <v>150000</v>
      </c>
      <c r="AL35" s="165"/>
      <c r="AM35" s="65">
        <f>INT(第十四期!DV27)</f>
        <v>3</v>
      </c>
      <c r="AN35" s="126"/>
      <c r="AR35" s="185">
        <v>3</v>
      </c>
      <c r="AS35" s="186" t="str">
        <f t="shared" si="28"/>
        <v/>
      </c>
      <c r="AT35" s="187" t="str">
        <f t="shared" si="28"/>
        <v/>
      </c>
      <c r="AU35" s="187" t="str">
        <f t="shared" si="28"/>
        <v/>
      </c>
      <c r="AV35" s="188" t="str">
        <f t="shared" si="28"/>
        <v/>
      </c>
      <c r="AW35" s="186" t="str">
        <f t="shared" si="28"/>
        <v/>
      </c>
      <c r="AX35" s="187" t="str">
        <f t="shared" si="28"/>
        <v/>
      </c>
      <c r="AY35" s="187" t="str">
        <f t="shared" si="28"/>
        <v/>
      </c>
      <c r="AZ35" s="188" t="str">
        <f t="shared" si="28"/>
        <v/>
      </c>
      <c r="BA35" s="186" t="str">
        <f t="shared" si="28"/>
        <v/>
      </c>
      <c r="BB35" s="187" t="str">
        <f t="shared" si="28"/>
        <v/>
      </c>
      <c r="BC35" s="187" t="str">
        <f t="shared" si="28"/>
        <v/>
      </c>
      <c r="BD35" s="188" t="str">
        <f t="shared" si="28"/>
        <v/>
      </c>
      <c r="BE35" s="186" t="str">
        <f t="shared" si="28"/>
        <v/>
      </c>
      <c r="BF35" s="187" t="str">
        <f t="shared" si="28"/>
        <v/>
      </c>
      <c r="BG35" s="187" t="str">
        <f t="shared" si="28"/>
        <v/>
      </c>
      <c r="BH35" s="188" t="str">
        <f t="shared" si="28"/>
        <v/>
      </c>
      <c r="CA35" s="213"/>
      <c r="CB35" s="196" t="s">
        <v>307</v>
      </c>
      <c r="CC35" s="230">
        <f t="shared" si="29"/>
        <v>0.404597643727058</v>
      </c>
      <c r="CD35" s="230">
        <f t="shared" si="29"/>
        <v>0.368209513583517</v>
      </c>
      <c r="CE35" s="230">
        <f t="shared" si="29"/>
        <v>0.363858780092333</v>
      </c>
      <c r="CF35" s="230">
        <f t="shared" si="29"/>
        <v>0.3677716255665</v>
      </c>
      <c r="CG35" s="232"/>
      <c r="CH35" s="225"/>
      <c r="CI35" s="196" t="s">
        <v>57</v>
      </c>
      <c r="CJ35" s="231">
        <f t="shared" si="30"/>
        <v>0.504028402932588</v>
      </c>
      <c r="CK35" s="231">
        <f t="shared" si="30"/>
        <v>0.359701175357762</v>
      </c>
      <c r="CL35" s="231">
        <f t="shared" si="30"/>
        <v>0.351415166975002</v>
      </c>
      <c r="CM35" s="231">
        <f t="shared" si="30"/>
        <v>0.37637575511466</v>
      </c>
      <c r="CN35" s="215"/>
      <c r="CO35" s="239"/>
      <c r="CR35" s="2" t="s">
        <v>38</v>
      </c>
      <c r="CS35" s="2">
        <f>比赛参数!$D$28</f>
        <v>300</v>
      </c>
      <c r="CT35" s="2">
        <f>比赛参数!$D$28</f>
        <v>300</v>
      </c>
      <c r="CU35" s="2">
        <f>比赛参数!$D$28</f>
        <v>300</v>
      </c>
      <c r="CV35" s="2">
        <f>比赛参数!$D$28</f>
        <v>300</v>
      </c>
      <c r="CZ35" s="2">
        <f t="shared" ref="CZ35:DC38" si="32">CZ23/CZ17</f>
        <v>0.212015266730764</v>
      </c>
      <c r="DA35" s="2">
        <f t="shared" si="32"/>
        <v>0.231133471441255</v>
      </c>
      <c r="DB35" s="2">
        <f t="shared" si="32"/>
        <v>0.214987166610869</v>
      </c>
      <c r="DC35" s="2">
        <f t="shared" si="32"/>
        <v>0.211157998575108</v>
      </c>
      <c r="DD35" s="2">
        <f>SUMPRODUCT(CZ35:DC35,BS14:BV14)/SUM(BS14:BV14)</f>
        <v>0.216468411106005</v>
      </c>
      <c r="DG35" s="2">
        <f t="shared" ref="DG35:DJ38" si="33">DG23/DG17</f>
        <v>0.729262361523912</v>
      </c>
      <c r="DH35" s="2">
        <f t="shared" si="33"/>
        <v>0.729262361523912</v>
      </c>
      <c r="DI35" s="2">
        <f t="shared" si="33"/>
        <v>0.664182811723795</v>
      </c>
      <c r="DJ35" s="2">
        <f t="shared" si="33"/>
        <v>0.689021361152509</v>
      </c>
      <c r="DK35" s="2">
        <f>SUMPRODUCT(DG35:DJ35,BS14:BV14)/SUM(BS14:BV14)</f>
        <v>0.697635931946545</v>
      </c>
      <c r="DS35" s="174" t="s">
        <v>21</v>
      </c>
      <c r="DT35" s="272"/>
      <c r="DU35" s="272"/>
      <c r="DV35" s="272"/>
      <c r="DW35" s="174" t="s">
        <v>22</v>
      </c>
      <c r="DX35" s="272"/>
      <c r="DY35" s="272"/>
      <c r="DZ35" s="272"/>
      <c r="EA35" s="273" t="s">
        <v>23</v>
      </c>
      <c r="EB35" s="160"/>
      <c r="EC35" s="160"/>
      <c r="ED35" s="274"/>
      <c r="EE35" s="273" t="s">
        <v>24</v>
      </c>
      <c r="EF35" s="160"/>
      <c r="EG35" s="160"/>
      <c r="EH35" s="274"/>
    </row>
    <row r="36" ht="16.35" spans="2:138">
      <c r="B36" s="7"/>
      <c r="C36" s="18">
        <v>4</v>
      </c>
      <c r="D36" s="18">
        <v>1</v>
      </c>
      <c r="E36" s="9"/>
      <c r="F36" s="9">
        <v>47</v>
      </c>
      <c r="G36" s="9"/>
      <c r="H36" s="19"/>
      <c r="I36" s="9"/>
      <c r="J36" s="9"/>
      <c r="K36" s="9"/>
      <c r="L36" s="10"/>
      <c r="M36" s="39">
        <f>AI64-AI104</f>
        <v>47</v>
      </c>
      <c r="N36" s="35"/>
      <c r="O36" s="35"/>
      <c r="P36" s="35"/>
      <c r="Q36" s="57"/>
      <c r="U36" s="53"/>
      <c r="V36" s="54"/>
      <c r="W36" s="11">
        <v>10</v>
      </c>
      <c r="X36" s="55" t="e">
        <f t="shared" si="17"/>
        <v>#DIV/0!</v>
      </c>
      <c r="Y36" s="118">
        <f t="shared" si="17"/>
        <v>0</v>
      </c>
      <c r="Z36" s="119" t="e">
        <f t="shared" si="17"/>
        <v>#DIV/0!</v>
      </c>
      <c r="AA36" s="120" t="e">
        <f t="shared" si="18"/>
        <v>#DIV/0!</v>
      </c>
      <c r="AB36" s="121" t="e">
        <f t="shared" si="19"/>
        <v>#DIV/0!</v>
      </c>
      <c r="AC36" s="121">
        <f t="shared" si="20"/>
        <v>0</v>
      </c>
      <c r="AD36" s="122">
        <f t="shared" si="21"/>
        <v>0</v>
      </c>
      <c r="AE36" s="123" t="e">
        <f t="shared" si="22"/>
        <v>#DIV/0!</v>
      </c>
      <c r="AF36" s="124" t="e">
        <f t="shared" si="22"/>
        <v>#DIV/0!</v>
      </c>
      <c r="AG36" s="158" t="e">
        <f t="shared" si="22"/>
        <v>#DIV/0!</v>
      </c>
      <c r="AI36" s="11" t="s">
        <v>40</v>
      </c>
      <c r="AJ36" s="163"/>
      <c r="AK36" s="164">
        <f>IF(AM36=0,CJ72,IF(AM36=1,CK72-CJ72,IF(AM36=2,CL72-CK72,IF(AM36=3,CM72-CL72,IF(AM36=4,CN72-CM72,0)))))</f>
        <v>130000</v>
      </c>
      <c r="AL36" s="42" t="s">
        <v>308</v>
      </c>
      <c r="AM36" s="65">
        <f>INT(第十四期!DV28)</f>
        <v>2</v>
      </c>
      <c r="AN36" s="126"/>
      <c r="AR36" s="185">
        <v>4</v>
      </c>
      <c r="AS36" s="186" t="str">
        <f t="shared" si="28"/>
        <v/>
      </c>
      <c r="AT36" s="187" t="str">
        <f t="shared" si="28"/>
        <v/>
      </c>
      <c r="AU36" s="187" t="str">
        <f t="shared" si="28"/>
        <v/>
      </c>
      <c r="AV36" s="188" t="str">
        <f t="shared" si="28"/>
        <v/>
      </c>
      <c r="AW36" s="186" t="str">
        <f t="shared" si="28"/>
        <v/>
      </c>
      <c r="AX36" s="187" t="str">
        <f t="shared" si="28"/>
        <v/>
      </c>
      <c r="AY36" s="187" t="str">
        <f t="shared" si="28"/>
        <v/>
      </c>
      <c r="AZ36" s="188" t="str">
        <f t="shared" si="28"/>
        <v/>
      </c>
      <c r="BA36" s="186" t="str">
        <f t="shared" si="28"/>
        <v/>
      </c>
      <c r="BB36" s="187" t="str">
        <f t="shared" si="28"/>
        <v/>
      </c>
      <c r="BC36" s="187" t="str">
        <f t="shared" si="28"/>
        <v/>
      </c>
      <c r="BD36" s="188" t="str">
        <f t="shared" si="28"/>
        <v/>
      </c>
      <c r="BE36" s="186" t="str">
        <f t="shared" si="28"/>
        <v/>
      </c>
      <c r="BF36" s="187" t="str">
        <f t="shared" si="28"/>
        <v/>
      </c>
      <c r="BG36" s="187" t="str">
        <f t="shared" si="28"/>
        <v/>
      </c>
      <c r="BH36" s="188" t="str">
        <f t="shared" si="28"/>
        <v/>
      </c>
      <c r="CA36" s="213"/>
      <c r="CB36" s="220"/>
      <c r="CC36" s="220"/>
      <c r="CD36" s="220"/>
      <c r="CE36" s="220"/>
      <c r="CF36" s="220"/>
      <c r="CG36" s="225"/>
      <c r="CH36" s="225"/>
      <c r="CI36" s="196" t="s">
        <v>58</v>
      </c>
      <c r="CJ36" s="231">
        <f t="shared" si="30"/>
        <v>0.458189978945119</v>
      </c>
      <c r="CK36" s="231">
        <f t="shared" si="30"/>
        <v>0.346835551445356</v>
      </c>
      <c r="CL36" s="231">
        <f t="shared" si="30"/>
        <v>0.330808490782113</v>
      </c>
      <c r="CM36" s="231">
        <f t="shared" si="30"/>
        <v>0.374868198237139</v>
      </c>
      <c r="CN36" s="215"/>
      <c r="CO36" s="239"/>
      <c r="CR36" s="2" t="s">
        <v>39</v>
      </c>
      <c r="CS36" s="2">
        <f>比赛参数!$E$28</f>
        <v>1200</v>
      </c>
      <c r="CT36" s="2">
        <f>比赛参数!$E$28</f>
        <v>1200</v>
      </c>
      <c r="CU36" s="2">
        <f>比赛参数!$E$28</f>
        <v>1200</v>
      </c>
      <c r="CV36" s="2">
        <f>比赛参数!$E$28</f>
        <v>1200</v>
      </c>
      <c r="CZ36" s="2">
        <f t="shared" si="32"/>
        <v>0.165121169778832</v>
      </c>
      <c r="DA36" s="2">
        <f t="shared" si="32"/>
        <v>0.183359853208905</v>
      </c>
      <c r="DB36" s="2">
        <f t="shared" si="32"/>
        <v>0.176770460181868</v>
      </c>
      <c r="DC36" s="2">
        <f t="shared" si="32"/>
        <v>0.180527106377168</v>
      </c>
      <c r="DD36" s="2">
        <f>SUMPRODUCT(CZ36:DC36,BS15:BV15)/SUM(BS15:BV15)</f>
        <v>0.176903225995268</v>
      </c>
      <c r="DG36" s="2">
        <f t="shared" si="33"/>
        <v>0.822094691535151</v>
      </c>
      <c r="DH36" s="2">
        <f t="shared" si="33"/>
        <v>0.822094691535151</v>
      </c>
      <c r="DI36" s="2">
        <f t="shared" si="33"/>
        <v>0.782903663500678</v>
      </c>
      <c r="DJ36" s="2">
        <f t="shared" si="33"/>
        <v>0.804613297150611</v>
      </c>
      <c r="DK36" s="2">
        <f>SUMPRODUCT(DG36:DJ36,BS15:BV15)/SUM(BS15:BV15)</f>
        <v>0.804978859260952</v>
      </c>
      <c r="DS36" s="174" t="s">
        <v>55</v>
      </c>
      <c r="DT36" s="174" t="s">
        <v>56</v>
      </c>
      <c r="DU36" s="174" t="s">
        <v>57</v>
      </c>
      <c r="DV36" s="174" t="s">
        <v>58</v>
      </c>
      <c r="DW36" s="174" t="s">
        <v>55</v>
      </c>
      <c r="DX36" s="174" t="s">
        <v>56</v>
      </c>
      <c r="DY36" s="174" t="s">
        <v>57</v>
      </c>
      <c r="DZ36" s="174" t="s">
        <v>58</v>
      </c>
      <c r="EA36" s="174" t="s">
        <v>55</v>
      </c>
      <c r="EB36" s="174" t="s">
        <v>56</v>
      </c>
      <c r="EC36" s="174" t="s">
        <v>57</v>
      </c>
      <c r="ED36" s="174" t="s">
        <v>58</v>
      </c>
      <c r="EE36" s="174" t="s">
        <v>55</v>
      </c>
      <c r="EF36" s="174" t="s">
        <v>56</v>
      </c>
      <c r="EG36" s="174" t="s">
        <v>57</v>
      </c>
      <c r="EH36" s="174" t="s">
        <v>58</v>
      </c>
    </row>
    <row r="37" ht="17.1" spans="2:138">
      <c r="B37" s="7"/>
      <c r="C37" s="18">
        <v>4</v>
      </c>
      <c r="D37" s="18">
        <v>2</v>
      </c>
      <c r="E37" s="9"/>
      <c r="F37" s="9">
        <v>46</v>
      </c>
      <c r="G37" s="9"/>
      <c r="H37" s="19"/>
      <c r="I37" s="9"/>
      <c r="J37" s="9"/>
      <c r="K37" s="9"/>
      <c r="L37" s="10"/>
      <c r="M37" s="39">
        <f>AI65-AI105</f>
        <v>47</v>
      </c>
      <c r="N37" s="35"/>
      <c r="O37" s="35"/>
      <c r="P37" s="35"/>
      <c r="Q37" s="57"/>
      <c r="U37" s="53"/>
      <c r="V37" s="54"/>
      <c r="W37" s="11">
        <v>11</v>
      </c>
      <c r="X37" s="55" t="e">
        <f t="shared" si="17"/>
        <v>#DIV/0!</v>
      </c>
      <c r="Y37" s="118">
        <f t="shared" si="17"/>
        <v>0</v>
      </c>
      <c r="Z37" s="119" t="e">
        <f t="shared" si="17"/>
        <v>#DIV/0!</v>
      </c>
      <c r="AA37" s="120" t="e">
        <f t="shared" si="18"/>
        <v>#DIV/0!</v>
      </c>
      <c r="AB37" s="121" t="e">
        <f t="shared" si="19"/>
        <v>#DIV/0!</v>
      </c>
      <c r="AC37" s="121">
        <f t="shared" si="20"/>
        <v>0</v>
      </c>
      <c r="AD37" s="122">
        <f t="shared" si="21"/>
        <v>0</v>
      </c>
      <c r="AE37" s="123" t="e">
        <f t="shared" si="22"/>
        <v>#DIV/0!</v>
      </c>
      <c r="AF37" s="124" t="e">
        <f t="shared" si="22"/>
        <v>#DIV/0!</v>
      </c>
      <c r="AG37" s="158" t="e">
        <f t="shared" si="22"/>
        <v>#DIV/0!</v>
      </c>
      <c r="AI37" s="11" t="s">
        <v>41</v>
      </c>
      <c r="AJ37" s="163"/>
      <c r="AK37" s="164">
        <f>IF(AM37=0,CJ73,IF(AM37=1,CK73-CJ73,IF(AM37=2,CL73-CK73,IF(AM37=3,CM73-CL73,IF(AM37=4,CN73-CM73,0)))))</f>
        <v>100000</v>
      </c>
      <c r="AL37" s="154">
        <f>SUM(AJ34:AJ37)</f>
        <v>0</v>
      </c>
      <c r="AM37" s="65">
        <f>INT(第十四期!DV29)</f>
        <v>2</v>
      </c>
      <c r="AN37" s="126"/>
      <c r="AR37" s="185">
        <v>5</v>
      </c>
      <c r="AS37" s="186" t="str">
        <f t="shared" si="28"/>
        <v/>
      </c>
      <c r="AT37" s="187" t="str">
        <f t="shared" si="28"/>
        <v/>
      </c>
      <c r="AU37" s="187" t="str">
        <f t="shared" si="28"/>
        <v/>
      </c>
      <c r="AV37" s="188" t="str">
        <f t="shared" si="28"/>
        <v/>
      </c>
      <c r="AW37" s="186" t="str">
        <f t="shared" si="28"/>
        <v/>
      </c>
      <c r="AX37" s="187" t="str">
        <f t="shared" si="28"/>
        <v/>
      </c>
      <c r="AY37" s="187" t="str">
        <f t="shared" si="28"/>
        <v/>
      </c>
      <c r="AZ37" s="188" t="str">
        <f t="shared" si="28"/>
        <v/>
      </c>
      <c r="BA37" s="186" t="str">
        <f t="shared" si="28"/>
        <v/>
      </c>
      <c r="BB37" s="187" t="str">
        <f t="shared" si="28"/>
        <v/>
      </c>
      <c r="BC37" s="187" t="str">
        <f t="shared" si="28"/>
        <v/>
      </c>
      <c r="BD37" s="188" t="str">
        <f t="shared" si="28"/>
        <v/>
      </c>
      <c r="BE37" s="186" t="str">
        <f t="shared" si="28"/>
        <v/>
      </c>
      <c r="BF37" s="187" t="str">
        <f t="shared" si="28"/>
        <v/>
      </c>
      <c r="BG37" s="187" t="str">
        <f t="shared" si="28"/>
        <v/>
      </c>
      <c r="BH37" s="188" t="str">
        <f t="shared" si="28"/>
        <v/>
      </c>
      <c r="CA37" s="213"/>
      <c r="CB37" s="214" t="s">
        <v>309</v>
      </c>
      <c r="CC37" s="233" t="s">
        <v>38</v>
      </c>
      <c r="CD37" s="233" t="s">
        <v>39</v>
      </c>
      <c r="CE37" s="233" t="s">
        <v>40</v>
      </c>
      <c r="CF37" s="233" t="s">
        <v>41</v>
      </c>
      <c r="CG37" s="234"/>
      <c r="CH37" s="225"/>
      <c r="CI37" s="219"/>
      <c r="CJ37" s="219"/>
      <c r="CK37" s="219"/>
      <c r="CL37" s="219"/>
      <c r="CM37" s="219"/>
      <c r="CN37" s="215"/>
      <c r="CO37" s="239"/>
      <c r="CR37" s="2" t="s">
        <v>40</v>
      </c>
      <c r="CS37" s="2">
        <f>比赛参数!$F$28</f>
        <v>2200</v>
      </c>
      <c r="CT37" s="2">
        <f>比赛参数!$F$28</f>
        <v>2200</v>
      </c>
      <c r="CU37" s="2">
        <f>比赛参数!$F$28</f>
        <v>2200</v>
      </c>
      <c r="CV37" s="2">
        <f>比赛参数!$F$28</f>
        <v>2200</v>
      </c>
      <c r="CZ37" s="2">
        <f t="shared" si="32"/>
        <v>0.262386048355133</v>
      </c>
      <c r="DA37" s="2">
        <f t="shared" si="32"/>
        <v>0.280865438751709</v>
      </c>
      <c r="DB37" s="2">
        <f t="shared" si="32"/>
        <v>0.271013308428672</v>
      </c>
      <c r="DC37" s="2">
        <f t="shared" si="32"/>
        <v>0.263026623615166</v>
      </c>
      <c r="DD37" s="2">
        <f>SUMPRODUCT(CZ37:DC37,BS16:BV16)/SUM(BS16:BV16)</f>
        <v>0.268836924130677</v>
      </c>
      <c r="DG37" s="2">
        <f t="shared" si="33"/>
        <v>1.04849498327759</v>
      </c>
      <c r="DH37" s="2">
        <f t="shared" si="33"/>
        <v>1.04849498327759</v>
      </c>
      <c r="DI37" s="2">
        <f t="shared" si="33"/>
        <v>1.00638850069874</v>
      </c>
      <c r="DJ37" s="2">
        <f t="shared" si="33"/>
        <v>1.00638850069874</v>
      </c>
      <c r="DK37" s="2">
        <f>SUMPRODUCT(DG37:DJ37,BS16:BV16)/SUM(BS16:BV16)</f>
        <v>1.0229993149271</v>
      </c>
      <c r="DS37" s="37">
        <f t="shared" ref="DS37:EH37" si="34">IF($C$50=$S$47,D73,0)+IF($C$51=$S$47,D74,0)+IF($C$52=$S$47,D75,0)+IF($C$53=$S$47,D76,0)+IF($C$54=$S$47,D77,0)+IF($C$55=$S$47,D78,0)+IF($C$56=$S$47,D79,0)+IF($C$57=$S$47,D80,0)+IF($C$58=$S$47,D81,0)+IF($C$59=$S$47,D82,0)+IF($C$60=$S$47,D83,0)+IF($C$61=$S$47,D84,0)+IF($C$62=$S$47,D85,0)+IF($C$63=$S$47,D86,0)+IF($C$64=$S$47,D87,0)+IF($C$65=$S$47,D88,0)+IF($C$66=$S$47,D89,0)+IF($C$67=$S$47,D90,0)+IF($C$68=$S$47,D91,0)+IF($C$69=$S$47,D92,0)</f>
        <v>0</v>
      </c>
      <c r="DT37" s="37">
        <f t="shared" si="34"/>
        <v>0</v>
      </c>
      <c r="DU37" s="37">
        <f t="shared" si="34"/>
        <v>0</v>
      </c>
      <c r="DV37" s="37">
        <f t="shared" si="34"/>
        <v>0</v>
      </c>
      <c r="DW37" s="37">
        <f t="shared" si="34"/>
        <v>0</v>
      </c>
      <c r="DX37" s="37">
        <f t="shared" si="34"/>
        <v>0</v>
      </c>
      <c r="DY37" s="37">
        <f t="shared" si="34"/>
        <v>0</v>
      </c>
      <c r="DZ37" s="37">
        <f t="shared" si="34"/>
        <v>0</v>
      </c>
      <c r="EA37" s="37">
        <f t="shared" si="34"/>
        <v>0</v>
      </c>
      <c r="EB37" s="37">
        <f t="shared" si="34"/>
        <v>0</v>
      </c>
      <c r="EC37" s="37">
        <f t="shared" si="34"/>
        <v>0</v>
      </c>
      <c r="ED37" s="37">
        <f t="shared" si="34"/>
        <v>0</v>
      </c>
      <c r="EE37" s="37">
        <f t="shared" si="34"/>
        <v>0</v>
      </c>
      <c r="EF37" s="37">
        <f t="shared" si="34"/>
        <v>0</v>
      </c>
      <c r="EG37" s="37">
        <f t="shared" si="34"/>
        <v>0</v>
      </c>
      <c r="EH37" s="37">
        <f t="shared" si="34"/>
        <v>0</v>
      </c>
    </row>
    <row r="38" ht="17.1" spans="2:115">
      <c r="B38" s="7"/>
      <c r="C38" s="18">
        <v>4</v>
      </c>
      <c r="D38" s="18">
        <v>3</v>
      </c>
      <c r="E38" s="9"/>
      <c r="F38" s="9">
        <v>61</v>
      </c>
      <c r="G38" s="9"/>
      <c r="H38" s="19"/>
      <c r="I38" s="9"/>
      <c r="J38" s="9"/>
      <c r="K38" s="9"/>
      <c r="L38" s="10"/>
      <c r="M38" s="39">
        <f>AI66-AI106</f>
        <v>72</v>
      </c>
      <c r="N38" s="35"/>
      <c r="O38" s="35"/>
      <c r="P38" s="35"/>
      <c r="Q38" s="57"/>
      <c r="U38" s="53"/>
      <c r="V38" s="54"/>
      <c r="W38" s="11">
        <v>12</v>
      </c>
      <c r="X38" s="55" t="e">
        <f t="shared" si="17"/>
        <v>#DIV/0!</v>
      </c>
      <c r="Y38" s="118">
        <f t="shared" si="17"/>
        <v>0</v>
      </c>
      <c r="Z38" s="119" t="e">
        <f t="shared" si="17"/>
        <v>#DIV/0!</v>
      </c>
      <c r="AA38" s="120" t="e">
        <f t="shared" si="18"/>
        <v>#DIV/0!</v>
      </c>
      <c r="AB38" s="121" t="e">
        <f t="shared" si="19"/>
        <v>#DIV/0!</v>
      </c>
      <c r="AC38" s="121">
        <f t="shared" si="20"/>
        <v>0</v>
      </c>
      <c r="AD38" s="122">
        <f t="shared" si="21"/>
        <v>0</v>
      </c>
      <c r="AE38" s="123" t="e">
        <f t="shared" si="22"/>
        <v>#DIV/0!</v>
      </c>
      <c r="AF38" s="124" t="e">
        <f t="shared" si="22"/>
        <v>#DIV/0!</v>
      </c>
      <c r="AG38" s="158" t="e">
        <f t="shared" si="22"/>
        <v>#DIV/0!</v>
      </c>
      <c r="AI38" s="48"/>
      <c r="AJ38" s="48"/>
      <c r="AK38" s="48"/>
      <c r="AL38" s="48"/>
      <c r="AM38" s="48"/>
      <c r="AN38" s="48"/>
      <c r="AR38" s="185">
        <v>6</v>
      </c>
      <c r="AS38" s="186" t="str">
        <f t="shared" si="28"/>
        <v/>
      </c>
      <c r="AT38" s="187" t="str">
        <f t="shared" si="28"/>
        <v/>
      </c>
      <c r="AU38" s="187" t="str">
        <f t="shared" si="28"/>
        <v/>
      </c>
      <c r="AV38" s="188" t="str">
        <f t="shared" si="28"/>
        <v/>
      </c>
      <c r="AW38" s="186" t="str">
        <f t="shared" si="28"/>
        <v/>
      </c>
      <c r="AX38" s="187" t="str">
        <f t="shared" si="28"/>
        <v/>
      </c>
      <c r="AY38" s="187" t="str">
        <f t="shared" si="28"/>
        <v/>
      </c>
      <c r="AZ38" s="188" t="str">
        <f t="shared" si="28"/>
        <v/>
      </c>
      <c r="BA38" s="186" t="str">
        <f t="shared" si="28"/>
        <v/>
      </c>
      <c r="BB38" s="187" t="str">
        <f t="shared" si="28"/>
        <v/>
      </c>
      <c r="BC38" s="187" t="str">
        <f t="shared" si="28"/>
        <v/>
      </c>
      <c r="BD38" s="188" t="str">
        <f t="shared" si="28"/>
        <v/>
      </c>
      <c r="BE38" s="186" t="str">
        <f t="shared" si="28"/>
        <v/>
      </c>
      <c r="BF38" s="187" t="str">
        <f t="shared" si="28"/>
        <v/>
      </c>
      <c r="BG38" s="187" t="str">
        <f t="shared" si="28"/>
        <v/>
      </c>
      <c r="BH38" s="188" t="str">
        <f t="shared" si="28"/>
        <v/>
      </c>
      <c r="CA38" s="213"/>
      <c r="CB38" s="197" t="s">
        <v>55</v>
      </c>
      <c r="CC38" s="108">
        <f>第十四期!DG56*第十四期!DG50+第十四期!DG64*第十四期!Y88</f>
        <v>13548</v>
      </c>
      <c r="CD38" s="108">
        <f>第十四期!DH56*第十四期!DH50+第十四期!DH64*第十四期!Z88</f>
        <v>64650</v>
      </c>
      <c r="CE38" s="108">
        <f>第十四期!DI56*第十四期!DI50+第十四期!DI64*第十四期!AA88</f>
        <v>41430</v>
      </c>
      <c r="CF38" s="108">
        <f>第十四期!DJ56*第十四期!DJ50+第十四期!DJ64*第十四期!AB88</f>
        <v>54406</v>
      </c>
      <c r="CG38" s="234"/>
      <c r="CH38" s="225"/>
      <c r="CI38" s="219"/>
      <c r="CJ38" s="219"/>
      <c r="CK38" s="219"/>
      <c r="CL38" s="219"/>
      <c r="CM38" s="219"/>
      <c r="CN38" s="215"/>
      <c r="CO38" s="239"/>
      <c r="CR38" s="2" t="s">
        <v>41</v>
      </c>
      <c r="CS38" s="2">
        <f>比赛参数!$G$28</f>
        <v>3200</v>
      </c>
      <c r="CT38" s="2">
        <f>比赛参数!$G$28</f>
        <v>3200</v>
      </c>
      <c r="CU38" s="2">
        <f>比赛参数!$G$28</f>
        <v>3200</v>
      </c>
      <c r="CV38" s="2">
        <f>比赛参数!$G$28</f>
        <v>3200</v>
      </c>
      <c r="CZ38" s="2">
        <f t="shared" si="32"/>
        <v>0.266379816154899</v>
      </c>
      <c r="DA38" s="2">
        <f t="shared" si="32"/>
        <v>0.28370340999207</v>
      </c>
      <c r="DB38" s="2">
        <f t="shared" si="32"/>
        <v>0.279716257668712</v>
      </c>
      <c r="DC38" s="2">
        <f t="shared" si="32"/>
        <v>0.287922152261019</v>
      </c>
      <c r="DD38" s="2">
        <f>SUMPRODUCT(CZ38:DC38,BS17:BV17)/SUM(BS17:BV17)</f>
        <v>0.280378388943444</v>
      </c>
      <c r="DG38" s="2">
        <f t="shared" si="33"/>
        <v>1.10329706025662</v>
      </c>
      <c r="DH38" s="2">
        <f t="shared" si="33"/>
        <v>1.10329706025662</v>
      </c>
      <c r="DI38" s="2">
        <f t="shared" si="33"/>
        <v>1.06752361777915</v>
      </c>
      <c r="DJ38" s="2">
        <f t="shared" si="33"/>
        <v>1.09075422022611</v>
      </c>
      <c r="DK38" s="2">
        <f>SUMPRODUCT(DG38:DJ38,BS17:BV17)/SUM(BS17:BV17)</f>
        <v>1.0886089103742</v>
      </c>
    </row>
    <row r="39" ht="17.1" spans="2:93">
      <c r="B39" s="7"/>
      <c r="C39" s="18">
        <v>4</v>
      </c>
      <c r="D39" s="18">
        <v>4</v>
      </c>
      <c r="E39" s="9"/>
      <c r="F39" s="9">
        <v>61</v>
      </c>
      <c r="G39" s="9"/>
      <c r="H39" s="19"/>
      <c r="I39" s="9"/>
      <c r="J39" s="9"/>
      <c r="K39" s="9"/>
      <c r="L39" s="10"/>
      <c r="M39" s="39">
        <f>AI67-AI107</f>
        <v>72</v>
      </c>
      <c r="N39" s="35"/>
      <c r="O39" s="35"/>
      <c r="P39" s="35"/>
      <c r="Q39" s="57"/>
      <c r="U39" s="53"/>
      <c r="V39" s="54"/>
      <c r="W39" s="11">
        <v>13</v>
      </c>
      <c r="X39" s="55" t="e">
        <f t="shared" si="17"/>
        <v>#DIV/0!</v>
      </c>
      <c r="Y39" s="118">
        <f t="shared" si="17"/>
        <v>0</v>
      </c>
      <c r="Z39" s="119" t="e">
        <f t="shared" si="17"/>
        <v>#DIV/0!</v>
      </c>
      <c r="AA39" s="120" t="e">
        <f t="shared" si="18"/>
        <v>#DIV/0!</v>
      </c>
      <c r="AB39" s="121" t="e">
        <f t="shared" si="19"/>
        <v>#DIV/0!</v>
      </c>
      <c r="AC39" s="121">
        <f t="shared" si="20"/>
        <v>0</v>
      </c>
      <c r="AD39" s="122">
        <f t="shared" si="21"/>
        <v>0</v>
      </c>
      <c r="AE39" s="123" t="e">
        <f t="shared" si="22"/>
        <v>#DIV/0!</v>
      </c>
      <c r="AF39" s="124" t="e">
        <f t="shared" si="22"/>
        <v>#DIV/0!</v>
      </c>
      <c r="AG39" s="158" t="e">
        <f t="shared" si="22"/>
        <v>#DIV/0!</v>
      </c>
      <c r="AI39" s="63" t="s">
        <v>44</v>
      </c>
      <c r="AJ39" s="59" t="s">
        <v>45</v>
      </c>
      <c r="AK39" s="59" t="s">
        <v>46</v>
      </c>
      <c r="AL39" s="73" t="s">
        <v>47</v>
      </c>
      <c r="AM39" s="73" t="s">
        <v>48</v>
      </c>
      <c r="AN39" s="73" t="s">
        <v>49</v>
      </c>
      <c r="AR39" s="185">
        <v>7</v>
      </c>
      <c r="AS39" s="186" t="str">
        <f t="shared" si="28"/>
        <v/>
      </c>
      <c r="AT39" s="187" t="str">
        <f t="shared" si="28"/>
        <v/>
      </c>
      <c r="AU39" s="187" t="str">
        <f t="shared" si="28"/>
        <v/>
      </c>
      <c r="AV39" s="188" t="str">
        <f t="shared" si="28"/>
        <v/>
      </c>
      <c r="AW39" s="186" t="str">
        <f t="shared" si="28"/>
        <v/>
      </c>
      <c r="AX39" s="187" t="str">
        <f t="shared" si="28"/>
        <v/>
      </c>
      <c r="AY39" s="187" t="str">
        <f t="shared" si="28"/>
        <v/>
      </c>
      <c r="AZ39" s="188" t="str">
        <f t="shared" si="28"/>
        <v/>
      </c>
      <c r="BA39" s="186" t="str">
        <f t="shared" si="28"/>
        <v/>
      </c>
      <c r="BB39" s="187" t="str">
        <f t="shared" si="28"/>
        <v/>
      </c>
      <c r="BC39" s="187" t="str">
        <f t="shared" si="28"/>
        <v/>
      </c>
      <c r="BD39" s="188" t="str">
        <f t="shared" si="28"/>
        <v/>
      </c>
      <c r="BE39" s="186" t="str">
        <f t="shared" si="28"/>
        <v/>
      </c>
      <c r="BF39" s="187" t="str">
        <f t="shared" si="28"/>
        <v/>
      </c>
      <c r="BG39" s="187" t="str">
        <f t="shared" si="28"/>
        <v/>
      </c>
      <c r="BH39" s="188" t="str">
        <f t="shared" si="28"/>
        <v/>
      </c>
      <c r="CA39" s="213"/>
      <c r="CB39" s="196" t="s">
        <v>56</v>
      </c>
      <c r="CC39" s="108">
        <f>第十四期!DG57*第十四期!DG51+第十四期!DG65*第十四期!Y89</f>
        <v>7127</v>
      </c>
      <c r="CD39" s="108">
        <f>第十四期!DH57*第十四期!DH51+第十四期!DH65*第十四期!Z89</f>
        <v>52350</v>
      </c>
      <c r="CE39" s="108">
        <f>第十四期!DI57*第十四期!DI51+第十四期!DI65*第十四期!AA89</f>
        <v>34670</v>
      </c>
      <c r="CF39" s="108">
        <f>第十四期!DJ57*第十四期!DJ51+第十四期!DJ65*第十四期!AB89</f>
        <v>45144</v>
      </c>
      <c r="CG39" s="234"/>
      <c r="CH39" s="225"/>
      <c r="CI39" s="219"/>
      <c r="CJ39" s="219"/>
      <c r="CK39" s="219"/>
      <c r="CL39" s="219"/>
      <c r="CM39" s="219"/>
      <c r="CN39" s="215"/>
      <c r="CO39" s="239"/>
    </row>
    <row r="40" ht="17.1" spans="3:110">
      <c r="C40" s="15"/>
      <c r="D40" s="15"/>
      <c r="E40" s="15"/>
      <c r="F40" s="15"/>
      <c r="G40" s="15"/>
      <c r="H40" s="15"/>
      <c r="I40" s="15"/>
      <c r="J40" s="15"/>
      <c r="K40" s="15"/>
      <c r="M40" s="30"/>
      <c r="N40" s="35"/>
      <c r="O40" s="35"/>
      <c r="P40" s="35"/>
      <c r="Q40" s="45"/>
      <c r="U40" s="53"/>
      <c r="V40" s="54"/>
      <c r="W40" s="11">
        <v>14</v>
      </c>
      <c r="X40" s="55" t="e">
        <f t="shared" si="17"/>
        <v>#DIV/0!</v>
      </c>
      <c r="Y40" s="118">
        <f t="shared" si="17"/>
        <v>0</v>
      </c>
      <c r="Z40" s="119" t="e">
        <f t="shared" si="17"/>
        <v>#DIV/0!</v>
      </c>
      <c r="AA40" s="120" t="e">
        <f t="shared" si="18"/>
        <v>#DIV/0!</v>
      </c>
      <c r="AB40" s="121" t="e">
        <f t="shared" si="19"/>
        <v>#DIV/0!</v>
      </c>
      <c r="AC40" s="121">
        <f t="shared" si="20"/>
        <v>0</v>
      </c>
      <c r="AD40" s="122">
        <f t="shared" si="21"/>
        <v>0</v>
      </c>
      <c r="AE40" s="123" t="e">
        <f t="shared" si="22"/>
        <v>#DIV/0!</v>
      </c>
      <c r="AF40" s="124" t="e">
        <f t="shared" si="22"/>
        <v>#DIV/0!</v>
      </c>
      <c r="AG40" s="158" t="e">
        <f t="shared" si="22"/>
        <v>#DIV/0!</v>
      </c>
      <c r="AI40" s="64" t="s">
        <v>21</v>
      </c>
      <c r="AJ40" s="166">
        <f>IF($AM$34=1,CJ70+0.0001,比赛参数!D52)</f>
        <v>100000</v>
      </c>
      <c r="AK40" s="166">
        <f>IF($AM$34=2,CK70+0.0001,比赛参数!E52)</f>
        <v>220000</v>
      </c>
      <c r="AL40" s="166">
        <f>IF($AM$34=3,CL70+0.0001,比赛参数!F52)</f>
        <v>350000.0001</v>
      </c>
      <c r="AM40" s="166">
        <f>IF($AM$34=4,CM70+0.0001,比赛参数!G52)</f>
        <v>450000</v>
      </c>
      <c r="AN40" s="166">
        <f>IF($AM$34=5,CN70+0.0001,比赛参数!H52)</f>
        <v>550000</v>
      </c>
      <c r="AR40" s="185">
        <v>8</v>
      </c>
      <c r="AS40" s="186" t="str">
        <f t="shared" si="28"/>
        <v/>
      </c>
      <c r="AT40" s="187" t="str">
        <f t="shared" si="28"/>
        <v/>
      </c>
      <c r="AU40" s="187" t="str">
        <f t="shared" si="28"/>
        <v/>
      </c>
      <c r="AV40" s="188" t="str">
        <f t="shared" si="28"/>
        <v/>
      </c>
      <c r="AW40" s="186" t="str">
        <f t="shared" si="28"/>
        <v/>
      </c>
      <c r="AX40" s="187" t="str">
        <f t="shared" si="28"/>
        <v/>
      </c>
      <c r="AY40" s="187" t="str">
        <f t="shared" si="28"/>
        <v/>
      </c>
      <c r="AZ40" s="188" t="str">
        <f t="shared" si="28"/>
        <v/>
      </c>
      <c r="BA40" s="186" t="str">
        <f t="shared" si="28"/>
        <v/>
      </c>
      <c r="BB40" s="187" t="str">
        <f t="shared" si="28"/>
        <v/>
      </c>
      <c r="BC40" s="187" t="str">
        <f t="shared" si="28"/>
        <v/>
      </c>
      <c r="BD40" s="188" t="str">
        <f t="shared" si="28"/>
        <v/>
      </c>
      <c r="BE40" s="186" t="str">
        <f t="shared" si="28"/>
        <v/>
      </c>
      <c r="BF40" s="187" t="str">
        <f t="shared" si="28"/>
        <v/>
      </c>
      <c r="BG40" s="187" t="str">
        <f t="shared" si="28"/>
        <v/>
      </c>
      <c r="BH40" s="188" t="str">
        <f t="shared" si="28"/>
        <v/>
      </c>
      <c r="CA40" s="213"/>
      <c r="CB40" s="196" t="s">
        <v>57</v>
      </c>
      <c r="CC40" s="108">
        <f>第十四期!DG58*第十四期!DG52+第十四期!DG66*第十四期!Y90</f>
        <v>45900</v>
      </c>
      <c r="CD40" s="108">
        <f>第十四期!DH58*第十四期!DH52+第十四期!DH66*第十四期!Z90</f>
        <v>120000</v>
      </c>
      <c r="CE40" s="108">
        <f>第十四期!DI58*第十四期!DI52+第十四期!DI66*第十四期!AA90</f>
        <v>68800</v>
      </c>
      <c r="CF40" s="108">
        <f>第十四期!DJ58*第十四期!DJ52+第十四期!DJ66*第十四期!AB90</f>
        <v>94000</v>
      </c>
      <c r="CG40" s="235"/>
      <c r="CH40" s="225"/>
      <c r="CI40" s="219"/>
      <c r="CJ40" s="219"/>
      <c r="CK40" s="219"/>
      <c r="CL40" s="219"/>
      <c r="CM40" s="219"/>
      <c r="CN40" s="215"/>
      <c r="CO40" s="239"/>
      <c r="CR40" s="2" t="s">
        <v>310</v>
      </c>
      <c r="CS40" s="2" t="s">
        <v>55</v>
      </c>
      <c r="CT40" s="2" t="s">
        <v>56</v>
      </c>
      <c r="CU40" s="2" t="s">
        <v>57</v>
      </c>
      <c r="CV40" s="2" t="s">
        <v>58</v>
      </c>
      <c r="DF40" s="2" t="s">
        <v>144</v>
      </c>
    </row>
    <row r="41" ht="16.35" spans="3:115">
      <c r="C41" s="16" t="s">
        <v>156</v>
      </c>
      <c r="D41" s="17" t="s">
        <v>151</v>
      </c>
      <c r="E41" s="17" t="s">
        <v>311</v>
      </c>
      <c r="F41" s="17" t="s">
        <v>43</v>
      </c>
      <c r="G41" s="17" t="s">
        <v>303</v>
      </c>
      <c r="H41" s="20" t="s">
        <v>113</v>
      </c>
      <c r="I41" s="10"/>
      <c r="M41" s="30"/>
      <c r="N41" s="39" t="s">
        <v>156</v>
      </c>
      <c r="O41" s="39" t="s">
        <v>151</v>
      </c>
      <c r="P41" s="39" t="s">
        <v>311</v>
      </c>
      <c r="Q41" s="45"/>
      <c r="U41" s="53"/>
      <c r="V41" s="54"/>
      <c r="W41" s="11">
        <v>15</v>
      </c>
      <c r="X41" s="55" t="e">
        <f t="shared" si="17"/>
        <v>#DIV/0!</v>
      </c>
      <c r="Y41" s="118">
        <f t="shared" si="17"/>
        <v>0</v>
      </c>
      <c r="Z41" s="119" t="e">
        <f t="shared" si="17"/>
        <v>#DIV/0!</v>
      </c>
      <c r="AA41" s="120" t="e">
        <f t="shared" si="18"/>
        <v>#DIV/0!</v>
      </c>
      <c r="AB41" s="121" t="e">
        <f t="shared" si="19"/>
        <v>#DIV/0!</v>
      </c>
      <c r="AC41" s="121">
        <f t="shared" si="20"/>
        <v>0</v>
      </c>
      <c r="AD41" s="122">
        <f t="shared" si="21"/>
        <v>0</v>
      </c>
      <c r="AE41" s="123" t="e">
        <f t="shared" si="22"/>
        <v>#DIV/0!</v>
      </c>
      <c r="AF41" s="124" t="e">
        <f t="shared" si="22"/>
        <v>#DIV/0!</v>
      </c>
      <c r="AG41" s="158" t="e">
        <f t="shared" si="22"/>
        <v>#DIV/0!</v>
      </c>
      <c r="AI41" s="11" t="s">
        <v>22</v>
      </c>
      <c r="AJ41" s="166">
        <f>IF($AM$35=1,CJ71+0.0001,比赛参数!D53)</f>
        <v>200000</v>
      </c>
      <c r="AK41" s="166">
        <f>IF($AM$35=2,CK71+0.0001,比赛参数!E53)</f>
        <v>350000</v>
      </c>
      <c r="AL41" s="166">
        <f>IF($AM$35=3,CL71+0.0001,比赛参数!F53)</f>
        <v>500000.0001</v>
      </c>
      <c r="AM41" s="166">
        <f>IF($AM$35=4,CM71+0.0001,比赛参数!G53)</f>
        <v>650000</v>
      </c>
      <c r="AN41" s="166">
        <f>IF($AM$35=5,CN71+0.0001,比赛参数!H53)</f>
        <v>700000</v>
      </c>
      <c r="AR41" s="185">
        <v>9</v>
      </c>
      <c r="AS41" s="186" t="str">
        <f t="shared" si="28"/>
        <v/>
      </c>
      <c r="AT41" s="187" t="str">
        <f t="shared" si="28"/>
        <v/>
      </c>
      <c r="AU41" s="187" t="str">
        <f t="shared" si="28"/>
        <v/>
      </c>
      <c r="AV41" s="188" t="str">
        <f t="shared" si="28"/>
        <v/>
      </c>
      <c r="AW41" s="186" t="str">
        <f t="shared" si="28"/>
        <v/>
      </c>
      <c r="AX41" s="187" t="str">
        <f t="shared" si="28"/>
        <v/>
      </c>
      <c r="AY41" s="187" t="str">
        <f t="shared" si="28"/>
        <v/>
      </c>
      <c r="AZ41" s="188" t="str">
        <f t="shared" si="28"/>
        <v/>
      </c>
      <c r="BA41" s="186" t="str">
        <f t="shared" si="28"/>
        <v/>
      </c>
      <c r="BB41" s="187" t="str">
        <f t="shared" si="28"/>
        <v/>
      </c>
      <c r="BC41" s="187" t="str">
        <f t="shared" si="28"/>
        <v/>
      </c>
      <c r="BD41" s="188" t="str">
        <f t="shared" si="28"/>
        <v/>
      </c>
      <c r="BE41" s="186" t="str">
        <f t="shared" si="28"/>
        <v/>
      </c>
      <c r="BF41" s="187" t="str">
        <f t="shared" si="28"/>
        <v/>
      </c>
      <c r="BG41" s="187" t="str">
        <f t="shared" si="28"/>
        <v/>
      </c>
      <c r="BH41" s="188" t="str">
        <f t="shared" si="28"/>
        <v/>
      </c>
      <c r="CA41" s="213"/>
      <c r="CB41" s="196" t="s">
        <v>58</v>
      </c>
      <c r="CC41" s="108">
        <f>第十四期!DG59*第十四期!DG53+第十四期!DG67*第十四期!Y91</f>
        <v>57250</v>
      </c>
      <c r="CD41" s="108">
        <f>第十四期!DH59*第十四期!DH53+第十四期!DH67*第十四期!Z91</f>
        <v>130000</v>
      </c>
      <c r="CE41" s="108">
        <f>第十四期!DI59*第十四期!DI53+第十四期!DI67*第十四期!AA91</f>
        <v>73100</v>
      </c>
      <c r="CF41" s="108">
        <f>第十四期!DJ59*第十四期!DJ53+第十四期!DJ67*第十四期!AB91</f>
        <v>99300</v>
      </c>
      <c r="CG41" s="108" t="s">
        <v>312</v>
      </c>
      <c r="CH41" s="225"/>
      <c r="CI41" s="219"/>
      <c r="CJ41" s="219"/>
      <c r="CK41" s="219"/>
      <c r="CL41" s="219"/>
      <c r="CM41" s="219"/>
      <c r="CN41" s="215"/>
      <c r="CO41" s="239"/>
      <c r="CR41" s="2" t="s">
        <v>38</v>
      </c>
      <c r="CS41" s="2">
        <f>比赛参数!D13</f>
        <v>83</v>
      </c>
      <c r="CT41" s="2">
        <f>比赛参数!E13</f>
        <v>42</v>
      </c>
      <c r="CU41" s="2">
        <f>比赛参数!F13</f>
        <v>200</v>
      </c>
      <c r="CV41" s="2">
        <f>比赛参数!G13</f>
        <v>250</v>
      </c>
      <c r="DG41" s="2">
        <f t="shared" ref="DG41:DJ44" si="35">DG17/CS23</f>
        <v>18.505</v>
      </c>
      <c r="DH41" s="2">
        <f t="shared" si="35"/>
        <v>18.505</v>
      </c>
      <c r="DI41" s="2">
        <f t="shared" si="35"/>
        <v>20.13</v>
      </c>
      <c r="DJ41" s="2">
        <f t="shared" si="35"/>
        <v>20.13</v>
      </c>
      <c r="DK41" s="2">
        <f>SUMPRODUCT(DG41:DJ41,BS14:BV14)/SUM(BS14:BV14)</f>
        <v>19.480933908046</v>
      </c>
    </row>
    <row r="42" ht="15.6" spans="2:115">
      <c r="B42" s="7"/>
      <c r="C42" s="18" t="s">
        <v>287</v>
      </c>
      <c r="D42" s="9">
        <v>164</v>
      </c>
      <c r="E42" s="9">
        <v>0</v>
      </c>
      <c r="F42" s="14">
        <v>350000</v>
      </c>
      <c r="G42" s="9">
        <v>3</v>
      </c>
      <c r="H42" s="9">
        <v>0.95</v>
      </c>
      <c r="I42" s="10"/>
      <c r="M42" s="30"/>
      <c r="N42" s="39" t="s">
        <v>287</v>
      </c>
      <c r="O42" s="39">
        <f>AO4</f>
        <v>178</v>
      </c>
      <c r="P42" s="39">
        <f>AJ34</f>
        <v>0</v>
      </c>
      <c r="Q42" s="45"/>
      <c r="U42" s="53"/>
      <c r="V42" s="54"/>
      <c r="W42" s="11">
        <v>16</v>
      </c>
      <c r="X42" s="55" t="e">
        <f t="shared" si="17"/>
        <v>#DIV/0!</v>
      </c>
      <c r="Y42" s="118">
        <f t="shared" si="17"/>
        <v>0</v>
      </c>
      <c r="Z42" s="119" t="e">
        <f t="shared" si="17"/>
        <v>#DIV/0!</v>
      </c>
      <c r="AA42" s="120" t="e">
        <f t="shared" si="18"/>
        <v>#DIV/0!</v>
      </c>
      <c r="AB42" s="121" t="e">
        <f t="shared" si="19"/>
        <v>#DIV/0!</v>
      </c>
      <c r="AC42" s="121">
        <f t="shared" si="20"/>
        <v>0</v>
      </c>
      <c r="AD42" s="122">
        <f t="shared" si="21"/>
        <v>0</v>
      </c>
      <c r="AE42" s="123" t="e">
        <f t="shared" si="22"/>
        <v>#DIV/0!</v>
      </c>
      <c r="AF42" s="124" t="e">
        <f t="shared" si="22"/>
        <v>#DIV/0!</v>
      </c>
      <c r="AG42" s="158" t="e">
        <f t="shared" si="22"/>
        <v>#DIV/0!</v>
      </c>
      <c r="AI42" s="11" t="s">
        <v>23</v>
      </c>
      <c r="AJ42" s="166">
        <f>IF($AM$36=1,CJ72+0.0001,比赛参数!D54)</f>
        <v>300000</v>
      </c>
      <c r="AK42" s="166">
        <f>IF($AM$36=2,CK72+0.0001,比赛参数!E54)</f>
        <v>450000.0001</v>
      </c>
      <c r="AL42" s="166">
        <f>IF($AM$36=3,CL72+0.0001,比赛参数!F54)</f>
        <v>580000</v>
      </c>
      <c r="AM42" s="166">
        <f>IF($AM$36=4,CM72+0.0001,比赛参数!G54)</f>
        <v>700000</v>
      </c>
      <c r="AN42" s="166">
        <f>IF($AM$36=5,CN72+0.0001,比赛参数!H54)</f>
        <v>800000</v>
      </c>
      <c r="AR42" s="185">
        <v>10</v>
      </c>
      <c r="AS42" s="186" t="str">
        <f t="shared" si="28"/>
        <v/>
      </c>
      <c r="AT42" s="187" t="str">
        <f t="shared" si="28"/>
        <v/>
      </c>
      <c r="AU42" s="187" t="str">
        <f t="shared" si="28"/>
        <v/>
      </c>
      <c r="AV42" s="188" t="str">
        <f t="shared" si="28"/>
        <v/>
      </c>
      <c r="AW42" s="186" t="str">
        <f t="shared" si="28"/>
        <v/>
      </c>
      <c r="AX42" s="187" t="str">
        <f t="shared" si="28"/>
        <v/>
      </c>
      <c r="AY42" s="187" t="str">
        <f t="shared" si="28"/>
        <v/>
      </c>
      <c r="AZ42" s="188" t="str">
        <f t="shared" si="28"/>
        <v/>
      </c>
      <c r="BA42" s="186" t="str">
        <f t="shared" si="28"/>
        <v/>
      </c>
      <c r="BB42" s="187" t="str">
        <f t="shared" si="28"/>
        <v/>
      </c>
      <c r="BC42" s="187" t="str">
        <f t="shared" si="28"/>
        <v/>
      </c>
      <c r="BD42" s="188" t="str">
        <f t="shared" si="28"/>
        <v/>
      </c>
      <c r="BE42" s="186" t="str">
        <f t="shared" si="28"/>
        <v/>
      </c>
      <c r="BF42" s="187" t="str">
        <f t="shared" si="28"/>
        <v/>
      </c>
      <c r="BG42" s="187" t="str">
        <f t="shared" si="28"/>
        <v/>
      </c>
      <c r="BH42" s="188" t="str">
        <f t="shared" si="28"/>
        <v/>
      </c>
      <c r="CA42" s="213"/>
      <c r="CB42" s="98" t="s">
        <v>308</v>
      </c>
      <c r="CC42" s="127">
        <f>SUM(CC38:CC41)</f>
        <v>123825</v>
      </c>
      <c r="CD42" s="127">
        <f>SUM(CD38:CD41)</f>
        <v>367000</v>
      </c>
      <c r="CE42" s="127">
        <f>SUM(CE38:CE41)</f>
        <v>218000</v>
      </c>
      <c r="CF42" s="127">
        <f>SUM(CF38:CF41)</f>
        <v>292850</v>
      </c>
      <c r="CG42" s="108">
        <f>SUM(CC42:CF42)</f>
        <v>1001675</v>
      </c>
      <c r="CH42" s="225"/>
      <c r="CI42" s="219"/>
      <c r="CJ42" s="219"/>
      <c r="CK42" s="219"/>
      <c r="CL42" s="219"/>
      <c r="CM42" s="219"/>
      <c r="CN42" s="215"/>
      <c r="CO42" s="239"/>
      <c r="CR42" s="2" t="s">
        <v>39</v>
      </c>
      <c r="CS42" s="2">
        <f>比赛参数!H13</f>
        <v>467</v>
      </c>
      <c r="CT42" s="2">
        <f>比赛参数!I13</f>
        <v>383</v>
      </c>
      <c r="CU42" s="2">
        <f>比赛参数!J13</f>
        <v>600</v>
      </c>
      <c r="CV42" s="2">
        <f>比赛参数!K13</f>
        <v>650</v>
      </c>
      <c r="DG42" s="2">
        <f t="shared" si="35"/>
        <v>13.94</v>
      </c>
      <c r="DH42" s="2">
        <f t="shared" si="35"/>
        <v>13.94</v>
      </c>
      <c r="DI42" s="2">
        <f t="shared" si="35"/>
        <v>14.74</v>
      </c>
      <c r="DJ42" s="2">
        <f t="shared" si="35"/>
        <v>14.74</v>
      </c>
      <c r="DK42" s="2">
        <f>SUMPRODUCT(DG42:DJ42,BS15:BV15)/SUM(BS15:BV15)</f>
        <v>14.4232214765101</v>
      </c>
    </row>
    <row r="43" ht="16.35" spans="2:115">
      <c r="B43" s="7"/>
      <c r="C43" s="18" t="s">
        <v>288</v>
      </c>
      <c r="D43" s="9">
        <v>134</v>
      </c>
      <c r="E43" s="9">
        <v>0</v>
      </c>
      <c r="F43" s="14">
        <v>500000</v>
      </c>
      <c r="G43" s="9">
        <v>3</v>
      </c>
      <c r="H43" s="9">
        <v>0.95</v>
      </c>
      <c r="I43" s="10"/>
      <c r="M43" s="30"/>
      <c r="N43" s="39" t="s">
        <v>288</v>
      </c>
      <c r="O43" s="39">
        <f>AO5</f>
        <v>154</v>
      </c>
      <c r="P43" s="39">
        <f>AJ35</f>
        <v>0</v>
      </c>
      <c r="Q43" s="45"/>
      <c r="U43" s="53"/>
      <c r="V43" s="54"/>
      <c r="W43" s="11">
        <v>17</v>
      </c>
      <c r="X43" s="55" t="e">
        <f t="shared" si="17"/>
        <v>#DIV/0!</v>
      </c>
      <c r="Y43" s="118">
        <f t="shared" si="17"/>
        <v>0</v>
      </c>
      <c r="Z43" s="119" t="e">
        <f t="shared" si="17"/>
        <v>#DIV/0!</v>
      </c>
      <c r="AA43" s="120" t="e">
        <f t="shared" si="18"/>
        <v>#DIV/0!</v>
      </c>
      <c r="AB43" s="121" t="e">
        <f t="shared" si="19"/>
        <v>#DIV/0!</v>
      </c>
      <c r="AC43" s="121">
        <f t="shared" si="20"/>
        <v>0</v>
      </c>
      <c r="AD43" s="122">
        <f t="shared" si="21"/>
        <v>0</v>
      </c>
      <c r="AE43" s="123" t="e">
        <f t="shared" si="22"/>
        <v>#DIV/0!</v>
      </c>
      <c r="AF43" s="124" t="e">
        <f t="shared" si="22"/>
        <v>#DIV/0!</v>
      </c>
      <c r="AG43" s="158" t="e">
        <f t="shared" si="22"/>
        <v>#DIV/0!</v>
      </c>
      <c r="AI43" s="11" t="s">
        <v>24</v>
      </c>
      <c r="AJ43" s="166">
        <f>IF($AM$37=1,CJ73+0.0001,比赛参数!D55)</f>
        <v>500000</v>
      </c>
      <c r="AK43" s="166">
        <f>IF($AM$37=2,CK73+0.0001,比赛参数!E55)</f>
        <v>600000.0001</v>
      </c>
      <c r="AL43" s="166">
        <f>IF($AM$37=3,CL73+0.0001,比赛参数!F55)</f>
        <v>700000</v>
      </c>
      <c r="AM43" s="166">
        <f>IF($AM$37=4,CM73+0.0001,比赛参数!G55)</f>
        <v>850000</v>
      </c>
      <c r="AN43" s="166">
        <f>IF($AM$37=5,CN73+0.0001,比赛参数!H55)</f>
        <v>1000000</v>
      </c>
      <c r="AR43" s="185">
        <v>11</v>
      </c>
      <c r="AS43" s="186" t="str">
        <f t="shared" si="28"/>
        <v/>
      </c>
      <c r="AT43" s="187" t="str">
        <f t="shared" si="28"/>
        <v/>
      </c>
      <c r="AU43" s="187" t="str">
        <f t="shared" si="28"/>
        <v/>
      </c>
      <c r="AV43" s="188" t="str">
        <f t="shared" si="28"/>
        <v/>
      </c>
      <c r="AW43" s="186" t="str">
        <f t="shared" si="28"/>
        <v/>
      </c>
      <c r="AX43" s="187" t="str">
        <f t="shared" si="28"/>
        <v/>
      </c>
      <c r="AY43" s="187" t="str">
        <f t="shared" si="28"/>
        <v/>
      </c>
      <c r="AZ43" s="188" t="str">
        <f t="shared" si="28"/>
        <v/>
      </c>
      <c r="BA43" s="186" t="str">
        <f t="shared" si="28"/>
        <v/>
      </c>
      <c r="BB43" s="187" t="str">
        <f t="shared" si="28"/>
        <v/>
      </c>
      <c r="BC43" s="187" t="str">
        <f t="shared" si="28"/>
        <v/>
      </c>
      <c r="BD43" s="188" t="str">
        <f t="shared" si="28"/>
        <v/>
      </c>
      <c r="BE43" s="186" t="str">
        <f t="shared" si="28"/>
        <v/>
      </c>
      <c r="BF43" s="187" t="str">
        <f t="shared" si="28"/>
        <v/>
      </c>
      <c r="BG43" s="187" t="str">
        <f t="shared" si="28"/>
        <v/>
      </c>
      <c r="BH43" s="188" t="str">
        <f t="shared" si="28"/>
        <v/>
      </c>
      <c r="CA43" s="221"/>
      <c r="CB43" s="222"/>
      <c r="CC43" s="222"/>
      <c r="CD43" s="222"/>
      <c r="CE43" s="222"/>
      <c r="CF43" s="222"/>
      <c r="CG43" s="222"/>
      <c r="CH43" s="222"/>
      <c r="CI43" s="222"/>
      <c r="CJ43" s="222"/>
      <c r="CK43" s="222"/>
      <c r="CL43" s="222"/>
      <c r="CM43" s="222"/>
      <c r="CN43" s="222"/>
      <c r="CO43" s="240"/>
      <c r="CR43" s="2" t="s">
        <v>40</v>
      </c>
      <c r="CS43" s="2">
        <f>比赛参数!D14</f>
        <v>656</v>
      </c>
      <c r="CT43" s="2">
        <f>比赛参数!E14</f>
        <v>544</v>
      </c>
      <c r="CU43" s="2">
        <f>比赛参数!F14</f>
        <v>800</v>
      </c>
      <c r="CV43" s="2">
        <f>比赛参数!G14</f>
        <v>850</v>
      </c>
      <c r="DG43" s="2">
        <f t="shared" si="35"/>
        <v>12.5894736842105</v>
      </c>
      <c r="DH43" s="2">
        <f t="shared" si="35"/>
        <v>12.5894736842105</v>
      </c>
      <c r="DI43" s="2">
        <f t="shared" si="35"/>
        <v>13.1815789473684</v>
      </c>
      <c r="DJ43" s="2">
        <f t="shared" si="35"/>
        <v>13.1815789473684</v>
      </c>
      <c r="DK43" s="2">
        <f>SUMPRODUCT(DG43:DJ43,BS16:BV16)/SUM(BS16:BV16)</f>
        <v>12.9479961371318</v>
      </c>
    </row>
    <row r="44" ht="16.35" spans="2:115">
      <c r="B44" s="7"/>
      <c r="C44" s="18" t="s">
        <v>289</v>
      </c>
      <c r="D44" s="9">
        <v>60</v>
      </c>
      <c r="E44" s="9">
        <v>0</v>
      </c>
      <c r="F44" s="9">
        <v>450000</v>
      </c>
      <c r="G44" s="9">
        <v>2</v>
      </c>
      <c r="H44" s="9">
        <v>0.95</v>
      </c>
      <c r="I44" s="10"/>
      <c r="M44" s="30"/>
      <c r="N44" s="39" t="s">
        <v>289</v>
      </c>
      <c r="O44" s="39">
        <f>AO6</f>
        <v>53</v>
      </c>
      <c r="P44" s="39">
        <f>AJ36</f>
        <v>0</v>
      </c>
      <c r="Q44" s="45"/>
      <c r="U44" s="53"/>
      <c r="V44" s="54"/>
      <c r="W44" s="11">
        <v>18</v>
      </c>
      <c r="X44" s="55" t="e">
        <f t="shared" si="17"/>
        <v>#DIV/0!</v>
      </c>
      <c r="Y44" s="118">
        <f t="shared" si="17"/>
        <v>0</v>
      </c>
      <c r="Z44" s="119" t="e">
        <f t="shared" si="17"/>
        <v>#DIV/0!</v>
      </c>
      <c r="AA44" s="125" t="e">
        <f t="shared" si="18"/>
        <v>#DIV/0!</v>
      </c>
      <c r="AB44" s="121" t="e">
        <f t="shared" si="19"/>
        <v>#DIV/0!</v>
      </c>
      <c r="AC44" s="121">
        <f t="shared" si="20"/>
        <v>0</v>
      </c>
      <c r="AD44" s="122">
        <f t="shared" si="21"/>
        <v>0</v>
      </c>
      <c r="AE44" s="123" t="e">
        <f t="shared" si="22"/>
        <v>#DIV/0!</v>
      </c>
      <c r="AF44" s="124" t="e">
        <f t="shared" si="22"/>
        <v>#DIV/0!</v>
      </c>
      <c r="AG44" s="158" t="e">
        <f t="shared" si="22"/>
        <v>#DIV/0!</v>
      </c>
      <c r="AR44" s="185">
        <v>12</v>
      </c>
      <c r="AS44" s="186" t="str">
        <f t="shared" si="28"/>
        <v/>
      </c>
      <c r="AT44" s="187" t="str">
        <f t="shared" si="28"/>
        <v/>
      </c>
      <c r="AU44" s="187" t="str">
        <f t="shared" si="28"/>
        <v/>
      </c>
      <c r="AV44" s="188" t="str">
        <f t="shared" si="28"/>
        <v/>
      </c>
      <c r="AW44" s="186" t="str">
        <f t="shared" si="28"/>
        <v/>
      </c>
      <c r="AX44" s="187" t="str">
        <f t="shared" si="28"/>
        <v/>
      </c>
      <c r="AY44" s="187" t="str">
        <f t="shared" si="28"/>
        <v/>
      </c>
      <c r="AZ44" s="188" t="str">
        <f t="shared" si="28"/>
        <v/>
      </c>
      <c r="BA44" s="186" t="str">
        <f t="shared" si="28"/>
        <v/>
      </c>
      <c r="BB44" s="187" t="str">
        <f t="shared" si="28"/>
        <v/>
      </c>
      <c r="BC44" s="187" t="str">
        <f t="shared" si="28"/>
        <v/>
      </c>
      <c r="BD44" s="188" t="str">
        <f t="shared" si="28"/>
        <v/>
      </c>
      <c r="BE44" s="186" t="str">
        <f t="shared" si="28"/>
        <v/>
      </c>
      <c r="BF44" s="187" t="str">
        <f t="shared" si="28"/>
        <v/>
      </c>
      <c r="BG44" s="187" t="str">
        <f t="shared" si="28"/>
        <v/>
      </c>
      <c r="BH44" s="188" t="str">
        <f t="shared" si="28"/>
        <v/>
      </c>
      <c r="CA44" s="48"/>
      <c r="CR44" s="2" t="s">
        <v>41</v>
      </c>
      <c r="CS44" s="2">
        <f>比赛参数!H14</f>
        <v>794</v>
      </c>
      <c r="CT44" s="2">
        <f>比赛参数!I14</f>
        <v>656</v>
      </c>
      <c r="CU44" s="2">
        <f>比赛参数!J14</f>
        <v>1000</v>
      </c>
      <c r="CV44" s="2">
        <f>比赛参数!K14</f>
        <v>1050</v>
      </c>
      <c r="DG44" s="2">
        <f t="shared" si="35"/>
        <v>11.8403846153846</v>
      </c>
      <c r="DH44" s="2">
        <f t="shared" si="35"/>
        <v>11.8403846153846</v>
      </c>
      <c r="DI44" s="2">
        <f t="shared" si="35"/>
        <v>12.4173076923077</v>
      </c>
      <c r="DJ44" s="2">
        <f t="shared" si="35"/>
        <v>12.4173076923077</v>
      </c>
      <c r="DK44" s="2">
        <f>SUMPRODUCT(DG44:DJ44,BS17:BV17)/SUM(BS17:BV17)</f>
        <v>12.1911538461538</v>
      </c>
    </row>
    <row r="45" ht="16.35" spans="2:60">
      <c r="B45" s="7"/>
      <c r="C45" s="18" t="s">
        <v>290</v>
      </c>
      <c r="D45" s="9">
        <v>57</v>
      </c>
      <c r="E45" s="9">
        <v>0</v>
      </c>
      <c r="F45" s="9">
        <v>600000</v>
      </c>
      <c r="G45" s="9">
        <v>2</v>
      </c>
      <c r="H45" s="9">
        <v>0.95</v>
      </c>
      <c r="I45" s="10"/>
      <c r="M45" s="30"/>
      <c r="N45" s="39" t="s">
        <v>290</v>
      </c>
      <c r="O45" s="39">
        <f>AO7</f>
        <v>65</v>
      </c>
      <c r="P45" s="39">
        <f>AJ37</f>
        <v>0</v>
      </c>
      <c r="Q45" s="45"/>
      <c r="U45" s="53"/>
      <c r="V45" s="54"/>
      <c r="W45" s="11">
        <v>19</v>
      </c>
      <c r="X45" s="55" t="e">
        <f t="shared" si="17"/>
        <v>#DIV/0!</v>
      </c>
      <c r="Y45" s="118">
        <f t="shared" si="17"/>
        <v>0</v>
      </c>
      <c r="Z45" s="119" t="e">
        <f t="shared" si="17"/>
        <v>#DIV/0!</v>
      </c>
      <c r="AA45" s="120" t="e">
        <f t="shared" si="18"/>
        <v>#DIV/0!</v>
      </c>
      <c r="AB45" s="121" t="e">
        <f t="shared" si="19"/>
        <v>#DIV/0!</v>
      </c>
      <c r="AC45" s="121">
        <f t="shared" si="20"/>
        <v>0</v>
      </c>
      <c r="AD45" s="122">
        <f t="shared" si="21"/>
        <v>0</v>
      </c>
      <c r="AE45" s="123" t="e">
        <f t="shared" si="22"/>
        <v>#DIV/0!</v>
      </c>
      <c r="AF45" s="124" t="e">
        <f t="shared" si="22"/>
        <v>#DIV/0!</v>
      </c>
      <c r="AG45" s="158" t="e">
        <f t="shared" si="22"/>
        <v>#DIV/0!</v>
      </c>
      <c r="AR45" s="185">
        <v>13</v>
      </c>
      <c r="AS45" s="186" t="str">
        <f t="shared" si="28"/>
        <v/>
      </c>
      <c r="AT45" s="187" t="str">
        <f t="shared" si="28"/>
        <v/>
      </c>
      <c r="AU45" s="187" t="str">
        <f t="shared" si="28"/>
        <v/>
      </c>
      <c r="AV45" s="188" t="str">
        <f t="shared" si="28"/>
        <v/>
      </c>
      <c r="AW45" s="186" t="str">
        <f t="shared" si="28"/>
        <v/>
      </c>
      <c r="AX45" s="187" t="str">
        <f t="shared" si="28"/>
        <v/>
      </c>
      <c r="AY45" s="187" t="str">
        <f t="shared" si="28"/>
        <v/>
      </c>
      <c r="AZ45" s="188" t="str">
        <f t="shared" si="28"/>
        <v/>
      </c>
      <c r="BA45" s="186" t="str">
        <f t="shared" si="28"/>
        <v/>
      </c>
      <c r="BB45" s="187" t="str">
        <f t="shared" si="28"/>
        <v/>
      </c>
      <c r="BC45" s="187" t="str">
        <f t="shared" si="28"/>
        <v/>
      </c>
      <c r="BD45" s="188" t="str">
        <f t="shared" si="28"/>
        <v/>
      </c>
      <c r="BE45" s="186" t="str">
        <f t="shared" si="28"/>
        <v/>
      </c>
      <c r="BF45" s="187" t="str">
        <f t="shared" si="28"/>
        <v/>
      </c>
      <c r="BG45" s="187" t="str">
        <f t="shared" si="28"/>
        <v/>
      </c>
      <c r="BH45" s="188" t="str">
        <f t="shared" si="28"/>
        <v/>
      </c>
    </row>
    <row r="46" ht="15.6" spans="3:60">
      <c r="C46" s="15"/>
      <c r="D46" s="15"/>
      <c r="E46" s="15"/>
      <c r="F46" s="15"/>
      <c r="G46" s="15"/>
      <c r="H46" s="15"/>
      <c r="M46" s="30"/>
      <c r="N46" s="35"/>
      <c r="O46" s="35"/>
      <c r="P46" s="35"/>
      <c r="Q46" s="45"/>
      <c r="T46" s="43"/>
      <c r="U46" s="53"/>
      <c r="V46" s="54"/>
      <c r="W46" s="11">
        <v>20</v>
      </c>
      <c r="X46" s="55" t="e">
        <f t="shared" si="17"/>
        <v>#DIV/0!</v>
      </c>
      <c r="Y46" s="118">
        <f t="shared" si="17"/>
        <v>0</v>
      </c>
      <c r="Z46" s="119" t="e">
        <f t="shared" si="17"/>
        <v>#DIV/0!</v>
      </c>
      <c r="AA46" s="120" t="e">
        <f t="shared" si="18"/>
        <v>#DIV/0!</v>
      </c>
      <c r="AB46" s="121" t="e">
        <f t="shared" si="19"/>
        <v>#DIV/0!</v>
      </c>
      <c r="AC46" s="121">
        <f t="shared" si="20"/>
        <v>0</v>
      </c>
      <c r="AD46" s="122">
        <f t="shared" si="21"/>
        <v>0</v>
      </c>
      <c r="AE46" s="123" t="e">
        <f t="shared" si="22"/>
        <v>#DIV/0!</v>
      </c>
      <c r="AF46" s="124" t="e">
        <f t="shared" si="22"/>
        <v>#DIV/0!</v>
      </c>
      <c r="AG46" s="158" t="e">
        <f t="shared" si="22"/>
        <v>#DIV/0!</v>
      </c>
      <c r="AR46" s="185">
        <v>14</v>
      </c>
      <c r="AS46" s="186" t="str">
        <f t="shared" si="28"/>
        <v/>
      </c>
      <c r="AT46" s="187" t="str">
        <f t="shared" si="28"/>
        <v/>
      </c>
      <c r="AU46" s="187" t="str">
        <f t="shared" si="28"/>
        <v/>
      </c>
      <c r="AV46" s="188" t="str">
        <f t="shared" si="28"/>
        <v/>
      </c>
      <c r="AW46" s="186" t="str">
        <f t="shared" si="28"/>
        <v/>
      </c>
      <c r="AX46" s="187" t="str">
        <f t="shared" si="28"/>
        <v/>
      </c>
      <c r="AY46" s="187" t="str">
        <f t="shared" si="28"/>
        <v/>
      </c>
      <c r="AZ46" s="188" t="str">
        <f t="shared" si="28"/>
        <v/>
      </c>
      <c r="BA46" s="186" t="str">
        <f t="shared" si="28"/>
        <v/>
      </c>
      <c r="BB46" s="187" t="str">
        <f t="shared" si="28"/>
        <v/>
      </c>
      <c r="BC46" s="187" t="str">
        <f t="shared" si="28"/>
        <v/>
      </c>
      <c r="BD46" s="188" t="str">
        <f t="shared" si="28"/>
        <v/>
      </c>
      <c r="BE46" s="186" t="str">
        <f t="shared" si="28"/>
        <v/>
      </c>
      <c r="BF46" s="187" t="str">
        <f t="shared" si="28"/>
        <v/>
      </c>
      <c r="BG46" s="187" t="str">
        <f t="shared" si="28"/>
        <v/>
      </c>
      <c r="BH46" s="188" t="str">
        <f t="shared" si="28"/>
        <v/>
      </c>
    </row>
    <row r="47" ht="16.35" spans="13:60">
      <c r="M47" s="40"/>
      <c r="N47" s="41"/>
      <c r="O47" s="41"/>
      <c r="P47" s="41"/>
      <c r="Q47" s="58"/>
      <c r="R47" s="59" t="s">
        <v>313</v>
      </c>
      <c r="S47" s="60">
        <f>比赛参数!D4</f>
        <v>11</v>
      </c>
      <c r="AR47" s="185">
        <v>15</v>
      </c>
      <c r="AS47" s="186" t="str">
        <f t="shared" si="28"/>
        <v/>
      </c>
      <c r="AT47" s="187" t="str">
        <f t="shared" si="28"/>
        <v/>
      </c>
      <c r="AU47" s="187" t="str">
        <f t="shared" si="28"/>
        <v/>
      </c>
      <c r="AV47" s="188" t="str">
        <f t="shared" si="28"/>
        <v/>
      </c>
      <c r="AW47" s="186" t="str">
        <f t="shared" si="28"/>
        <v/>
      </c>
      <c r="AX47" s="187" t="str">
        <f t="shared" si="28"/>
        <v/>
      </c>
      <c r="AY47" s="187" t="str">
        <f t="shared" si="28"/>
        <v/>
      </c>
      <c r="AZ47" s="188" t="str">
        <f t="shared" si="28"/>
        <v/>
      </c>
      <c r="BA47" s="186" t="str">
        <f t="shared" si="28"/>
        <v/>
      </c>
      <c r="BB47" s="187" t="str">
        <f t="shared" si="28"/>
        <v/>
      </c>
      <c r="BC47" s="187" t="str">
        <f t="shared" si="28"/>
        <v/>
      </c>
      <c r="BD47" s="188" t="str">
        <f t="shared" si="28"/>
        <v/>
      </c>
      <c r="BE47" s="186" t="str">
        <f t="shared" si="28"/>
        <v/>
      </c>
      <c r="BF47" s="187" t="str">
        <f t="shared" si="28"/>
        <v/>
      </c>
      <c r="BG47" s="187" t="str">
        <f t="shared" si="28"/>
        <v/>
      </c>
      <c r="BH47" s="188" t="str">
        <f t="shared" si="28"/>
        <v/>
      </c>
    </row>
    <row r="48" customHeight="1" spans="3:90">
      <c r="C48" s="21"/>
      <c r="D48" s="22" t="s">
        <v>21</v>
      </c>
      <c r="E48" s="22"/>
      <c r="F48" s="22"/>
      <c r="G48" s="22"/>
      <c r="H48" s="22" t="s">
        <v>22</v>
      </c>
      <c r="I48" s="22"/>
      <c r="J48" s="22"/>
      <c r="K48" s="22"/>
      <c r="L48" s="22" t="s">
        <v>23</v>
      </c>
      <c r="M48" s="22"/>
      <c r="N48" s="22"/>
      <c r="O48" s="22"/>
      <c r="P48" s="22" t="s">
        <v>24</v>
      </c>
      <c r="Q48" s="22"/>
      <c r="R48" s="22"/>
      <c r="S48" s="61"/>
      <c r="V48" s="4" t="s">
        <v>314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R48" s="185">
        <v>16</v>
      </c>
      <c r="AS48" s="186" t="str">
        <f t="shared" si="28"/>
        <v/>
      </c>
      <c r="AT48" s="187" t="str">
        <f t="shared" si="28"/>
        <v/>
      </c>
      <c r="AU48" s="187" t="str">
        <f t="shared" si="28"/>
        <v/>
      </c>
      <c r="AV48" s="188" t="str">
        <f t="shared" si="28"/>
        <v/>
      </c>
      <c r="AW48" s="186" t="str">
        <f t="shared" si="28"/>
        <v/>
      </c>
      <c r="AX48" s="187" t="str">
        <f t="shared" si="28"/>
        <v/>
      </c>
      <c r="AY48" s="187" t="str">
        <f t="shared" si="28"/>
        <v/>
      </c>
      <c r="AZ48" s="188" t="str">
        <f t="shared" si="28"/>
        <v/>
      </c>
      <c r="BA48" s="186" t="str">
        <f t="shared" si="28"/>
        <v/>
      </c>
      <c r="BB48" s="187" t="str">
        <f t="shared" si="28"/>
        <v/>
      </c>
      <c r="BC48" s="187" t="str">
        <f t="shared" si="28"/>
        <v/>
      </c>
      <c r="BD48" s="188" t="str">
        <f t="shared" si="28"/>
        <v/>
      </c>
      <c r="BE48" s="186" t="str">
        <f t="shared" si="28"/>
        <v/>
      </c>
      <c r="BF48" s="187" t="str">
        <f t="shared" si="28"/>
        <v/>
      </c>
      <c r="BG48" s="187" t="str">
        <f t="shared" si="28"/>
        <v/>
      </c>
      <c r="BH48" s="188" t="str">
        <f>IF(S88="","",S88)</f>
        <v/>
      </c>
      <c r="BQ48" s="205" t="s">
        <v>315</v>
      </c>
      <c r="BR48" s="206"/>
      <c r="BS48" s="206"/>
      <c r="BT48" s="206"/>
      <c r="BU48" s="206"/>
      <c r="BV48" s="206"/>
      <c r="BW48" s="206"/>
      <c r="BX48" s="206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</row>
    <row r="49" customHeight="1" spans="3:119">
      <c r="C49" s="23" t="s">
        <v>285</v>
      </c>
      <c r="D49" s="24" t="s">
        <v>55</v>
      </c>
      <c r="E49" s="24" t="s">
        <v>56</v>
      </c>
      <c r="F49" s="24" t="s">
        <v>57</v>
      </c>
      <c r="G49" s="24" t="s">
        <v>58</v>
      </c>
      <c r="H49" s="24" t="s">
        <v>55</v>
      </c>
      <c r="I49" s="24" t="s">
        <v>56</v>
      </c>
      <c r="J49" s="24" t="s">
        <v>57</v>
      </c>
      <c r="K49" s="24" t="s">
        <v>58</v>
      </c>
      <c r="L49" s="24" t="s">
        <v>55</v>
      </c>
      <c r="M49" s="24" t="s">
        <v>56</v>
      </c>
      <c r="N49" s="24" t="s">
        <v>57</v>
      </c>
      <c r="O49" s="24" t="s">
        <v>58</v>
      </c>
      <c r="P49" s="24" t="s">
        <v>55</v>
      </c>
      <c r="Q49" s="24" t="s">
        <v>56</v>
      </c>
      <c r="R49" s="24" t="s">
        <v>57</v>
      </c>
      <c r="S49" s="62" t="s">
        <v>58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R49" s="185">
        <v>17</v>
      </c>
      <c r="AS49" s="186" t="str">
        <f t="shared" ref="AS49:BG52" si="36">IF(D89="","",D89)</f>
        <v/>
      </c>
      <c r="AT49" s="187" t="str">
        <f t="shared" si="36"/>
        <v/>
      </c>
      <c r="AU49" s="187" t="str">
        <f t="shared" si="36"/>
        <v/>
      </c>
      <c r="AV49" s="188" t="str">
        <f t="shared" si="36"/>
        <v/>
      </c>
      <c r="AW49" s="186" t="str">
        <f t="shared" si="36"/>
        <v/>
      </c>
      <c r="AX49" s="187" t="str">
        <f t="shared" si="36"/>
        <v/>
      </c>
      <c r="AY49" s="187" t="str">
        <f t="shared" si="36"/>
        <v/>
      </c>
      <c r="AZ49" s="188" t="str">
        <f t="shared" si="36"/>
        <v/>
      </c>
      <c r="BA49" s="186" t="str">
        <f t="shared" si="36"/>
        <v/>
      </c>
      <c r="BB49" s="187" t="str">
        <f t="shared" si="36"/>
        <v/>
      </c>
      <c r="BC49" s="187" t="str">
        <f t="shared" si="36"/>
        <v/>
      </c>
      <c r="BD49" s="188" t="str">
        <f t="shared" si="36"/>
        <v/>
      </c>
      <c r="BE49" s="186" t="str">
        <f t="shared" si="36"/>
        <v/>
      </c>
      <c r="BF49" s="187" t="str">
        <f t="shared" si="36"/>
        <v/>
      </c>
      <c r="BG49" s="187" t="str">
        <f t="shared" si="36"/>
        <v/>
      </c>
      <c r="BH49" s="188" t="str">
        <f>IF(S89="","",S89)</f>
        <v/>
      </c>
      <c r="BQ49" s="207"/>
      <c r="BR49" s="207"/>
      <c r="BS49" s="207"/>
      <c r="BT49" s="207"/>
      <c r="BU49" s="207"/>
      <c r="BV49" s="207"/>
      <c r="BW49" s="207"/>
      <c r="BX49" s="207"/>
      <c r="CB49" s="214" t="s">
        <v>316</v>
      </c>
      <c r="CC49" s="195" t="s">
        <v>38</v>
      </c>
      <c r="CD49" s="195" t="s">
        <v>39</v>
      </c>
      <c r="CE49" s="195" t="s">
        <v>40</v>
      </c>
      <c r="CF49" s="195" t="s">
        <v>41</v>
      </c>
      <c r="CG49" s="219"/>
      <c r="CH49" s="219"/>
      <c r="CI49" s="214" t="s">
        <v>259</v>
      </c>
      <c r="CJ49" s="195" t="s">
        <v>38</v>
      </c>
      <c r="CK49" s="195" t="s">
        <v>39</v>
      </c>
      <c r="CL49" s="195" t="s">
        <v>40</v>
      </c>
      <c r="CM49" s="195" t="s">
        <v>41</v>
      </c>
      <c r="CN49" s="219"/>
      <c r="CO49" s="219"/>
      <c r="CP49" s="65" t="s">
        <v>317</v>
      </c>
      <c r="CQ49" s="65" t="s">
        <v>224</v>
      </c>
      <c r="CR49" s="65" t="s">
        <v>225</v>
      </c>
      <c r="CS49" s="65" t="s">
        <v>226</v>
      </c>
      <c r="CT49" s="65" t="s">
        <v>227</v>
      </c>
      <c r="CU49" s="65" t="s">
        <v>228</v>
      </c>
      <c r="CW49" s="63" t="s">
        <v>229</v>
      </c>
      <c r="CX49" s="11" t="s">
        <v>55</v>
      </c>
      <c r="CY49" s="11" t="s">
        <v>56</v>
      </c>
      <c r="CZ49" s="11" t="s">
        <v>57</v>
      </c>
      <c r="DA49" s="11" t="s">
        <v>58</v>
      </c>
      <c r="DB49" s="11" t="s">
        <v>318</v>
      </c>
      <c r="DF49" s="245" t="s">
        <v>319</v>
      </c>
      <c r="DG49" s="65" t="s">
        <v>38</v>
      </c>
      <c r="DH49" s="65" t="s">
        <v>39</v>
      </c>
      <c r="DI49" s="65" t="s">
        <v>40</v>
      </c>
      <c r="DJ49" s="65" t="s">
        <v>41</v>
      </c>
      <c r="DL49" s="247" t="s">
        <v>320</v>
      </c>
      <c r="DM49" s="245" t="s">
        <v>78</v>
      </c>
      <c r="DN49" s="245" t="s">
        <v>79</v>
      </c>
      <c r="DO49" s="246"/>
    </row>
    <row r="50" customHeight="1" spans="2:119">
      <c r="B50" s="7"/>
      <c r="C50" s="25">
        <v>1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10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R50" s="185">
        <v>18</v>
      </c>
      <c r="AS50" s="186" t="str">
        <f t="shared" si="36"/>
        <v/>
      </c>
      <c r="AT50" s="187" t="str">
        <f t="shared" si="36"/>
        <v/>
      </c>
      <c r="AU50" s="187" t="str">
        <f t="shared" si="36"/>
        <v/>
      </c>
      <c r="AV50" s="188" t="str">
        <f t="shared" si="36"/>
        <v/>
      </c>
      <c r="AW50" s="186" t="str">
        <f t="shared" si="36"/>
        <v/>
      </c>
      <c r="AX50" s="187" t="str">
        <f t="shared" si="36"/>
        <v/>
      </c>
      <c r="AY50" s="187" t="str">
        <f t="shared" si="36"/>
        <v/>
      </c>
      <c r="AZ50" s="188" t="str">
        <f t="shared" si="36"/>
        <v/>
      </c>
      <c r="BA50" s="186" t="str">
        <f t="shared" si="36"/>
        <v/>
      </c>
      <c r="BB50" s="187" t="str">
        <f t="shared" si="36"/>
        <v/>
      </c>
      <c r="BC50" s="187" t="str">
        <f t="shared" si="36"/>
        <v/>
      </c>
      <c r="BD50" s="188" t="str">
        <f t="shared" si="36"/>
        <v/>
      </c>
      <c r="BE50" s="186" t="str">
        <f t="shared" si="36"/>
        <v/>
      </c>
      <c r="BF50" s="187" t="str">
        <f t="shared" si="36"/>
        <v/>
      </c>
      <c r="BG50" s="187" t="str">
        <f t="shared" si="36"/>
        <v/>
      </c>
      <c r="BH50" s="188" t="str">
        <f>IF(S90="","",S90)</f>
        <v/>
      </c>
      <c r="BQ50" s="207"/>
      <c r="BR50" s="207"/>
      <c r="BS50" s="207"/>
      <c r="BT50" s="207"/>
      <c r="BU50" s="207"/>
      <c r="BV50" s="207"/>
      <c r="BW50" s="207"/>
      <c r="BX50" s="207"/>
      <c r="CB50" s="197" t="s">
        <v>55</v>
      </c>
      <c r="CC50" s="108">
        <f t="shared" ref="CC50:CF53" si="37">IF(AF76&gt;AF86,IF((Y88-Y108+Y57)&gt;AF57,(AF64-AF104)*AF76+AF57*AF86,(Y88-Y108+Y57)*AF86),IF((Y88-Y108+Y57)&gt;AF57,(AF64-AF104)*AF76+AF57*AF76,(Y88-Y108+Y57)*AF76))</f>
        <v>422400</v>
      </c>
      <c r="CD50" s="108">
        <f t="shared" si="37"/>
        <v>711200</v>
      </c>
      <c r="CE50" s="108">
        <f t="shared" si="37"/>
        <v>401800</v>
      </c>
      <c r="CF50" s="108">
        <f t="shared" si="37"/>
        <v>608650</v>
      </c>
      <c r="CG50" s="219"/>
      <c r="CH50" s="219"/>
      <c r="CI50" s="197" t="s">
        <v>55</v>
      </c>
      <c r="CJ50" s="108">
        <f t="shared" ref="CJ50:CM53" si="38">Y108*AF76*0.4</f>
        <v>8960</v>
      </c>
      <c r="CK50" s="108">
        <f t="shared" si="38"/>
        <v>15240</v>
      </c>
      <c r="CL50" s="108">
        <f t="shared" si="38"/>
        <v>7840</v>
      </c>
      <c r="CM50" s="108">
        <f t="shared" si="38"/>
        <v>10360</v>
      </c>
      <c r="CN50" s="219"/>
      <c r="CO50" s="219"/>
      <c r="CP50" s="65" t="s">
        <v>38</v>
      </c>
      <c r="CQ50" s="65">
        <f>第十四期!Y9*第十四期!CQ62*比赛参数!D65</f>
        <v>852000</v>
      </c>
      <c r="CR50" s="65">
        <f>第十四期!Z9*第十四期!CR62*比赛参数!E65</f>
        <v>0</v>
      </c>
      <c r="CS50" s="65">
        <f>第十四期!AA9*第十四期!CS62*比赛参数!F65</f>
        <v>0</v>
      </c>
      <c r="CT50" s="65">
        <f>第十四期!AB9*第十四期!CT62*比赛参数!G65</f>
        <v>0</v>
      </c>
      <c r="CU50" s="65">
        <f>IF(第十四期!AC9&gt;0,SUM(CQ50:CT50)/第十四期!AC9,0)</f>
        <v>1200</v>
      </c>
      <c r="CW50" s="11" t="s">
        <v>38</v>
      </c>
      <c r="CX50" s="242">
        <f>IF(第十四期!$CU$50*第十四期!CQ93&gt;0,第十四期!$CU$50+第十四期!CQ68+第十四期!CQ93+第十四期!CQ74,0)</f>
        <v>1890.73432876588</v>
      </c>
      <c r="CY50" s="242">
        <f>IF(第十四期!$CU$50*第十四期!CR93&gt;0,第十四期!$CU$50+第十四期!CR68+第十四期!CR93+第十四期!CR74,0)</f>
        <v>1849.73432876588</v>
      </c>
      <c r="CZ50" s="242">
        <f>IF(第十四期!$CU$50*第十四期!CS93&gt;0,第十四期!$CU$50+第十四期!CS68+第十四期!CS93+第十四期!CS74,0)</f>
        <v>2007.73432876588</v>
      </c>
      <c r="DA50" s="242">
        <f>IF(第十四期!$CU$50*第十四期!CT93&gt;0,第十四期!$CU$50+第十四期!CT68+第十四期!CT93+第十四期!CT74,0)</f>
        <v>2057.73432876588</v>
      </c>
      <c r="DB50" s="242">
        <f>AVERAGE(CX50:DA50)</f>
        <v>1951.48432876588</v>
      </c>
      <c r="DF50" s="65" t="s">
        <v>55</v>
      </c>
      <c r="DG50" s="245">
        <f>IF(第十四期!Y88&gt;0,1,0)</f>
        <v>1</v>
      </c>
      <c r="DH50" s="245">
        <f>IF(第十四期!Z88&gt;0,1,0)</f>
        <v>1</v>
      </c>
      <c r="DI50" s="245">
        <f>IF(第十四期!AA88&gt;0,1,0)</f>
        <v>1</v>
      </c>
      <c r="DJ50" s="245">
        <f>IF(第十四期!AB88&gt;0,1,0)</f>
        <v>1</v>
      </c>
      <c r="DL50" s="245" t="s">
        <v>21</v>
      </c>
      <c r="DM50" s="248">
        <f>IF(第十四期!Y9+第十四期!Z9&gt;0,1,0)</f>
        <v>1</v>
      </c>
      <c r="DN50" s="248">
        <f>IF(第十四期!AA9+第十四期!AB9&gt;0,1,0)</f>
        <v>0</v>
      </c>
      <c r="DO50" s="246"/>
    </row>
    <row r="51" customHeight="1" spans="2:119">
      <c r="B51" s="7"/>
      <c r="C51" s="25">
        <v>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10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R51" s="185">
        <v>19</v>
      </c>
      <c r="AS51" s="186" t="str">
        <f t="shared" si="36"/>
        <v/>
      </c>
      <c r="AT51" s="187" t="str">
        <f t="shared" si="36"/>
        <v/>
      </c>
      <c r="AU51" s="187" t="str">
        <f t="shared" si="36"/>
        <v/>
      </c>
      <c r="AV51" s="188" t="str">
        <f t="shared" si="36"/>
        <v/>
      </c>
      <c r="AW51" s="186" t="str">
        <f t="shared" si="36"/>
        <v/>
      </c>
      <c r="AX51" s="187" t="str">
        <f t="shared" si="36"/>
        <v/>
      </c>
      <c r="AY51" s="187" t="str">
        <f t="shared" si="36"/>
        <v/>
      </c>
      <c r="AZ51" s="188" t="str">
        <f t="shared" si="36"/>
        <v/>
      </c>
      <c r="BA51" s="186" t="str">
        <f t="shared" si="36"/>
        <v/>
      </c>
      <c r="BB51" s="187" t="str">
        <f t="shared" si="36"/>
        <v/>
      </c>
      <c r="BC51" s="187" t="str">
        <f t="shared" si="36"/>
        <v/>
      </c>
      <c r="BD51" s="188" t="str">
        <f t="shared" si="36"/>
        <v/>
      </c>
      <c r="BE51" s="186" t="str">
        <f t="shared" si="36"/>
        <v/>
      </c>
      <c r="BF51" s="187" t="str">
        <f t="shared" si="36"/>
        <v/>
      </c>
      <c r="BG51" s="187" t="str">
        <f t="shared" si="36"/>
        <v/>
      </c>
      <c r="BH51" s="188" t="str">
        <f>IF(S91="","",S91)</f>
        <v/>
      </c>
      <c r="BQ51" s="5"/>
      <c r="BR51" s="5"/>
      <c r="BS51" s="5"/>
      <c r="BT51" s="5"/>
      <c r="BU51" s="5"/>
      <c r="BV51" s="5"/>
      <c r="BW51" s="5"/>
      <c r="BX51" s="5"/>
      <c r="CB51" s="196" t="s">
        <v>56</v>
      </c>
      <c r="CC51" s="108">
        <f t="shared" si="37"/>
        <v>422400</v>
      </c>
      <c r="CD51" s="108">
        <f t="shared" si="37"/>
        <v>711200</v>
      </c>
      <c r="CE51" s="108">
        <f t="shared" si="37"/>
        <v>401800</v>
      </c>
      <c r="CF51" s="108">
        <f t="shared" si="37"/>
        <v>608650</v>
      </c>
      <c r="CG51" s="219"/>
      <c r="CH51" s="219"/>
      <c r="CI51" s="196" t="s">
        <v>56</v>
      </c>
      <c r="CJ51" s="108">
        <f t="shared" si="38"/>
        <v>8960</v>
      </c>
      <c r="CK51" s="108">
        <f t="shared" si="38"/>
        <v>15240</v>
      </c>
      <c r="CL51" s="108">
        <f t="shared" si="38"/>
        <v>7840</v>
      </c>
      <c r="CM51" s="108">
        <f t="shared" si="38"/>
        <v>10360</v>
      </c>
      <c r="CN51" s="219"/>
      <c r="CO51" s="219"/>
      <c r="CP51" s="65" t="s">
        <v>39</v>
      </c>
      <c r="CQ51" s="65">
        <f>第十四期!Y10*第十四期!CQ63*比赛参数!D65</f>
        <v>628500</v>
      </c>
      <c r="CR51" s="65">
        <f>第十四期!Z10*第十四期!CR63*比赛参数!E65</f>
        <v>0</v>
      </c>
      <c r="CS51" s="65">
        <f>第十四期!AA10*第十四期!CS63*比赛参数!F65</f>
        <v>354600</v>
      </c>
      <c r="CT51" s="65">
        <f>第十四期!AB10*第十四期!CT63*比赛参数!G65</f>
        <v>0</v>
      </c>
      <c r="CU51" s="65">
        <f>IF(第十四期!AC10&gt;0,SUM(CQ51:CT51)/第十四期!AC10,0)</f>
        <v>1595.94155844156</v>
      </c>
      <c r="CW51" s="11" t="s">
        <v>39</v>
      </c>
      <c r="CX51" s="242">
        <f>IF(第十四期!$CU$51*第十四期!CQ94&gt;0,第十四期!$CU$51+第十四期!CQ69+第十四期!CQ94+第十四期!CQ75,0)</f>
        <v>4032.27738035625</v>
      </c>
      <c r="CY51" s="242">
        <f>IF(第十四期!$CU$51*第十四期!CR94&gt;0,第十四期!$CU$51+第十四期!CR69+第十四期!CR94+第十四期!CR75,0)</f>
        <v>3948.27738035625</v>
      </c>
      <c r="CZ51" s="242">
        <f>IF(第十四期!$CU$51*第十四期!CS94&gt;0,第十四期!$CU$51+第十四期!CS69+第十四期!CS94+第十四期!CS75,0)</f>
        <v>4165.27738035625</v>
      </c>
      <c r="DA51" s="242">
        <f>IF(第十四期!$CU$51*第十四期!CT94&gt;0,第十四期!$CU$51+第十四期!CT69+第十四期!CT94+第十四期!CT75,0)</f>
        <v>4215.27738035625</v>
      </c>
      <c r="DB51" s="242">
        <f>AVERAGE(CX51:DA51)</f>
        <v>4090.27738035625</v>
      </c>
      <c r="DF51" s="65" t="s">
        <v>56</v>
      </c>
      <c r="DG51" s="245">
        <f>IF(第十四期!Y89&gt;0,1,0)</f>
        <v>1</v>
      </c>
      <c r="DH51" s="245">
        <f>IF(第十四期!Z89&gt;0,1,0)</f>
        <v>1</v>
      </c>
      <c r="DI51" s="245">
        <f>IF(第十四期!AA89&gt;0,1,0)</f>
        <v>1</v>
      </c>
      <c r="DJ51" s="245">
        <f>IF(第十四期!AB89&gt;0,1,0)</f>
        <v>1</v>
      </c>
      <c r="DL51" s="245" t="s">
        <v>22</v>
      </c>
      <c r="DM51" s="248">
        <f>IF(第十四期!Y10+第十四期!Z10&gt;0,1,0)</f>
        <v>1</v>
      </c>
      <c r="DN51" s="248">
        <f>IF(第十四期!AA10+第十四期!AB10&gt;0,1,0)</f>
        <v>1</v>
      </c>
      <c r="DO51" s="246"/>
    </row>
    <row r="52" customHeight="1" spans="2:119">
      <c r="B52" s="7"/>
      <c r="C52" s="25">
        <v>3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10"/>
      <c r="AR52" s="185">
        <v>20</v>
      </c>
      <c r="AS52" s="186" t="str">
        <f t="shared" si="36"/>
        <v/>
      </c>
      <c r="AT52" s="187" t="str">
        <f t="shared" si="36"/>
        <v/>
      </c>
      <c r="AU52" s="187" t="str">
        <f t="shared" si="36"/>
        <v/>
      </c>
      <c r="AV52" s="188" t="str">
        <f t="shared" si="36"/>
        <v/>
      </c>
      <c r="AW52" s="186" t="str">
        <f t="shared" si="36"/>
        <v/>
      </c>
      <c r="AX52" s="187" t="str">
        <f t="shared" si="36"/>
        <v/>
      </c>
      <c r="AY52" s="187" t="str">
        <f t="shared" si="36"/>
        <v/>
      </c>
      <c r="AZ52" s="188" t="str">
        <f t="shared" si="36"/>
        <v/>
      </c>
      <c r="BA52" s="186" t="str">
        <f t="shared" si="36"/>
        <v/>
      </c>
      <c r="BB52" s="187" t="str">
        <f t="shared" si="36"/>
        <v/>
      </c>
      <c r="BC52" s="187" t="str">
        <f t="shared" si="36"/>
        <v/>
      </c>
      <c r="BD52" s="188" t="str">
        <f t="shared" si="36"/>
        <v/>
      </c>
      <c r="BE52" s="186" t="str">
        <f t="shared" si="36"/>
        <v/>
      </c>
      <c r="BF52" s="187" t="str">
        <f t="shared" si="36"/>
        <v/>
      </c>
      <c r="BG52" s="187" t="str">
        <f t="shared" si="36"/>
        <v/>
      </c>
      <c r="BH52" s="188" t="str">
        <f>IF(S92="","",S92)</f>
        <v/>
      </c>
      <c r="CB52" s="196" t="s">
        <v>57</v>
      </c>
      <c r="CC52" s="108">
        <f t="shared" si="37"/>
        <v>666650</v>
      </c>
      <c r="CD52" s="108">
        <f t="shared" si="37"/>
        <v>1123470</v>
      </c>
      <c r="CE52" s="108">
        <f t="shared" si="37"/>
        <v>633150</v>
      </c>
      <c r="CF52" s="108">
        <f t="shared" si="37"/>
        <v>961200</v>
      </c>
      <c r="CG52" s="108" t="s">
        <v>308</v>
      </c>
      <c r="CH52" s="219"/>
      <c r="CI52" s="196" t="s">
        <v>57</v>
      </c>
      <c r="CJ52" s="108">
        <f t="shared" si="38"/>
        <v>13400</v>
      </c>
      <c r="CK52" s="108">
        <f t="shared" si="38"/>
        <v>23652</v>
      </c>
      <c r="CL52" s="108">
        <f t="shared" si="38"/>
        <v>12060</v>
      </c>
      <c r="CM52" s="108">
        <f t="shared" si="38"/>
        <v>21360</v>
      </c>
      <c r="CN52" s="108" t="s">
        <v>308</v>
      </c>
      <c r="CO52" s="219"/>
      <c r="CP52" s="65" t="s">
        <v>40</v>
      </c>
      <c r="CQ52" s="65">
        <f>第十四期!Y11*第十四期!CQ64*比赛参数!D65</f>
        <v>0</v>
      </c>
      <c r="CR52" s="65">
        <f>第十四期!Z11*第十四期!CR64*比赛参数!E65</f>
        <v>0</v>
      </c>
      <c r="CS52" s="65">
        <f>第十四期!AA11*第十四期!CS64*比赛参数!F65</f>
        <v>276480</v>
      </c>
      <c r="CT52" s="65">
        <f>第十四期!AB11*第十四期!CT64*比赛参数!G65</f>
        <v>192960</v>
      </c>
      <c r="CU52" s="65">
        <f>IF(第十四期!AC11&gt;0,SUM(CQ52:CT52)/第十四期!AC11,0)</f>
        <v>2224.83412322275</v>
      </c>
      <c r="CW52" s="11" t="s">
        <v>40</v>
      </c>
      <c r="CX52" s="242">
        <f>IF(第十四期!$CU$52*第十四期!CQ95&gt;0,第十四期!$CU$52+第十四期!CQ70+第十四期!CQ95+第十四期!CQ76,0)</f>
        <v>6250.22457253308</v>
      </c>
      <c r="CY52" s="242">
        <f>IF(第十四期!$CU$52*第十四期!CR95&gt;0,第十四期!$CU$52+第十四期!CR70+第十四期!CR95+第十四期!CR76,0)</f>
        <v>6138.22457253308</v>
      </c>
      <c r="CZ52" s="242">
        <f>IF(第十四期!$CU$52*第十四期!CS95&gt;0,第十四期!$CU$52+第十四期!CS70+第十四期!CS95+第十四期!CS76,0)</f>
        <v>6394.22457253308</v>
      </c>
      <c r="DA52" s="242">
        <f>IF(第十四期!$CU$52*第十四期!CT95&gt;0,第十四期!$CU$52+第十四期!CT70+第十四期!CT95+第十四期!CT76,0)</f>
        <v>6444.22457253308</v>
      </c>
      <c r="DB52" s="242">
        <f>AVERAGE(CX52:DA52)</f>
        <v>6306.72457253308</v>
      </c>
      <c r="DF52" s="65" t="s">
        <v>57</v>
      </c>
      <c r="DG52" s="245">
        <f>IF(第十四期!Y90&gt;0,1,0)</f>
        <v>1</v>
      </c>
      <c r="DH52" s="245">
        <f>IF(第十四期!Z90&gt;0,1,0)</f>
        <v>1</v>
      </c>
      <c r="DI52" s="245">
        <f>IF(第十四期!AA90&gt;0,1,0)</f>
        <v>1</v>
      </c>
      <c r="DJ52" s="245">
        <f>IF(第十四期!AB90&gt;0,1,0)</f>
        <v>1</v>
      </c>
      <c r="DL52" s="245" t="s">
        <v>23</v>
      </c>
      <c r="DM52" s="248">
        <f>IF(第十四期!Y11+第十四期!Z11&gt;0,1,0)</f>
        <v>0</v>
      </c>
      <c r="DN52" s="248">
        <f>IF(第十四期!AA11+第十四期!AB11&gt;0,1,0)</f>
        <v>1</v>
      </c>
      <c r="DO52" s="246"/>
    </row>
    <row r="53" customHeight="1" spans="2:119">
      <c r="B53" s="7"/>
      <c r="C53" s="25">
        <v>4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10"/>
      <c r="AK53" s="167">
        <f>Y20</f>
        <v>433.75</v>
      </c>
      <c r="AL53" s="168"/>
      <c r="AM53" s="168"/>
      <c r="AN53" s="169"/>
      <c r="CB53" s="196" t="s">
        <v>58</v>
      </c>
      <c r="CC53" s="108">
        <f t="shared" si="37"/>
        <v>676600</v>
      </c>
      <c r="CD53" s="108">
        <f t="shared" si="37"/>
        <v>1137150</v>
      </c>
      <c r="CE53" s="108">
        <f t="shared" si="37"/>
        <v>633150</v>
      </c>
      <c r="CF53" s="108">
        <f t="shared" si="37"/>
        <v>972000</v>
      </c>
      <c r="CG53" s="108">
        <f>SUM(CC50:CF53)</f>
        <v>11091470</v>
      </c>
      <c r="CH53" s="219"/>
      <c r="CI53" s="196" t="s">
        <v>58</v>
      </c>
      <c r="CJ53" s="108">
        <f t="shared" si="38"/>
        <v>13600</v>
      </c>
      <c r="CK53" s="108">
        <f t="shared" si="38"/>
        <v>23940</v>
      </c>
      <c r="CL53" s="108">
        <f t="shared" si="38"/>
        <v>12060</v>
      </c>
      <c r="CM53" s="108">
        <f t="shared" si="38"/>
        <v>21600</v>
      </c>
      <c r="CN53" s="108">
        <f>SUM(CJ50:CM53)</f>
        <v>226472</v>
      </c>
      <c r="CO53" s="219"/>
      <c r="CP53" s="65" t="s">
        <v>41</v>
      </c>
      <c r="CQ53" s="65">
        <f>第十四期!Y12*第十四期!CQ65*比赛参数!D65</f>
        <v>0</v>
      </c>
      <c r="CR53" s="65">
        <f>第十四期!Z12*第十四期!CR65*比赛参数!E65</f>
        <v>0</v>
      </c>
      <c r="CS53" s="65">
        <f>第十四期!AA12*第十四期!CS65*比赛参数!F65</f>
        <v>298080</v>
      </c>
      <c r="CT53" s="65">
        <f>第十四期!AB12*第十四期!CT65*比赛参数!G65</f>
        <v>388800</v>
      </c>
      <c r="CU53" s="65">
        <f>IF(第十四期!AC12&gt;0,SUM(CQ53:CT53)/第十四期!AC12,0)</f>
        <v>2662.32558139535</v>
      </c>
      <c r="CW53" s="11" t="s">
        <v>41</v>
      </c>
      <c r="CX53" s="242">
        <f>IF(第十四期!$CU$53*第十四期!CQ96&gt;0,第十四期!$CU$53+第十四期!CQ71+第十四期!CQ96+第十四期!CQ77,0)</f>
        <v>8256.5440909779</v>
      </c>
      <c r="CY53" s="242">
        <f>IF(第十四期!$CU$53*第十四期!CR96&gt;0,第十四期!$CU$53+第十四期!CR71+第十四期!CR96+第十四期!CR77,0)</f>
        <v>8118.5440909779</v>
      </c>
      <c r="CZ53" s="242">
        <f>IF(第十四期!$CU$53*第十四期!CS96&gt;0,第十四期!$CU$53+第十四期!CS71+第十四期!CS96+第十四期!CS77,0)</f>
        <v>8462.5440909779</v>
      </c>
      <c r="DA53" s="242">
        <f>IF(第十四期!$CU$53*第十四期!CT96&gt;0,第十四期!$CU$53+第十四期!CT71+第十四期!CT96+第十四期!CT77,0)</f>
        <v>8512.5440909779</v>
      </c>
      <c r="DB53" s="242">
        <f>AVERAGE(CX53:DA53)</f>
        <v>8337.5440909779</v>
      </c>
      <c r="DF53" s="65" t="s">
        <v>58</v>
      </c>
      <c r="DG53" s="245">
        <f>IF(第十四期!Y91&gt;0,1,0)</f>
        <v>1</v>
      </c>
      <c r="DH53" s="245">
        <f>IF(第十四期!Z91&gt;0,1,0)</f>
        <v>1</v>
      </c>
      <c r="DI53" s="245">
        <f>IF(第十四期!AA91&gt;0,1,0)</f>
        <v>1</v>
      </c>
      <c r="DJ53" s="245">
        <f>IF(第十四期!AB91&gt;0,1,0)</f>
        <v>1</v>
      </c>
      <c r="DL53" s="245" t="s">
        <v>24</v>
      </c>
      <c r="DM53" s="248">
        <f>IF(第十四期!Y12+第十四期!Z12&gt;0,1,0)</f>
        <v>0</v>
      </c>
      <c r="DN53" s="248">
        <f>IF(第十四期!AA12+第十四期!AB12&gt;0,1,0)</f>
        <v>1</v>
      </c>
      <c r="DO53" s="246"/>
    </row>
    <row r="54" customHeight="1" spans="2:119">
      <c r="B54" s="7"/>
      <c r="C54" s="25">
        <v>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10"/>
      <c r="AK54" s="126">
        <f>AA20</f>
        <v>338</v>
      </c>
      <c r="AL54" s="48"/>
      <c r="AM54" s="48"/>
      <c r="AN54" s="50"/>
      <c r="AR54" s="2" t="s">
        <v>25</v>
      </c>
      <c r="AS54" s="114">
        <f>SUM(AS33:AS52)/比赛参数!$G$4</f>
        <v>0</v>
      </c>
      <c r="AT54" s="114">
        <f>SUM(AT33:AT52)/比赛参数!$G$4</f>
        <v>0</v>
      </c>
      <c r="AU54" s="114">
        <f>SUM(AU33:AU52)/比赛参数!$G$4</f>
        <v>0</v>
      </c>
      <c r="AV54" s="114">
        <f>SUM(AV33:AV52)/比赛参数!$G$4</f>
        <v>0</v>
      </c>
      <c r="AW54" s="114">
        <f>SUM(AW33:AW52)/比赛参数!$G$4</f>
        <v>0</v>
      </c>
      <c r="AX54" s="114">
        <f>SUM(AX33:AX52)/比赛参数!$G$4</f>
        <v>0</v>
      </c>
      <c r="AY54" s="114">
        <f>SUM(AY33:AY52)/比赛参数!$G$4</f>
        <v>0</v>
      </c>
      <c r="AZ54" s="114">
        <f>SUM(AZ33:AZ52)/比赛参数!$G$4</f>
        <v>0</v>
      </c>
      <c r="BA54" s="114">
        <f>SUM(BA33:BA52)/比赛参数!$G$4</f>
        <v>0</v>
      </c>
      <c r="BB54" s="114">
        <f>SUM(BB33:BB52)/比赛参数!$G$4</f>
        <v>0</v>
      </c>
      <c r="BC54" s="114">
        <f>SUM(BC33:BC52)/比赛参数!$G$4</f>
        <v>0</v>
      </c>
      <c r="BD54" s="114">
        <f>SUM(BD33:BD52)/比赛参数!$G$4</f>
        <v>0</v>
      </c>
      <c r="BE54" s="114">
        <f>SUM(BE33:BE52)/比赛参数!$G$4</f>
        <v>0</v>
      </c>
      <c r="BF54" s="114">
        <f>SUM(BF33:BF52)/比赛参数!$G$4</f>
        <v>0</v>
      </c>
      <c r="BG54" s="114">
        <f>SUM(BG33:BG52)/比赛参数!$G$4</f>
        <v>0</v>
      </c>
      <c r="BH54" s="114">
        <f>SUM(BH33:BH52)/比赛参数!$G$4</f>
        <v>0</v>
      </c>
      <c r="BR54" s="91"/>
      <c r="BS54" s="208" t="s">
        <v>321</v>
      </c>
      <c r="BT54" s="208" t="s">
        <v>322</v>
      </c>
      <c r="BU54" s="208" t="s">
        <v>178</v>
      </c>
      <c r="BV54" s="208" t="s">
        <v>323</v>
      </c>
      <c r="BW54" s="126"/>
      <c r="CB54" s="219"/>
      <c r="CC54" s="219">
        <f>SUM(CC50:CC53)</f>
        <v>2188050</v>
      </c>
      <c r="CD54" s="219">
        <f>SUM(CD50:CD53)</f>
        <v>3683020</v>
      </c>
      <c r="CE54" s="219">
        <f>SUM(CE50:CE53)</f>
        <v>2069900</v>
      </c>
      <c r="CF54" s="219">
        <f>SUM(CF50:CF53)</f>
        <v>3150500</v>
      </c>
      <c r="CG54" s="219"/>
      <c r="CH54" s="219"/>
      <c r="CI54" s="219"/>
      <c r="CJ54" s="219"/>
      <c r="CK54" s="219"/>
      <c r="CL54" s="219"/>
      <c r="CM54" s="219"/>
      <c r="CN54" s="219"/>
      <c r="CO54" s="219"/>
      <c r="CP54" s="48"/>
      <c r="CQ54" s="48"/>
      <c r="CR54" s="48"/>
      <c r="CS54" s="48"/>
      <c r="CT54" s="48"/>
      <c r="CU54" s="48"/>
      <c r="CW54" s="48"/>
      <c r="CX54" s="243"/>
      <c r="CY54" s="243"/>
      <c r="CZ54" s="243"/>
      <c r="DA54" s="243"/>
      <c r="DB54" s="48"/>
      <c r="DF54" s="246"/>
      <c r="DG54" s="246"/>
      <c r="DH54" s="246"/>
      <c r="DI54" s="246"/>
      <c r="DJ54" s="246"/>
      <c r="DL54" s="246"/>
      <c r="DM54" s="246"/>
      <c r="DN54" s="246"/>
      <c r="DO54" s="246"/>
    </row>
    <row r="55" customHeight="1" spans="2:119">
      <c r="B55" s="7"/>
      <c r="C55" s="25">
        <v>6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10"/>
      <c r="Y55" s="2">
        <f>SUM(Y57:Y60)</f>
        <v>0</v>
      </c>
      <c r="Z55" s="2">
        <f>SUM(Z57:Z60)</f>
        <v>0</v>
      </c>
      <c r="AA55" s="2">
        <f>SUM(AA57:AA60)</f>
        <v>0</v>
      </c>
      <c r="AB55" s="2">
        <f>SUM(AB57:AB60)</f>
        <v>0</v>
      </c>
      <c r="AF55" s="2">
        <f>SUM(AF57:AF60)</f>
        <v>0</v>
      </c>
      <c r="AG55" s="2">
        <f>SUM(AG57:AG60)</f>
        <v>0</v>
      </c>
      <c r="AH55" s="2">
        <f>SUM(AH57:AH60)</f>
        <v>0</v>
      </c>
      <c r="AI55" s="2">
        <f>SUM(AI57:AI60)</f>
        <v>0</v>
      </c>
      <c r="AK55" s="126"/>
      <c r="AL55" s="48"/>
      <c r="AM55" s="48"/>
      <c r="AN55" s="50"/>
      <c r="BR55" s="209" t="s">
        <v>264</v>
      </c>
      <c r="BS55" s="130"/>
      <c r="BT55" s="130"/>
      <c r="BU55" s="130"/>
      <c r="BV55" s="130">
        <f>第十四期!K11</f>
        <v>6115713.98217115</v>
      </c>
      <c r="BW55" s="126"/>
      <c r="CB55" s="108"/>
      <c r="CC55" s="196" t="s">
        <v>38</v>
      </c>
      <c r="CD55" s="196" t="s">
        <v>39</v>
      </c>
      <c r="CE55" s="196" t="s">
        <v>40</v>
      </c>
      <c r="CF55" s="196" t="s">
        <v>41</v>
      </c>
      <c r="CG55" s="219"/>
      <c r="CH55" s="219"/>
      <c r="CI55" s="236" t="s">
        <v>324</v>
      </c>
      <c r="CJ55" s="195" t="s">
        <v>38</v>
      </c>
      <c r="CK55" s="195" t="s">
        <v>39</v>
      </c>
      <c r="CL55" s="195" t="s">
        <v>40</v>
      </c>
      <c r="CM55" s="195" t="s">
        <v>41</v>
      </c>
      <c r="CN55" s="219"/>
      <c r="CO55" s="219"/>
      <c r="CP55" s="65" t="s">
        <v>266</v>
      </c>
      <c r="CQ55" s="65" t="s">
        <v>224</v>
      </c>
      <c r="CR55" s="65" t="s">
        <v>225</v>
      </c>
      <c r="CS55" s="65" t="s">
        <v>226</v>
      </c>
      <c r="CT55" s="65" t="s">
        <v>227</v>
      </c>
      <c r="CU55" s="48"/>
      <c r="CW55" s="63" t="s">
        <v>173</v>
      </c>
      <c r="CX55" s="244" t="s">
        <v>55</v>
      </c>
      <c r="CY55" s="244" t="s">
        <v>56</v>
      </c>
      <c r="CZ55" s="244" t="s">
        <v>57</v>
      </c>
      <c r="DA55" s="244" t="s">
        <v>58</v>
      </c>
      <c r="DB55" s="11" t="s">
        <v>318</v>
      </c>
      <c r="DF55" s="247" t="s">
        <v>54</v>
      </c>
      <c r="DG55" s="247" t="s">
        <v>21</v>
      </c>
      <c r="DH55" s="247" t="s">
        <v>22</v>
      </c>
      <c r="DI55" s="247" t="s">
        <v>23</v>
      </c>
      <c r="DJ55" s="247" t="s">
        <v>24</v>
      </c>
      <c r="DL55" s="245" t="s">
        <v>77</v>
      </c>
      <c r="DM55" s="245" t="s">
        <v>78</v>
      </c>
      <c r="DN55" s="245" t="s">
        <v>79</v>
      </c>
      <c r="DO55" s="246"/>
    </row>
    <row r="56" customHeight="1" spans="2:118">
      <c r="B56" s="7"/>
      <c r="C56" s="25">
        <v>7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"/>
      <c r="X56" s="63" t="s">
        <v>325</v>
      </c>
      <c r="Y56" s="73" t="s">
        <v>38</v>
      </c>
      <c r="Z56" s="73" t="s">
        <v>39</v>
      </c>
      <c r="AA56" s="73" t="s">
        <v>40</v>
      </c>
      <c r="AB56" s="73" t="s">
        <v>41</v>
      </c>
      <c r="AC56" s="126"/>
      <c r="AE56" s="63" t="s">
        <v>326</v>
      </c>
      <c r="AF56" s="73" t="s">
        <v>38</v>
      </c>
      <c r="AG56" s="73" t="s">
        <v>39</v>
      </c>
      <c r="AH56" s="73" t="s">
        <v>40</v>
      </c>
      <c r="AI56" s="73" t="s">
        <v>41</v>
      </c>
      <c r="AJ56" s="48"/>
      <c r="AK56" s="126">
        <f>Y55</f>
        <v>0</v>
      </c>
      <c r="AL56" s="48">
        <f>Z55</f>
        <v>0</v>
      </c>
      <c r="AM56" s="48">
        <f>AA55</f>
        <v>0</v>
      </c>
      <c r="AN56" s="50">
        <f>AB55</f>
        <v>0</v>
      </c>
      <c r="AO56" s="189"/>
      <c r="AR56" s="11" t="s">
        <v>285</v>
      </c>
      <c r="BR56" s="209" t="s">
        <v>208</v>
      </c>
      <c r="BS56" s="130">
        <f>第十四期!AH14</f>
        <v>501231</v>
      </c>
      <c r="BT56" s="130"/>
      <c r="BU56" s="130"/>
      <c r="BV56" s="130">
        <f>BV55+BS56</f>
        <v>6616944.98217115</v>
      </c>
      <c r="BW56" s="126"/>
      <c r="CB56" s="196" t="s">
        <v>151</v>
      </c>
      <c r="CC56" s="108">
        <f>第十四期!DU26</f>
        <v>164</v>
      </c>
      <c r="CD56" s="108">
        <f>第十四期!DU27</f>
        <v>134</v>
      </c>
      <c r="CE56" s="108">
        <f>第十四期!DU28</f>
        <v>60</v>
      </c>
      <c r="CF56" s="108">
        <f>第十四期!DU29</f>
        <v>57</v>
      </c>
      <c r="CG56" s="219"/>
      <c r="CH56" s="219"/>
      <c r="CI56" s="197" t="s">
        <v>55</v>
      </c>
      <c r="CJ56" s="108">
        <f t="shared" ref="CJ56:CM59" si="39">Y108*(CJ19+CC27)</f>
        <v>13917.4136826561</v>
      </c>
      <c r="CK56" s="108">
        <f t="shared" si="39"/>
        <v>27480.9524177307</v>
      </c>
      <c r="CL56" s="108">
        <f t="shared" si="39"/>
        <v>14427.4258892522</v>
      </c>
      <c r="CM56" s="108">
        <f t="shared" si="39"/>
        <v>18733.7412431803</v>
      </c>
      <c r="CN56" s="219"/>
      <c r="CO56" s="219"/>
      <c r="CP56" s="65" t="s">
        <v>38</v>
      </c>
      <c r="CQ56" s="65">
        <f>比赛参数!$D$26</f>
        <v>100</v>
      </c>
      <c r="CR56" s="65">
        <f>比赛参数!$D$26</f>
        <v>100</v>
      </c>
      <c r="CS56" s="65">
        <f>比赛参数!$D$26</f>
        <v>100</v>
      </c>
      <c r="CT56" s="65">
        <f>比赛参数!$D$26</f>
        <v>100</v>
      </c>
      <c r="CU56" s="48"/>
      <c r="CW56" s="11" t="s">
        <v>38</v>
      </c>
      <c r="CX56" s="242">
        <f>第十四期!BS7-第十四期!CX50</f>
        <v>1309.26567123412</v>
      </c>
      <c r="CY56" s="242">
        <f>第十四期!BT7-第十四期!CY50</f>
        <v>1350.26567123412</v>
      </c>
      <c r="CZ56" s="242">
        <f>第十四期!BU7-第十四期!CZ50</f>
        <v>1342.26567123412</v>
      </c>
      <c r="DA56" s="242">
        <f>第十四期!BV7-第十四期!DA50</f>
        <v>1342.26567123412</v>
      </c>
      <c r="DB56" s="242">
        <f>AVERAGE(CX56:DA56)</f>
        <v>1336.01567123412</v>
      </c>
      <c r="DF56" s="247" t="s">
        <v>55</v>
      </c>
      <c r="DG56" s="247">
        <f>比赛参数!D9</f>
        <v>2011</v>
      </c>
      <c r="DH56" s="247">
        <f>比赛参数!H9</f>
        <v>9544</v>
      </c>
      <c r="DI56" s="247">
        <f>比赛参数!D10</f>
        <v>13222</v>
      </c>
      <c r="DJ56" s="247">
        <f>比赛参数!H10</f>
        <v>15500</v>
      </c>
      <c r="DL56" s="245" t="s">
        <v>21</v>
      </c>
      <c r="DM56" s="245">
        <f>比赛参数!D44*DM50</f>
        <v>10000</v>
      </c>
      <c r="DN56" s="245">
        <f>比赛参数!E44*DN50</f>
        <v>0</v>
      </c>
    </row>
    <row r="57" customHeight="1" spans="2:118">
      <c r="B57" s="7"/>
      <c r="C57" s="25">
        <v>8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0"/>
      <c r="X57" s="64" t="s">
        <v>55</v>
      </c>
      <c r="Y57" s="127">
        <f>第十四期!DX6</f>
        <v>0</v>
      </c>
      <c r="Z57" s="127">
        <f>第十四期!DX10</f>
        <v>0</v>
      </c>
      <c r="AA57" s="127">
        <f>第十四期!DX14</f>
        <v>0</v>
      </c>
      <c r="AB57" s="127">
        <f>第十四期!DX18</f>
        <v>0</v>
      </c>
      <c r="AC57" s="128"/>
      <c r="AE57" s="64" t="s">
        <v>55</v>
      </c>
      <c r="AF57" s="127">
        <f>第十四期!DW6</f>
        <v>0</v>
      </c>
      <c r="AG57" s="127">
        <f>第十四期!DW10</f>
        <v>0</v>
      </c>
      <c r="AH57" s="127">
        <f>第十四期!DW14</f>
        <v>0</v>
      </c>
      <c r="AI57" s="127">
        <f>第十四期!DW18</f>
        <v>0</v>
      </c>
      <c r="AJ57" s="126"/>
      <c r="AK57" s="126">
        <f>D42</f>
        <v>164</v>
      </c>
      <c r="AL57" s="48">
        <f>D43</f>
        <v>134</v>
      </c>
      <c r="AM57" s="48">
        <f>D44</f>
        <v>60</v>
      </c>
      <c r="AN57" s="50">
        <f>D45</f>
        <v>57</v>
      </c>
      <c r="AO57" s="173"/>
      <c r="AR57" s="190">
        <v>1</v>
      </c>
      <c r="AS57" s="191" t="str">
        <f t="shared" ref="AS57:BH72" si="40">IF(AS33="","",(AS33-AS$54)^2)</f>
        <v/>
      </c>
      <c r="AT57" s="191" t="str">
        <f t="shared" si="40"/>
        <v/>
      </c>
      <c r="AU57" s="191" t="str">
        <f t="shared" si="40"/>
        <v/>
      </c>
      <c r="AV57" s="191" t="str">
        <f t="shared" si="40"/>
        <v/>
      </c>
      <c r="AW57" s="191" t="str">
        <f t="shared" si="40"/>
        <v/>
      </c>
      <c r="AX57" s="191" t="str">
        <f t="shared" si="40"/>
        <v/>
      </c>
      <c r="AY57" s="191" t="str">
        <f t="shared" si="40"/>
        <v/>
      </c>
      <c r="AZ57" s="191" t="str">
        <f t="shared" si="40"/>
        <v/>
      </c>
      <c r="BA57" s="191" t="str">
        <f t="shared" si="40"/>
        <v/>
      </c>
      <c r="BB57" s="191" t="str">
        <f t="shared" si="40"/>
        <v/>
      </c>
      <c r="BC57" s="191" t="str">
        <f t="shared" si="40"/>
        <v/>
      </c>
      <c r="BD57" s="191" t="str">
        <f t="shared" si="40"/>
        <v/>
      </c>
      <c r="BE57" s="191" t="str">
        <f t="shared" si="40"/>
        <v/>
      </c>
      <c r="BF57" s="191" t="str">
        <f t="shared" si="40"/>
        <v/>
      </c>
      <c r="BG57" s="191" t="str">
        <f t="shared" si="40"/>
        <v/>
      </c>
      <c r="BH57" s="191" t="str">
        <f t="shared" si="40"/>
        <v/>
      </c>
      <c r="BR57" s="209" t="s">
        <v>295</v>
      </c>
      <c r="BS57" s="130">
        <f>第十四期!AH15</f>
        <v>1210339</v>
      </c>
      <c r="BT57" s="130"/>
      <c r="BU57" s="130"/>
      <c r="BV57" s="130">
        <f>BV56+BS57</f>
        <v>7827283.98217115</v>
      </c>
      <c r="BW57" s="126"/>
      <c r="CB57" s="196" t="s">
        <v>327</v>
      </c>
      <c r="CC57" s="108">
        <f>AC9</f>
        <v>710</v>
      </c>
      <c r="CD57" s="108">
        <f>AC10</f>
        <v>616</v>
      </c>
      <c r="CE57" s="108">
        <f>AC11</f>
        <v>211</v>
      </c>
      <c r="CF57" s="108">
        <f>AC12</f>
        <v>258</v>
      </c>
      <c r="CG57" s="219"/>
      <c r="CH57" s="219"/>
      <c r="CI57" s="196" t="s">
        <v>56</v>
      </c>
      <c r="CJ57" s="108">
        <f t="shared" si="39"/>
        <v>13307.0539704259</v>
      </c>
      <c r="CK57" s="108">
        <f t="shared" si="39"/>
        <v>26351.5286889172</v>
      </c>
      <c r="CL57" s="108">
        <f t="shared" si="39"/>
        <v>13889.007284601</v>
      </c>
      <c r="CM57" s="108">
        <f t="shared" si="39"/>
        <v>18079.7004268538</v>
      </c>
      <c r="CN57" s="219"/>
      <c r="CO57" s="219"/>
      <c r="CP57" s="65" t="s">
        <v>39</v>
      </c>
      <c r="CQ57" s="65">
        <f>比赛参数!$E$26</f>
        <v>250</v>
      </c>
      <c r="CR57" s="65">
        <f>比赛参数!$E$26</f>
        <v>250</v>
      </c>
      <c r="CS57" s="65">
        <f>比赛参数!$E$26</f>
        <v>250</v>
      </c>
      <c r="CT57" s="65">
        <f>比赛参数!$E$26</f>
        <v>250</v>
      </c>
      <c r="CU57" s="48"/>
      <c r="CW57" s="11" t="s">
        <v>39</v>
      </c>
      <c r="CX57" s="242">
        <f>第十四期!BS8-第十四期!CX51</f>
        <v>2317.72261964375</v>
      </c>
      <c r="CY57" s="242">
        <f>第十四期!BT8-第十四期!CY51</f>
        <v>2401.72261964375</v>
      </c>
      <c r="CZ57" s="242">
        <f>第十四期!BU8-第十四期!CZ51</f>
        <v>2404.72261964375</v>
      </c>
      <c r="DA57" s="242">
        <f>第十四期!BV8-第十四期!DA51</f>
        <v>2434.72261964375</v>
      </c>
      <c r="DB57" s="242">
        <f>AVERAGE(CX57:DA57)</f>
        <v>2389.72261964375</v>
      </c>
      <c r="DF57" s="247" t="s">
        <v>56</v>
      </c>
      <c r="DG57" s="247">
        <f>比赛参数!E9</f>
        <v>1289</v>
      </c>
      <c r="DH57" s="247">
        <f>比赛参数!I9</f>
        <v>7156</v>
      </c>
      <c r="DI57" s="247">
        <f>比赛参数!E10</f>
        <v>11278</v>
      </c>
      <c r="DJ57" s="247">
        <f>比赛参数!I10</f>
        <v>13000</v>
      </c>
      <c r="DL57" s="245" t="s">
        <v>22</v>
      </c>
      <c r="DM57" s="245">
        <f>比赛参数!D45*DM51</f>
        <v>15000</v>
      </c>
      <c r="DN57" s="245">
        <f>比赛参数!E45*DN51</f>
        <v>18000</v>
      </c>
    </row>
    <row r="58" customHeight="1" spans="2:118">
      <c r="B58" s="7"/>
      <c r="C58" s="25">
        <v>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10"/>
      <c r="X58" s="11" t="s">
        <v>56</v>
      </c>
      <c r="Y58" s="127">
        <f>第十四期!DX7</f>
        <v>0</v>
      </c>
      <c r="Z58" s="127">
        <f>第十四期!DX11</f>
        <v>0</v>
      </c>
      <c r="AA58" s="127">
        <f>第十四期!DX15</f>
        <v>0</v>
      </c>
      <c r="AB58" s="127">
        <f>第十四期!DX19</f>
        <v>0</v>
      </c>
      <c r="AC58" s="128"/>
      <c r="AE58" s="11" t="s">
        <v>56</v>
      </c>
      <c r="AF58" s="127">
        <f>第十四期!DW7</f>
        <v>0</v>
      </c>
      <c r="AG58" s="127">
        <f>第十四期!DW11</f>
        <v>0</v>
      </c>
      <c r="AH58" s="127">
        <f>第十四期!DW15</f>
        <v>0</v>
      </c>
      <c r="AI58" s="127">
        <f>第十四期!DW19</f>
        <v>0</v>
      </c>
      <c r="AK58" s="126">
        <f>AF55</f>
        <v>0</v>
      </c>
      <c r="AL58" s="48">
        <f>AG55</f>
        <v>0</v>
      </c>
      <c r="AM58" s="48">
        <f>AH55</f>
        <v>0</v>
      </c>
      <c r="AN58" s="50">
        <f>AI55</f>
        <v>0</v>
      </c>
      <c r="AR58" s="190">
        <v>2</v>
      </c>
      <c r="AS58" s="191" t="str">
        <f t="shared" si="40"/>
        <v/>
      </c>
      <c r="AT58" s="191" t="str">
        <f t="shared" si="40"/>
        <v/>
      </c>
      <c r="AU58" s="191" t="str">
        <f t="shared" si="40"/>
        <v/>
      </c>
      <c r="AV58" s="191" t="str">
        <f t="shared" si="40"/>
        <v/>
      </c>
      <c r="AW58" s="191" t="str">
        <f t="shared" si="40"/>
        <v/>
      </c>
      <c r="AX58" s="191" t="str">
        <f t="shared" si="40"/>
        <v/>
      </c>
      <c r="AY58" s="191" t="str">
        <f t="shared" si="40"/>
        <v/>
      </c>
      <c r="AZ58" s="191" t="str">
        <f t="shared" si="40"/>
        <v/>
      </c>
      <c r="BA58" s="191" t="str">
        <f t="shared" si="40"/>
        <v/>
      </c>
      <c r="BB58" s="191" t="str">
        <f t="shared" si="40"/>
        <v/>
      </c>
      <c r="BC58" s="191" t="str">
        <f t="shared" si="40"/>
        <v/>
      </c>
      <c r="BD58" s="191" t="str">
        <f t="shared" si="40"/>
        <v/>
      </c>
      <c r="BE58" s="191" t="str">
        <f t="shared" si="40"/>
        <v/>
      </c>
      <c r="BF58" s="191" t="str">
        <f t="shared" si="40"/>
        <v/>
      </c>
      <c r="BG58" s="191" t="str">
        <f t="shared" si="40"/>
        <v/>
      </c>
      <c r="BH58" s="191" t="str">
        <f t="shared" si="40"/>
        <v/>
      </c>
      <c r="BR58" s="209" t="s">
        <v>328</v>
      </c>
      <c r="BS58" s="130">
        <f>第十四期!H5+第十四期!H4*比赛参数!F71</f>
        <v>487262.6</v>
      </c>
      <c r="BT58" s="130"/>
      <c r="BU58" s="130"/>
      <c r="BV58" s="130">
        <f t="shared" ref="BV58:BV64" si="41">BV57-BS58</f>
        <v>7340021.38217115</v>
      </c>
      <c r="BW58" s="126"/>
      <c r="CB58" s="196" t="s">
        <v>329</v>
      </c>
      <c r="CC58" s="108">
        <f>Y92</f>
        <v>696</v>
      </c>
      <c r="CD58" s="108">
        <f>Z92</f>
        <v>596</v>
      </c>
      <c r="CE58" s="108">
        <f>AA92</f>
        <v>218</v>
      </c>
      <c r="CF58" s="108">
        <f>AB92</f>
        <v>250</v>
      </c>
      <c r="CG58" s="219"/>
      <c r="CH58" s="219"/>
      <c r="CI58" s="196" t="s">
        <v>57</v>
      </c>
      <c r="CJ58" s="108">
        <f t="shared" si="39"/>
        <v>22273.5155364626</v>
      </c>
      <c r="CK58" s="108">
        <f t="shared" si="39"/>
        <v>43487.4964232062</v>
      </c>
      <c r="CL58" s="108">
        <f t="shared" si="39"/>
        <v>22309.946444872</v>
      </c>
      <c r="CM58" s="108">
        <f t="shared" si="39"/>
        <v>38797.5447849643</v>
      </c>
      <c r="CN58" s="108" t="s">
        <v>308</v>
      </c>
      <c r="CO58" s="219"/>
      <c r="CP58" s="65" t="s">
        <v>40</v>
      </c>
      <c r="CQ58" s="65">
        <f>比赛参数!$F$26</f>
        <v>380</v>
      </c>
      <c r="CR58" s="65">
        <f>比赛参数!$F$26</f>
        <v>380</v>
      </c>
      <c r="CS58" s="65">
        <f>比赛参数!$F$26</f>
        <v>380</v>
      </c>
      <c r="CT58" s="65">
        <f>比赛参数!$F$26</f>
        <v>380</v>
      </c>
      <c r="CU58" s="48"/>
      <c r="CW58" s="11" t="s">
        <v>40</v>
      </c>
      <c r="CX58" s="242">
        <f>第十四期!BS9-第十四期!CX52</f>
        <v>3549.77542746692</v>
      </c>
      <c r="CY58" s="242">
        <f>第十四期!BT9-第十四期!CY52</f>
        <v>3661.77542746692</v>
      </c>
      <c r="CZ58" s="242">
        <f>第十四期!BU9-第十四期!CZ52</f>
        <v>3655.77542746692</v>
      </c>
      <c r="DA58" s="242">
        <f>第十四期!BV9-第十四期!DA52</f>
        <v>3605.77542746692</v>
      </c>
      <c r="DB58" s="242">
        <f>AVERAGE(CX58:DA58)</f>
        <v>3618.27542746692</v>
      </c>
      <c r="DF58" s="247" t="s">
        <v>57</v>
      </c>
      <c r="DG58" s="247">
        <f>比赛参数!F9</f>
        <v>4100</v>
      </c>
      <c r="DH58" s="247">
        <f>比赛参数!J9</f>
        <v>12000</v>
      </c>
      <c r="DI58" s="247">
        <f>比赛参数!F10</f>
        <v>16000</v>
      </c>
      <c r="DJ58" s="247">
        <f>比赛参数!J10</f>
        <v>18000</v>
      </c>
      <c r="DL58" s="245" t="s">
        <v>23</v>
      </c>
      <c r="DM58" s="245">
        <f>比赛参数!D46*DM52</f>
        <v>0</v>
      </c>
      <c r="DN58" s="245">
        <f>比赛参数!E46*DN52</f>
        <v>24000</v>
      </c>
    </row>
    <row r="59" customHeight="1" spans="2:118">
      <c r="B59" s="7"/>
      <c r="C59" s="25">
        <v>10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10"/>
      <c r="X59" s="11" t="s">
        <v>57</v>
      </c>
      <c r="Y59" s="127">
        <f>第十四期!DX8</f>
        <v>0</v>
      </c>
      <c r="Z59" s="127">
        <f>第十四期!DX12</f>
        <v>0</v>
      </c>
      <c r="AA59" s="127">
        <f>第十四期!DX16</f>
        <v>0</v>
      </c>
      <c r="AB59" s="127">
        <f>第十四期!DX20</f>
        <v>0</v>
      </c>
      <c r="AC59" s="129"/>
      <c r="AE59" s="11" t="s">
        <v>57</v>
      </c>
      <c r="AF59" s="127">
        <f>第十四期!DW8</f>
        <v>0</v>
      </c>
      <c r="AG59" s="127">
        <f>第十四期!DW12</f>
        <v>0</v>
      </c>
      <c r="AH59" s="127">
        <f>第十四期!DW16</f>
        <v>0</v>
      </c>
      <c r="AI59" s="127">
        <f>第十四期!DW20</f>
        <v>0</v>
      </c>
      <c r="AK59" s="126"/>
      <c r="AL59" s="48"/>
      <c r="AM59" s="48"/>
      <c r="AN59" s="50"/>
      <c r="AR59" s="190">
        <v>3</v>
      </c>
      <c r="AS59" s="191" t="str">
        <f t="shared" si="40"/>
        <v/>
      </c>
      <c r="AT59" s="191" t="str">
        <f t="shared" si="40"/>
        <v/>
      </c>
      <c r="AU59" s="191" t="str">
        <f t="shared" si="40"/>
        <v/>
      </c>
      <c r="AV59" s="191" t="str">
        <f t="shared" si="40"/>
        <v/>
      </c>
      <c r="AW59" s="191" t="str">
        <f t="shared" si="40"/>
        <v/>
      </c>
      <c r="AX59" s="191" t="str">
        <f t="shared" si="40"/>
        <v/>
      </c>
      <c r="AY59" s="191" t="str">
        <f t="shared" si="40"/>
        <v/>
      </c>
      <c r="AZ59" s="191" t="str">
        <f t="shared" si="40"/>
        <v/>
      </c>
      <c r="BA59" s="191" t="str">
        <f t="shared" si="40"/>
        <v/>
      </c>
      <c r="BB59" s="191" t="str">
        <f t="shared" si="40"/>
        <v/>
      </c>
      <c r="BC59" s="191" t="str">
        <f t="shared" si="40"/>
        <v/>
      </c>
      <c r="BD59" s="191" t="str">
        <f t="shared" si="40"/>
        <v/>
      </c>
      <c r="BE59" s="191" t="str">
        <f t="shared" si="40"/>
        <v/>
      </c>
      <c r="BF59" s="191" t="str">
        <f t="shared" si="40"/>
        <v/>
      </c>
      <c r="BG59" s="191" t="str">
        <f t="shared" si="40"/>
        <v/>
      </c>
      <c r="BH59" s="191" t="str">
        <f t="shared" si="40"/>
        <v/>
      </c>
      <c r="BR59" s="209" t="s">
        <v>330</v>
      </c>
      <c r="BS59" s="130">
        <f>第十四期!K14*比赛参数!D71/4</f>
        <v>258829.000625</v>
      </c>
      <c r="BT59" s="130"/>
      <c r="BU59" s="130">
        <f>BS59</f>
        <v>258829.000625</v>
      </c>
      <c r="BV59" s="130">
        <f t="shared" si="41"/>
        <v>7081192.38154615</v>
      </c>
      <c r="BW59" s="126"/>
      <c r="CB59" s="196" t="s">
        <v>331</v>
      </c>
      <c r="CC59" s="108">
        <f>AF108</f>
        <v>0</v>
      </c>
      <c r="CD59" s="108">
        <f>AG108</f>
        <v>0</v>
      </c>
      <c r="CE59" s="108">
        <f>AH108</f>
        <v>0</v>
      </c>
      <c r="CF59" s="108">
        <f>AI108</f>
        <v>0</v>
      </c>
      <c r="CG59" s="219"/>
      <c r="CH59" s="219"/>
      <c r="CI59" s="196" t="s">
        <v>58</v>
      </c>
      <c r="CJ59" s="108">
        <f t="shared" si="39"/>
        <v>23316.5777374195</v>
      </c>
      <c r="CK59" s="108">
        <f t="shared" si="39"/>
        <v>44437.4964232062</v>
      </c>
      <c r="CL59" s="108">
        <f t="shared" si="39"/>
        <v>22655.4009903265</v>
      </c>
      <c r="CM59" s="108">
        <f t="shared" si="39"/>
        <v>39276.4921533853</v>
      </c>
      <c r="CN59" s="108">
        <f>SUM(CJ56:CM59)</f>
        <v>402741.29409746</v>
      </c>
      <c r="CO59" s="219"/>
      <c r="CP59" s="65" t="s">
        <v>41</v>
      </c>
      <c r="CQ59" s="65">
        <f>比赛参数!$G$26</f>
        <v>520</v>
      </c>
      <c r="CR59" s="65">
        <f>比赛参数!$G$26</f>
        <v>520</v>
      </c>
      <c r="CS59" s="65">
        <f>比赛参数!$G$26</f>
        <v>520</v>
      </c>
      <c r="CT59" s="65">
        <f>比赛参数!$G$26</f>
        <v>520</v>
      </c>
      <c r="CU59" s="48"/>
      <c r="CW59" s="11" t="s">
        <v>41</v>
      </c>
      <c r="CX59" s="242">
        <f>第十四期!BS10-第十四期!CX53</f>
        <v>4693.4559090221</v>
      </c>
      <c r="CY59" s="242">
        <f>第十四期!BT10-第十四期!CY53</f>
        <v>4831.4559090221</v>
      </c>
      <c r="CZ59" s="242">
        <f>第十四期!BU10-第十四期!CZ53</f>
        <v>4887.4559090221</v>
      </c>
      <c r="DA59" s="242">
        <f>第十四期!BV10-第十四期!DA53</f>
        <v>4987.4559090221</v>
      </c>
      <c r="DB59" s="242">
        <f>AVERAGE(CX59:DA59)</f>
        <v>4849.9559090221</v>
      </c>
      <c r="DF59" s="247" t="s">
        <v>58</v>
      </c>
      <c r="DG59" s="247">
        <f>比赛参数!G9</f>
        <v>5000</v>
      </c>
      <c r="DH59" s="247">
        <f>比赛参数!K9</f>
        <v>13000</v>
      </c>
      <c r="DI59" s="247">
        <f>比赛参数!G10</f>
        <v>17000</v>
      </c>
      <c r="DJ59" s="247">
        <f>比赛参数!K10</f>
        <v>19500</v>
      </c>
      <c r="DL59" s="245" t="s">
        <v>24</v>
      </c>
      <c r="DM59" s="245">
        <f>比赛参数!D47*DM53</f>
        <v>0</v>
      </c>
      <c r="DN59" s="245">
        <f>比赛参数!E47*DN53</f>
        <v>35000</v>
      </c>
    </row>
    <row r="60" customHeight="1" spans="2:118">
      <c r="B60" s="7"/>
      <c r="C60" s="25">
        <v>11</v>
      </c>
      <c r="D60" s="26">
        <v>3250</v>
      </c>
      <c r="E60" s="26">
        <v>3250</v>
      </c>
      <c r="F60" s="26">
        <v>3400</v>
      </c>
      <c r="G60" s="26">
        <v>3450</v>
      </c>
      <c r="H60" s="26">
        <v>6400</v>
      </c>
      <c r="I60" s="26">
        <v>6400</v>
      </c>
      <c r="J60" s="26">
        <v>6620</v>
      </c>
      <c r="K60" s="26">
        <v>6700</v>
      </c>
      <c r="L60" s="26">
        <v>9850</v>
      </c>
      <c r="M60" s="26">
        <v>9850</v>
      </c>
      <c r="N60" s="26">
        <v>10100</v>
      </c>
      <c r="O60" s="26">
        <v>10100</v>
      </c>
      <c r="P60" s="26">
        <v>12950</v>
      </c>
      <c r="Q60" s="26">
        <v>12950</v>
      </c>
      <c r="R60" s="26">
        <v>13350</v>
      </c>
      <c r="S60" s="26">
        <v>13500</v>
      </c>
      <c r="T60" s="10"/>
      <c r="X60" s="11" t="s">
        <v>58</v>
      </c>
      <c r="Y60" s="127">
        <f>第十四期!DX9</f>
        <v>0</v>
      </c>
      <c r="Z60" s="127">
        <f>第十四期!DX13</f>
        <v>0</v>
      </c>
      <c r="AA60" s="127">
        <f>第十四期!DX17</f>
        <v>0</v>
      </c>
      <c r="AB60" s="127">
        <f>第十四期!DX21</f>
        <v>0</v>
      </c>
      <c r="AC60" s="108" t="s">
        <v>308</v>
      </c>
      <c r="AE60" s="11" t="s">
        <v>58</v>
      </c>
      <c r="AF60" s="127">
        <f>第十四期!DW9</f>
        <v>0</v>
      </c>
      <c r="AG60" s="127">
        <f>第十四期!DW13</f>
        <v>0</v>
      </c>
      <c r="AH60" s="127">
        <f>第十四期!DW17</f>
        <v>0</v>
      </c>
      <c r="AI60" s="127">
        <f>第十四期!DW21</f>
        <v>0</v>
      </c>
      <c r="AK60" s="126">
        <f>AF74</f>
        <v>146.75</v>
      </c>
      <c r="AL60" s="48">
        <f>AG74</f>
        <v>126.25</v>
      </c>
      <c r="AM60" s="48">
        <f>AH74</f>
        <v>64.5</v>
      </c>
      <c r="AN60" s="50">
        <f>AI74</f>
        <v>53.75</v>
      </c>
      <c r="AR60" s="190">
        <v>4</v>
      </c>
      <c r="AS60" s="191" t="str">
        <f t="shared" si="40"/>
        <v/>
      </c>
      <c r="AT60" s="191" t="str">
        <f t="shared" si="40"/>
        <v/>
      </c>
      <c r="AU60" s="191" t="str">
        <f t="shared" si="40"/>
        <v/>
      </c>
      <c r="AV60" s="191" t="str">
        <f t="shared" si="40"/>
        <v/>
      </c>
      <c r="AW60" s="191" t="str">
        <f t="shared" si="40"/>
        <v/>
      </c>
      <c r="AX60" s="191" t="str">
        <f t="shared" si="40"/>
        <v/>
      </c>
      <c r="AY60" s="191" t="str">
        <f t="shared" si="40"/>
        <v/>
      </c>
      <c r="AZ60" s="191" t="str">
        <f t="shared" si="40"/>
        <v/>
      </c>
      <c r="BA60" s="191" t="str">
        <f t="shared" si="40"/>
        <v/>
      </c>
      <c r="BB60" s="191" t="str">
        <f t="shared" si="40"/>
        <v/>
      </c>
      <c r="BC60" s="191" t="str">
        <f t="shared" si="40"/>
        <v/>
      </c>
      <c r="BD60" s="191" t="str">
        <f t="shared" si="40"/>
        <v/>
      </c>
      <c r="BE60" s="191" t="str">
        <f t="shared" si="40"/>
        <v/>
      </c>
      <c r="BF60" s="191" t="str">
        <f t="shared" si="40"/>
        <v/>
      </c>
      <c r="BG60" s="191" t="str">
        <f t="shared" si="40"/>
        <v/>
      </c>
      <c r="BH60" s="191" t="str">
        <f t="shared" si="40"/>
        <v/>
      </c>
      <c r="BR60" s="209" t="s">
        <v>332</v>
      </c>
      <c r="BS60" s="130">
        <f>第十四期!Y18*比赛参数!D58</f>
        <v>19000</v>
      </c>
      <c r="BT60" s="130"/>
      <c r="BU60" s="130">
        <f>BU59+BS60</f>
        <v>277829.000625</v>
      </c>
      <c r="BV60" s="130">
        <f t="shared" si="41"/>
        <v>7062192.38154615</v>
      </c>
      <c r="BW60" s="126"/>
      <c r="CB60" s="196" t="s">
        <v>333</v>
      </c>
      <c r="CC60" s="108">
        <f>SUM(Y57:Y60)+CC56</f>
        <v>164</v>
      </c>
      <c r="CD60" s="108">
        <f>SUM(Z57:Z60)+CD56</f>
        <v>134</v>
      </c>
      <c r="CE60" s="108">
        <f>SUM(AA57:AA60)+CE56</f>
        <v>60</v>
      </c>
      <c r="CF60" s="108">
        <f>SUM(AB57:AB60)+CF56</f>
        <v>57</v>
      </c>
      <c r="CG60" s="219"/>
      <c r="CH60" s="219"/>
      <c r="CI60" s="219"/>
      <c r="CJ60" s="219"/>
      <c r="CK60" s="219"/>
      <c r="CL60" s="219"/>
      <c r="CM60" s="219"/>
      <c r="CN60" s="219"/>
      <c r="CO60" s="219"/>
      <c r="CP60" s="48"/>
      <c r="CQ60" s="48"/>
      <c r="CR60" s="48"/>
      <c r="CS60" s="48"/>
      <c r="CT60" s="48"/>
      <c r="CU60" s="48"/>
      <c r="CW60" s="48"/>
      <c r="CX60" s="243"/>
      <c r="CY60" s="243"/>
      <c r="CZ60" s="243"/>
      <c r="DA60" s="243"/>
      <c r="DB60" s="48"/>
      <c r="DF60" s="246"/>
      <c r="DG60" s="246"/>
      <c r="DH60" s="246"/>
      <c r="DI60" s="246"/>
      <c r="DJ60" s="246"/>
      <c r="DL60" s="246" t="s">
        <v>308</v>
      </c>
      <c r="DM60" s="246">
        <f>SUM(DM56:DN59)</f>
        <v>102000</v>
      </c>
      <c r="DN60" s="246"/>
    </row>
    <row r="61" customHeight="1" spans="2:118">
      <c r="B61" s="7"/>
      <c r="C61" s="25">
        <v>12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10"/>
      <c r="X61" s="65" t="s">
        <v>334</v>
      </c>
      <c r="Y61" s="130">
        <f>Y57*AF86+Y58*AF87+Y59*AF88+Y60*AF89</f>
        <v>0</v>
      </c>
      <c r="Z61" s="130">
        <f>Z57*AG86+Z58*AG87+Z59*AG88+Z60*AG89</f>
        <v>0</v>
      </c>
      <c r="AA61" s="130">
        <f>AA57*AH86+AA58*AH87+AA59*AH88+AA60*AH89</f>
        <v>0</v>
      </c>
      <c r="AB61" s="130">
        <f>AB57*AI86+AB58*AI87+AB59*AI88+AB60*AI89</f>
        <v>0</v>
      </c>
      <c r="AC61" s="130">
        <f>SUM(Y61:AB61)</f>
        <v>0</v>
      </c>
      <c r="AE61" s="48"/>
      <c r="AF61" s="48"/>
      <c r="AG61" s="48"/>
      <c r="AH61" s="48"/>
      <c r="AI61" s="48"/>
      <c r="AK61" s="170">
        <f>AF82</f>
        <v>3356.55877342419</v>
      </c>
      <c r="AL61" s="171">
        <f>AG82</f>
        <v>6555.48514851485</v>
      </c>
      <c r="AM61" s="171">
        <f>AH82</f>
        <v>9990.50387596899</v>
      </c>
      <c r="AN61" s="172">
        <f>AI82</f>
        <v>13219.5348837209</v>
      </c>
      <c r="AR61" s="190">
        <v>5</v>
      </c>
      <c r="AS61" s="191" t="str">
        <f t="shared" si="40"/>
        <v/>
      </c>
      <c r="AT61" s="191" t="str">
        <f t="shared" si="40"/>
        <v/>
      </c>
      <c r="AU61" s="191" t="str">
        <f t="shared" si="40"/>
        <v/>
      </c>
      <c r="AV61" s="191" t="str">
        <f t="shared" si="40"/>
        <v/>
      </c>
      <c r="AW61" s="191" t="str">
        <f t="shared" si="40"/>
        <v/>
      </c>
      <c r="AX61" s="191" t="str">
        <f t="shared" si="40"/>
        <v/>
      </c>
      <c r="AY61" s="191" t="str">
        <f t="shared" si="40"/>
        <v/>
      </c>
      <c r="AZ61" s="191" t="str">
        <f t="shared" si="40"/>
        <v/>
      </c>
      <c r="BA61" s="191" t="str">
        <f t="shared" si="40"/>
        <v/>
      </c>
      <c r="BB61" s="191" t="str">
        <f t="shared" si="40"/>
        <v/>
      </c>
      <c r="BC61" s="191" t="str">
        <f t="shared" si="40"/>
        <v/>
      </c>
      <c r="BD61" s="191" t="str">
        <f t="shared" si="40"/>
        <v/>
      </c>
      <c r="BE61" s="191" t="str">
        <f t="shared" si="40"/>
        <v/>
      </c>
      <c r="BF61" s="191" t="str">
        <f t="shared" si="40"/>
        <v/>
      </c>
      <c r="BG61" s="191" t="str">
        <f t="shared" si="40"/>
        <v/>
      </c>
      <c r="BH61" s="191" t="str">
        <f t="shared" si="40"/>
        <v/>
      </c>
      <c r="BR61" s="209" t="s">
        <v>335</v>
      </c>
      <c r="BS61" s="130">
        <f>第十四期!AA18*比赛参数!D62</f>
        <v>28000</v>
      </c>
      <c r="BT61" s="130"/>
      <c r="BU61" s="130">
        <f>BU60+BS61</f>
        <v>305829.000625</v>
      </c>
      <c r="BV61" s="130">
        <f t="shared" si="41"/>
        <v>7034192.38154615</v>
      </c>
      <c r="BW61" s="126"/>
      <c r="CB61" s="196" t="s">
        <v>35</v>
      </c>
      <c r="CC61" s="108">
        <f>CC56+CC57-CC58+CC59</f>
        <v>178</v>
      </c>
      <c r="CD61" s="108">
        <f>CD56+CD57-CD58+CD59</f>
        <v>154</v>
      </c>
      <c r="CE61" s="108">
        <f>CE56+CE57-CE58+CE59</f>
        <v>53</v>
      </c>
      <c r="CF61" s="108">
        <f>CF56+CF57-CF58+CF59</f>
        <v>65</v>
      </c>
      <c r="CG61" s="219"/>
      <c r="CH61" s="219"/>
      <c r="CI61" s="219"/>
      <c r="CJ61" s="219"/>
      <c r="CK61" s="219"/>
      <c r="CL61" s="219"/>
      <c r="CM61" s="219"/>
      <c r="CN61" s="219"/>
      <c r="CO61" s="219"/>
      <c r="CP61" s="65" t="s">
        <v>296</v>
      </c>
      <c r="CQ61" s="65" t="s">
        <v>224</v>
      </c>
      <c r="CR61" s="65" t="s">
        <v>225</v>
      </c>
      <c r="CS61" s="65" t="s">
        <v>226</v>
      </c>
      <c r="CT61" s="65" t="s">
        <v>227</v>
      </c>
      <c r="CU61" s="48"/>
      <c r="CW61" s="63" t="s">
        <v>297</v>
      </c>
      <c r="CX61" s="244" t="s">
        <v>55</v>
      </c>
      <c r="CY61" s="244" t="s">
        <v>56</v>
      </c>
      <c r="CZ61" s="244" t="s">
        <v>57</v>
      </c>
      <c r="DA61" s="244" t="s">
        <v>58</v>
      </c>
      <c r="DB61" s="11" t="s">
        <v>318</v>
      </c>
      <c r="DF61" s="246"/>
      <c r="DG61" s="246"/>
      <c r="DH61" s="246"/>
      <c r="DI61" s="246"/>
      <c r="DJ61" s="246"/>
      <c r="DN61" s="246"/>
    </row>
    <row r="62" customHeight="1" spans="2:114">
      <c r="B62" s="7"/>
      <c r="C62" s="25">
        <v>13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10"/>
      <c r="AE62" s="48"/>
      <c r="AF62" s="48"/>
      <c r="AG62" s="48"/>
      <c r="AH62" s="48"/>
      <c r="AI62" s="48"/>
      <c r="AJ62" s="48"/>
      <c r="AL62" s="48"/>
      <c r="AN62" s="173"/>
      <c r="AO62" s="173"/>
      <c r="AR62" s="190">
        <v>6</v>
      </c>
      <c r="AS62" s="191" t="str">
        <f t="shared" si="40"/>
        <v/>
      </c>
      <c r="AT62" s="191" t="str">
        <f t="shared" si="40"/>
        <v/>
      </c>
      <c r="AU62" s="191" t="str">
        <f t="shared" si="40"/>
        <v/>
      </c>
      <c r="AV62" s="191" t="str">
        <f t="shared" si="40"/>
        <v/>
      </c>
      <c r="AW62" s="191" t="str">
        <f t="shared" si="40"/>
        <v/>
      </c>
      <c r="AX62" s="191" t="str">
        <f t="shared" si="40"/>
        <v/>
      </c>
      <c r="AY62" s="191" t="str">
        <f t="shared" si="40"/>
        <v/>
      </c>
      <c r="AZ62" s="191" t="str">
        <f t="shared" si="40"/>
        <v/>
      </c>
      <c r="BA62" s="191" t="str">
        <f t="shared" si="40"/>
        <v/>
      </c>
      <c r="BB62" s="191" t="str">
        <f t="shared" si="40"/>
        <v/>
      </c>
      <c r="BC62" s="191" t="str">
        <f t="shared" si="40"/>
        <v/>
      </c>
      <c r="BD62" s="191" t="str">
        <f t="shared" si="40"/>
        <v/>
      </c>
      <c r="BE62" s="191" t="str">
        <f t="shared" si="40"/>
        <v/>
      </c>
      <c r="BF62" s="191" t="str">
        <f t="shared" si="40"/>
        <v/>
      </c>
      <c r="BG62" s="191" t="str">
        <f t="shared" si="40"/>
        <v/>
      </c>
      <c r="BH62" s="191" t="str">
        <f t="shared" si="40"/>
        <v/>
      </c>
      <c r="BR62" s="209" t="s">
        <v>336</v>
      </c>
      <c r="BS62" s="130">
        <f>((第十四期!K8-第十四期!AA18)*比赛参数!D65+第十四期!Y18*比赛参数!D59*比赛参数!D65)*第十四期!AH18*520</f>
        <v>2255500</v>
      </c>
      <c r="BT62" s="130"/>
      <c r="BU62" s="130">
        <f>BU61+BS62</f>
        <v>2561329.000625</v>
      </c>
      <c r="BV62" s="130">
        <f t="shared" si="41"/>
        <v>4778692.38154615</v>
      </c>
      <c r="BW62" s="126"/>
      <c r="CB62" s="196" t="s">
        <v>337</v>
      </c>
      <c r="CC62" s="108">
        <f>比赛参数!D19</f>
        <v>40</v>
      </c>
      <c r="CD62" s="108">
        <f>比赛参数!D20</f>
        <v>60</v>
      </c>
      <c r="CE62" s="108">
        <f>比赛参数!D21</f>
        <v>120</v>
      </c>
      <c r="CF62" s="108">
        <f>比赛参数!D22</f>
        <v>140</v>
      </c>
      <c r="CG62" s="219"/>
      <c r="CH62" s="219"/>
      <c r="CI62" s="219"/>
      <c r="CJ62" s="219"/>
      <c r="CK62" s="219"/>
      <c r="CL62" s="219"/>
      <c r="CM62" s="219"/>
      <c r="CN62" s="219"/>
      <c r="CO62" s="219"/>
      <c r="CP62" s="65" t="s">
        <v>38</v>
      </c>
      <c r="CQ62" s="65">
        <f>比赛参数!$D$27</f>
        <v>120</v>
      </c>
      <c r="CR62" s="65">
        <f>比赛参数!$D$27</f>
        <v>120</v>
      </c>
      <c r="CS62" s="65">
        <f>比赛参数!$D$27</f>
        <v>120</v>
      </c>
      <c r="CT62" s="65">
        <f>比赛参数!$D$27</f>
        <v>120</v>
      </c>
      <c r="CU62" s="48"/>
      <c r="CW62" s="11" t="s">
        <v>38</v>
      </c>
      <c r="CX62" s="242">
        <f>CX56/第十四期!CQ56</f>
        <v>13.0926567123412</v>
      </c>
      <c r="CY62" s="242">
        <f>CY56/第十四期!CR56</f>
        <v>13.5026567123412</v>
      </c>
      <c r="CZ62" s="242">
        <f>CZ56/第十四期!CS56</f>
        <v>13.4226567123412</v>
      </c>
      <c r="DA62" s="242">
        <f>DA56/第十四期!CT56</f>
        <v>13.4226567123412</v>
      </c>
      <c r="DB62" s="242">
        <f>AVERAGE(CX62:DA62)</f>
        <v>13.3601567123412</v>
      </c>
      <c r="DF62" s="246"/>
      <c r="DG62" s="246"/>
      <c r="DH62" s="246"/>
      <c r="DI62" s="246"/>
      <c r="DJ62" s="246"/>
    </row>
    <row r="63" customHeight="1" spans="2:114">
      <c r="B63" s="7"/>
      <c r="C63" s="25">
        <v>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10"/>
      <c r="X63" s="63" t="s">
        <v>338</v>
      </c>
      <c r="Y63" s="73" t="s">
        <v>38</v>
      </c>
      <c r="Z63" s="73" t="s">
        <v>39</v>
      </c>
      <c r="AA63" s="73" t="s">
        <v>40</v>
      </c>
      <c r="AB63" s="73" t="s">
        <v>41</v>
      </c>
      <c r="AC63" s="126"/>
      <c r="AE63" s="63" t="s">
        <v>339</v>
      </c>
      <c r="AF63" s="73" t="s">
        <v>38</v>
      </c>
      <c r="AG63" s="73" t="s">
        <v>39</v>
      </c>
      <c r="AH63" s="73" t="s">
        <v>40</v>
      </c>
      <c r="AI63" s="73" t="s">
        <v>41</v>
      </c>
      <c r="AJ63" s="126"/>
      <c r="AL63" s="48"/>
      <c r="AN63" s="173"/>
      <c r="AO63" s="173"/>
      <c r="AR63" s="190">
        <v>7</v>
      </c>
      <c r="AS63" s="191" t="str">
        <f t="shared" si="40"/>
        <v/>
      </c>
      <c r="AT63" s="191" t="str">
        <f t="shared" si="40"/>
        <v/>
      </c>
      <c r="AU63" s="191" t="str">
        <f t="shared" si="40"/>
        <v/>
      </c>
      <c r="AV63" s="191" t="str">
        <f t="shared" si="40"/>
        <v/>
      </c>
      <c r="AW63" s="191" t="str">
        <f t="shared" si="40"/>
        <v/>
      </c>
      <c r="AX63" s="191" t="str">
        <f t="shared" si="40"/>
        <v/>
      </c>
      <c r="AY63" s="191" t="str">
        <f t="shared" si="40"/>
        <v/>
      </c>
      <c r="AZ63" s="191" t="str">
        <f t="shared" si="40"/>
        <v/>
      </c>
      <c r="BA63" s="191" t="str">
        <f t="shared" si="40"/>
        <v/>
      </c>
      <c r="BB63" s="191" t="str">
        <f t="shared" si="40"/>
        <v/>
      </c>
      <c r="BC63" s="191" t="str">
        <f t="shared" si="40"/>
        <v/>
      </c>
      <c r="BD63" s="191" t="str">
        <f t="shared" si="40"/>
        <v/>
      </c>
      <c r="BE63" s="191" t="str">
        <f t="shared" si="40"/>
        <v/>
      </c>
      <c r="BF63" s="191" t="str">
        <f t="shared" si="40"/>
        <v/>
      </c>
      <c r="BG63" s="191" t="str">
        <f t="shared" si="40"/>
        <v/>
      </c>
      <c r="BH63" s="191" t="str">
        <f t="shared" si="40"/>
        <v/>
      </c>
      <c r="BR63" s="209" t="s">
        <v>80</v>
      </c>
      <c r="BS63" s="130">
        <f>第十四期!K9*比赛参数!D49</f>
        <v>101400</v>
      </c>
      <c r="BT63" s="130"/>
      <c r="BU63" s="130">
        <f>BU62+BS63</f>
        <v>2662729.000625</v>
      </c>
      <c r="BV63" s="130">
        <f t="shared" si="41"/>
        <v>4677292.38154615</v>
      </c>
      <c r="BW63" s="126"/>
      <c r="CB63" s="196" t="s">
        <v>229</v>
      </c>
      <c r="CC63" s="237">
        <f>AM26</f>
        <v>2269.23076923077</v>
      </c>
      <c r="CD63" s="108">
        <f>AM27</f>
        <v>4623.07692307692</v>
      </c>
      <c r="CE63" s="108">
        <f>AM28</f>
        <v>6723.07692307692</v>
      </c>
      <c r="CF63" s="108">
        <f>AM29</f>
        <v>9000</v>
      </c>
      <c r="CG63" s="219"/>
      <c r="CH63" s="219"/>
      <c r="CI63" s="219"/>
      <c r="CJ63" s="219"/>
      <c r="CK63" s="219"/>
      <c r="CL63" s="219"/>
      <c r="CM63" s="219"/>
      <c r="CN63" s="219"/>
      <c r="CO63" s="219"/>
      <c r="CP63" s="65" t="s">
        <v>39</v>
      </c>
      <c r="CQ63" s="65">
        <f>比赛参数!$E$27</f>
        <v>150</v>
      </c>
      <c r="CR63" s="65">
        <f>比赛参数!$E$27</f>
        <v>150</v>
      </c>
      <c r="CS63" s="65">
        <f>比赛参数!$E$27</f>
        <v>150</v>
      </c>
      <c r="CT63" s="65">
        <f>比赛参数!$E$27</f>
        <v>150</v>
      </c>
      <c r="CU63" s="48"/>
      <c r="CW63" s="11" t="s">
        <v>39</v>
      </c>
      <c r="CX63" s="242">
        <f>CX57/第十四期!CQ57</f>
        <v>9.27089047857501</v>
      </c>
      <c r="CY63" s="242">
        <f>CY57/第十四期!CR57</f>
        <v>9.60689047857501</v>
      </c>
      <c r="CZ63" s="242">
        <f>CZ57/第十四期!CS57</f>
        <v>9.61889047857501</v>
      </c>
      <c r="DA63" s="242">
        <f>DA57/第十四期!CT57</f>
        <v>9.738890478575</v>
      </c>
      <c r="DB63" s="242">
        <f>AVERAGE(CX63:DA63)</f>
        <v>9.55889047857501</v>
      </c>
      <c r="DF63" s="247" t="s">
        <v>61</v>
      </c>
      <c r="DG63" s="247" t="s">
        <v>21</v>
      </c>
      <c r="DH63" s="247" t="s">
        <v>22</v>
      </c>
      <c r="DI63" s="247" t="s">
        <v>23</v>
      </c>
      <c r="DJ63" s="247" t="s">
        <v>24</v>
      </c>
    </row>
    <row r="64" customHeight="1" spans="2:114">
      <c r="B64" s="7"/>
      <c r="C64" s="25">
        <v>15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10"/>
      <c r="X64" s="64" t="s">
        <v>55</v>
      </c>
      <c r="Y64" s="108">
        <f t="shared" ref="Y64:AB67" si="42">AF64-AF70</f>
        <v>17</v>
      </c>
      <c r="Z64" s="108">
        <f t="shared" si="42"/>
        <v>10</v>
      </c>
      <c r="AA64" s="108">
        <f t="shared" si="42"/>
        <v>-15</v>
      </c>
      <c r="AB64" s="108">
        <f t="shared" si="42"/>
        <v>0</v>
      </c>
      <c r="AC64" s="126"/>
      <c r="AE64" s="64" t="s">
        <v>55</v>
      </c>
      <c r="AF64" s="131">
        <f t="shared" ref="AF64:AI67" si="43">IF(Y88+Y57-AF57-Y108&gt;0,Y88+Y57-AF57-Y108,0)</f>
        <v>132</v>
      </c>
      <c r="AG64" s="131">
        <f t="shared" si="43"/>
        <v>112</v>
      </c>
      <c r="AH64" s="131">
        <f t="shared" si="43"/>
        <v>41</v>
      </c>
      <c r="AI64" s="131">
        <f t="shared" si="43"/>
        <v>47</v>
      </c>
      <c r="AJ64" s="126"/>
      <c r="AL64" s="48"/>
      <c r="AN64" s="173"/>
      <c r="AO64" s="173"/>
      <c r="AR64" s="190">
        <v>8</v>
      </c>
      <c r="AS64" s="191" t="str">
        <f t="shared" si="40"/>
        <v/>
      </c>
      <c r="AT64" s="191" t="str">
        <f t="shared" si="40"/>
        <v/>
      </c>
      <c r="AU64" s="191" t="str">
        <f t="shared" si="40"/>
        <v/>
      </c>
      <c r="AV64" s="191" t="str">
        <f t="shared" si="40"/>
        <v/>
      </c>
      <c r="AW64" s="191" t="str">
        <f t="shared" si="40"/>
        <v/>
      </c>
      <c r="AX64" s="191" t="str">
        <f t="shared" si="40"/>
        <v/>
      </c>
      <c r="AY64" s="191" t="str">
        <f t="shared" si="40"/>
        <v/>
      </c>
      <c r="AZ64" s="191" t="str">
        <f t="shared" si="40"/>
        <v/>
      </c>
      <c r="BA64" s="191" t="str">
        <f t="shared" si="40"/>
        <v/>
      </c>
      <c r="BB64" s="191" t="str">
        <f t="shared" si="40"/>
        <v/>
      </c>
      <c r="BC64" s="191" t="str">
        <f t="shared" si="40"/>
        <v/>
      </c>
      <c r="BD64" s="191" t="str">
        <f t="shared" si="40"/>
        <v/>
      </c>
      <c r="BE64" s="191" t="str">
        <f t="shared" si="40"/>
        <v/>
      </c>
      <c r="BF64" s="191" t="str">
        <f t="shared" si="40"/>
        <v/>
      </c>
      <c r="BG64" s="191" t="str">
        <f t="shared" si="40"/>
        <v/>
      </c>
      <c r="BH64" s="191" t="str">
        <f t="shared" si="40"/>
        <v/>
      </c>
      <c r="BR64" s="209" t="s">
        <v>301</v>
      </c>
      <c r="BS64" s="130">
        <f>第十四期!AL37</f>
        <v>0</v>
      </c>
      <c r="BT64" s="130"/>
      <c r="BU64" s="130"/>
      <c r="BV64" s="130">
        <f t="shared" si="41"/>
        <v>4677292.38154615</v>
      </c>
      <c r="BW64" s="126"/>
      <c r="CB64" s="219"/>
      <c r="CC64" s="219"/>
      <c r="CD64" s="219"/>
      <c r="CE64" s="219"/>
      <c r="CF64" s="219"/>
      <c r="CG64" s="219"/>
      <c r="CH64" s="219"/>
      <c r="CI64" s="219"/>
      <c r="CJ64" s="219"/>
      <c r="CK64" s="219"/>
      <c r="CL64" s="219"/>
      <c r="CM64" s="219"/>
      <c r="CN64" s="219"/>
      <c r="CO64" s="219"/>
      <c r="CP64" s="65" t="s">
        <v>40</v>
      </c>
      <c r="CQ64" s="65">
        <f>比赛参数!$F$27</f>
        <v>160</v>
      </c>
      <c r="CR64" s="65">
        <f>比赛参数!$F$27</f>
        <v>160</v>
      </c>
      <c r="CS64" s="65">
        <f>比赛参数!$F$27</f>
        <v>160</v>
      </c>
      <c r="CT64" s="65">
        <f>比赛参数!$F$27</f>
        <v>160</v>
      </c>
      <c r="CU64" s="48"/>
      <c r="CW64" s="11" t="s">
        <v>40</v>
      </c>
      <c r="CX64" s="242">
        <f>CX58/第十四期!CQ58</f>
        <v>9.34151428280769</v>
      </c>
      <c r="CY64" s="242">
        <f>CY58/第十四期!CR58</f>
        <v>9.63625112491295</v>
      </c>
      <c r="CZ64" s="242">
        <f>CZ58/第十四期!CS58</f>
        <v>9.62046165122874</v>
      </c>
      <c r="DA64" s="242">
        <f>DA58/第十四期!CT58</f>
        <v>9.48888270386032</v>
      </c>
      <c r="DB64" s="242">
        <f>AVERAGE(CX64:DA64)</f>
        <v>9.52177744070243</v>
      </c>
      <c r="DF64" s="247" t="s">
        <v>55</v>
      </c>
      <c r="DG64" s="247">
        <f>比赛参数!D13</f>
        <v>83</v>
      </c>
      <c r="DH64" s="247">
        <f>比赛参数!H13</f>
        <v>467</v>
      </c>
      <c r="DI64" s="247">
        <f>比赛参数!D14</f>
        <v>656</v>
      </c>
      <c r="DJ64" s="247">
        <f>比赛参数!H14</f>
        <v>794</v>
      </c>
    </row>
    <row r="65" customHeight="1" spans="2:114">
      <c r="B65" s="7"/>
      <c r="C65" s="25">
        <v>16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10"/>
      <c r="X65" s="11" t="s">
        <v>56</v>
      </c>
      <c r="Y65" s="108">
        <f t="shared" si="42"/>
        <v>17</v>
      </c>
      <c r="Z65" s="108">
        <f t="shared" si="42"/>
        <v>11</v>
      </c>
      <c r="AA65" s="108">
        <f t="shared" si="42"/>
        <v>-16</v>
      </c>
      <c r="AB65" s="108">
        <f t="shared" si="42"/>
        <v>1</v>
      </c>
      <c r="AC65" s="126"/>
      <c r="AE65" s="11" t="s">
        <v>56</v>
      </c>
      <c r="AF65" s="131">
        <f t="shared" si="43"/>
        <v>132</v>
      </c>
      <c r="AG65" s="131">
        <f t="shared" si="43"/>
        <v>112</v>
      </c>
      <c r="AH65" s="131">
        <f t="shared" si="43"/>
        <v>41</v>
      </c>
      <c r="AI65" s="131">
        <f t="shared" si="43"/>
        <v>47</v>
      </c>
      <c r="AJ65" s="126"/>
      <c r="AL65" s="48"/>
      <c r="AN65" s="173"/>
      <c r="AO65" s="173"/>
      <c r="AR65" s="190">
        <v>9</v>
      </c>
      <c r="AS65" s="191" t="str">
        <f t="shared" si="40"/>
        <v/>
      </c>
      <c r="AT65" s="191" t="str">
        <f t="shared" si="40"/>
        <v/>
      </c>
      <c r="AU65" s="191" t="str">
        <f t="shared" si="40"/>
        <v/>
      </c>
      <c r="AV65" s="191" t="str">
        <f t="shared" si="40"/>
        <v/>
      </c>
      <c r="AW65" s="191" t="str">
        <f t="shared" si="40"/>
        <v/>
      </c>
      <c r="AX65" s="191" t="str">
        <f t="shared" si="40"/>
        <v/>
      </c>
      <c r="AY65" s="191" t="str">
        <f t="shared" si="40"/>
        <v/>
      </c>
      <c r="AZ65" s="191" t="str">
        <f t="shared" si="40"/>
        <v/>
      </c>
      <c r="BA65" s="191" t="str">
        <f t="shared" si="40"/>
        <v/>
      </c>
      <c r="BB65" s="191" t="str">
        <f t="shared" si="40"/>
        <v/>
      </c>
      <c r="BC65" s="191" t="str">
        <f t="shared" si="40"/>
        <v/>
      </c>
      <c r="BD65" s="191" t="str">
        <f t="shared" si="40"/>
        <v/>
      </c>
      <c r="BE65" s="191" t="str">
        <f t="shared" si="40"/>
        <v/>
      </c>
      <c r="BF65" s="191" t="str">
        <f t="shared" si="40"/>
        <v/>
      </c>
      <c r="BG65" s="191" t="str">
        <f t="shared" si="40"/>
        <v/>
      </c>
      <c r="BH65" s="191" t="str">
        <f t="shared" si="40"/>
        <v/>
      </c>
      <c r="BR65" s="209" t="s">
        <v>340</v>
      </c>
      <c r="BS65" s="91">
        <f>0.5*第十四期!AL37+0.5*第十四期!DV23</f>
        <v>0</v>
      </c>
      <c r="BT65" s="130"/>
      <c r="BU65" s="130">
        <f>BU63+BS65</f>
        <v>2662729.000625</v>
      </c>
      <c r="BV65" s="130"/>
      <c r="BW65" s="126"/>
      <c r="CB65" s="196" t="s">
        <v>341</v>
      </c>
      <c r="CC65" s="108">
        <f>(CC60-CC61)*CC63</f>
        <v>-31769.2307692308</v>
      </c>
      <c r="CD65" s="108">
        <f>(CD60-CD61)*CD63</f>
        <v>-92461.5384615385</v>
      </c>
      <c r="CE65" s="108">
        <f>(CE60-CE61)*CE63</f>
        <v>47061.5384615385</v>
      </c>
      <c r="CF65" s="108">
        <f>(CF60-CF61)*CF63</f>
        <v>-72000</v>
      </c>
      <c r="CG65" s="108">
        <f>SUM(CC65:CF65)</f>
        <v>-149169.230769231</v>
      </c>
      <c r="CH65" s="219"/>
      <c r="CI65" s="219"/>
      <c r="CJ65" s="219"/>
      <c r="CK65" s="219"/>
      <c r="CL65" s="219"/>
      <c r="CM65" s="219"/>
      <c r="CN65" s="219"/>
      <c r="CO65" s="219"/>
      <c r="CP65" s="65" t="s">
        <v>41</v>
      </c>
      <c r="CQ65" s="65">
        <f>比赛参数!$G$27</f>
        <v>180</v>
      </c>
      <c r="CR65" s="65">
        <f>比赛参数!$G$27</f>
        <v>180</v>
      </c>
      <c r="CS65" s="65">
        <f>比赛参数!$G$27</f>
        <v>180</v>
      </c>
      <c r="CT65" s="65">
        <f>比赛参数!$G$27</f>
        <v>180</v>
      </c>
      <c r="CU65" s="48"/>
      <c r="CW65" s="11" t="s">
        <v>41</v>
      </c>
      <c r="CX65" s="242">
        <f>CX59/第十四期!CQ59</f>
        <v>9.02587674811941</v>
      </c>
      <c r="CY65" s="242">
        <f>CY59/第十四期!CR59</f>
        <v>9.29126136350403</v>
      </c>
      <c r="CZ65" s="242">
        <f>CZ59/第十四期!CS59</f>
        <v>9.39895367119634</v>
      </c>
      <c r="DA65" s="242">
        <f>DA59/第十四期!CT59</f>
        <v>9.59126136350403</v>
      </c>
      <c r="DB65" s="242">
        <f>AVERAGE(CX65:DA65)</f>
        <v>9.32683828658095</v>
      </c>
      <c r="DF65" s="247" t="s">
        <v>56</v>
      </c>
      <c r="DG65" s="247">
        <f>比赛参数!E13</f>
        <v>42</v>
      </c>
      <c r="DH65" s="247">
        <f>比赛参数!I13</f>
        <v>383</v>
      </c>
      <c r="DI65" s="247">
        <f>比赛参数!E14</f>
        <v>544</v>
      </c>
      <c r="DJ65" s="247">
        <f>比赛参数!I14</f>
        <v>656</v>
      </c>
    </row>
    <row r="66" customHeight="1" spans="2:114">
      <c r="B66" s="7"/>
      <c r="C66" s="25">
        <v>17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10"/>
      <c r="V66" s="277"/>
      <c r="X66" s="11" t="s">
        <v>57</v>
      </c>
      <c r="Y66" s="108">
        <f t="shared" si="42"/>
        <v>22</v>
      </c>
      <c r="Z66" s="108">
        <f t="shared" si="42"/>
        <v>20</v>
      </c>
      <c r="AA66" s="108">
        <f t="shared" si="42"/>
        <v>-3</v>
      </c>
      <c r="AB66" s="108">
        <f t="shared" si="42"/>
        <v>11</v>
      </c>
      <c r="AC66" s="126"/>
      <c r="AE66" s="11" t="s">
        <v>57</v>
      </c>
      <c r="AF66" s="131">
        <f t="shared" si="43"/>
        <v>199</v>
      </c>
      <c r="AG66" s="131">
        <f t="shared" si="43"/>
        <v>171</v>
      </c>
      <c r="AH66" s="131">
        <f t="shared" si="43"/>
        <v>63</v>
      </c>
      <c r="AI66" s="131">
        <f t="shared" si="43"/>
        <v>72</v>
      </c>
      <c r="AJ66" s="126"/>
      <c r="AL66" s="48"/>
      <c r="AR66" s="190">
        <v>10</v>
      </c>
      <c r="AS66" s="191" t="str">
        <f t="shared" si="40"/>
        <v/>
      </c>
      <c r="AT66" s="191" t="str">
        <f t="shared" si="40"/>
        <v/>
      </c>
      <c r="AU66" s="191" t="str">
        <f t="shared" si="40"/>
        <v/>
      </c>
      <c r="AV66" s="191" t="str">
        <f t="shared" si="40"/>
        <v/>
      </c>
      <c r="AW66" s="191" t="str">
        <f t="shared" si="40"/>
        <v/>
      </c>
      <c r="AX66" s="191" t="str">
        <f t="shared" si="40"/>
        <v/>
      </c>
      <c r="AY66" s="191" t="str">
        <f t="shared" si="40"/>
        <v/>
      </c>
      <c r="AZ66" s="191" t="str">
        <f t="shared" si="40"/>
        <v/>
      </c>
      <c r="BA66" s="191" t="str">
        <f t="shared" si="40"/>
        <v/>
      </c>
      <c r="BB66" s="191" t="str">
        <f t="shared" si="40"/>
        <v/>
      </c>
      <c r="BC66" s="191" t="str">
        <f t="shared" si="40"/>
        <v/>
      </c>
      <c r="BD66" s="191" t="str">
        <f t="shared" si="40"/>
        <v/>
      </c>
      <c r="BE66" s="191" t="str">
        <f t="shared" si="40"/>
        <v/>
      </c>
      <c r="BF66" s="191" t="str">
        <f t="shared" si="40"/>
        <v/>
      </c>
      <c r="BG66" s="191" t="str">
        <f t="shared" si="40"/>
        <v/>
      </c>
      <c r="BH66" s="191" t="str">
        <f t="shared" si="40"/>
        <v/>
      </c>
      <c r="BR66" s="209" t="s">
        <v>236</v>
      </c>
      <c r="BS66" s="130">
        <f>第十四期!AC18</f>
        <v>2276448</v>
      </c>
      <c r="BT66" s="130"/>
      <c r="BU66" s="130"/>
      <c r="BV66" s="130">
        <f>BV64-BS66</f>
        <v>2400844.38154615</v>
      </c>
      <c r="BW66" s="126"/>
      <c r="CB66" s="219"/>
      <c r="CC66" s="219"/>
      <c r="CD66" s="219"/>
      <c r="CE66" s="219"/>
      <c r="CF66" s="219"/>
      <c r="CG66" s="219"/>
      <c r="CH66" s="219"/>
      <c r="CI66" s="219"/>
      <c r="CJ66" s="219"/>
      <c r="CK66" s="219"/>
      <c r="CL66" s="219"/>
      <c r="CM66" s="219"/>
      <c r="CN66" s="219"/>
      <c r="CO66" s="219"/>
      <c r="CP66" s="48"/>
      <c r="CQ66" s="48"/>
      <c r="CR66" s="48"/>
      <c r="CS66" s="48"/>
      <c r="CT66" s="48"/>
      <c r="CU66" s="48"/>
      <c r="CW66" s="48"/>
      <c r="CX66" s="243"/>
      <c r="CY66" s="243"/>
      <c r="CZ66" s="243"/>
      <c r="DA66" s="243"/>
      <c r="DB66" s="48"/>
      <c r="DF66" s="247" t="s">
        <v>57</v>
      </c>
      <c r="DG66" s="247">
        <f>比赛参数!F13</f>
        <v>200</v>
      </c>
      <c r="DH66" s="247">
        <f>比赛参数!J13</f>
        <v>600</v>
      </c>
      <c r="DI66" s="247">
        <f>比赛参数!F14</f>
        <v>800</v>
      </c>
      <c r="DJ66" s="247">
        <f>比赛参数!J14</f>
        <v>1000</v>
      </c>
    </row>
    <row r="67" customHeight="1" spans="2:114">
      <c r="B67" s="7"/>
      <c r="C67" s="25">
        <v>18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10"/>
      <c r="X67" s="11" t="s">
        <v>58</v>
      </c>
      <c r="Y67" s="108">
        <f t="shared" si="42"/>
        <v>19</v>
      </c>
      <c r="Z67" s="108">
        <f t="shared" si="42"/>
        <v>20</v>
      </c>
      <c r="AA67" s="108">
        <f t="shared" si="42"/>
        <v>-16</v>
      </c>
      <c r="AB67" s="108">
        <f t="shared" si="42"/>
        <v>11</v>
      </c>
      <c r="AC67" s="126"/>
      <c r="AE67" s="11" t="s">
        <v>58</v>
      </c>
      <c r="AF67" s="131">
        <f t="shared" si="43"/>
        <v>199</v>
      </c>
      <c r="AG67" s="131">
        <f t="shared" si="43"/>
        <v>171</v>
      </c>
      <c r="AH67" s="131">
        <f t="shared" si="43"/>
        <v>63</v>
      </c>
      <c r="AI67" s="131">
        <f t="shared" si="43"/>
        <v>72</v>
      </c>
      <c r="AJ67" s="126"/>
      <c r="AL67" s="48"/>
      <c r="AR67" s="190">
        <v>11</v>
      </c>
      <c r="AS67" s="191" t="str">
        <f t="shared" si="40"/>
        <v/>
      </c>
      <c r="AT67" s="191" t="str">
        <f t="shared" si="40"/>
        <v/>
      </c>
      <c r="AU67" s="191" t="str">
        <f t="shared" si="40"/>
        <v/>
      </c>
      <c r="AV67" s="191" t="str">
        <f t="shared" si="40"/>
        <v/>
      </c>
      <c r="AW67" s="191" t="str">
        <f t="shared" si="40"/>
        <v/>
      </c>
      <c r="AX67" s="191" t="str">
        <f t="shared" si="40"/>
        <v/>
      </c>
      <c r="AY67" s="191" t="str">
        <f t="shared" si="40"/>
        <v/>
      </c>
      <c r="AZ67" s="191" t="str">
        <f t="shared" si="40"/>
        <v/>
      </c>
      <c r="BA67" s="191" t="str">
        <f t="shared" si="40"/>
        <v/>
      </c>
      <c r="BB67" s="191" t="str">
        <f t="shared" si="40"/>
        <v/>
      </c>
      <c r="BC67" s="191" t="str">
        <f t="shared" si="40"/>
        <v/>
      </c>
      <c r="BD67" s="191" t="str">
        <f t="shared" si="40"/>
        <v/>
      </c>
      <c r="BE67" s="191" t="str">
        <f t="shared" si="40"/>
        <v/>
      </c>
      <c r="BF67" s="191" t="str">
        <f t="shared" si="40"/>
        <v/>
      </c>
      <c r="BG67" s="191" t="str">
        <f t="shared" si="40"/>
        <v/>
      </c>
      <c r="BH67" s="191" t="str">
        <f t="shared" si="40"/>
        <v/>
      </c>
      <c r="BR67" s="209" t="s">
        <v>342</v>
      </c>
      <c r="BS67" s="130">
        <f>IF(第十四期!AC18&gt;=比赛参数!D33,(1-比赛参数!E33)*第十四期!AC18,0)+IF(AND(第十四期!AC18&gt;=比赛参数!D34,第十四期!AC18&lt;比赛参数!D33),(1-比赛参数!E34)*第十四期!AC18,0)+IF(AND(第十四期!AC18&gt;=比赛参数!D35,第十四期!AC18&lt;比赛参数!D34),(1-比赛参数!E35)*第十四期!AC18,0)+IF(AND(第十四期!AC18&gt;=比赛参数!D36,第十四期!AC18&lt;比赛参数!D35),(1-比赛参数!E36)*第十四期!AC18,0)</f>
        <v>182115.84</v>
      </c>
      <c r="BT67" s="130">
        <f>BS67</f>
        <v>182115.84</v>
      </c>
      <c r="BU67" s="130"/>
      <c r="BV67" s="130">
        <f>BV66+BS67</f>
        <v>2582960.22154615</v>
      </c>
      <c r="BW67" s="126"/>
      <c r="CB67" s="196" t="s">
        <v>343</v>
      </c>
      <c r="CC67" s="108">
        <f>(CC60+CC61)/2*CC62</f>
        <v>6840</v>
      </c>
      <c r="CD67" s="108">
        <f>(CD60+CD61)/2*CD62</f>
        <v>8640</v>
      </c>
      <c r="CE67" s="108">
        <f>(CE60+CE61)/2*CE62</f>
        <v>6780</v>
      </c>
      <c r="CF67" s="108">
        <f>(CF60+CF61)/2*CF62</f>
        <v>8540</v>
      </c>
      <c r="CG67" s="108">
        <f>SUM(CC67:CF67)</f>
        <v>30800</v>
      </c>
      <c r="CH67" s="219"/>
      <c r="CI67" s="219"/>
      <c r="CJ67" s="219"/>
      <c r="CK67" s="219"/>
      <c r="CL67" s="219"/>
      <c r="CM67" s="219"/>
      <c r="CN67" s="219"/>
      <c r="CO67" s="219"/>
      <c r="CP67" s="65" t="s">
        <v>161</v>
      </c>
      <c r="CQ67" s="65" t="s">
        <v>224</v>
      </c>
      <c r="CR67" s="65" t="s">
        <v>225</v>
      </c>
      <c r="CS67" s="65" t="s">
        <v>226</v>
      </c>
      <c r="CT67" s="65" t="s">
        <v>227</v>
      </c>
      <c r="CU67" s="48"/>
      <c r="CW67" s="63" t="s">
        <v>179</v>
      </c>
      <c r="CX67" s="244" t="s">
        <v>55</v>
      </c>
      <c r="CY67" s="244" t="s">
        <v>56</v>
      </c>
      <c r="CZ67" s="244" t="s">
        <v>57</v>
      </c>
      <c r="DA67" s="244" t="s">
        <v>58</v>
      </c>
      <c r="DB67" s="11" t="s">
        <v>318</v>
      </c>
      <c r="DF67" s="247" t="s">
        <v>58</v>
      </c>
      <c r="DG67" s="247">
        <f>比赛参数!G13</f>
        <v>250</v>
      </c>
      <c r="DH67" s="247">
        <f>比赛参数!K13</f>
        <v>650</v>
      </c>
      <c r="DI67" s="247">
        <f>比赛参数!G14</f>
        <v>850</v>
      </c>
      <c r="DJ67" s="247">
        <f>比赛参数!K14</f>
        <v>1050</v>
      </c>
    </row>
    <row r="68" customHeight="1" spans="2:106">
      <c r="B68" s="7"/>
      <c r="C68" s="25">
        <v>19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10"/>
      <c r="X68" s="48"/>
      <c r="Y68" s="48"/>
      <c r="Z68" s="48"/>
      <c r="AA68" s="48"/>
      <c r="AB68" s="48"/>
      <c r="AC68" s="48"/>
      <c r="AE68" s="48"/>
      <c r="AF68" s="48">
        <f>SUM(AF64:AF67)</f>
        <v>662</v>
      </c>
      <c r="AG68" s="48">
        <f>SUM(AG64:AG67)</f>
        <v>566</v>
      </c>
      <c r="AH68" s="48">
        <f>SUM(AH64:AH67)</f>
        <v>208</v>
      </c>
      <c r="AI68" s="48">
        <f>SUM(AI64:AI67)</f>
        <v>238</v>
      </c>
      <c r="AJ68" s="48">
        <f>AF68/4</f>
        <v>165.5</v>
      </c>
      <c r="AK68" s="48">
        <f>AG68/4</f>
        <v>141.5</v>
      </c>
      <c r="AL68" s="48">
        <f>AH68/4</f>
        <v>52</v>
      </c>
      <c r="AM68" s="48">
        <f>AI68/4</f>
        <v>59.5</v>
      </c>
      <c r="AR68" s="190">
        <v>12</v>
      </c>
      <c r="AS68" s="191" t="str">
        <f t="shared" si="40"/>
        <v/>
      </c>
      <c r="AT68" s="191" t="str">
        <f t="shared" si="40"/>
        <v/>
      </c>
      <c r="AU68" s="191" t="str">
        <f t="shared" si="40"/>
        <v/>
      </c>
      <c r="AV68" s="191" t="str">
        <f t="shared" si="40"/>
        <v/>
      </c>
      <c r="AW68" s="191" t="str">
        <f t="shared" si="40"/>
        <v/>
      </c>
      <c r="AX68" s="191" t="str">
        <f t="shared" si="40"/>
        <v/>
      </c>
      <c r="AY68" s="191" t="str">
        <f t="shared" si="40"/>
        <v/>
      </c>
      <c r="AZ68" s="191" t="str">
        <f t="shared" si="40"/>
        <v/>
      </c>
      <c r="BA68" s="191" t="str">
        <f t="shared" si="40"/>
        <v/>
      </c>
      <c r="BB68" s="191" t="str">
        <f t="shared" si="40"/>
        <v/>
      </c>
      <c r="BC68" s="191" t="str">
        <f t="shared" si="40"/>
        <v/>
      </c>
      <c r="BD68" s="191" t="str">
        <f t="shared" si="40"/>
        <v/>
      </c>
      <c r="BE68" s="191" t="str">
        <f t="shared" si="40"/>
        <v/>
      </c>
      <c r="BF68" s="191" t="str">
        <f t="shared" si="40"/>
        <v/>
      </c>
      <c r="BG68" s="191" t="str">
        <f t="shared" si="40"/>
        <v/>
      </c>
      <c r="BH68" s="191" t="str">
        <f t="shared" si="40"/>
        <v/>
      </c>
      <c r="BR68" s="209"/>
      <c r="BS68" s="130"/>
      <c r="BT68" s="130"/>
      <c r="BU68" s="130"/>
      <c r="BV68" s="130"/>
      <c r="BW68" s="126"/>
      <c r="CB68" s="219"/>
      <c r="CC68" s="219"/>
      <c r="CD68" s="219"/>
      <c r="CE68" s="219"/>
      <c r="CF68" s="219"/>
      <c r="CG68" s="219"/>
      <c r="CH68" s="219"/>
      <c r="CI68" s="219"/>
      <c r="CJ68" s="219"/>
      <c r="CK68" s="219"/>
      <c r="CL68" s="219"/>
      <c r="CM68" s="219"/>
      <c r="CN68" s="219"/>
      <c r="CO68" s="219"/>
      <c r="CP68" s="65" t="s">
        <v>38</v>
      </c>
      <c r="CQ68" s="65">
        <f>比赛参数!$D$28</f>
        <v>300</v>
      </c>
      <c r="CR68" s="65">
        <f>比赛参数!$D$28</f>
        <v>300</v>
      </c>
      <c r="CS68" s="65">
        <f>比赛参数!$D$28</f>
        <v>300</v>
      </c>
      <c r="CT68" s="65">
        <f>比赛参数!$D$28</f>
        <v>300</v>
      </c>
      <c r="CU68" s="48"/>
      <c r="CW68" s="11" t="s">
        <v>38</v>
      </c>
      <c r="CX68" s="242">
        <f t="shared" ref="CX68:DB71" si="44">IF(CX50&gt;0,CX56/CX50,0)</f>
        <v>0.692464113712216</v>
      </c>
      <c r="CY68" s="242">
        <f t="shared" si="44"/>
        <v>0.72997816509953</v>
      </c>
      <c r="CZ68" s="242">
        <f t="shared" si="44"/>
        <v>0.668547452719601</v>
      </c>
      <c r="DA68" s="242">
        <f t="shared" si="44"/>
        <v>0.6523027061706</v>
      </c>
      <c r="DB68" s="242">
        <f t="shared" si="44"/>
        <v>0.684615116575916</v>
      </c>
    </row>
    <row r="69" customHeight="1" spans="2:106">
      <c r="B69" s="7"/>
      <c r="C69" s="25">
        <v>20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10"/>
      <c r="X69" s="63" t="s">
        <v>139</v>
      </c>
      <c r="Y69" s="73" t="s">
        <v>38</v>
      </c>
      <c r="Z69" s="73" t="s">
        <v>39</v>
      </c>
      <c r="AA69" s="73" t="s">
        <v>40</v>
      </c>
      <c r="AB69" s="73" t="s">
        <v>41</v>
      </c>
      <c r="AE69" s="63" t="s">
        <v>138</v>
      </c>
      <c r="AF69" s="73" t="s">
        <v>38</v>
      </c>
      <c r="AG69" s="73" t="s">
        <v>39</v>
      </c>
      <c r="AH69" s="73" t="s">
        <v>40</v>
      </c>
      <c r="AI69" s="73" t="s">
        <v>41</v>
      </c>
      <c r="AJ69" s="126"/>
      <c r="AL69" s="48"/>
      <c r="AR69" s="190">
        <v>13</v>
      </c>
      <c r="AS69" s="191" t="str">
        <f t="shared" si="40"/>
        <v/>
      </c>
      <c r="AT69" s="191" t="str">
        <f t="shared" si="40"/>
        <v/>
      </c>
      <c r="AU69" s="191" t="str">
        <f t="shared" si="40"/>
        <v/>
      </c>
      <c r="AV69" s="191" t="str">
        <f t="shared" si="40"/>
        <v/>
      </c>
      <c r="AW69" s="191" t="str">
        <f t="shared" si="40"/>
        <v/>
      </c>
      <c r="AX69" s="191" t="str">
        <f t="shared" si="40"/>
        <v/>
      </c>
      <c r="AY69" s="191" t="str">
        <f t="shared" si="40"/>
        <v/>
      </c>
      <c r="AZ69" s="191" t="str">
        <f t="shared" si="40"/>
        <v/>
      </c>
      <c r="BA69" s="191" t="str">
        <f t="shared" si="40"/>
        <v/>
      </c>
      <c r="BB69" s="191" t="str">
        <f t="shared" si="40"/>
        <v/>
      </c>
      <c r="BC69" s="191" t="str">
        <f t="shared" si="40"/>
        <v/>
      </c>
      <c r="BD69" s="191" t="str">
        <f t="shared" si="40"/>
        <v/>
      </c>
      <c r="BE69" s="191" t="str">
        <f t="shared" si="40"/>
        <v/>
      </c>
      <c r="BF69" s="191" t="str">
        <f t="shared" si="40"/>
        <v/>
      </c>
      <c r="BG69" s="191" t="str">
        <f t="shared" si="40"/>
        <v/>
      </c>
      <c r="BH69" s="191" t="str">
        <f t="shared" si="40"/>
        <v/>
      </c>
      <c r="BR69" s="209"/>
      <c r="BS69" s="130"/>
      <c r="BT69" s="130"/>
      <c r="BU69" s="130"/>
      <c r="BV69" s="130"/>
      <c r="BW69" s="126"/>
      <c r="CB69" s="219"/>
      <c r="CC69" s="196" t="s">
        <v>38</v>
      </c>
      <c r="CD69" s="196" t="s">
        <v>39</v>
      </c>
      <c r="CE69" s="196" t="s">
        <v>40</v>
      </c>
      <c r="CF69" s="196" t="s">
        <v>41</v>
      </c>
      <c r="CG69" s="219"/>
      <c r="CH69" s="219"/>
      <c r="CI69" s="214" t="s">
        <v>44</v>
      </c>
      <c r="CJ69" s="233" t="s">
        <v>45</v>
      </c>
      <c r="CK69" s="233" t="s">
        <v>46</v>
      </c>
      <c r="CL69" s="233" t="s">
        <v>47</v>
      </c>
      <c r="CM69" s="233" t="s">
        <v>48</v>
      </c>
      <c r="CN69" s="233" t="s">
        <v>49</v>
      </c>
      <c r="CO69" s="219"/>
      <c r="CP69" s="65" t="s">
        <v>39</v>
      </c>
      <c r="CQ69" s="65">
        <f>比赛参数!$E$28</f>
        <v>1200</v>
      </c>
      <c r="CR69" s="65">
        <f>比赛参数!$E$28</f>
        <v>1200</v>
      </c>
      <c r="CS69" s="65">
        <f>比赛参数!$E$28</f>
        <v>1200</v>
      </c>
      <c r="CT69" s="65">
        <f>比赛参数!$E$28</f>
        <v>1200</v>
      </c>
      <c r="CU69" s="48"/>
      <c r="CW69" s="11" t="s">
        <v>39</v>
      </c>
      <c r="CX69" s="242">
        <f t="shared" si="44"/>
        <v>0.574792456227052</v>
      </c>
      <c r="CY69" s="242">
        <f t="shared" si="44"/>
        <v>0.608296324770132</v>
      </c>
      <c r="CZ69" s="242">
        <f t="shared" si="44"/>
        <v>0.577325925755773</v>
      </c>
      <c r="DA69" s="242">
        <f t="shared" si="44"/>
        <v>0.577594876908903</v>
      </c>
      <c r="DB69" s="242">
        <f t="shared" si="44"/>
        <v>0.584244636102311</v>
      </c>
    </row>
    <row r="70" customHeight="1" spans="3:106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278"/>
      <c r="X70" s="64" t="s">
        <v>55</v>
      </c>
      <c r="Y70" s="283">
        <f>DS37</f>
        <v>0</v>
      </c>
      <c r="Z70" s="283">
        <f>DW37</f>
        <v>0</v>
      </c>
      <c r="AA70" s="283">
        <f>EA37</f>
        <v>0</v>
      </c>
      <c r="AB70" s="283">
        <f>EE37</f>
        <v>0</v>
      </c>
      <c r="AE70" s="64" t="s">
        <v>55</v>
      </c>
      <c r="AF70" s="131">
        <f>第十四期!DV6</f>
        <v>115</v>
      </c>
      <c r="AG70" s="131">
        <f>第十四期!DV10</f>
        <v>102</v>
      </c>
      <c r="AH70" s="131">
        <f>第十四期!DV14</f>
        <v>56</v>
      </c>
      <c r="AI70" s="131">
        <f>第十四期!DV18</f>
        <v>47</v>
      </c>
      <c r="AJ70" s="126">
        <f>AF70-Y57+AF57</f>
        <v>115</v>
      </c>
      <c r="AK70" s="126">
        <f t="shared" ref="AK70:AM73" si="45">AG70-Z57+AG57</f>
        <v>102</v>
      </c>
      <c r="AL70" s="126">
        <f t="shared" si="45"/>
        <v>56</v>
      </c>
      <c r="AM70" s="126">
        <f t="shared" si="45"/>
        <v>47</v>
      </c>
      <c r="AR70" s="190">
        <v>14</v>
      </c>
      <c r="AS70" s="191" t="str">
        <f t="shared" si="40"/>
        <v/>
      </c>
      <c r="AT70" s="191" t="str">
        <f t="shared" si="40"/>
        <v/>
      </c>
      <c r="AU70" s="191" t="str">
        <f t="shared" si="40"/>
        <v/>
      </c>
      <c r="AV70" s="191" t="str">
        <f t="shared" si="40"/>
        <v/>
      </c>
      <c r="AW70" s="191" t="str">
        <f t="shared" si="40"/>
        <v/>
      </c>
      <c r="AX70" s="191" t="str">
        <f t="shared" si="40"/>
        <v/>
      </c>
      <c r="AY70" s="191" t="str">
        <f t="shared" si="40"/>
        <v/>
      </c>
      <c r="AZ70" s="191" t="str">
        <f t="shared" si="40"/>
        <v/>
      </c>
      <c r="BA70" s="191" t="str">
        <f t="shared" si="40"/>
        <v/>
      </c>
      <c r="BB70" s="191" t="str">
        <f t="shared" si="40"/>
        <v/>
      </c>
      <c r="BC70" s="191" t="str">
        <f t="shared" si="40"/>
        <v/>
      </c>
      <c r="BD70" s="191" t="str">
        <f t="shared" si="40"/>
        <v/>
      </c>
      <c r="BE70" s="191" t="str">
        <f t="shared" si="40"/>
        <v/>
      </c>
      <c r="BF70" s="191" t="str">
        <f t="shared" si="40"/>
        <v/>
      </c>
      <c r="BG70" s="191" t="str">
        <f t="shared" si="40"/>
        <v/>
      </c>
      <c r="BH70" s="191" t="str">
        <f t="shared" si="40"/>
        <v/>
      </c>
      <c r="BR70" s="209" t="s">
        <v>344</v>
      </c>
      <c r="BS70" s="130">
        <f>IF(第十四期!AC18&gt;0,第十四期!AC18*比赛参数!E40+比赛参数!E39,0)</f>
        <v>32764.48</v>
      </c>
      <c r="BT70" s="130"/>
      <c r="BU70" s="130">
        <f>BU65+BS70</f>
        <v>2695493.480625</v>
      </c>
      <c r="BV70" s="130">
        <f>BV67-BS70</f>
        <v>2550195.74154615</v>
      </c>
      <c r="BW70" s="126"/>
      <c r="CB70" s="196" t="s">
        <v>304</v>
      </c>
      <c r="CC70" s="108">
        <f>CC79-CC86</f>
        <v>1337.28077697431</v>
      </c>
      <c r="CD70" s="108">
        <f>CD79-CD86</f>
        <v>2395.97703660488</v>
      </c>
      <c r="CE70" s="108">
        <f>CE79-CE86</f>
        <v>3620.91965823615</v>
      </c>
      <c r="CF70" s="108">
        <f>CF79-CF86</f>
        <v>4868.33826196327</v>
      </c>
      <c r="CG70" s="219"/>
      <c r="CH70" s="219"/>
      <c r="CI70" s="197" t="s">
        <v>21</v>
      </c>
      <c r="CJ70" s="108">
        <f>比赛参数!D52</f>
        <v>100000</v>
      </c>
      <c r="CK70" s="108">
        <f>比赛参数!E52</f>
        <v>220000</v>
      </c>
      <c r="CL70" s="108">
        <f>比赛参数!F52</f>
        <v>350000</v>
      </c>
      <c r="CM70" s="108">
        <f>比赛参数!G52</f>
        <v>450000</v>
      </c>
      <c r="CN70" s="108">
        <f>比赛参数!H52</f>
        <v>550000</v>
      </c>
      <c r="CO70" s="219"/>
      <c r="CP70" s="65" t="s">
        <v>40</v>
      </c>
      <c r="CQ70" s="65">
        <f>比赛参数!$F$28</f>
        <v>2200</v>
      </c>
      <c r="CR70" s="65">
        <f>比赛参数!$F$28</f>
        <v>2200</v>
      </c>
      <c r="CS70" s="65">
        <f>比赛参数!$F$28</f>
        <v>2200</v>
      </c>
      <c r="CT70" s="65">
        <f>比赛参数!$F$28</f>
        <v>2200</v>
      </c>
      <c r="CU70" s="48"/>
      <c r="CW70" s="11" t="s">
        <v>40</v>
      </c>
      <c r="CX70" s="242">
        <f t="shared" si="44"/>
        <v>0.567943661267243</v>
      </c>
      <c r="CY70" s="242">
        <f t="shared" si="44"/>
        <v>0.596552860553912</v>
      </c>
      <c r="CZ70" s="242">
        <f t="shared" si="44"/>
        <v>0.571730846484593</v>
      </c>
      <c r="DA70" s="242">
        <f t="shared" si="44"/>
        <v>0.559535966954915</v>
      </c>
      <c r="DB70" s="242">
        <f t="shared" si="44"/>
        <v>0.573717051672934</v>
      </c>
    </row>
    <row r="71" customHeight="1" spans="3:106">
      <c r="C71" s="21"/>
      <c r="D71" s="22" t="s">
        <v>21</v>
      </c>
      <c r="E71" s="22"/>
      <c r="F71" s="22"/>
      <c r="G71" s="22"/>
      <c r="H71" s="22" t="s">
        <v>22</v>
      </c>
      <c r="I71" s="22"/>
      <c r="J71" s="22"/>
      <c r="K71" s="22"/>
      <c r="L71" s="22" t="s">
        <v>23</v>
      </c>
      <c r="M71" s="22"/>
      <c r="N71" s="22"/>
      <c r="O71" s="22"/>
      <c r="P71" s="22" t="s">
        <v>24</v>
      </c>
      <c r="Q71" s="22"/>
      <c r="R71" s="22"/>
      <c r="S71" s="61"/>
      <c r="X71" s="11" t="s">
        <v>56</v>
      </c>
      <c r="Y71" s="283">
        <f>DT37</f>
        <v>0</v>
      </c>
      <c r="Z71" s="283">
        <f>DX37</f>
        <v>0</v>
      </c>
      <c r="AA71" s="283">
        <f>EB37</f>
        <v>0</v>
      </c>
      <c r="AB71" s="283">
        <f>EF37</f>
        <v>0</v>
      </c>
      <c r="AE71" s="11" t="s">
        <v>56</v>
      </c>
      <c r="AF71" s="131">
        <f>第十四期!DV7</f>
        <v>115</v>
      </c>
      <c r="AG71" s="131">
        <f>第十四期!DV11</f>
        <v>101</v>
      </c>
      <c r="AH71" s="131">
        <f>第十四期!DV15</f>
        <v>57</v>
      </c>
      <c r="AI71" s="131">
        <f>第十四期!DV19</f>
        <v>46</v>
      </c>
      <c r="AJ71" s="126">
        <f>AF71-Y58+AF58</f>
        <v>115</v>
      </c>
      <c r="AK71" s="126">
        <f t="shared" si="45"/>
        <v>101</v>
      </c>
      <c r="AL71" s="126">
        <f t="shared" si="45"/>
        <v>57</v>
      </c>
      <c r="AM71" s="126">
        <f t="shared" si="45"/>
        <v>46</v>
      </c>
      <c r="AR71" s="190">
        <v>15</v>
      </c>
      <c r="AS71" s="191" t="str">
        <f t="shared" si="40"/>
        <v/>
      </c>
      <c r="AT71" s="191" t="str">
        <f t="shared" si="40"/>
        <v/>
      </c>
      <c r="AU71" s="191" t="str">
        <f t="shared" si="40"/>
        <v/>
      </c>
      <c r="AV71" s="191" t="str">
        <f t="shared" si="40"/>
        <v/>
      </c>
      <c r="AW71" s="191" t="str">
        <f t="shared" si="40"/>
        <v/>
      </c>
      <c r="AX71" s="191" t="str">
        <f t="shared" si="40"/>
        <v/>
      </c>
      <c r="AY71" s="191" t="str">
        <f t="shared" si="40"/>
        <v/>
      </c>
      <c r="AZ71" s="191" t="str">
        <f t="shared" si="40"/>
        <v/>
      </c>
      <c r="BA71" s="191" t="str">
        <f t="shared" si="40"/>
        <v/>
      </c>
      <c r="BB71" s="191" t="str">
        <f t="shared" si="40"/>
        <v/>
      </c>
      <c r="BC71" s="191" t="str">
        <f t="shared" si="40"/>
        <v/>
      </c>
      <c r="BD71" s="191" t="str">
        <f t="shared" si="40"/>
        <v/>
      </c>
      <c r="BE71" s="191" t="str">
        <f t="shared" si="40"/>
        <v/>
      </c>
      <c r="BF71" s="191" t="str">
        <f t="shared" si="40"/>
        <v/>
      </c>
      <c r="BG71" s="191" t="str">
        <f t="shared" si="40"/>
        <v/>
      </c>
      <c r="BH71" s="191" t="str">
        <f t="shared" si="40"/>
        <v/>
      </c>
      <c r="BR71" s="209" t="s">
        <v>345</v>
      </c>
      <c r="BS71" s="130">
        <f>(第十四期!Z13*比赛参数!E65*260+第十四期!AA13*(比赛参数!F65-比赛参数!D65)*520+第十四期!AB13*比赛参数!G65*260)*第十四期!AH18</f>
        <v>736620</v>
      </c>
      <c r="BT71" s="130"/>
      <c r="BU71" s="130">
        <f t="shared" ref="BU71:BU76" si="46">BU70+BS71</f>
        <v>3432113.480625</v>
      </c>
      <c r="BV71" s="130">
        <f>BV70-BS71</f>
        <v>1813575.74154615</v>
      </c>
      <c r="BW71" s="126"/>
      <c r="CB71" s="196" t="s">
        <v>305</v>
      </c>
      <c r="CC71" s="108">
        <f>CC70/比赛参数!D26</f>
        <v>13.3728077697431</v>
      </c>
      <c r="CD71" s="108">
        <f>CD70/比赛参数!E26</f>
        <v>9.58390814641953</v>
      </c>
      <c r="CE71" s="108">
        <f>CE70/比赛参数!F26</f>
        <v>9.52873594272672</v>
      </c>
      <c r="CF71" s="108">
        <f>CF70/比赛参数!G26</f>
        <v>9.36218896531399</v>
      </c>
      <c r="CG71" s="219"/>
      <c r="CH71" s="219"/>
      <c r="CI71" s="196" t="s">
        <v>22</v>
      </c>
      <c r="CJ71" s="108">
        <f>比赛参数!D53</f>
        <v>200000</v>
      </c>
      <c r="CK71" s="108">
        <f>比赛参数!E53</f>
        <v>350000</v>
      </c>
      <c r="CL71" s="108">
        <f>比赛参数!F53</f>
        <v>500000</v>
      </c>
      <c r="CM71" s="108">
        <f>比赛参数!G53</f>
        <v>650000</v>
      </c>
      <c r="CN71" s="108">
        <f>比赛参数!H53</f>
        <v>700000</v>
      </c>
      <c r="CO71" s="219"/>
      <c r="CP71" s="65" t="s">
        <v>41</v>
      </c>
      <c r="CQ71" s="65">
        <f>比赛参数!$G$28</f>
        <v>3200</v>
      </c>
      <c r="CR71" s="65">
        <f>比赛参数!$G$28</f>
        <v>3200</v>
      </c>
      <c r="CS71" s="65">
        <f>比赛参数!$G$28</f>
        <v>3200</v>
      </c>
      <c r="CT71" s="65">
        <f>比赛参数!$G$28</f>
        <v>3200</v>
      </c>
      <c r="CU71" s="48"/>
      <c r="CW71" s="11" t="s">
        <v>41</v>
      </c>
      <c r="CX71" s="242">
        <f t="shared" si="44"/>
        <v>0.56845283659912</v>
      </c>
      <c r="CY71" s="242">
        <f t="shared" si="44"/>
        <v>0.595113588702593</v>
      </c>
      <c r="CZ71" s="242">
        <f t="shared" si="44"/>
        <v>0.577539786673929</v>
      </c>
      <c r="DA71" s="242">
        <f t="shared" si="44"/>
        <v>0.585894869467765</v>
      </c>
      <c r="DB71" s="242">
        <f t="shared" si="44"/>
        <v>0.581700780961417</v>
      </c>
    </row>
    <row r="72" customHeight="1" spans="3:99">
      <c r="C72" s="23" t="s">
        <v>285</v>
      </c>
      <c r="D72" s="24" t="s">
        <v>55</v>
      </c>
      <c r="E72" s="24" t="s">
        <v>56</v>
      </c>
      <c r="F72" s="24" t="s">
        <v>57</v>
      </c>
      <c r="G72" s="24" t="s">
        <v>58</v>
      </c>
      <c r="H72" s="24" t="s">
        <v>55</v>
      </c>
      <c r="I72" s="24" t="s">
        <v>56</v>
      </c>
      <c r="J72" s="24" t="s">
        <v>57</v>
      </c>
      <c r="K72" s="24" t="s">
        <v>58</v>
      </c>
      <c r="L72" s="24" t="s">
        <v>55</v>
      </c>
      <c r="M72" s="24" t="s">
        <v>56</v>
      </c>
      <c r="N72" s="24" t="s">
        <v>57</v>
      </c>
      <c r="O72" s="24" t="s">
        <v>58</v>
      </c>
      <c r="P72" s="24" t="s">
        <v>55</v>
      </c>
      <c r="Q72" s="24" t="s">
        <v>56</v>
      </c>
      <c r="R72" s="24" t="s">
        <v>57</v>
      </c>
      <c r="S72" s="62" t="s">
        <v>58</v>
      </c>
      <c r="X72" s="11" t="s">
        <v>57</v>
      </c>
      <c r="Y72" s="283">
        <f>DU37</f>
        <v>0</v>
      </c>
      <c r="Z72" s="283">
        <f>DY37</f>
        <v>0</v>
      </c>
      <c r="AA72" s="283">
        <f>EC37</f>
        <v>0</v>
      </c>
      <c r="AB72" s="283">
        <f>EG37</f>
        <v>0</v>
      </c>
      <c r="AE72" s="11" t="s">
        <v>57</v>
      </c>
      <c r="AF72" s="131">
        <f>第十四期!DV8</f>
        <v>177</v>
      </c>
      <c r="AG72" s="131">
        <f>第十四期!DV12</f>
        <v>151</v>
      </c>
      <c r="AH72" s="131">
        <f>第十四期!DV16</f>
        <v>66</v>
      </c>
      <c r="AI72" s="131">
        <f>第十四期!DV20</f>
        <v>61</v>
      </c>
      <c r="AJ72" s="126">
        <f>AF72-Y59+AF59</f>
        <v>177</v>
      </c>
      <c r="AK72" s="126">
        <f t="shared" si="45"/>
        <v>151</v>
      </c>
      <c r="AL72" s="126">
        <f t="shared" si="45"/>
        <v>66</v>
      </c>
      <c r="AM72" s="126">
        <f t="shared" si="45"/>
        <v>61</v>
      </c>
      <c r="AR72" s="190">
        <v>16</v>
      </c>
      <c r="AS72" s="191" t="str">
        <f t="shared" si="40"/>
        <v/>
      </c>
      <c r="AT72" s="191" t="str">
        <f t="shared" si="40"/>
        <v/>
      </c>
      <c r="AU72" s="191" t="str">
        <f t="shared" si="40"/>
        <v/>
      </c>
      <c r="AV72" s="191" t="str">
        <f t="shared" si="40"/>
        <v/>
      </c>
      <c r="AW72" s="191" t="str">
        <f t="shared" si="40"/>
        <v/>
      </c>
      <c r="AX72" s="191" t="str">
        <f t="shared" si="40"/>
        <v/>
      </c>
      <c r="AY72" s="191" t="str">
        <f t="shared" si="40"/>
        <v/>
      </c>
      <c r="AZ72" s="191" t="str">
        <f t="shared" si="40"/>
        <v/>
      </c>
      <c r="BA72" s="191" t="str">
        <f t="shared" si="40"/>
        <v/>
      </c>
      <c r="BB72" s="191" t="str">
        <f t="shared" si="40"/>
        <v/>
      </c>
      <c r="BC72" s="191" t="str">
        <f t="shared" si="40"/>
        <v/>
      </c>
      <c r="BD72" s="191" t="str">
        <f t="shared" si="40"/>
        <v/>
      </c>
      <c r="BE72" s="191" t="str">
        <f t="shared" si="40"/>
        <v/>
      </c>
      <c r="BF72" s="191" t="str">
        <f t="shared" si="40"/>
        <v/>
      </c>
      <c r="BG72" s="191" t="str">
        <f t="shared" si="40"/>
        <v/>
      </c>
      <c r="BH72" s="191" t="str">
        <f>IF(BH48="","",(BH48-BH$54)^2)</f>
        <v/>
      </c>
      <c r="BR72" s="209" t="s">
        <v>77</v>
      </c>
      <c r="BS72" s="130">
        <f>第十四期!DM60</f>
        <v>102000</v>
      </c>
      <c r="BT72" s="130"/>
      <c r="BU72" s="130">
        <f t="shared" si="46"/>
        <v>3534113.480625</v>
      </c>
      <c r="BV72" s="130">
        <f>BV71-BS72</f>
        <v>1711575.74154615</v>
      </c>
      <c r="BW72" s="126"/>
      <c r="CB72" s="196" t="s">
        <v>307</v>
      </c>
      <c r="CC72" s="108">
        <f>IF(CC79&gt;0,CC70/CC79,0)</f>
        <v>0.404597643727058</v>
      </c>
      <c r="CD72" s="108">
        <f>IF(CD79&gt;0,CD70/CD79,0)</f>
        <v>0.368209513583517</v>
      </c>
      <c r="CE72" s="108">
        <f>IF(CE79&gt;0,CE70/CE79,0)</f>
        <v>0.363858780092333</v>
      </c>
      <c r="CF72" s="108">
        <f>IF(CF79&gt;0,CF70/CF79,0)</f>
        <v>0.3677716255665</v>
      </c>
      <c r="CG72" s="219"/>
      <c r="CH72" s="219"/>
      <c r="CI72" s="196" t="s">
        <v>23</v>
      </c>
      <c r="CJ72" s="108">
        <f>比赛参数!D54</f>
        <v>300000</v>
      </c>
      <c r="CK72" s="108">
        <f>比赛参数!E54</f>
        <v>450000</v>
      </c>
      <c r="CL72" s="108">
        <f>比赛参数!F54</f>
        <v>580000</v>
      </c>
      <c r="CM72" s="108">
        <f>比赛参数!G54</f>
        <v>700000</v>
      </c>
      <c r="CN72" s="108">
        <f>比赛参数!H54</f>
        <v>800000</v>
      </c>
      <c r="CO72" s="219"/>
      <c r="CP72" s="48"/>
      <c r="CQ72" s="48"/>
      <c r="CR72" s="48"/>
      <c r="CS72" s="48"/>
      <c r="CT72" s="48"/>
      <c r="CU72" s="48"/>
    </row>
    <row r="73" customHeight="1" spans="2:99">
      <c r="B73" s="7"/>
      <c r="C73" s="25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0"/>
      <c r="X73" s="11" t="s">
        <v>58</v>
      </c>
      <c r="Y73" s="283">
        <f>DV37</f>
        <v>0</v>
      </c>
      <c r="Z73" s="283">
        <f>DZ37</f>
        <v>0</v>
      </c>
      <c r="AA73" s="283">
        <f>ED37</f>
        <v>0</v>
      </c>
      <c r="AB73" s="283">
        <f>EH37</f>
        <v>0</v>
      </c>
      <c r="AE73" s="11" t="s">
        <v>58</v>
      </c>
      <c r="AF73" s="131">
        <f>第十四期!DV9</f>
        <v>180</v>
      </c>
      <c r="AG73" s="131">
        <f>第十四期!DV13</f>
        <v>151</v>
      </c>
      <c r="AH73" s="131">
        <f>第十四期!DV17</f>
        <v>79</v>
      </c>
      <c r="AI73" s="131">
        <f>第十四期!DV21</f>
        <v>61</v>
      </c>
      <c r="AJ73" s="126">
        <f>AF73-Y60+AF60</f>
        <v>180</v>
      </c>
      <c r="AK73" s="126">
        <f t="shared" si="45"/>
        <v>151</v>
      </c>
      <c r="AL73" s="126">
        <f t="shared" si="45"/>
        <v>79</v>
      </c>
      <c r="AM73" s="126">
        <f t="shared" si="45"/>
        <v>61</v>
      </c>
      <c r="AR73" s="190">
        <v>17</v>
      </c>
      <c r="AS73" s="191" t="str">
        <f t="shared" ref="AS73:BH76" si="47">IF(AS49="","",(AS49-AS$54)^2)</f>
        <v/>
      </c>
      <c r="AT73" s="191" t="str">
        <f t="shared" si="47"/>
        <v/>
      </c>
      <c r="AU73" s="191" t="str">
        <f t="shared" si="47"/>
        <v/>
      </c>
      <c r="AV73" s="191" t="str">
        <f t="shared" si="47"/>
        <v/>
      </c>
      <c r="AW73" s="191" t="str">
        <f t="shared" si="47"/>
        <v/>
      </c>
      <c r="AX73" s="191" t="str">
        <f t="shared" si="47"/>
        <v/>
      </c>
      <c r="AY73" s="191" t="str">
        <f t="shared" si="47"/>
        <v/>
      </c>
      <c r="AZ73" s="191" t="str">
        <f t="shared" si="47"/>
        <v/>
      </c>
      <c r="BA73" s="191" t="str">
        <f t="shared" si="47"/>
        <v/>
      </c>
      <c r="BB73" s="191" t="str">
        <f t="shared" si="47"/>
        <v/>
      </c>
      <c r="BC73" s="191" t="str">
        <f t="shared" si="47"/>
        <v/>
      </c>
      <c r="BD73" s="191" t="str">
        <f t="shared" si="47"/>
        <v/>
      </c>
      <c r="BE73" s="191" t="str">
        <f t="shared" si="47"/>
        <v/>
      </c>
      <c r="BF73" s="191" t="str">
        <f t="shared" si="47"/>
        <v/>
      </c>
      <c r="BG73" s="191" t="str">
        <f t="shared" si="47"/>
        <v/>
      </c>
      <c r="BH73" s="191" t="str">
        <f t="shared" si="47"/>
        <v/>
      </c>
      <c r="BR73" s="209" t="s">
        <v>346</v>
      </c>
      <c r="BS73" s="130">
        <f>第十四期!AC21</f>
        <v>2242000</v>
      </c>
      <c r="BT73" s="130"/>
      <c r="BU73" s="130">
        <f t="shared" si="46"/>
        <v>5776113.480625</v>
      </c>
      <c r="BV73" s="130"/>
      <c r="BW73" s="126"/>
      <c r="CB73" s="219"/>
      <c r="CC73" s="219"/>
      <c r="CD73" s="219"/>
      <c r="CE73" s="219"/>
      <c r="CF73" s="219"/>
      <c r="CG73" s="219"/>
      <c r="CH73" s="219"/>
      <c r="CI73" s="196" t="s">
        <v>24</v>
      </c>
      <c r="CJ73" s="108">
        <f>比赛参数!D55</f>
        <v>500000</v>
      </c>
      <c r="CK73" s="108">
        <f>比赛参数!E55</f>
        <v>600000</v>
      </c>
      <c r="CL73" s="108">
        <f>比赛参数!F55</f>
        <v>700000</v>
      </c>
      <c r="CM73" s="108">
        <f>比赛参数!G55</f>
        <v>850000</v>
      </c>
      <c r="CN73" s="108">
        <f>比赛参数!H55</f>
        <v>1000000</v>
      </c>
      <c r="CO73" s="219"/>
      <c r="CP73" s="65" t="s">
        <v>310</v>
      </c>
      <c r="CQ73" s="65" t="s">
        <v>55</v>
      </c>
      <c r="CR73" s="65" t="s">
        <v>56</v>
      </c>
      <c r="CS73" s="65" t="s">
        <v>57</v>
      </c>
      <c r="CT73" s="65" t="s">
        <v>58</v>
      </c>
      <c r="CU73" s="48"/>
    </row>
    <row r="74" customHeight="1" spans="2:99">
      <c r="B74" s="7"/>
      <c r="C74" s="25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0"/>
      <c r="AE74" s="48"/>
      <c r="AF74" s="2">
        <f>AVERAGE(AF70:AF73)</f>
        <v>146.75</v>
      </c>
      <c r="AG74" s="2">
        <f>AVERAGE(AG70:AG73)</f>
        <v>126.25</v>
      </c>
      <c r="AH74" s="2">
        <f>AVERAGE(AH70:AH73)</f>
        <v>64.5</v>
      </c>
      <c r="AI74" s="2">
        <f>AVERAGE(AI70:AI73)</f>
        <v>53.75</v>
      </c>
      <c r="AJ74" s="48"/>
      <c r="AL74" s="48"/>
      <c r="AR74" s="190">
        <v>18</v>
      </c>
      <c r="AS74" s="191" t="str">
        <f t="shared" si="47"/>
        <v/>
      </c>
      <c r="AT74" s="191" t="str">
        <f t="shared" si="47"/>
        <v/>
      </c>
      <c r="AU74" s="191" t="str">
        <f t="shared" si="47"/>
        <v/>
      </c>
      <c r="AV74" s="191" t="str">
        <f t="shared" si="47"/>
        <v/>
      </c>
      <c r="AW74" s="191" t="str">
        <f t="shared" si="47"/>
        <v/>
      </c>
      <c r="AX74" s="191" t="str">
        <f t="shared" si="47"/>
        <v/>
      </c>
      <c r="AY74" s="191" t="str">
        <f t="shared" si="47"/>
        <v/>
      </c>
      <c r="AZ74" s="191" t="str">
        <f t="shared" si="47"/>
        <v/>
      </c>
      <c r="BA74" s="191" t="str">
        <f t="shared" si="47"/>
        <v/>
      </c>
      <c r="BB74" s="191" t="str">
        <f t="shared" si="47"/>
        <v/>
      </c>
      <c r="BC74" s="191" t="str">
        <f t="shared" si="47"/>
        <v/>
      </c>
      <c r="BD74" s="191" t="str">
        <f t="shared" si="47"/>
        <v/>
      </c>
      <c r="BE74" s="191" t="str">
        <f t="shared" si="47"/>
        <v/>
      </c>
      <c r="BF74" s="191" t="str">
        <f t="shared" si="47"/>
        <v/>
      </c>
      <c r="BG74" s="191" t="str">
        <f t="shared" si="47"/>
        <v/>
      </c>
      <c r="BH74" s="191" t="str">
        <f t="shared" si="47"/>
        <v/>
      </c>
      <c r="BR74" s="209" t="s">
        <v>347</v>
      </c>
      <c r="BS74" s="130">
        <f>第十四期!CG42</f>
        <v>1001675</v>
      </c>
      <c r="BT74" s="130"/>
      <c r="BU74" s="130">
        <f t="shared" si="46"/>
        <v>6777788.480625</v>
      </c>
      <c r="BV74" s="130">
        <f>BV72-BS74</f>
        <v>709900.741546154</v>
      </c>
      <c r="BW74" s="126"/>
      <c r="CB74" s="219"/>
      <c r="CC74" s="219">
        <f t="shared" ref="CC74:CF77" si="48">AF64*AF76</f>
        <v>422400</v>
      </c>
      <c r="CD74" s="219">
        <f t="shared" si="48"/>
        <v>711200</v>
      </c>
      <c r="CE74" s="219">
        <f t="shared" si="48"/>
        <v>401800</v>
      </c>
      <c r="CF74" s="219">
        <f t="shared" si="48"/>
        <v>608650</v>
      </c>
      <c r="CG74" s="219"/>
      <c r="CH74" s="219"/>
      <c r="CI74" s="219"/>
      <c r="CJ74" s="219"/>
      <c r="CK74" s="219"/>
      <c r="CL74" s="219"/>
      <c r="CM74" s="219"/>
      <c r="CN74" s="219"/>
      <c r="CO74" s="219"/>
      <c r="CP74" s="65" t="s">
        <v>38</v>
      </c>
      <c r="CQ74" s="65">
        <f>比赛参数!D13</f>
        <v>83</v>
      </c>
      <c r="CR74" s="65">
        <f>比赛参数!E13</f>
        <v>42</v>
      </c>
      <c r="CS74" s="65">
        <f>比赛参数!F13</f>
        <v>200</v>
      </c>
      <c r="CT74" s="65">
        <f>比赛参数!G13</f>
        <v>250</v>
      </c>
      <c r="CU74" s="48"/>
    </row>
    <row r="75" customHeight="1" spans="2:99">
      <c r="B75" s="7"/>
      <c r="C75" s="25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0"/>
      <c r="X75" s="63" t="s">
        <v>348</v>
      </c>
      <c r="Y75" s="73" t="s">
        <v>38</v>
      </c>
      <c r="Z75" s="73" t="s">
        <v>39</v>
      </c>
      <c r="AA75" s="73" t="s">
        <v>40</v>
      </c>
      <c r="AB75" s="73" t="s">
        <v>41</v>
      </c>
      <c r="AC75" s="126"/>
      <c r="AE75" s="63" t="s">
        <v>349</v>
      </c>
      <c r="AF75" s="59" t="s">
        <v>38</v>
      </c>
      <c r="AG75" s="59" t="s">
        <v>39</v>
      </c>
      <c r="AH75" s="59" t="s">
        <v>40</v>
      </c>
      <c r="AI75" s="59" t="s">
        <v>41</v>
      </c>
      <c r="AJ75" s="42" t="s">
        <v>197</v>
      </c>
      <c r="AK75" s="42" t="s">
        <v>350</v>
      </c>
      <c r="AR75" s="190">
        <v>19</v>
      </c>
      <c r="AS75" s="191" t="str">
        <f t="shared" si="47"/>
        <v/>
      </c>
      <c r="AT75" s="191" t="str">
        <f t="shared" si="47"/>
        <v/>
      </c>
      <c r="AU75" s="191" t="str">
        <f t="shared" si="47"/>
        <v/>
      </c>
      <c r="AV75" s="191" t="str">
        <f t="shared" si="47"/>
        <v/>
      </c>
      <c r="AW75" s="191" t="str">
        <f t="shared" si="47"/>
        <v/>
      </c>
      <c r="AX75" s="191" t="str">
        <f t="shared" si="47"/>
        <v/>
      </c>
      <c r="AY75" s="191" t="str">
        <f t="shared" si="47"/>
        <v/>
      </c>
      <c r="AZ75" s="191" t="str">
        <f t="shared" si="47"/>
        <v/>
      </c>
      <c r="BA75" s="191" t="str">
        <f t="shared" si="47"/>
        <v/>
      </c>
      <c r="BB75" s="191" t="str">
        <f t="shared" si="47"/>
        <v/>
      </c>
      <c r="BC75" s="191" t="str">
        <f t="shared" si="47"/>
        <v/>
      </c>
      <c r="BD75" s="191" t="str">
        <f t="shared" si="47"/>
        <v/>
      </c>
      <c r="BE75" s="191" t="str">
        <f t="shared" si="47"/>
        <v/>
      </c>
      <c r="BF75" s="191" t="str">
        <f t="shared" si="47"/>
        <v/>
      </c>
      <c r="BG75" s="191" t="str">
        <f t="shared" si="47"/>
        <v/>
      </c>
      <c r="BH75" s="191" t="str">
        <f t="shared" si="47"/>
        <v/>
      </c>
      <c r="BR75" s="209" t="s">
        <v>351</v>
      </c>
      <c r="BS75" s="130">
        <f>SUM(第十四期!AF80:AI80)</f>
        <v>354900</v>
      </c>
      <c r="BT75" s="130"/>
      <c r="BU75" s="130">
        <f t="shared" si="46"/>
        <v>7132688.480625</v>
      </c>
      <c r="BV75" s="130">
        <f>BV74-BS75</f>
        <v>355000.741546154</v>
      </c>
      <c r="BW75" s="126"/>
      <c r="CB75" s="219"/>
      <c r="CC75" s="219">
        <f t="shared" si="48"/>
        <v>422400</v>
      </c>
      <c r="CD75" s="219">
        <f t="shared" si="48"/>
        <v>711200</v>
      </c>
      <c r="CE75" s="219">
        <f t="shared" si="48"/>
        <v>401800</v>
      </c>
      <c r="CF75" s="219">
        <f t="shared" si="48"/>
        <v>608650</v>
      </c>
      <c r="CG75" s="219"/>
      <c r="CH75" s="219"/>
      <c r="CI75" s="219"/>
      <c r="CJ75" s="219"/>
      <c r="CK75" s="219"/>
      <c r="CL75" s="219"/>
      <c r="CM75" s="219"/>
      <c r="CN75" s="219"/>
      <c r="CO75" s="219"/>
      <c r="CP75" s="65" t="s">
        <v>39</v>
      </c>
      <c r="CQ75" s="65">
        <f>比赛参数!H13</f>
        <v>467</v>
      </c>
      <c r="CR75" s="65">
        <f>比赛参数!I13</f>
        <v>383</v>
      </c>
      <c r="CS75" s="65">
        <f>比赛参数!J13</f>
        <v>600</v>
      </c>
      <c r="CT75" s="65">
        <f>比赛参数!K13</f>
        <v>650</v>
      </c>
      <c r="CU75" s="48"/>
    </row>
    <row r="76" customHeight="1" spans="2:99">
      <c r="B76" s="7"/>
      <c r="C76" s="25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0"/>
      <c r="X76" s="64" t="s">
        <v>55</v>
      </c>
      <c r="Y76" s="283" t="e">
        <f>AB130/Y232</f>
        <v>#DIV/0!</v>
      </c>
      <c r="Z76" s="283" t="e">
        <f>AL130/AC232</f>
        <v>#DIV/0!</v>
      </c>
      <c r="AA76" s="283" t="e">
        <f>AB153/AG232</f>
        <v>#DIV/0!</v>
      </c>
      <c r="AB76" s="283" t="e">
        <f>AL153/AK232</f>
        <v>#DIV/0!</v>
      </c>
      <c r="AC76" s="126"/>
      <c r="AE76" s="47" t="s">
        <v>55</v>
      </c>
      <c r="AF76" s="101">
        <v>3200</v>
      </c>
      <c r="AG76" s="101">
        <v>6350</v>
      </c>
      <c r="AH76" s="101">
        <v>9800</v>
      </c>
      <c r="AI76" s="101">
        <v>12950</v>
      </c>
      <c r="AJ76" s="300">
        <v>68600</v>
      </c>
      <c r="AK76" s="301">
        <f>AJ76/SUM(AF64:AI64)</f>
        <v>206.626506024096</v>
      </c>
      <c r="AL76" s="114">
        <f>AJ76/SUMPRODUCT(AF76:AI76,AF64:AI64)</f>
        <v>0.0319955224924792</v>
      </c>
      <c r="AM76" s="2">
        <v>8200</v>
      </c>
      <c r="AN76" s="2">
        <v>12000</v>
      </c>
      <c r="AO76" s="2">
        <v>13300</v>
      </c>
      <c r="AR76" s="190">
        <v>20</v>
      </c>
      <c r="AS76" s="191" t="str">
        <f t="shared" si="47"/>
        <v/>
      </c>
      <c r="AT76" s="191" t="str">
        <f t="shared" si="47"/>
        <v/>
      </c>
      <c r="AU76" s="191" t="str">
        <f t="shared" si="47"/>
        <v/>
      </c>
      <c r="AV76" s="191" t="str">
        <f t="shared" si="47"/>
        <v/>
      </c>
      <c r="AW76" s="191" t="str">
        <f t="shared" si="47"/>
        <v/>
      </c>
      <c r="AX76" s="191" t="str">
        <f t="shared" si="47"/>
        <v/>
      </c>
      <c r="AY76" s="191" t="str">
        <f t="shared" si="47"/>
        <v/>
      </c>
      <c r="AZ76" s="191" t="str">
        <f t="shared" si="47"/>
        <v/>
      </c>
      <c r="BA76" s="191" t="str">
        <f t="shared" si="47"/>
        <v/>
      </c>
      <c r="BB76" s="191" t="str">
        <f t="shared" si="47"/>
        <v/>
      </c>
      <c r="BC76" s="191" t="str">
        <f t="shared" si="47"/>
        <v/>
      </c>
      <c r="BD76" s="191" t="str">
        <f t="shared" si="47"/>
        <v/>
      </c>
      <c r="BE76" s="191" t="str">
        <f t="shared" si="47"/>
        <v/>
      </c>
      <c r="BF76" s="191" t="str">
        <f t="shared" si="47"/>
        <v/>
      </c>
      <c r="BG76" s="191" t="str">
        <f t="shared" si="47"/>
        <v/>
      </c>
      <c r="BH76" s="191" t="str">
        <f t="shared" si="47"/>
        <v/>
      </c>
      <c r="BR76" s="326" t="s">
        <v>352</v>
      </c>
      <c r="BS76" s="327">
        <f>SUM(第十四期!AJ76:AJ79)</f>
        <v>355000</v>
      </c>
      <c r="BT76" s="327"/>
      <c r="BU76" s="327">
        <f t="shared" si="46"/>
        <v>7487688.480625</v>
      </c>
      <c r="BV76" s="327">
        <f>BV75-BS76</f>
        <v>0.741546153556556</v>
      </c>
      <c r="BW76" s="331" t="str">
        <f>IF(BV76&gt;=0,"YES","NO")</f>
        <v>YES</v>
      </c>
      <c r="CB76" s="219"/>
      <c r="CC76" s="219">
        <f t="shared" si="48"/>
        <v>666650</v>
      </c>
      <c r="CD76" s="219">
        <f t="shared" si="48"/>
        <v>1123470</v>
      </c>
      <c r="CE76" s="219">
        <f t="shared" si="48"/>
        <v>633150</v>
      </c>
      <c r="CF76" s="219">
        <f t="shared" si="48"/>
        <v>961200</v>
      </c>
      <c r="CG76" s="219"/>
      <c r="CH76" s="219"/>
      <c r="CI76" s="219"/>
      <c r="CJ76" s="219"/>
      <c r="CK76" s="219"/>
      <c r="CL76" s="219"/>
      <c r="CM76" s="219"/>
      <c r="CN76" s="219"/>
      <c r="CO76" s="219"/>
      <c r="CP76" s="65" t="s">
        <v>40</v>
      </c>
      <c r="CQ76" s="65">
        <f>比赛参数!D14</f>
        <v>656</v>
      </c>
      <c r="CR76" s="65">
        <f>比赛参数!E14</f>
        <v>544</v>
      </c>
      <c r="CS76" s="65">
        <f>比赛参数!F14</f>
        <v>800</v>
      </c>
      <c r="CT76" s="65">
        <f>比赛参数!G14</f>
        <v>850</v>
      </c>
      <c r="CU76" s="48"/>
    </row>
    <row r="77" customHeight="1" spans="2:99">
      <c r="B77" s="7"/>
      <c r="C77" s="25">
        <v>5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0"/>
      <c r="X77" s="11" t="s">
        <v>56</v>
      </c>
      <c r="Y77" s="283" t="e">
        <f>AC130/Z232</f>
        <v>#DIV/0!</v>
      </c>
      <c r="Z77" s="283" t="e">
        <f>AM130/AD232</f>
        <v>#DIV/0!</v>
      </c>
      <c r="AA77" s="283" t="e">
        <f>AC153/AH232</f>
        <v>#DIV/0!</v>
      </c>
      <c r="AB77" s="283" t="e">
        <f>AM153/AL232</f>
        <v>#DIV/0!</v>
      </c>
      <c r="AC77" s="126"/>
      <c r="AE77" s="11" t="s">
        <v>56</v>
      </c>
      <c r="AF77" s="101">
        <v>3200</v>
      </c>
      <c r="AG77" s="101">
        <v>6350</v>
      </c>
      <c r="AH77" s="101">
        <v>9800</v>
      </c>
      <c r="AI77" s="101">
        <v>12950</v>
      </c>
      <c r="AJ77" s="300">
        <v>68600</v>
      </c>
      <c r="AK77" s="301">
        <f>AJ77/SUM(AF65:AI65)</f>
        <v>206.626506024096</v>
      </c>
      <c r="AL77" s="114">
        <f>AJ77/SUMPRODUCT(AF77:AI77,AF65:AI65)</f>
        <v>0.0319955224924792</v>
      </c>
      <c r="AM77" s="2">
        <v>8200</v>
      </c>
      <c r="AN77" s="2">
        <v>12000</v>
      </c>
      <c r="AO77" s="2">
        <v>13300</v>
      </c>
      <c r="BR77" s="209" t="s">
        <v>180</v>
      </c>
      <c r="BS77" s="328">
        <f>第十四期!CG53</f>
        <v>11091470</v>
      </c>
      <c r="BT77" s="328">
        <f>BT67+BS77</f>
        <v>11273585.84</v>
      </c>
      <c r="BU77" s="328"/>
      <c r="BV77" s="328">
        <f>BV76+BS77</f>
        <v>11091470.7415462</v>
      </c>
      <c r="BW77" s="126"/>
      <c r="CB77" s="219"/>
      <c r="CC77" s="219">
        <f t="shared" si="48"/>
        <v>676600</v>
      </c>
      <c r="CD77" s="219">
        <f t="shared" si="48"/>
        <v>1137150</v>
      </c>
      <c r="CE77" s="219">
        <f t="shared" si="48"/>
        <v>633150</v>
      </c>
      <c r="CF77" s="219">
        <f t="shared" si="48"/>
        <v>972000</v>
      </c>
      <c r="CG77" s="219"/>
      <c r="CH77" s="219"/>
      <c r="CI77" s="219"/>
      <c r="CJ77" s="219"/>
      <c r="CK77" s="219"/>
      <c r="CL77" s="219"/>
      <c r="CM77" s="219"/>
      <c r="CN77" s="219"/>
      <c r="CO77" s="219"/>
      <c r="CP77" s="65" t="s">
        <v>41</v>
      </c>
      <c r="CQ77" s="65">
        <f>比赛参数!H14</f>
        <v>794</v>
      </c>
      <c r="CR77" s="65">
        <f>比赛参数!I14</f>
        <v>656</v>
      </c>
      <c r="CS77" s="65">
        <f>比赛参数!J14</f>
        <v>1000</v>
      </c>
      <c r="CT77" s="65">
        <f>比赛参数!K14</f>
        <v>1050</v>
      </c>
      <c r="CU77" s="48"/>
    </row>
    <row r="78" customHeight="1" spans="2:99">
      <c r="B78" s="7"/>
      <c r="C78" s="25">
        <v>6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0"/>
      <c r="X78" s="11" t="s">
        <v>57</v>
      </c>
      <c r="Y78" s="283" t="e">
        <f>AD130/AA232</f>
        <v>#DIV/0!</v>
      </c>
      <c r="Z78" s="283" t="e">
        <f>AN130/AE232</f>
        <v>#DIV/0!</v>
      </c>
      <c r="AA78" s="283" t="e">
        <f>AD153/AI232</f>
        <v>#DIV/0!</v>
      </c>
      <c r="AB78" s="283" t="e">
        <f>AN153/AM232</f>
        <v>#DIV/0!</v>
      </c>
      <c r="AC78" s="126"/>
      <c r="AE78" s="11" t="s">
        <v>57</v>
      </c>
      <c r="AF78" s="101">
        <v>3350</v>
      </c>
      <c r="AG78" s="101">
        <v>6570</v>
      </c>
      <c r="AH78" s="101">
        <v>10050</v>
      </c>
      <c r="AI78" s="101">
        <v>13350</v>
      </c>
      <c r="AJ78" s="300">
        <v>108300</v>
      </c>
      <c r="AK78" s="301">
        <f>AJ78/SUM(AF66:AI66)</f>
        <v>214.455445544554</v>
      </c>
      <c r="AL78" s="114">
        <f>AJ78/SUMPRODUCT(AF78:AI78,AF66:AI66)</f>
        <v>0.0319991017795992</v>
      </c>
      <c r="AM78" s="2">
        <v>8500</v>
      </c>
      <c r="AN78" s="2">
        <v>12300</v>
      </c>
      <c r="AO78" s="2">
        <v>14000</v>
      </c>
      <c r="AR78" s="65" t="s">
        <v>353</v>
      </c>
      <c r="AS78" s="307" t="e">
        <f>AVERAGE(AS57:AS76)^0.5</f>
        <v>#DIV/0!</v>
      </c>
      <c r="AT78" s="307" t="e">
        <f t="shared" ref="AT78:BH78" si="49">AVERAGE(AT57:AT76)^0.5</f>
        <v>#DIV/0!</v>
      </c>
      <c r="AU78" s="307" t="e">
        <f t="shared" si="49"/>
        <v>#DIV/0!</v>
      </c>
      <c r="AV78" s="307" t="e">
        <f t="shared" si="49"/>
        <v>#DIV/0!</v>
      </c>
      <c r="AW78" s="307" t="e">
        <f t="shared" si="49"/>
        <v>#DIV/0!</v>
      </c>
      <c r="AX78" s="307" t="e">
        <f t="shared" si="49"/>
        <v>#DIV/0!</v>
      </c>
      <c r="AY78" s="307" t="e">
        <f t="shared" si="49"/>
        <v>#DIV/0!</v>
      </c>
      <c r="AZ78" s="307" t="e">
        <f t="shared" si="49"/>
        <v>#DIV/0!</v>
      </c>
      <c r="BA78" s="307" t="e">
        <f t="shared" si="49"/>
        <v>#DIV/0!</v>
      </c>
      <c r="BB78" s="307" t="e">
        <f t="shared" si="49"/>
        <v>#DIV/0!</v>
      </c>
      <c r="BC78" s="307" t="e">
        <f t="shared" si="49"/>
        <v>#DIV/0!</v>
      </c>
      <c r="BD78" s="307" t="e">
        <f t="shared" si="49"/>
        <v>#DIV/0!</v>
      </c>
      <c r="BE78" s="307" t="e">
        <f t="shared" si="49"/>
        <v>#DIV/0!</v>
      </c>
      <c r="BF78" s="307" t="e">
        <f t="shared" si="49"/>
        <v>#DIV/0!</v>
      </c>
      <c r="BG78" s="307" t="e">
        <f t="shared" si="49"/>
        <v>#DIV/0!</v>
      </c>
      <c r="BH78" s="307" t="e">
        <f t="shared" si="49"/>
        <v>#DIV/0!</v>
      </c>
      <c r="BR78" s="209" t="s">
        <v>259</v>
      </c>
      <c r="BS78" s="130">
        <f>第十四期!CN53</f>
        <v>226472</v>
      </c>
      <c r="BT78" s="130"/>
      <c r="BU78" s="130">
        <f>BU76+BS78</f>
        <v>7714160.480625</v>
      </c>
      <c r="BV78" s="130">
        <f>BV77-BS78</f>
        <v>10864998.7415462</v>
      </c>
      <c r="BW78" s="126"/>
      <c r="CB78" s="219"/>
      <c r="CC78" s="219"/>
      <c r="CD78" s="219"/>
      <c r="CE78" s="219"/>
      <c r="CF78" s="219"/>
      <c r="CG78" s="219"/>
      <c r="CH78" s="219"/>
      <c r="CI78" s="219"/>
      <c r="CJ78" s="219"/>
      <c r="CK78" s="219"/>
      <c r="CL78" s="219"/>
      <c r="CM78" s="219"/>
      <c r="CN78" s="219"/>
      <c r="CO78" s="219"/>
      <c r="CP78" s="48"/>
      <c r="CQ78" s="48"/>
      <c r="CR78" s="48"/>
      <c r="CS78" s="48"/>
      <c r="CT78" s="48"/>
      <c r="CU78" s="48"/>
    </row>
    <row r="79" customHeight="1" spans="2:99">
      <c r="B79" s="7"/>
      <c r="C79" s="25">
        <v>7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0"/>
      <c r="X79" s="11" t="s">
        <v>58</v>
      </c>
      <c r="Y79" s="283" t="e">
        <f>AE130/AB232</f>
        <v>#DIV/0!</v>
      </c>
      <c r="Z79" s="283" t="e">
        <f>AO130/AF232</f>
        <v>#DIV/0!</v>
      </c>
      <c r="AA79" s="283" t="e">
        <f>AE153/AJ232</f>
        <v>#DIV/0!</v>
      </c>
      <c r="AB79" s="283" t="e">
        <f>AO153/AN232</f>
        <v>#DIV/0!</v>
      </c>
      <c r="AC79" s="126"/>
      <c r="AE79" s="11" t="s">
        <v>58</v>
      </c>
      <c r="AF79" s="101">
        <v>3400</v>
      </c>
      <c r="AG79" s="101">
        <v>6650</v>
      </c>
      <c r="AH79" s="101">
        <v>10050</v>
      </c>
      <c r="AI79" s="101">
        <v>13500</v>
      </c>
      <c r="AJ79" s="300">
        <v>109500</v>
      </c>
      <c r="AK79" s="301">
        <f>AJ79/SUM(AF67:AI67)</f>
        <v>216.831683168317</v>
      </c>
      <c r="AL79" s="114">
        <f>AJ79/SUMPRODUCT(AF79:AI79,AF67:AI67)</f>
        <v>0.0320278452133727</v>
      </c>
      <c r="AM79" s="2">
        <v>8500</v>
      </c>
      <c r="AN79" s="2">
        <v>12300</v>
      </c>
      <c r="AO79" s="2">
        <v>14000</v>
      </c>
      <c r="BR79" s="209" t="s">
        <v>354</v>
      </c>
      <c r="BS79" s="130">
        <f>第十四期!K9*比赛参数!D30*比赛参数!F30</f>
        <v>1352000</v>
      </c>
      <c r="BT79" s="130"/>
      <c r="BU79" s="130">
        <f>BU78+BS79</f>
        <v>9066160.480625</v>
      </c>
      <c r="BV79" s="130"/>
      <c r="BW79" s="126"/>
      <c r="CB79" s="196" t="s">
        <v>355</v>
      </c>
      <c r="CC79" s="108">
        <f>IF(SUM(AF64:AF67)&gt;0,SUM(CC74:CC77)/SUM(AF64:AF67),0)</f>
        <v>3305.21148036254</v>
      </c>
      <c r="CD79" s="108">
        <f>IF(SUM(AG64:AG67)&gt;0,SUM(CD74:CD77)/SUM(AG64:AG67),0)</f>
        <v>6507.10247349823</v>
      </c>
      <c r="CE79" s="108">
        <f>IF(SUM(AH64:AH67)&gt;0,SUM(CE74:CE77)/SUM(AH64:AH67),0)</f>
        <v>9951.44230769231</v>
      </c>
      <c r="CF79" s="108">
        <f>IF(SUM(AI64:AI67)&gt;0,SUM(CF74:CF77)/SUM(AI64:AI67),0)</f>
        <v>13237.3949579832</v>
      </c>
      <c r="CG79" s="219"/>
      <c r="CH79" s="219"/>
      <c r="CM79" s="219"/>
      <c r="CN79" s="219"/>
      <c r="CO79" s="219"/>
      <c r="CP79" s="65" t="s">
        <v>356</v>
      </c>
      <c r="CQ79" s="65" t="s">
        <v>224</v>
      </c>
      <c r="CR79" s="65" t="s">
        <v>225</v>
      </c>
      <c r="CS79" s="65" t="s">
        <v>226</v>
      </c>
      <c r="CT79" s="65" t="s">
        <v>227</v>
      </c>
      <c r="CU79" s="65" t="s">
        <v>308</v>
      </c>
    </row>
    <row r="80" customHeight="1" spans="2:99">
      <c r="B80" s="7"/>
      <c r="C80" s="25">
        <v>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0"/>
      <c r="AC80" s="48"/>
      <c r="AE80" s="42" t="s">
        <v>165</v>
      </c>
      <c r="AF80" s="284">
        <v>70000</v>
      </c>
      <c r="AG80" s="284">
        <v>117700</v>
      </c>
      <c r="AH80" s="284">
        <v>66300</v>
      </c>
      <c r="AI80" s="284">
        <v>100900</v>
      </c>
      <c r="AJ80" s="42" t="s">
        <v>357</v>
      </c>
      <c r="AK80" s="302">
        <f>BS75/BS77</f>
        <v>0.0319975620905074</v>
      </c>
      <c r="AR80" s="92"/>
      <c r="AS80" s="180" t="s">
        <v>21</v>
      </c>
      <c r="AT80" s="181"/>
      <c r="AU80" s="181"/>
      <c r="AV80" s="182"/>
      <c r="AW80" s="180" t="s">
        <v>22</v>
      </c>
      <c r="AX80" s="181"/>
      <c r="AY80" s="181"/>
      <c r="AZ80" s="182"/>
      <c r="BA80" s="180" t="s">
        <v>23</v>
      </c>
      <c r="BB80" s="181"/>
      <c r="BC80" s="181"/>
      <c r="BD80" s="182"/>
      <c r="BE80" s="180" t="s">
        <v>24</v>
      </c>
      <c r="BF80" s="181"/>
      <c r="BG80" s="181"/>
      <c r="BH80" s="182"/>
      <c r="BR80" s="209" t="s">
        <v>358</v>
      </c>
      <c r="BS80" s="130">
        <f>第十四期!CG65</f>
        <v>-149169.230769231</v>
      </c>
      <c r="BT80" s="130"/>
      <c r="BU80" s="130">
        <f>BU79+BS80</f>
        <v>8916991.24985577</v>
      </c>
      <c r="BV80" s="130"/>
      <c r="BW80" s="126"/>
      <c r="CB80" s="219"/>
      <c r="CC80" s="219"/>
      <c r="CD80" s="219"/>
      <c r="CE80" s="219"/>
      <c r="CF80" s="219"/>
      <c r="CG80" s="219"/>
      <c r="CH80" s="219"/>
      <c r="CI80" s="219"/>
      <c r="CJ80" s="219"/>
      <c r="CK80" s="219"/>
      <c r="CL80" s="219"/>
      <c r="CM80" s="219"/>
      <c r="CN80" s="219"/>
      <c r="CO80" s="219"/>
      <c r="CP80" s="65" t="s">
        <v>38</v>
      </c>
      <c r="CQ80" s="65">
        <f>第十四期!Y9*第十四期!CQ56</f>
        <v>71000</v>
      </c>
      <c r="CR80" s="65">
        <f>第十四期!Z9*第十四期!CR56</f>
        <v>0</v>
      </c>
      <c r="CS80" s="65">
        <f>第十四期!AA9*第十四期!CS56</f>
        <v>0</v>
      </c>
      <c r="CT80" s="65">
        <f>第十四期!AB9*第十四期!CT56</f>
        <v>0</v>
      </c>
      <c r="CU80" s="65">
        <f>SUM(CQ80:CT80)</f>
        <v>71000</v>
      </c>
    </row>
    <row r="81" customHeight="1" spans="2:99">
      <c r="B81" s="7"/>
      <c r="C81" s="25">
        <v>9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0"/>
      <c r="X81" s="63" t="s">
        <v>359</v>
      </c>
      <c r="Y81" s="73" t="s">
        <v>38</v>
      </c>
      <c r="Z81" s="73" t="s">
        <v>39</v>
      </c>
      <c r="AA81" s="73" t="s">
        <v>40</v>
      </c>
      <c r="AB81" s="73" t="s">
        <v>41</v>
      </c>
      <c r="AE81" s="42" t="s">
        <v>360</v>
      </c>
      <c r="AF81" s="285">
        <f>IF(SUM(AF64:AF67)&gt;0,AF80/SUM(AF64:AF67),0)</f>
        <v>105.740181268882</v>
      </c>
      <c r="AG81" s="285">
        <f>IF(SUM(AG64:AG67)&gt;0,AG80/SUM(AG64:AG67),0)</f>
        <v>207.950530035336</v>
      </c>
      <c r="AH81" s="285">
        <f>IF(SUM(AH64:AH67)&gt;0,AH80/SUM(AH64:AH67),0)</f>
        <v>318.75</v>
      </c>
      <c r="AI81" s="303">
        <f>IF(SUM(AI64:AI67)&gt;0,AI80/SUM(AI64:AI67),0)</f>
        <v>423.949579831933</v>
      </c>
      <c r="AJ81" s="42" t="s">
        <v>361</v>
      </c>
      <c r="AK81" s="302">
        <f>BS76/BS77</f>
        <v>0.0320065780279801</v>
      </c>
      <c r="AR81" s="92" t="s">
        <v>285</v>
      </c>
      <c r="AS81" s="183" t="s">
        <v>55</v>
      </c>
      <c r="AT81" s="11" t="s">
        <v>56</v>
      </c>
      <c r="AU81" s="11" t="s">
        <v>57</v>
      </c>
      <c r="AV81" s="184" t="s">
        <v>58</v>
      </c>
      <c r="AW81" s="183" t="s">
        <v>55</v>
      </c>
      <c r="AX81" s="11" t="s">
        <v>56</v>
      </c>
      <c r="AY81" s="11" t="s">
        <v>57</v>
      </c>
      <c r="AZ81" s="184" t="s">
        <v>58</v>
      </c>
      <c r="BA81" s="183" t="s">
        <v>55</v>
      </c>
      <c r="BB81" s="11" t="s">
        <v>56</v>
      </c>
      <c r="BC81" s="11" t="s">
        <v>57</v>
      </c>
      <c r="BD81" s="184" t="s">
        <v>58</v>
      </c>
      <c r="BE81" s="183" t="s">
        <v>55</v>
      </c>
      <c r="BF81" s="11" t="s">
        <v>56</v>
      </c>
      <c r="BG81" s="11" t="s">
        <v>57</v>
      </c>
      <c r="BH81" s="184" t="s">
        <v>58</v>
      </c>
      <c r="BI81" s="2" t="s">
        <v>362</v>
      </c>
      <c r="BR81" s="209" t="s">
        <v>363</v>
      </c>
      <c r="BS81" s="130">
        <f>(第十四期!K10+(第十四期!AC18+第十四期!K10-第十四期!AC21))/2*比赛参数!D16</f>
        <v>13141.98</v>
      </c>
      <c r="BT81" s="130"/>
      <c r="BU81" s="130">
        <f>BU80+BS81</f>
        <v>8930133.22985577</v>
      </c>
      <c r="BV81" s="130">
        <f>BV78-BS81</f>
        <v>10851856.7615462</v>
      </c>
      <c r="BW81" s="126"/>
      <c r="CB81" s="219"/>
      <c r="CC81" s="219">
        <f t="shared" ref="CC81:CF84" si="50">CJ19*AF64</f>
        <v>249576.931397096</v>
      </c>
      <c r="CD81" s="219">
        <f t="shared" si="50"/>
        <v>451615.0665999</v>
      </c>
      <c r="CE81" s="219">
        <f t="shared" si="50"/>
        <v>256259.207473856</v>
      </c>
      <c r="CF81" s="219">
        <f t="shared" si="50"/>
        <v>388057.572275962</v>
      </c>
      <c r="CG81" s="219"/>
      <c r="CH81" s="219"/>
      <c r="CI81" s="219"/>
      <c r="CJ81" s="219"/>
      <c r="CK81" s="219"/>
      <c r="CL81" s="219"/>
      <c r="CM81" s="219"/>
      <c r="CN81" s="219"/>
      <c r="CO81" s="219"/>
      <c r="CP81" s="65" t="s">
        <v>39</v>
      </c>
      <c r="CQ81" s="65">
        <f>第十四期!Y10*第十四期!CQ57</f>
        <v>104750</v>
      </c>
      <c r="CR81" s="65">
        <f>第十四期!Z10*第十四期!CR57</f>
        <v>0</v>
      </c>
      <c r="CS81" s="65">
        <f>第十四期!AA10*第十四期!CS57</f>
        <v>49250</v>
      </c>
      <c r="CT81" s="65">
        <f>第十四期!AB10*第十四期!CT57</f>
        <v>0</v>
      </c>
      <c r="CU81" s="65">
        <f>SUM(CQ81:CT81)</f>
        <v>154000</v>
      </c>
    </row>
    <row r="82" ht="18.75" customHeight="1" spans="2:99">
      <c r="B82" s="7"/>
      <c r="C82" s="25">
        <v>10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0"/>
      <c r="X82" s="64" t="s">
        <v>55</v>
      </c>
      <c r="Y82" s="286" t="e">
        <f>(Y76-AS54)/AS78</f>
        <v>#DIV/0!</v>
      </c>
      <c r="Z82" s="286" t="e">
        <f>(Z76-AW54)/AW78</f>
        <v>#DIV/0!</v>
      </c>
      <c r="AA82" s="286" t="e">
        <f>(AA76-BA54)/BA78</f>
        <v>#DIV/0!</v>
      </c>
      <c r="AB82" s="286" t="e">
        <f>(AB76-BE54)/BE78</f>
        <v>#DIV/0!</v>
      </c>
      <c r="AF82" s="48">
        <f>SUMPRODUCT(AF70:AF73,AF86:AF89)/SUM(AF70:AF73)</f>
        <v>3356.55877342419</v>
      </c>
      <c r="AG82" s="48">
        <f>SUMPRODUCT(AG70:AG73,AG86:AG89)/SUM(AG70:AG73)</f>
        <v>6555.48514851485</v>
      </c>
      <c r="AH82" s="48">
        <f>SUMPRODUCT(AH70:AH73,AH86:AH89)/SUM(AH70:AH73)</f>
        <v>9990.50387596899</v>
      </c>
      <c r="AI82" s="48">
        <f>SUMPRODUCT(AI70:AI73,AI86:AI89)/SUM(AI70:AI73)</f>
        <v>13219.5348837209</v>
      </c>
      <c r="AJ82" s="42" t="s">
        <v>100</v>
      </c>
      <c r="AK82" s="84">
        <f>AF14</f>
        <v>2301374.91264423</v>
      </c>
      <c r="AR82" s="185">
        <v>1</v>
      </c>
      <c r="AS82" s="308" t="str">
        <f t="shared" ref="AS82:BH97" si="51">IF(AS33="","",(AS33-AS$54)/AS$78)</f>
        <v/>
      </c>
      <c r="AT82" s="309" t="str">
        <f t="shared" si="51"/>
        <v/>
      </c>
      <c r="AU82" s="309" t="str">
        <f t="shared" si="51"/>
        <v/>
      </c>
      <c r="AV82" s="310" t="str">
        <f t="shared" si="51"/>
        <v/>
      </c>
      <c r="AW82" s="308" t="str">
        <f t="shared" si="51"/>
        <v/>
      </c>
      <c r="AX82" s="309" t="str">
        <f t="shared" si="51"/>
        <v/>
      </c>
      <c r="AY82" s="309" t="str">
        <f t="shared" si="51"/>
        <v/>
      </c>
      <c r="AZ82" s="310" t="str">
        <f t="shared" si="51"/>
        <v/>
      </c>
      <c r="BA82" s="308" t="str">
        <f t="shared" si="51"/>
        <v/>
      </c>
      <c r="BB82" s="309" t="str">
        <f t="shared" si="51"/>
        <v/>
      </c>
      <c r="BC82" s="309" t="str">
        <f t="shared" si="51"/>
        <v/>
      </c>
      <c r="BD82" s="310" t="str">
        <f t="shared" si="51"/>
        <v/>
      </c>
      <c r="BE82" s="308" t="str">
        <f t="shared" si="51"/>
        <v/>
      </c>
      <c r="BF82" s="309" t="str">
        <f t="shared" si="51"/>
        <v/>
      </c>
      <c r="BG82" s="309" t="str">
        <f t="shared" si="51"/>
        <v/>
      </c>
      <c r="BH82" s="310" t="str">
        <f t="shared" si="51"/>
        <v/>
      </c>
      <c r="BI82" s="319" t="str">
        <f>IF(AS82="","",AVERAGE(AS82:BH82))</f>
        <v/>
      </c>
      <c r="BR82" s="209" t="s">
        <v>364</v>
      </c>
      <c r="BS82" s="130">
        <f>第十四期!CG67</f>
        <v>30800</v>
      </c>
      <c r="BT82" s="130"/>
      <c r="BU82" s="91">
        <f>BU81+BS82</f>
        <v>8960933.22985577</v>
      </c>
      <c r="BV82" s="130">
        <f>BV81-BS82</f>
        <v>10821056.7615462</v>
      </c>
      <c r="BW82" s="126"/>
      <c r="CB82" s="219"/>
      <c r="CC82" s="219">
        <f t="shared" si="50"/>
        <v>244164.931397096</v>
      </c>
      <c r="CD82" s="219">
        <f t="shared" si="50"/>
        <v>442207.0665999</v>
      </c>
      <c r="CE82" s="219">
        <f t="shared" si="50"/>
        <v>251667.207473856</v>
      </c>
      <c r="CF82" s="219">
        <f t="shared" si="50"/>
        <v>381571.572275962</v>
      </c>
      <c r="CG82" s="219"/>
      <c r="CH82" s="219"/>
      <c r="CI82" s="219"/>
      <c r="CJ82" s="219"/>
      <c r="CK82" s="219"/>
      <c r="CL82" s="219"/>
      <c r="CM82" s="219"/>
      <c r="CN82" s="219"/>
      <c r="CO82" s="219"/>
      <c r="CP82" s="65" t="s">
        <v>40</v>
      </c>
      <c r="CQ82" s="65">
        <f>第十四期!Y11*第十四期!CQ58</f>
        <v>0</v>
      </c>
      <c r="CR82" s="65">
        <f>第十四期!Z11*第十四期!CR58</f>
        <v>0</v>
      </c>
      <c r="CS82" s="65">
        <f>第十四期!AA11*第十四期!CS58</f>
        <v>54720</v>
      </c>
      <c r="CT82" s="65">
        <f>第十四期!AB11*第十四期!CT58</f>
        <v>25460</v>
      </c>
      <c r="CU82" s="65">
        <f>SUM(CQ82:CT82)</f>
        <v>80180</v>
      </c>
    </row>
    <row r="83" ht="18.75" customHeight="1" spans="2:99">
      <c r="B83" s="7"/>
      <c r="C83" s="25">
        <v>11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0"/>
      <c r="X83" s="11" t="s">
        <v>56</v>
      </c>
      <c r="Y83" s="286" t="e">
        <f>(Y77-AT54)/AT78</f>
        <v>#DIV/0!</v>
      </c>
      <c r="Z83" s="286" t="e">
        <f>(Z77-AX54)/AX78</f>
        <v>#DIV/0!</v>
      </c>
      <c r="AA83" s="286" t="e">
        <f>(AA77-BB54)/BB78</f>
        <v>#DIV/0!</v>
      </c>
      <c r="AB83" s="286" t="e">
        <f>(AB77-BF54)/BF78</f>
        <v>#DIV/0!</v>
      </c>
      <c r="AE83" s="42" t="s">
        <v>365</v>
      </c>
      <c r="AF83" s="285">
        <f>SUMPRODUCT(Y96:Y99,AF64:AF67)/SUM(AF64:AF67)</f>
        <v>13.3728077697431</v>
      </c>
      <c r="AG83" s="285">
        <f>SUMPRODUCT(Z96:Z99,AG64:AG67)/SUM(AG64:AG67)</f>
        <v>9.58390814641953</v>
      </c>
      <c r="AH83" s="285">
        <f>SUMPRODUCT(AA96:AA99,AH64:AH67)/SUM(AH64:AH67)</f>
        <v>9.52873594272672</v>
      </c>
      <c r="AI83" s="285">
        <f>SUMPRODUCT(AB96:AB99,AI64:AI67)/SUM(AI64:AI67)</f>
        <v>9.36218896531398</v>
      </c>
      <c r="AR83" s="185">
        <v>2</v>
      </c>
      <c r="AS83" s="308" t="str">
        <f t="shared" si="51"/>
        <v/>
      </c>
      <c r="AT83" s="309" t="str">
        <f t="shared" si="51"/>
        <v/>
      </c>
      <c r="AU83" s="309" t="str">
        <f t="shared" si="51"/>
        <v/>
      </c>
      <c r="AV83" s="310" t="str">
        <f t="shared" si="51"/>
        <v/>
      </c>
      <c r="AW83" s="308" t="str">
        <f t="shared" si="51"/>
        <v/>
      </c>
      <c r="AX83" s="309" t="str">
        <f t="shared" si="51"/>
        <v/>
      </c>
      <c r="AY83" s="309" t="str">
        <f t="shared" si="51"/>
        <v/>
      </c>
      <c r="AZ83" s="310" t="str">
        <f t="shared" si="51"/>
        <v/>
      </c>
      <c r="BA83" s="308" t="str">
        <f t="shared" si="51"/>
        <v/>
      </c>
      <c r="BB83" s="309" t="str">
        <f t="shared" si="51"/>
        <v/>
      </c>
      <c r="BC83" s="309" t="str">
        <f t="shared" si="51"/>
        <v/>
      </c>
      <c r="BD83" s="310" t="str">
        <f t="shared" si="51"/>
        <v/>
      </c>
      <c r="BE83" s="308" t="str">
        <f t="shared" si="51"/>
        <v/>
      </c>
      <c r="BF83" s="309" t="str">
        <f t="shared" si="51"/>
        <v/>
      </c>
      <c r="BG83" s="309" t="str">
        <f t="shared" si="51"/>
        <v/>
      </c>
      <c r="BH83" s="310" t="str">
        <f t="shared" si="51"/>
        <v/>
      </c>
      <c r="BI83" s="319" t="str">
        <f t="shared" ref="BI83:BI101" si="52">IF(AS83="","",AVERAGE(AS83:BH83))</f>
        <v/>
      </c>
      <c r="BR83" s="209" t="s">
        <v>366</v>
      </c>
      <c r="BS83" s="130">
        <f>第十四期!K13</f>
        <v>0</v>
      </c>
      <c r="BT83" s="130"/>
      <c r="BU83" s="130"/>
      <c r="BV83" s="130">
        <f>BV82+BS83</f>
        <v>10821056.7615462</v>
      </c>
      <c r="BW83" s="126"/>
      <c r="CB83" s="219"/>
      <c r="CC83" s="219">
        <f t="shared" si="50"/>
        <v>399539.131424409</v>
      </c>
      <c r="CD83" s="219">
        <f t="shared" si="50"/>
        <v>712262.432040918</v>
      </c>
      <c r="CE83" s="219">
        <f t="shared" si="50"/>
        <v>402836.148069584</v>
      </c>
      <c r="CF83" s="219">
        <f t="shared" si="50"/>
        <v>609303.174550409</v>
      </c>
      <c r="CG83" s="219"/>
      <c r="CH83" s="219"/>
      <c r="CI83" s="219"/>
      <c r="CJ83" s="219"/>
      <c r="CK83" s="219"/>
      <c r="CL83" s="219"/>
      <c r="CM83" s="219"/>
      <c r="CN83" s="219"/>
      <c r="CO83" s="219"/>
      <c r="CP83" s="65" t="s">
        <v>41</v>
      </c>
      <c r="CQ83" s="65">
        <f>第十四期!Y12*第十四期!CQ59</f>
        <v>0</v>
      </c>
      <c r="CR83" s="65">
        <f>第十四期!Z12*第十四期!CR59</f>
        <v>0</v>
      </c>
      <c r="CS83" s="65">
        <f>第十四期!AA12*第十四期!CS59</f>
        <v>71760</v>
      </c>
      <c r="CT83" s="65">
        <f>第十四期!AB12*第十四期!CT59</f>
        <v>62400</v>
      </c>
      <c r="CU83" s="65">
        <f>SUM(CQ83:CT83)</f>
        <v>134160</v>
      </c>
    </row>
    <row r="84" ht="18.75" customHeight="1" spans="2:99">
      <c r="B84" s="7"/>
      <c r="C84" s="25">
        <v>12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0"/>
      <c r="X84" s="11" t="s">
        <v>57</v>
      </c>
      <c r="Y84" s="286" t="e">
        <f>(Y78-AU54)/AU78</f>
        <v>#DIV/0!</v>
      </c>
      <c r="Z84" s="286" t="e">
        <f>(Z78-AY54)/AY78</f>
        <v>#DIV/0!</v>
      </c>
      <c r="AA84" s="286" t="e">
        <f>(AA78-BC54)/BC78</f>
        <v>#DIV/0!</v>
      </c>
      <c r="AB84" s="286" t="e">
        <f>(AB78-BG54)/BG78</f>
        <v>#DIV/0!</v>
      </c>
      <c r="AF84" s="114">
        <f>AF80/SUMPRODUCT(AF76:AF79,AF64:AF67)</f>
        <v>0.0319919563081282</v>
      </c>
      <c r="AG84" s="114">
        <f>AG80/SUMPRODUCT(AG76:AG79,AG64:AG67)</f>
        <v>0.031957469685204</v>
      </c>
      <c r="AH84" s="114">
        <f>AH80/SUMPRODUCT(AH76:AH79,AH64:AH67)</f>
        <v>0.0320305328759843</v>
      </c>
      <c r="AI84" s="114">
        <f>AI80/SUMPRODUCT(AI76:AI79,AI64:AI67)</f>
        <v>0.0320266624345342</v>
      </c>
      <c r="AJ84" s="48"/>
      <c r="AK84" s="2" t="s">
        <v>367</v>
      </c>
      <c r="AL84" s="48"/>
      <c r="AR84" s="185">
        <v>3</v>
      </c>
      <c r="AS84" s="308" t="str">
        <f t="shared" si="51"/>
        <v/>
      </c>
      <c r="AT84" s="309" t="str">
        <f t="shared" si="51"/>
        <v/>
      </c>
      <c r="AU84" s="309" t="str">
        <f t="shared" si="51"/>
        <v/>
      </c>
      <c r="AV84" s="310" t="str">
        <f t="shared" si="51"/>
        <v/>
      </c>
      <c r="AW84" s="308" t="str">
        <f t="shared" si="51"/>
        <v/>
      </c>
      <c r="AX84" s="309" t="str">
        <f t="shared" si="51"/>
        <v/>
      </c>
      <c r="AY84" s="309" t="str">
        <f t="shared" si="51"/>
        <v/>
      </c>
      <c r="AZ84" s="310" t="str">
        <f t="shared" si="51"/>
        <v/>
      </c>
      <c r="BA84" s="308" t="str">
        <f t="shared" si="51"/>
        <v/>
      </c>
      <c r="BB84" s="309" t="str">
        <f t="shared" si="51"/>
        <v/>
      </c>
      <c r="BC84" s="309" t="str">
        <f t="shared" si="51"/>
        <v/>
      </c>
      <c r="BD84" s="310" t="str">
        <f t="shared" si="51"/>
        <v/>
      </c>
      <c r="BE84" s="308" t="str">
        <f t="shared" si="51"/>
        <v/>
      </c>
      <c r="BF84" s="309" t="str">
        <f t="shared" si="51"/>
        <v/>
      </c>
      <c r="BG84" s="309" t="str">
        <f t="shared" si="51"/>
        <v/>
      </c>
      <c r="BH84" s="310" t="str">
        <f t="shared" si="51"/>
        <v/>
      </c>
      <c r="BI84" s="319" t="str">
        <f t="shared" si="52"/>
        <v/>
      </c>
      <c r="BR84" s="209" t="s">
        <v>258</v>
      </c>
      <c r="BS84" s="130">
        <f>第十四期!K13*比赛参数!D70/4</f>
        <v>0</v>
      </c>
      <c r="BT84" s="329">
        <f>BT77+BS84</f>
        <v>11273585.84</v>
      </c>
      <c r="BU84" s="130"/>
      <c r="BV84" s="130">
        <f>BV83+BS84</f>
        <v>10821056.7615462</v>
      </c>
      <c r="BW84" s="126"/>
      <c r="CB84" s="219"/>
      <c r="CC84" s="219">
        <f t="shared" si="50"/>
        <v>409489.131424409</v>
      </c>
      <c r="CD84" s="219">
        <f t="shared" si="50"/>
        <v>720812.432040918</v>
      </c>
      <c r="CE84" s="219">
        <f t="shared" si="50"/>
        <v>405986.148069584</v>
      </c>
      <c r="CF84" s="219">
        <f t="shared" si="50"/>
        <v>612903.174550409</v>
      </c>
      <c r="CG84" s="219"/>
      <c r="CH84" s="219"/>
      <c r="CI84" s="219"/>
      <c r="CJ84" s="219"/>
      <c r="CK84" s="219"/>
      <c r="CL84" s="219"/>
      <c r="CM84" s="219"/>
      <c r="CN84" s="219"/>
      <c r="CO84" s="219"/>
      <c r="CP84" s="65" t="s">
        <v>308</v>
      </c>
      <c r="CQ84" s="65">
        <f>SUM(CQ80:CQ83)</f>
        <v>175750</v>
      </c>
      <c r="CR84" s="65">
        <f>SUM(CR80:CR83)</f>
        <v>0</v>
      </c>
      <c r="CS84" s="65">
        <f>SUM(CS80:CS83)</f>
        <v>175730</v>
      </c>
      <c r="CT84" s="65">
        <f>SUM(CT80:CT83)</f>
        <v>87860</v>
      </c>
      <c r="CU84" s="65">
        <f>SUM(CU80:CU83)</f>
        <v>439340</v>
      </c>
    </row>
    <row r="85" ht="18.75" customHeight="1" spans="2:99">
      <c r="B85" s="7"/>
      <c r="C85" s="25">
        <v>13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0"/>
      <c r="X85" s="11" t="s">
        <v>58</v>
      </c>
      <c r="Y85" s="286" t="e">
        <f>(Y79-AV54)/AV78</f>
        <v>#DIV/0!</v>
      </c>
      <c r="Z85" s="286" t="e">
        <f>(Z79-AZ54)/AZ78</f>
        <v>#DIV/0!</v>
      </c>
      <c r="AA85" s="286" t="e">
        <f>(AA79-BD54)/BD78</f>
        <v>#DIV/0!</v>
      </c>
      <c r="AB85" s="286" t="e">
        <f>(AB79-BH54)/BH78</f>
        <v>#DIV/0!</v>
      </c>
      <c r="AE85" s="63" t="s">
        <v>368</v>
      </c>
      <c r="AF85" s="59" t="s">
        <v>38</v>
      </c>
      <c r="AG85" s="59" t="s">
        <v>39</v>
      </c>
      <c r="AH85" s="59" t="s">
        <v>40</v>
      </c>
      <c r="AI85" s="59" t="s">
        <v>41</v>
      </c>
      <c r="AJ85" s="63" t="s">
        <v>369</v>
      </c>
      <c r="AK85" s="73" t="s">
        <v>38</v>
      </c>
      <c r="AL85" s="73" t="s">
        <v>39</v>
      </c>
      <c r="AM85" s="73" t="s">
        <v>40</v>
      </c>
      <c r="AN85" s="73" t="s">
        <v>41</v>
      </c>
      <c r="AR85" s="185">
        <v>4</v>
      </c>
      <c r="AS85" s="308" t="str">
        <f t="shared" si="51"/>
        <v/>
      </c>
      <c r="AT85" s="309" t="str">
        <f t="shared" si="51"/>
        <v/>
      </c>
      <c r="AU85" s="309" t="str">
        <f t="shared" si="51"/>
        <v/>
      </c>
      <c r="AV85" s="310" t="str">
        <f t="shared" si="51"/>
        <v/>
      </c>
      <c r="AW85" s="308" t="str">
        <f t="shared" si="51"/>
        <v/>
      </c>
      <c r="AX85" s="309" t="str">
        <f t="shared" si="51"/>
        <v/>
      </c>
      <c r="AY85" s="309" t="str">
        <f t="shared" si="51"/>
        <v/>
      </c>
      <c r="AZ85" s="310" t="str">
        <f t="shared" si="51"/>
        <v/>
      </c>
      <c r="BA85" s="308" t="str">
        <f t="shared" si="51"/>
        <v/>
      </c>
      <c r="BB85" s="309" t="str">
        <f t="shared" si="51"/>
        <v/>
      </c>
      <c r="BC85" s="309" t="str">
        <f t="shared" si="51"/>
        <v/>
      </c>
      <c r="BD85" s="310" t="str">
        <f t="shared" si="51"/>
        <v/>
      </c>
      <c r="BE85" s="308" t="str">
        <f t="shared" si="51"/>
        <v/>
      </c>
      <c r="BF85" s="309" t="str">
        <f t="shared" si="51"/>
        <v/>
      </c>
      <c r="BG85" s="309" t="str">
        <f t="shared" si="51"/>
        <v/>
      </c>
      <c r="BH85" s="310" t="str">
        <f t="shared" si="51"/>
        <v/>
      </c>
      <c r="BI85" s="319" t="str">
        <f t="shared" si="52"/>
        <v/>
      </c>
      <c r="BR85" s="209" t="s">
        <v>370</v>
      </c>
      <c r="BS85" s="130">
        <f>第十四期!AH14</f>
        <v>501231</v>
      </c>
      <c r="BT85" s="130"/>
      <c r="BU85" s="130"/>
      <c r="BV85" s="130">
        <f t="shared" ref="BV85:BV90" si="53">BV84-BS85</f>
        <v>10319825.7615462</v>
      </c>
      <c r="BW85" s="126"/>
      <c r="CB85" s="219"/>
      <c r="CC85" s="219"/>
      <c r="CD85" s="219"/>
      <c r="CE85" s="219"/>
      <c r="CF85" s="219"/>
      <c r="CG85" s="219"/>
      <c r="CH85" s="219"/>
      <c r="CI85" s="219"/>
      <c r="CJ85" s="219"/>
      <c r="CK85" s="219"/>
      <c r="CL85" s="219"/>
      <c r="CM85" s="219"/>
      <c r="CN85" s="219"/>
      <c r="CO85" s="219"/>
      <c r="CP85" s="48"/>
      <c r="CQ85" s="48"/>
      <c r="CR85" s="48"/>
      <c r="CS85" s="48"/>
      <c r="CT85" s="48"/>
      <c r="CU85" s="48"/>
    </row>
    <row r="86" ht="18.75" customHeight="1" spans="2:99">
      <c r="B86" s="7"/>
      <c r="C86" s="25">
        <v>14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0"/>
      <c r="Y86" s="2" t="e">
        <f>AVERAGE(Y82:Y85)</f>
        <v>#DIV/0!</v>
      </c>
      <c r="Z86" s="2" t="e">
        <f>AVERAGE(Z82:Z85)</f>
        <v>#DIV/0!</v>
      </c>
      <c r="AA86" s="2" t="e">
        <f>AVERAGE(AA82:AA85)</f>
        <v>#DIV/0!</v>
      </c>
      <c r="AB86" s="2" t="e">
        <f>AVERAGE(AB82:AB85)</f>
        <v>#DIV/0!</v>
      </c>
      <c r="AE86" s="47" t="s">
        <v>55</v>
      </c>
      <c r="AF86" s="131">
        <f>第十四期!DS33</f>
        <v>3250</v>
      </c>
      <c r="AG86" s="131">
        <f>第十四期!DW33</f>
        <v>6400</v>
      </c>
      <c r="AH86" s="131">
        <f>第十四期!EA33</f>
        <v>9850</v>
      </c>
      <c r="AI86" s="131">
        <f>第十四期!EE33</f>
        <v>12950</v>
      </c>
      <c r="AJ86" s="64" t="s">
        <v>55</v>
      </c>
      <c r="AK86" s="108">
        <f t="shared" ref="AK86:AN89" si="54">AF76-AF86</f>
        <v>-50</v>
      </c>
      <c r="AL86" s="108">
        <f t="shared" si="54"/>
        <v>-50</v>
      </c>
      <c r="AM86" s="108">
        <f t="shared" si="54"/>
        <v>-50</v>
      </c>
      <c r="AN86" s="108">
        <f t="shared" si="54"/>
        <v>0</v>
      </c>
      <c r="AR86" s="185">
        <v>5</v>
      </c>
      <c r="AS86" s="308" t="str">
        <f t="shared" si="51"/>
        <v/>
      </c>
      <c r="AT86" s="309" t="str">
        <f t="shared" si="51"/>
        <v/>
      </c>
      <c r="AU86" s="309" t="str">
        <f t="shared" si="51"/>
        <v/>
      </c>
      <c r="AV86" s="310" t="str">
        <f t="shared" si="51"/>
        <v/>
      </c>
      <c r="AW86" s="308" t="str">
        <f t="shared" si="51"/>
        <v/>
      </c>
      <c r="AX86" s="309" t="str">
        <f t="shared" si="51"/>
        <v/>
      </c>
      <c r="AY86" s="309" t="str">
        <f t="shared" si="51"/>
        <v/>
      </c>
      <c r="AZ86" s="310" t="str">
        <f t="shared" si="51"/>
        <v/>
      </c>
      <c r="BA86" s="308" t="str">
        <f t="shared" si="51"/>
        <v/>
      </c>
      <c r="BB86" s="309" t="str">
        <f t="shared" si="51"/>
        <v/>
      </c>
      <c r="BC86" s="309" t="str">
        <f t="shared" si="51"/>
        <v/>
      </c>
      <c r="BD86" s="310" t="str">
        <f t="shared" si="51"/>
        <v/>
      </c>
      <c r="BE86" s="308" t="str">
        <f t="shared" si="51"/>
        <v/>
      </c>
      <c r="BF86" s="309" t="str">
        <f t="shared" si="51"/>
        <v/>
      </c>
      <c r="BG86" s="309" t="str">
        <f t="shared" si="51"/>
        <v/>
      </c>
      <c r="BH86" s="310" t="str">
        <f t="shared" si="51"/>
        <v/>
      </c>
      <c r="BI86" s="319" t="str">
        <f t="shared" si="52"/>
        <v/>
      </c>
      <c r="BR86" s="209" t="s">
        <v>371</v>
      </c>
      <c r="BS86" s="130">
        <f>第十四期!AH14*比赛参数!D69/4</f>
        <v>11277.6975</v>
      </c>
      <c r="BT86" s="130"/>
      <c r="BU86" s="329">
        <f>BU82+BS86</f>
        <v>8972210.92735577</v>
      </c>
      <c r="BV86" s="130">
        <f t="shared" si="53"/>
        <v>10308548.0640462</v>
      </c>
      <c r="BW86" s="126"/>
      <c r="CB86" s="196" t="s">
        <v>372</v>
      </c>
      <c r="CC86" s="108">
        <f>IF(SUM(AF64:AF67)&gt;0,SUM(CC81:CC84)/SUM(AF64:AF67),0)</f>
        <v>1967.93070338823</v>
      </c>
      <c r="CD86" s="108">
        <f>IF(SUM(AG64:AG67)&gt;0,SUM(CD81:CD84)/SUM(AG64:AG67),0)</f>
        <v>4111.12543689335</v>
      </c>
      <c r="CE86" s="108">
        <f>IF(SUM(AH64:AH67)&gt;0,SUM(CE81:CE84)/SUM(AH64:AH67),0)</f>
        <v>6330.52264945615</v>
      </c>
      <c r="CF86" s="108">
        <f>IF(SUM(AI64:AI67)&gt;0,SUM(CF81:CF84)/SUM(AI64:AI67),0)</f>
        <v>8369.05669601992</v>
      </c>
      <c r="CG86" s="219"/>
      <c r="CH86" s="219"/>
      <c r="CI86" s="219"/>
      <c r="CJ86" s="219"/>
      <c r="CK86" s="219"/>
      <c r="CL86" s="219"/>
      <c r="CM86" s="219"/>
      <c r="CN86" s="219"/>
      <c r="CO86" s="219"/>
      <c r="CP86" s="65" t="s">
        <v>373</v>
      </c>
      <c r="CQ86" s="65" t="s">
        <v>224</v>
      </c>
      <c r="CR86" s="65" t="s">
        <v>225</v>
      </c>
      <c r="CS86" s="65" t="s">
        <v>226</v>
      </c>
      <c r="CT86" s="65" t="s">
        <v>227</v>
      </c>
      <c r="CU86" s="65"/>
    </row>
    <row r="87" ht="18.75" customHeight="1" spans="2:99">
      <c r="B87" s="7"/>
      <c r="C87" s="25">
        <v>15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0"/>
      <c r="X87" s="63" t="s">
        <v>374</v>
      </c>
      <c r="Y87" s="73" t="s">
        <v>38</v>
      </c>
      <c r="Z87" s="73" t="s">
        <v>39</v>
      </c>
      <c r="AA87" s="73" t="s">
        <v>40</v>
      </c>
      <c r="AB87" s="135" t="s">
        <v>41</v>
      </c>
      <c r="AC87" s="287" t="s">
        <v>375</v>
      </c>
      <c r="AE87" s="11" t="s">
        <v>56</v>
      </c>
      <c r="AF87" s="131">
        <f>第十四期!DT33</f>
        <v>3250</v>
      </c>
      <c r="AG87" s="131">
        <f>第十四期!DX33</f>
        <v>6400</v>
      </c>
      <c r="AH87" s="131">
        <f>第十四期!EB33</f>
        <v>9850</v>
      </c>
      <c r="AI87" s="131">
        <f>第十四期!EF33</f>
        <v>12950</v>
      </c>
      <c r="AJ87" s="11" t="s">
        <v>56</v>
      </c>
      <c r="AK87" s="108">
        <f t="shared" si="54"/>
        <v>-50</v>
      </c>
      <c r="AL87" s="108">
        <f t="shared" si="54"/>
        <v>-50</v>
      </c>
      <c r="AM87" s="108">
        <f t="shared" si="54"/>
        <v>-50</v>
      </c>
      <c r="AN87" s="108">
        <f t="shared" si="54"/>
        <v>0</v>
      </c>
      <c r="AR87" s="185">
        <v>6</v>
      </c>
      <c r="AS87" s="308" t="str">
        <f t="shared" si="51"/>
        <v/>
      </c>
      <c r="AT87" s="309" t="str">
        <f t="shared" si="51"/>
        <v/>
      </c>
      <c r="AU87" s="309" t="str">
        <f t="shared" si="51"/>
        <v/>
      </c>
      <c r="AV87" s="310" t="str">
        <f t="shared" si="51"/>
        <v/>
      </c>
      <c r="AW87" s="308" t="str">
        <f t="shared" si="51"/>
        <v/>
      </c>
      <c r="AX87" s="309" t="str">
        <f t="shared" si="51"/>
        <v/>
      </c>
      <c r="AY87" s="309" t="str">
        <f t="shared" si="51"/>
        <v/>
      </c>
      <c r="AZ87" s="310" t="str">
        <f t="shared" si="51"/>
        <v/>
      </c>
      <c r="BA87" s="308" t="str">
        <f t="shared" si="51"/>
        <v/>
      </c>
      <c r="BB87" s="309" t="str">
        <f t="shared" si="51"/>
        <v/>
      </c>
      <c r="BC87" s="309" t="str">
        <f t="shared" si="51"/>
        <v/>
      </c>
      <c r="BD87" s="310" t="str">
        <f t="shared" si="51"/>
        <v/>
      </c>
      <c r="BE87" s="308" t="str">
        <f t="shared" si="51"/>
        <v/>
      </c>
      <c r="BF87" s="309" t="str">
        <f t="shared" si="51"/>
        <v/>
      </c>
      <c r="BG87" s="309" t="str">
        <f t="shared" si="51"/>
        <v/>
      </c>
      <c r="BH87" s="310" t="str">
        <f t="shared" si="51"/>
        <v/>
      </c>
      <c r="BI87" s="319" t="str">
        <f t="shared" si="52"/>
        <v/>
      </c>
      <c r="BR87" s="209" t="s">
        <v>376</v>
      </c>
      <c r="BS87" s="130">
        <f>IF(第十四期!BW92&gt;0,IF((第十四期!K15+第十四期!BW92*比赛参数!D72)&gt;0,第十四期!K15+第十四期!BW92*比赛参数!D72,0))</f>
        <v>690412.473793269</v>
      </c>
      <c r="BT87" s="130"/>
      <c r="BU87" s="130"/>
      <c r="BV87" s="130">
        <f t="shared" si="53"/>
        <v>9618135.59025289</v>
      </c>
      <c r="BW87" s="126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65" t="s">
        <v>38</v>
      </c>
      <c r="CQ87" s="65">
        <f>CQ80/$CQ$84</f>
        <v>0.40398293029872</v>
      </c>
      <c r="CR87" s="65" t="e">
        <f>CR80/$CR$84</f>
        <v>#DIV/0!</v>
      </c>
      <c r="CS87" s="65">
        <f>CS80/$CS$84</f>
        <v>0</v>
      </c>
      <c r="CT87" s="65">
        <f>CT80/$CT$84</f>
        <v>0</v>
      </c>
      <c r="CU87" s="65">
        <f>CU80/$CU$84</f>
        <v>0.161606045431784</v>
      </c>
    </row>
    <row r="88" ht="18.75" customHeight="1" spans="2:99">
      <c r="B88" s="7"/>
      <c r="C88" s="25">
        <v>16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0"/>
      <c r="X88" s="64" t="s">
        <v>55</v>
      </c>
      <c r="Y88" s="101">
        <v>139</v>
      </c>
      <c r="Z88" s="101">
        <v>118</v>
      </c>
      <c r="AA88" s="101">
        <v>43</v>
      </c>
      <c r="AB88" s="101">
        <v>49</v>
      </c>
      <c r="AC88" s="288" t="s">
        <v>377</v>
      </c>
      <c r="AE88" s="11" t="s">
        <v>57</v>
      </c>
      <c r="AF88" s="131">
        <f>第十四期!DU33</f>
        <v>3400</v>
      </c>
      <c r="AG88" s="131">
        <f>第十四期!DY33</f>
        <v>6620</v>
      </c>
      <c r="AH88" s="131">
        <f>第十四期!EC33</f>
        <v>10100</v>
      </c>
      <c r="AI88" s="131">
        <f>第十四期!EG33</f>
        <v>13350</v>
      </c>
      <c r="AJ88" s="11" t="s">
        <v>57</v>
      </c>
      <c r="AK88" s="108">
        <f t="shared" si="54"/>
        <v>-50</v>
      </c>
      <c r="AL88" s="108">
        <f t="shared" si="54"/>
        <v>-50</v>
      </c>
      <c r="AM88" s="108">
        <f t="shared" si="54"/>
        <v>-50</v>
      </c>
      <c r="AN88" s="108">
        <f t="shared" si="54"/>
        <v>0</v>
      </c>
      <c r="AR88" s="185">
        <v>7</v>
      </c>
      <c r="AS88" s="308" t="str">
        <f t="shared" si="51"/>
        <v/>
      </c>
      <c r="AT88" s="309" t="str">
        <f t="shared" si="51"/>
        <v/>
      </c>
      <c r="AU88" s="309" t="str">
        <f t="shared" si="51"/>
        <v/>
      </c>
      <c r="AV88" s="310" t="str">
        <f t="shared" si="51"/>
        <v/>
      </c>
      <c r="AW88" s="308" t="str">
        <f t="shared" si="51"/>
        <v/>
      </c>
      <c r="AX88" s="309" t="str">
        <f t="shared" si="51"/>
        <v/>
      </c>
      <c r="AY88" s="309" t="str">
        <f t="shared" si="51"/>
        <v/>
      </c>
      <c r="AZ88" s="310" t="str">
        <f t="shared" si="51"/>
        <v/>
      </c>
      <c r="BA88" s="308" t="str">
        <f t="shared" si="51"/>
        <v/>
      </c>
      <c r="BB88" s="309" t="str">
        <f t="shared" si="51"/>
        <v/>
      </c>
      <c r="BC88" s="309" t="str">
        <f t="shared" si="51"/>
        <v/>
      </c>
      <c r="BD88" s="310" t="str">
        <f t="shared" si="51"/>
        <v/>
      </c>
      <c r="BE88" s="308" t="str">
        <f t="shared" si="51"/>
        <v/>
      </c>
      <c r="BF88" s="309" t="str">
        <f t="shared" si="51"/>
        <v/>
      </c>
      <c r="BG88" s="309" t="str">
        <f t="shared" si="51"/>
        <v/>
      </c>
      <c r="BH88" s="310" t="str">
        <f t="shared" si="51"/>
        <v/>
      </c>
      <c r="BI88" s="319" t="str">
        <f t="shared" si="52"/>
        <v/>
      </c>
      <c r="BR88" s="209" t="s">
        <v>282</v>
      </c>
      <c r="BS88" s="130">
        <f>第十四期!AF18*比赛参数!D30</f>
        <v>0</v>
      </c>
      <c r="BT88" s="130"/>
      <c r="BU88" s="130"/>
      <c r="BV88" s="130">
        <f t="shared" si="53"/>
        <v>9618135.59025289</v>
      </c>
      <c r="BW88" s="126"/>
      <c r="CB88" s="219"/>
      <c r="CC88" s="219"/>
      <c r="CD88" s="219"/>
      <c r="CE88" s="219"/>
      <c r="CF88" s="219"/>
      <c r="CG88" s="219"/>
      <c r="CH88" s="219"/>
      <c r="CI88" s="219"/>
      <c r="CJ88" s="219"/>
      <c r="CK88" s="219"/>
      <c r="CL88" s="219"/>
      <c r="CM88" s="219"/>
      <c r="CN88" s="219"/>
      <c r="CO88" s="219"/>
      <c r="CP88" s="65" t="s">
        <v>39</v>
      </c>
      <c r="CQ88" s="65">
        <f>CQ81/$CQ$84</f>
        <v>0.59601706970128</v>
      </c>
      <c r="CR88" s="65" t="e">
        <f>CR81/$CR$84</f>
        <v>#DIV/0!</v>
      </c>
      <c r="CS88" s="65">
        <f>CS81/$CS$84</f>
        <v>0.28025948898879</v>
      </c>
      <c r="CT88" s="65">
        <f>CT81/$CT$84</f>
        <v>0</v>
      </c>
      <c r="CU88" s="65">
        <f>CU81/$CU$84</f>
        <v>0.350525788683025</v>
      </c>
    </row>
    <row r="89" ht="18.75" customHeight="1" spans="2:99">
      <c r="B89" s="7"/>
      <c r="C89" s="25">
        <v>17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0"/>
      <c r="X89" s="11" t="s">
        <v>56</v>
      </c>
      <c r="Y89" s="101">
        <v>139</v>
      </c>
      <c r="Z89" s="101">
        <v>118</v>
      </c>
      <c r="AA89" s="101">
        <v>43</v>
      </c>
      <c r="AB89" s="101">
        <v>49</v>
      </c>
      <c r="AC89" s="288" t="s">
        <v>378</v>
      </c>
      <c r="AE89" s="11" t="s">
        <v>58</v>
      </c>
      <c r="AF89" s="131">
        <f>第十四期!DV33</f>
        <v>3450</v>
      </c>
      <c r="AG89" s="131">
        <f>第十四期!DZ33</f>
        <v>6700</v>
      </c>
      <c r="AH89" s="131">
        <f>第十四期!ED33</f>
        <v>10100</v>
      </c>
      <c r="AI89" s="131">
        <f>第十四期!EH33</f>
        <v>13500</v>
      </c>
      <c r="AJ89" s="11" t="s">
        <v>58</v>
      </c>
      <c r="AK89" s="108">
        <f t="shared" si="54"/>
        <v>-50</v>
      </c>
      <c r="AL89" s="108">
        <f t="shared" si="54"/>
        <v>-50</v>
      </c>
      <c r="AM89" s="108">
        <f t="shared" si="54"/>
        <v>-50</v>
      </c>
      <c r="AN89" s="108">
        <f t="shared" si="54"/>
        <v>0</v>
      </c>
      <c r="AR89" s="185">
        <v>8</v>
      </c>
      <c r="AS89" s="308" t="str">
        <f t="shared" si="51"/>
        <v/>
      </c>
      <c r="AT89" s="309" t="str">
        <f t="shared" si="51"/>
        <v/>
      </c>
      <c r="AU89" s="309" t="str">
        <f t="shared" si="51"/>
        <v/>
      </c>
      <c r="AV89" s="310" t="str">
        <f t="shared" si="51"/>
        <v/>
      </c>
      <c r="AW89" s="308" t="str">
        <f t="shared" si="51"/>
        <v/>
      </c>
      <c r="AX89" s="309" t="str">
        <f t="shared" si="51"/>
        <v/>
      </c>
      <c r="AY89" s="309" t="str">
        <f t="shared" si="51"/>
        <v/>
      </c>
      <c r="AZ89" s="310" t="str">
        <f t="shared" si="51"/>
        <v/>
      </c>
      <c r="BA89" s="308" t="str">
        <f t="shared" si="51"/>
        <v/>
      </c>
      <c r="BB89" s="309" t="str">
        <f t="shared" si="51"/>
        <v/>
      </c>
      <c r="BC89" s="309" t="str">
        <f t="shared" si="51"/>
        <v/>
      </c>
      <c r="BD89" s="310" t="str">
        <f t="shared" si="51"/>
        <v/>
      </c>
      <c r="BE89" s="308" t="str">
        <f t="shared" si="51"/>
        <v/>
      </c>
      <c r="BF89" s="309" t="str">
        <f t="shared" si="51"/>
        <v/>
      </c>
      <c r="BG89" s="309" t="str">
        <f t="shared" si="51"/>
        <v/>
      </c>
      <c r="BH89" s="310" t="str">
        <f t="shared" si="51"/>
        <v/>
      </c>
      <c r="BI89" s="319" t="str">
        <f t="shared" si="52"/>
        <v/>
      </c>
      <c r="BR89" s="209" t="s">
        <v>238</v>
      </c>
      <c r="BS89" s="130">
        <f>第十四期!AJ18</f>
        <v>0</v>
      </c>
      <c r="BT89" s="130"/>
      <c r="BU89" s="130"/>
      <c r="BV89" s="130">
        <f t="shared" si="53"/>
        <v>9618135.59025289</v>
      </c>
      <c r="BW89" s="126"/>
      <c r="CB89" s="219"/>
      <c r="CC89" s="219"/>
      <c r="CD89" s="219"/>
      <c r="CE89" s="219"/>
      <c r="CF89" s="219"/>
      <c r="CG89" s="219"/>
      <c r="CH89" s="219"/>
      <c r="CI89" s="219"/>
      <c r="CJ89" s="219"/>
      <c r="CK89" s="219"/>
      <c r="CL89" s="219"/>
      <c r="CM89" s="219"/>
      <c r="CN89" s="219"/>
      <c r="CO89" s="219"/>
      <c r="CP89" s="65" t="s">
        <v>40</v>
      </c>
      <c r="CQ89" s="65">
        <f>CQ82/$CQ$84</f>
        <v>0</v>
      </c>
      <c r="CR89" s="65" t="e">
        <f>CR82/$CR$84</f>
        <v>#DIV/0!</v>
      </c>
      <c r="CS89" s="65">
        <f>CS82/$CS$84</f>
        <v>0.311386786547545</v>
      </c>
      <c r="CT89" s="65">
        <f>CT82/$CT$84</f>
        <v>0.289779194172547</v>
      </c>
      <c r="CU89" s="65">
        <f>CU82/$CU$84</f>
        <v>0.182501024263668</v>
      </c>
    </row>
    <row r="90" ht="18.75" customHeight="1" spans="2:99">
      <c r="B90" s="7"/>
      <c r="C90" s="25">
        <v>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0"/>
      <c r="X90" s="11" t="s">
        <v>57</v>
      </c>
      <c r="Y90" s="101">
        <v>209</v>
      </c>
      <c r="Z90" s="101">
        <v>180</v>
      </c>
      <c r="AA90" s="101">
        <v>66</v>
      </c>
      <c r="AB90" s="101">
        <v>76</v>
      </c>
      <c r="AC90" s="288" t="s">
        <v>379</v>
      </c>
      <c r="AF90" s="48">
        <f>SUMPRODUCT(AF64:AF67,AF76:AF79)/SUM(AF64:AF67)</f>
        <v>3305.21148036254</v>
      </c>
      <c r="AG90" s="48">
        <f>SUMPRODUCT(AG64:AG67,AG76:AG79)/SUM(AG64:AG67)</f>
        <v>6507.10247349823</v>
      </c>
      <c r="AH90" s="48">
        <f>SUMPRODUCT(AH64:AH67,AH76:AH79)/SUM(AH64:AH67)</f>
        <v>9951.44230769231</v>
      </c>
      <c r="AI90" s="48">
        <f>SUMPRODUCT(AI64:AI67,AI76:AI79)/SUM(AI64:AI67)</f>
        <v>13237.3949579832</v>
      </c>
      <c r="AR90" s="185">
        <v>9</v>
      </c>
      <c r="AS90" s="308" t="str">
        <f t="shared" si="51"/>
        <v/>
      </c>
      <c r="AT90" s="309" t="str">
        <f t="shared" si="51"/>
        <v/>
      </c>
      <c r="AU90" s="309" t="str">
        <f t="shared" si="51"/>
        <v/>
      </c>
      <c r="AV90" s="310" t="str">
        <f t="shared" si="51"/>
        <v/>
      </c>
      <c r="AW90" s="308" t="str">
        <f t="shared" si="51"/>
        <v/>
      </c>
      <c r="AX90" s="309" t="str">
        <f t="shared" si="51"/>
        <v/>
      </c>
      <c r="AY90" s="309" t="str">
        <f t="shared" si="51"/>
        <v/>
      </c>
      <c r="AZ90" s="310" t="str">
        <f t="shared" si="51"/>
        <v/>
      </c>
      <c r="BA90" s="308" t="str">
        <f t="shared" si="51"/>
        <v/>
      </c>
      <c r="BB90" s="309" t="str">
        <f t="shared" si="51"/>
        <v/>
      </c>
      <c r="BC90" s="309" t="str">
        <f t="shared" si="51"/>
        <v/>
      </c>
      <c r="BD90" s="310" t="str">
        <f t="shared" si="51"/>
        <v/>
      </c>
      <c r="BE90" s="308" t="str">
        <f t="shared" si="51"/>
        <v/>
      </c>
      <c r="BF90" s="309" t="str">
        <f t="shared" si="51"/>
        <v/>
      </c>
      <c r="BG90" s="309" t="str">
        <f t="shared" si="51"/>
        <v/>
      </c>
      <c r="BH90" s="310" t="str">
        <f t="shared" si="51"/>
        <v/>
      </c>
      <c r="BI90" s="319" t="str">
        <f t="shared" si="52"/>
        <v/>
      </c>
      <c r="BR90" s="209" t="s">
        <v>251</v>
      </c>
      <c r="BS90" s="130">
        <f>第十四期!AF20</f>
        <v>0</v>
      </c>
      <c r="BT90" s="130"/>
      <c r="BU90" s="130"/>
      <c r="BV90" s="329">
        <f t="shared" si="53"/>
        <v>9618135.59025289</v>
      </c>
      <c r="BW90" s="126"/>
      <c r="CB90" s="219"/>
      <c r="CC90" s="219"/>
      <c r="CD90" s="219"/>
      <c r="CE90" s="219"/>
      <c r="CF90" s="219"/>
      <c r="CG90" s="219"/>
      <c r="CH90" s="219"/>
      <c r="CI90" s="219"/>
      <c r="CJ90" s="219"/>
      <c r="CK90" s="219"/>
      <c r="CL90" s="219"/>
      <c r="CM90" s="219"/>
      <c r="CN90" s="219"/>
      <c r="CO90" s="219"/>
      <c r="CP90" s="65" t="s">
        <v>41</v>
      </c>
      <c r="CQ90" s="65">
        <f>CQ83/$CQ$84</f>
        <v>0</v>
      </c>
      <c r="CR90" s="65" t="e">
        <f>CR83/$CR$84</f>
        <v>#DIV/0!</v>
      </c>
      <c r="CS90" s="65">
        <f>CS83/$CS$84</f>
        <v>0.408353724463666</v>
      </c>
      <c r="CT90" s="65">
        <f>CT83/$CT$84</f>
        <v>0.710220805827453</v>
      </c>
      <c r="CU90" s="65">
        <f>CU83/$CU$84</f>
        <v>0.305367141621523</v>
      </c>
    </row>
    <row r="91" ht="18.75" customHeight="1" spans="2:99">
      <c r="B91" s="7"/>
      <c r="C91" s="25">
        <v>19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0"/>
      <c r="X91" s="11" t="s">
        <v>58</v>
      </c>
      <c r="Y91" s="101">
        <v>209</v>
      </c>
      <c r="Z91" s="101">
        <v>180</v>
      </c>
      <c r="AA91" s="101">
        <v>66</v>
      </c>
      <c r="AB91" s="101">
        <v>76</v>
      </c>
      <c r="AC91" s="288" t="s">
        <v>380</v>
      </c>
      <c r="AE91" s="63" t="s">
        <v>381</v>
      </c>
      <c r="AF91" s="59" t="s">
        <v>38</v>
      </c>
      <c r="AG91" s="59" t="s">
        <v>39</v>
      </c>
      <c r="AH91" s="59" t="s">
        <v>40</v>
      </c>
      <c r="AI91" s="59" t="s">
        <v>41</v>
      </c>
      <c r="AJ91" s="63" t="s">
        <v>382</v>
      </c>
      <c r="AK91" s="59" t="s">
        <v>38</v>
      </c>
      <c r="AL91" s="59" t="s">
        <v>39</v>
      </c>
      <c r="AM91" s="59" t="s">
        <v>40</v>
      </c>
      <c r="AN91" s="59" t="s">
        <v>41</v>
      </c>
      <c r="AR91" s="185">
        <v>10</v>
      </c>
      <c r="AS91" s="308" t="str">
        <f t="shared" si="51"/>
        <v/>
      </c>
      <c r="AT91" s="309" t="str">
        <f t="shared" si="51"/>
        <v/>
      </c>
      <c r="AU91" s="309" t="str">
        <f t="shared" si="51"/>
        <v/>
      </c>
      <c r="AV91" s="310" t="str">
        <f t="shared" si="51"/>
        <v/>
      </c>
      <c r="AW91" s="308" t="str">
        <f t="shared" si="51"/>
        <v/>
      </c>
      <c r="AX91" s="309" t="str">
        <f t="shared" si="51"/>
        <v/>
      </c>
      <c r="AY91" s="309" t="str">
        <f t="shared" si="51"/>
        <v/>
      </c>
      <c r="AZ91" s="310" t="str">
        <f t="shared" si="51"/>
        <v/>
      </c>
      <c r="BA91" s="308" t="str">
        <f t="shared" si="51"/>
        <v/>
      </c>
      <c r="BB91" s="309" t="str">
        <f t="shared" si="51"/>
        <v/>
      </c>
      <c r="BC91" s="309" t="str">
        <f t="shared" si="51"/>
        <v/>
      </c>
      <c r="BD91" s="310" t="str">
        <f t="shared" si="51"/>
        <v/>
      </c>
      <c r="BE91" s="308" t="str">
        <f t="shared" si="51"/>
        <v/>
      </c>
      <c r="BF91" s="309" t="str">
        <f t="shared" si="51"/>
        <v/>
      </c>
      <c r="BG91" s="309" t="str">
        <f t="shared" si="51"/>
        <v/>
      </c>
      <c r="BH91" s="310" t="str">
        <f t="shared" si="51"/>
        <v/>
      </c>
      <c r="BI91" s="319" t="str">
        <f t="shared" si="52"/>
        <v/>
      </c>
      <c r="BR91" s="48"/>
      <c r="BS91" s="48"/>
      <c r="BT91" s="48"/>
      <c r="BU91" s="48"/>
      <c r="BV91" s="48"/>
      <c r="BW91" s="48"/>
      <c r="CB91" s="219"/>
      <c r="CC91" s="219"/>
      <c r="CD91" s="219"/>
      <c r="CE91" s="219"/>
      <c r="CF91" s="219"/>
      <c r="CG91" s="219"/>
      <c r="CH91" s="219"/>
      <c r="CI91" s="219"/>
      <c r="CJ91" s="219"/>
      <c r="CK91" s="219"/>
      <c r="CL91" s="219"/>
      <c r="CM91" s="219"/>
      <c r="CN91" s="219"/>
      <c r="CO91" s="219"/>
      <c r="CP91" s="48"/>
      <c r="CQ91" s="48"/>
      <c r="CR91" s="48"/>
      <c r="CS91" s="48"/>
      <c r="CT91" s="48"/>
      <c r="CU91" s="48"/>
    </row>
    <row r="92" ht="18.75" customHeight="1" spans="2:99">
      <c r="B92" s="7"/>
      <c r="C92" s="25">
        <v>20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0"/>
      <c r="X92" s="42" t="s">
        <v>383</v>
      </c>
      <c r="Y92" s="76">
        <f>SUM(Y88:Y91)</f>
        <v>696</v>
      </c>
      <c r="Z92" s="76">
        <f>SUM(Z88:Z91)</f>
        <v>596</v>
      </c>
      <c r="AA92" s="76">
        <f>SUM(AA88:AA91)</f>
        <v>218</v>
      </c>
      <c r="AB92" s="289">
        <f>SUM(AB88:AB91)</f>
        <v>250</v>
      </c>
      <c r="AC92" s="290" t="str">
        <f>IF(Y92&lt;=Y93,IF(Z92&lt;=Z93,IF(AA92&lt;=AA93,IF(AB92&lt;=AB93,"YES","NO"),"NO"),"NO"),"NO")</f>
        <v>YES</v>
      </c>
      <c r="AE92" s="47" t="s">
        <v>55</v>
      </c>
      <c r="AF92" s="291">
        <f>X130</f>
        <v>0</v>
      </c>
      <c r="AG92" s="291">
        <f>AH130</f>
        <v>0</v>
      </c>
      <c r="AH92" s="291">
        <f>X153</f>
        <v>0</v>
      </c>
      <c r="AI92" s="291">
        <f>AH153</f>
        <v>0</v>
      </c>
      <c r="AJ92" s="47" t="s">
        <v>55</v>
      </c>
      <c r="AK92" s="304">
        <f t="shared" ref="AK92:AN95" si="55">AF86-AF98</f>
        <v>3250</v>
      </c>
      <c r="AL92" s="304">
        <f t="shared" si="55"/>
        <v>6400</v>
      </c>
      <c r="AM92" s="304">
        <f t="shared" si="55"/>
        <v>9850</v>
      </c>
      <c r="AN92" s="304">
        <f t="shared" si="55"/>
        <v>12950</v>
      </c>
      <c r="AR92" s="185">
        <v>11</v>
      </c>
      <c r="AS92" s="308" t="str">
        <f t="shared" si="51"/>
        <v/>
      </c>
      <c r="AT92" s="309" t="str">
        <f t="shared" si="51"/>
        <v/>
      </c>
      <c r="AU92" s="309" t="str">
        <f t="shared" si="51"/>
        <v/>
      </c>
      <c r="AV92" s="310" t="str">
        <f t="shared" si="51"/>
        <v/>
      </c>
      <c r="AW92" s="308" t="str">
        <f t="shared" si="51"/>
        <v/>
      </c>
      <c r="AX92" s="309" t="str">
        <f t="shared" si="51"/>
        <v/>
      </c>
      <c r="AY92" s="309" t="str">
        <f t="shared" si="51"/>
        <v/>
      </c>
      <c r="AZ92" s="310" t="str">
        <f t="shared" si="51"/>
        <v/>
      </c>
      <c r="BA92" s="308" t="str">
        <f t="shared" si="51"/>
        <v/>
      </c>
      <c r="BB92" s="309" t="str">
        <f t="shared" si="51"/>
        <v/>
      </c>
      <c r="BC92" s="309" t="str">
        <f t="shared" si="51"/>
        <v/>
      </c>
      <c r="BD92" s="310" t="str">
        <f t="shared" si="51"/>
        <v/>
      </c>
      <c r="BE92" s="308" t="str">
        <f t="shared" si="51"/>
        <v/>
      </c>
      <c r="BF92" s="309" t="str">
        <f t="shared" si="51"/>
        <v/>
      </c>
      <c r="BG92" s="309" t="str">
        <f t="shared" si="51"/>
        <v/>
      </c>
      <c r="BH92" s="310" t="str">
        <f t="shared" si="51"/>
        <v/>
      </c>
      <c r="BI92" s="319" t="str">
        <f t="shared" si="52"/>
        <v/>
      </c>
      <c r="BR92" s="330" t="s">
        <v>322</v>
      </c>
      <c r="BS92" s="130">
        <f>第十四期!BT84</f>
        <v>11273585.84</v>
      </c>
      <c r="BT92" s="330" t="s">
        <v>178</v>
      </c>
      <c r="BU92" s="130">
        <f>第十四期!BU86</f>
        <v>8972210.92735577</v>
      </c>
      <c r="BV92" s="332" t="s">
        <v>100</v>
      </c>
      <c r="BW92" s="333">
        <f>第十四期!BT84-第十四期!BU86</f>
        <v>2301374.91264423</v>
      </c>
      <c r="CB92" s="219"/>
      <c r="CC92" s="219"/>
      <c r="CD92" s="219"/>
      <c r="CE92" s="219"/>
      <c r="CF92" s="219"/>
      <c r="CG92" s="219"/>
      <c r="CH92" s="219"/>
      <c r="CI92" s="219"/>
      <c r="CJ92" s="219"/>
      <c r="CK92" s="219"/>
      <c r="CL92" s="219"/>
      <c r="CM92" s="219"/>
      <c r="CN92" s="219"/>
      <c r="CO92" s="219"/>
      <c r="CP92" s="65" t="s">
        <v>384</v>
      </c>
      <c r="CQ92" s="65" t="s">
        <v>55</v>
      </c>
      <c r="CR92" s="65" t="s">
        <v>56</v>
      </c>
      <c r="CS92" s="65" t="s">
        <v>57</v>
      </c>
      <c r="CT92" s="65" t="s">
        <v>58</v>
      </c>
      <c r="CU92" s="48"/>
    </row>
    <row r="93" ht="18.75" customHeight="1" spans="3:99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78"/>
      <c r="X93" s="42" t="s">
        <v>385</v>
      </c>
      <c r="Y93" s="37">
        <f>AC9*比赛参数!D6+第十四期!DU26</f>
        <v>696.5</v>
      </c>
      <c r="Z93" s="37">
        <f>AC10*比赛参数!D6+第十四期!DU27</f>
        <v>596</v>
      </c>
      <c r="AA93" s="37">
        <f>AC11*比赛参数!D6+第十四期!DU28</f>
        <v>218.25</v>
      </c>
      <c r="AB93" s="37">
        <f>AC12*比赛参数!D6+第十四期!DU29</f>
        <v>250.5</v>
      </c>
      <c r="AC93" s="48"/>
      <c r="AE93" s="11" t="s">
        <v>56</v>
      </c>
      <c r="AF93" s="291">
        <f>Y130</f>
        <v>0</v>
      </c>
      <c r="AG93" s="291">
        <f>AI130</f>
        <v>0</v>
      </c>
      <c r="AH93" s="291">
        <f>Y153</f>
        <v>0</v>
      </c>
      <c r="AI93" s="291">
        <f>AI153</f>
        <v>0</v>
      </c>
      <c r="AJ93" s="11" t="s">
        <v>56</v>
      </c>
      <c r="AK93" s="304">
        <f t="shared" si="55"/>
        <v>3250</v>
      </c>
      <c r="AL93" s="304">
        <f t="shared" si="55"/>
        <v>6400</v>
      </c>
      <c r="AM93" s="304">
        <f t="shared" si="55"/>
        <v>9850</v>
      </c>
      <c r="AN93" s="304">
        <f t="shared" si="55"/>
        <v>12950</v>
      </c>
      <c r="AR93" s="185">
        <v>12</v>
      </c>
      <c r="AS93" s="308" t="str">
        <f t="shared" si="51"/>
        <v/>
      </c>
      <c r="AT93" s="309" t="str">
        <f t="shared" si="51"/>
        <v/>
      </c>
      <c r="AU93" s="309" t="str">
        <f t="shared" si="51"/>
        <v/>
      </c>
      <c r="AV93" s="310" t="str">
        <f t="shared" si="51"/>
        <v/>
      </c>
      <c r="AW93" s="308" t="str">
        <f t="shared" si="51"/>
        <v/>
      </c>
      <c r="AX93" s="309" t="str">
        <f t="shared" si="51"/>
        <v/>
      </c>
      <c r="AY93" s="309" t="str">
        <f t="shared" si="51"/>
        <v/>
      </c>
      <c r="AZ93" s="310" t="str">
        <f t="shared" si="51"/>
        <v/>
      </c>
      <c r="BA93" s="308" t="str">
        <f t="shared" si="51"/>
        <v/>
      </c>
      <c r="BB93" s="309" t="str">
        <f t="shared" si="51"/>
        <v/>
      </c>
      <c r="BC93" s="309" t="str">
        <f t="shared" si="51"/>
        <v/>
      </c>
      <c r="BD93" s="310" t="str">
        <f t="shared" si="51"/>
        <v/>
      </c>
      <c r="BE93" s="308" t="str">
        <f t="shared" si="51"/>
        <v/>
      </c>
      <c r="BF93" s="309" t="str">
        <f t="shared" si="51"/>
        <v/>
      </c>
      <c r="BG93" s="309" t="str">
        <f t="shared" si="51"/>
        <v/>
      </c>
      <c r="BH93" s="310" t="str">
        <f t="shared" si="51"/>
        <v/>
      </c>
      <c r="BI93" s="319" t="str">
        <f t="shared" si="52"/>
        <v/>
      </c>
      <c r="CB93" s="219"/>
      <c r="CC93" s="219"/>
      <c r="CD93" s="219"/>
      <c r="CE93" s="219"/>
      <c r="CF93" s="219"/>
      <c r="CG93" s="219"/>
      <c r="CH93" s="219"/>
      <c r="CI93" s="219"/>
      <c r="CJ93" s="219"/>
      <c r="CK93" s="219"/>
      <c r="CL93" s="219"/>
      <c r="CM93" s="219"/>
      <c r="CN93" s="219"/>
      <c r="CO93" s="219"/>
      <c r="CP93" s="65" t="s">
        <v>38</v>
      </c>
      <c r="CQ93" s="65">
        <f>IF(第十四期!$AC$9&gt;0,第十四期!$K$9*比赛参数!$D$30*比赛参数!$F$30*$CU$87/第十四期!$AC$9,0)</f>
        <v>307.734328765876</v>
      </c>
      <c r="CR93" s="65">
        <f>IF(第十四期!$AC$9&gt;0,第十四期!$K$9*比赛参数!$D$30*比赛参数!$F$30*$CU$87/第十四期!$AC$9,0)</f>
        <v>307.734328765876</v>
      </c>
      <c r="CS93" s="65">
        <f>IF(第十四期!$AC$9&gt;0,第十四期!$K$9*比赛参数!$D$30*比赛参数!$F$30*$CU$87/第十四期!$AC$9,0)</f>
        <v>307.734328765876</v>
      </c>
      <c r="CT93" s="65">
        <f>IF(第十四期!$AC$9&gt;0,第十四期!$K$9*比赛参数!$D$30*比赛参数!$F$30*$CU$87/第十四期!$AC$9,0)</f>
        <v>307.734328765876</v>
      </c>
      <c r="CU93" s="48"/>
    </row>
    <row r="94" ht="18.75" customHeight="1" spans="3:99">
      <c r="C94" s="16" t="s">
        <v>285</v>
      </c>
      <c r="D94" s="275" t="s">
        <v>322</v>
      </c>
      <c r="E94" s="275" t="s">
        <v>178</v>
      </c>
      <c r="F94" s="275" t="s">
        <v>100</v>
      </c>
      <c r="G94" s="275" t="s">
        <v>386</v>
      </c>
      <c r="H94" s="275" t="s">
        <v>102</v>
      </c>
      <c r="I94" s="275" t="s">
        <v>252</v>
      </c>
      <c r="J94" s="275" t="s">
        <v>104</v>
      </c>
      <c r="K94" s="276" t="s">
        <v>387</v>
      </c>
      <c r="AC94" s="48"/>
      <c r="AE94" s="11" t="s">
        <v>57</v>
      </c>
      <c r="AF94" s="291">
        <f>Z130</f>
        <v>0</v>
      </c>
      <c r="AG94" s="291">
        <f>AJ130</f>
        <v>0</v>
      </c>
      <c r="AH94" s="291">
        <f>Z153</f>
        <v>0</v>
      </c>
      <c r="AI94" s="291">
        <f>AJ153</f>
        <v>0</v>
      </c>
      <c r="AJ94" s="11" t="s">
        <v>57</v>
      </c>
      <c r="AK94" s="304">
        <f t="shared" si="55"/>
        <v>3400</v>
      </c>
      <c r="AL94" s="304">
        <f t="shared" si="55"/>
        <v>6620</v>
      </c>
      <c r="AM94" s="304">
        <f t="shared" si="55"/>
        <v>10100</v>
      </c>
      <c r="AN94" s="304">
        <f t="shared" si="55"/>
        <v>13350</v>
      </c>
      <c r="AR94" s="185">
        <v>13</v>
      </c>
      <c r="AS94" s="308" t="str">
        <f t="shared" si="51"/>
        <v/>
      </c>
      <c r="AT94" s="309" t="str">
        <f t="shared" si="51"/>
        <v/>
      </c>
      <c r="AU94" s="309" t="str">
        <f t="shared" si="51"/>
        <v/>
      </c>
      <c r="AV94" s="310" t="str">
        <f t="shared" si="51"/>
        <v/>
      </c>
      <c r="AW94" s="308" t="str">
        <f t="shared" si="51"/>
        <v/>
      </c>
      <c r="AX94" s="309" t="str">
        <f t="shared" si="51"/>
        <v/>
      </c>
      <c r="AY94" s="309" t="str">
        <f t="shared" si="51"/>
        <v/>
      </c>
      <c r="AZ94" s="310" t="str">
        <f t="shared" si="51"/>
        <v/>
      </c>
      <c r="BA94" s="308" t="str">
        <f t="shared" si="51"/>
        <v/>
      </c>
      <c r="BB94" s="309" t="str">
        <f t="shared" si="51"/>
        <v/>
      </c>
      <c r="BC94" s="309" t="str">
        <f t="shared" si="51"/>
        <v/>
      </c>
      <c r="BD94" s="310" t="str">
        <f t="shared" si="51"/>
        <v/>
      </c>
      <c r="BE94" s="308" t="str">
        <f t="shared" si="51"/>
        <v/>
      </c>
      <c r="BF94" s="309" t="str">
        <f t="shared" si="51"/>
        <v/>
      </c>
      <c r="BG94" s="309" t="str">
        <f t="shared" si="51"/>
        <v/>
      </c>
      <c r="BH94" s="310" t="str">
        <f t="shared" si="51"/>
        <v/>
      </c>
      <c r="BI94" s="319" t="str">
        <f t="shared" si="52"/>
        <v/>
      </c>
      <c r="CB94" s="219"/>
      <c r="CC94" s="219"/>
      <c r="CD94" s="219"/>
      <c r="CE94" s="219"/>
      <c r="CF94" s="219"/>
      <c r="CG94" s="219"/>
      <c r="CH94" s="219"/>
      <c r="CI94" s="219"/>
      <c r="CJ94" s="219"/>
      <c r="CK94" s="219"/>
      <c r="CL94" s="219"/>
      <c r="CM94" s="219"/>
      <c r="CN94" s="219"/>
      <c r="CO94" s="219"/>
      <c r="CP94" s="65" t="s">
        <v>39</v>
      </c>
      <c r="CQ94" s="65">
        <f>IF(第十四期!$AC$10&gt;0,第十四期!$K$9*比赛参数!$D$30*比赛参数!$F$30*$CU$88/第十四期!$AC$10,0)</f>
        <v>769.33582191469</v>
      </c>
      <c r="CR94" s="65">
        <f>IF(第十四期!$AC$10&gt;0,第十四期!$K$9*比赛参数!$D$30*比赛参数!$F$30*$CU$88/第十四期!$AC$10,0)</f>
        <v>769.33582191469</v>
      </c>
      <c r="CS94" s="65">
        <f>IF(第十四期!$AC$10&gt;0,第十四期!$K$9*比赛参数!$D$30*比赛参数!$F$30*$CU$88/第十四期!$AC$10,0)</f>
        <v>769.33582191469</v>
      </c>
      <c r="CT94" s="65">
        <f>IF(第十四期!$AC$10&gt;0,第十四期!$K$9*比赛参数!$D$30*比赛参数!$F$30*$CU$88/第十四期!$AC$10,0)</f>
        <v>769.33582191469</v>
      </c>
      <c r="CU94" s="48"/>
    </row>
    <row r="95" ht="18.75" customHeight="1" spans="2:99">
      <c r="B95" s="7"/>
      <c r="C95" s="25">
        <v>1</v>
      </c>
      <c r="D95" s="14"/>
      <c r="E95" s="14"/>
      <c r="F95" s="14"/>
      <c r="G95" s="9"/>
      <c r="H95" s="9"/>
      <c r="I95" s="14"/>
      <c r="J95" s="14"/>
      <c r="K95" s="9"/>
      <c r="L95" s="10"/>
      <c r="X95" s="63" t="s">
        <v>297</v>
      </c>
      <c r="Y95" s="73" t="s">
        <v>38</v>
      </c>
      <c r="Z95" s="73" t="s">
        <v>39</v>
      </c>
      <c r="AA95" s="73" t="s">
        <v>40</v>
      </c>
      <c r="AB95" s="73" t="s">
        <v>41</v>
      </c>
      <c r="AC95" s="48"/>
      <c r="AE95" s="11" t="s">
        <v>58</v>
      </c>
      <c r="AF95" s="291">
        <f>AA130</f>
        <v>0</v>
      </c>
      <c r="AG95" s="291">
        <f>AK130</f>
        <v>0</v>
      </c>
      <c r="AH95" s="291">
        <f>AA153</f>
        <v>0</v>
      </c>
      <c r="AI95" s="291">
        <f>AK153</f>
        <v>0</v>
      </c>
      <c r="AJ95" s="11" t="s">
        <v>58</v>
      </c>
      <c r="AK95" s="304">
        <f t="shared" si="55"/>
        <v>3450</v>
      </c>
      <c r="AL95" s="304">
        <f t="shared" si="55"/>
        <v>6700</v>
      </c>
      <c r="AM95" s="304">
        <f t="shared" si="55"/>
        <v>10100</v>
      </c>
      <c r="AN95" s="304">
        <f t="shared" si="55"/>
        <v>13500</v>
      </c>
      <c r="AR95" s="185">
        <v>14</v>
      </c>
      <c r="AS95" s="308" t="str">
        <f t="shared" si="51"/>
        <v/>
      </c>
      <c r="AT95" s="309" t="str">
        <f t="shared" si="51"/>
        <v/>
      </c>
      <c r="AU95" s="309" t="str">
        <f t="shared" si="51"/>
        <v/>
      </c>
      <c r="AV95" s="310" t="str">
        <f t="shared" si="51"/>
        <v/>
      </c>
      <c r="AW95" s="308" t="str">
        <f t="shared" si="51"/>
        <v/>
      </c>
      <c r="AX95" s="309" t="str">
        <f t="shared" si="51"/>
        <v/>
      </c>
      <c r="AY95" s="309" t="str">
        <f t="shared" si="51"/>
        <v/>
      </c>
      <c r="AZ95" s="310" t="str">
        <f t="shared" si="51"/>
        <v/>
      </c>
      <c r="BA95" s="308" t="str">
        <f t="shared" si="51"/>
        <v/>
      </c>
      <c r="BB95" s="309" t="str">
        <f t="shared" si="51"/>
        <v/>
      </c>
      <c r="BC95" s="309" t="str">
        <f t="shared" si="51"/>
        <v/>
      </c>
      <c r="BD95" s="310" t="str">
        <f t="shared" si="51"/>
        <v/>
      </c>
      <c r="BE95" s="308" t="str">
        <f t="shared" si="51"/>
        <v/>
      </c>
      <c r="BF95" s="309" t="str">
        <f t="shared" si="51"/>
        <v/>
      </c>
      <c r="BG95" s="309" t="str">
        <f t="shared" si="51"/>
        <v/>
      </c>
      <c r="BH95" s="310" t="str">
        <f t="shared" si="51"/>
        <v/>
      </c>
      <c r="BI95" s="319" t="str">
        <f t="shared" si="52"/>
        <v/>
      </c>
      <c r="CB95" s="219"/>
      <c r="CC95" s="219"/>
      <c r="CD95" s="219"/>
      <c r="CE95" s="219"/>
      <c r="CF95" s="219"/>
      <c r="CG95" s="219"/>
      <c r="CH95" s="219"/>
      <c r="CI95" s="219"/>
      <c r="CJ95" s="219"/>
      <c r="CK95" s="219"/>
      <c r="CL95" s="219"/>
      <c r="CM95" s="219"/>
      <c r="CN95" s="219"/>
      <c r="CO95" s="219"/>
      <c r="CP95" s="65" t="s">
        <v>40</v>
      </c>
      <c r="CQ95" s="65">
        <f>IF(第十四期!$AC$11&gt;0,第十四期!$K$9*比赛参数!$D$30*比赛参数!$F$30*$CU$89/第十四期!$AC$11,0)</f>
        <v>1169.39044931033</v>
      </c>
      <c r="CR95" s="65">
        <f>IF(第十四期!$AC$11&gt;0,第十四期!$K$9*比赛参数!$D$30*比赛参数!$F$30*$CU$89/第十四期!$AC$11,0)</f>
        <v>1169.39044931033</v>
      </c>
      <c r="CS95" s="65">
        <f>IF(第十四期!$AC$11&gt;0,第十四期!$K$9*比赛参数!$D$30*比赛参数!$F$30*$CU$89/第十四期!$AC$11,0)</f>
        <v>1169.39044931033</v>
      </c>
      <c r="CT95" s="65">
        <f>IF(第十四期!$AC$11&gt;0,第十四期!$K$9*比赛参数!$D$30*比赛参数!$F$30*$CU$89/第十四期!$AC$11,0)</f>
        <v>1169.39044931033</v>
      </c>
      <c r="CU95" s="48"/>
    </row>
    <row r="96" ht="18.75" customHeight="1" spans="2:99">
      <c r="B96" s="7"/>
      <c r="C96" s="25">
        <v>2</v>
      </c>
      <c r="D96" s="14"/>
      <c r="E96" s="14"/>
      <c r="F96" s="14"/>
      <c r="G96" s="9"/>
      <c r="H96" s="9"/>
      <c r="I96" s="14"/>
      <c r="J96" s="14"/>
      <c r="K96" s="9"/>
      <c r="L96" s="10"/>
      <c r="X96" s="64" t="s">
        <v>55</v>
      </c>
      <c r="Y96" s="94">
        <f>第十四期!CX62</f>
        <v>13.0926567123412</v>
      </c>
      <c r="Z96" s="94">
        <f>第十四期!CX63</f>
        <v>9.27089047857501</v>
      </c>
      <c r="AA96" s="94">
        <f>第十四期!CX64</f>
        <v>9.34151428280769</v>
      </c>
      <c r="AB96" s="94">
        <f>第十四期!CX65</f>
        <v>9.02587674811941</v>
      </c>
      <c r="AC96" s="48"/>
      <c r="AR96" s="185">
        <v>15</v>
      </c>
      <c r="AS96" s="308" t="str">
        <f t="shared" si="51"/>
        <v/>
      </c>
      <c r="AT96" s="309" t="str">
        <f t="shared" si="51"/>
        <v/>
      </c>
      <c r="AU96" s="309" t="str">
        <f t="shared" si="51"/>
        <v/>
      </c>
      <c r="AV96" s="310" t="str">
        <f t="shared" si="51"/>
        <v/>
      </c>
      <c r="AW96" s="308" t="str">
        <f t="shared" si="51"/>
        <v/>
      </c>
      <c r="AX96" s="309" t="str">
        <f t="shared" si="51"/>
        <v/>
      </c>
      <c r="AY96" s="309" t="str">
        <f t="shared" si="51"/>
        <v/>
      </c>
      <c r="AZ96" s="310" t="str">
        <f t="shared" si="51"/>
        <v/>
      </c>
      <c r="BA96" s="308" t="str">
        <f t="shared" si="51"/>
        <v/>
      </c>
      <c r="BB96" s="309" t="str">
        <f t="shared" si="51"/>
        <v/>
      </c>
      <c r="BC96" s="309" t="str">
        <f t="shared" si="51"/>
        <v/>
      </c>
      <c r="BD96" s="310" t="str">
        <f t="shared" si="51"/>
        <v/>
      </c>
      <c r="BE96" s="308" t="str">
        <f t="shared" si="51"/>
        <v/>
      </c>
      <c r="BF96" s="309" t="str">
        <f t="shared" si="51"/>
        <v/>
      </c>
      <c r="BG96" s="309" t="str">
        <f t="shared" si="51"/>
        <v/>
      </c>
      <c r="BH96" s="310" t="str">
        <f t="shared" si="51"/>
        <v/>
      </c>
      <c r="BI96" s="319" t="str">
        <f t="shared" si="52"/>
        <v/>
      </c>
      <c r="CB96" s="219"/>
      <c r="CC96" s="219"/>
      <c r="CD96" s="219"/>
      <c r="CE96" s="219"/>
      <c r="CF96" s="219"/>
      <c r="CG96" s="219"/>
      <c r="CH96" s="219"/>
      <c r="CI96" s="219"/>
      <c r="CJ96" s="219"/>
      <c r="CK96" s="219"/>
      <c r="CL96" s="219"/>
      <c r="CM96" s="219"/>
      <c r="CN96" s="219"/>
      <c r="CO96" s="219"/>
      <c r="CP96" s="65" t="s">
        <v>41</v>
      </c>
      <c r="CQ96" s="65">
        <f>IF(第十四期!$AC$12&gt;0,第十四期!$K$9*比赛参数!$D$30*比赛参数!$F$30*$CU$90/第十四期!$AC$12,0)</f>
        <v>1600.21850958256</v>
      </c>
      <c r="CR96" s="65">
        <f>IF(第十四期!$AC$12&gt;0,第十四期!$K$9*比赛参数!$D$30*比赛参数!$F$30*$CU$90/第十四期!$AC$12,0)</f>
        <v>1600.21850958256</v>
      </c>
      <c r="CS96" s="65">
        <f>IF(第十四期!$AC$12&gt;0,第十四期!$K$9*比赛参数!$D$30*比赛参数!$F$30*$CU$90/第十四期!$AC$12,0)</f>
        <v>1600.21850958256</v>
      </c>
      <c r="CT96" s="65">
        <f>IF(第十四期!$AC$12&gt;0,第十四期!$K$9*比赛参数!$D$30*比赛参数!$F$30*$CU$90/第十四期!$AC$12,0)</f>
        <v>1600.21850958256</v>
      </c>
      <c r="CU96" s="48"/>
    </row>
    <row r="97" ht="18.75" customHeight="1" spans="2:93">
      <c r="B97" s="7"/>
      <c r="C97" s="25">
        <v>3</v>
      </c>
      <c r="D97" s="14"/>
      <c r="E97" s="14"/>
      <c r="F97" s="14"/>
      <c r="G97" s="9"/>
      <c r="H97" s="9"/>
      <c r="I97" s="14"/>
      <c r="J97" s="14"/>
      <c r="K97" s="9"/>
      <c r="L97" s="10"/>
      <c r="X97" s="11" t="s">
        <v>56</v>
      </c>
      <c r="Y97" s="94">
        <f>第十四期!CY62</f>
        <v>13.5026567123412</v>
      </c>
      <c r="Z97" s="94">
        <f>第十四期!CY63</f>
        <v>9.60689047857501</v>
      </c>
      <c r="AA97" s="94">
        <f>第十四期!CY64</f>
        <v>9.63625112491295</v>
      </c>
      <c r="AB97" s="94">
        <f>第十四期!CY65</f>
        <v>9.29126136350403</v>
      </c>
      <c r="AC97" s="126"/>
      <c r="AE97" s="63" t="s">
        <v>388</v>
      </c>
      <c r="AF97" s="59" t="s">
        <v>38</v>
      </c>
      <c r="AG97" s="59" t="s">
        <v>39</v>
      </c>
      <c r="AH97" s="59" t="s">
        <v>40</v>
      </c>
      <c r="AI97" s="59" t="s">
        <v>41</v>
      </c>
      <c r="AJ97" s="63" t="s">
        <v>389</v>
      </c>
      <c r="AK97" s="59" t="s">
        <v>38</v>
      </c>
      <c r="AL97" s="59" t="s">
        <v>39</v>
      </c>
      <c r="AM97" s="59" t="s">
        <v>40</v>
      </c>
      <c r="AN97" s="59" t="s">
        <v>41</v>
      </c>
      <c r="AR97" s="185">
        <v>16</v>
      </c>
      <c r="AS97" s="308" t="str">
        <f t="shared" si="51"/>
        <v/>
      </c>
      <c r="AT97" s="309" t="str">
        <f t="shared" si="51"/>
        <v/>
      </c>
      <c r="AU97" s="309" t="str">
        <f t="shared" si="51"/>
        <v/>
      </c>
      <c r="AV97" s="310" t="str">
        <f t="shared" si="51"/>
        <v/>
      </c>
      <c r="AW97" s="308" t="str">
        <f t="shared" si="51"/>
        <v/>
      </c>
      <c r="AX97" s="309" t="str">
        <f t="shared" si="51"/>
        <v/>
      </c>
      <c r="AY97" s="309" t="str">
        <f t="shared" si="51"/>
        <v/>
      </c>
      <c r="AZ97" s="310" t="str">
        <f t="shared" si="51"/>
        <v/>
      </c>
      <c r="BA97" s="308" t="str">
        <f t="shared" si="51"/>
        <v/>
      </c>
      <c r="BB97" s="309" t="str">
        <f t="shared" si="51"/>
        <v/>
      </c>
      <c r="BC97" s="309" t="str">
        <f t="shared" si="51"/>
        <v/>
      </c>
      <c r="BD97" s="310" t="str">
        <f t="shared" si="51"/>
        <v/>
      </c>
      <c r="BE97" s="308" t="str">
        <f t="shared" si="51"/>
        <v/>
      </c>
      <c r="BF97" s="309" t="str">
        <f t="shared" si="51"/>
        <v/>
      </c>
      <c r="BG97" s="309" t="str">
        <f t="shared" si="51"/>
        <v/>
      </c>
      <c r="BH97" s="310" t="str">
        <f>IF(BH48="","",(BH48-BH$54)/BH$78)</f>
        <v/>
      </c>
      <c r="BI97" s="319" t="str">
        <f t="shared" si="52"/>
        <v/>
      </c>
      <c r="CB97" s="219"/>
      <c r="CC97" s="219"/>
      <c r="CD97" s="219"/>
      <c r="CE97" s="219"/>
      <c r="CF97" s="219"/>
      <c r="CG97" s="219"/>
      <c r="CH97" s="219"/>
      <c r="CI97" s="219"/>
      <c r="CJ97" s="219"/>
      <c r="CK97" s="219"/>
      <c r="CL97" s="219"/>
      <c r="CM97" s="219"/>
      <c r="CN97" s="219"/>
      <c r="CO97" s="219"/>
    </row>
    <row r="98" ht="18.75" customHeight="1" spans="2:61">
      <c r="B98" s="7"/>
      <c r="C98" s="25">
        <v>4</v>
      </c>
      <c r="D98" s="14"/>
      <c r="E98" s="14"/>
      <c r="F98" s="14"/>
      <c r="G98" s="9"/>
      <c r="H98" s="9"/>
      <c r="I98" s="14"/>
      <c r="J98" s="14"/>
      <c r="K98" s="9"/>
      <c r="L98" s="10"/>
      <c r="X98" s="11" t="s">
        <v>57</v>
      </c>
      <c r="Y98" s="94">
        <f>第十四期!CZ62</f>
        <v>13.4226567123412</v>
      </c>
      <c r="Z98" s="94">
        <f>第十四期!CZ63</f>
        <v>9.61889047857501</v>
      </c>
      <c r="AA98" s="94">
        <f>第十四期!CZ64</f>
        <v>9.62046165122874</v>
      </c>
      <c r="AB98" s="94">
        <f>第十四期!CZ65</f>
        <v>9.39895367119634</v>
      </c>
      <c r="AC98" s="126" t="s">
        <v>367</v>
      </c>
      <c r="AE98" s="47" t="s">
        <v>55</v>
      </c>
      <c r="AF98" s="292">
        <f>Y234</f>
        <v>0</v>
      </c>
      <c r="AG98" s="292">
        <f>AC234</f>
        <v>0</v>
      </c>
      <c r="AH98" s="292">
        <f>AG234</f>
        <v>0</v>
      </c>
      <c r="AI98" s="292">
        <f>AK234</f>
        <v>0</v>
      </c>
      <c r="AJ98" s="47" t="s">
        <v>55</v>
      </c>
      <c r="AK98" s="304">
        <f t="shared" ref="AK98:AN101" si="56">AF76-AF98</f>
        <v>3200</v>
      </c>
      <c r="AL98" s="304">
        <f t="shared" si="56"/>
        <v>6350</v>
      </c>
      <c r="AM98" s="304">
        <f t="shared" si="56"/>
        <v>9800</v>
      </c>
      <c r="AN98" s="304">
        <f t="shared" si="56"/>
        <v>12950</v>
      </c>
      <c r="AR98" s="185">
        <v>17</v>
      </c>
      <c r="AS98" s="308" t="str">
        <f t="shared" ref="AS98:BH101" si="57">IF(AS49="","",(AS49-AS$54)/AS$78)</f>
        <v/>
      </c>
      <c r="AT98" s="309" t="str">
        <f t="shared" si="57"/>
        <v/>
      </c>
      <c r="AU98" s="309" t="str">
        <f t="shared" si="57"/>
        <v/>
      </c>
      <c r="AV98" s="310" t="str">
        <f t="shared" si="57"/>
        <v/>
      </c>
      <c r="AW98" s="308" t="str">
        <f t="shared" si="57"/>
        <v/>
      </c>
      <c r="AX98" s="309" t="str">
        <f t="shared" si="57"/>
        <v/>
      </c>
      <c r="AY98" s="309" t="str">
        <f t="shared" si="57"/>
        <v/>
      </c>
      <c r="AZ98" s="310" t="str">
        <f t="shared" si="57"/>
        <v/>
      </c>
      <c r="BA98" s="308" t="str">
        <f t="shared" si="57"/>
        <v/>
      </c>
      <c r="BB98" s="309" t="str">
        <f t="shared" si="57"/>
        <v/>
      </c>
      <c r="BC98" s="309" t="str">
        <f t="shared" si="57"/>
        <v/>
      </c>
      <c r="BD98" s="310" t="str">
        <f t="shared" si="57"/>
        <v/>
      </c>
      <c r="BE98" s="308" t="str">
        <f t="shared" si="57"/>
        <v/>
      </c>
      <c r="BF98" s="309" t="str">
        <f t="shared" si="57"/>
        <v/>
      </c>
      <c r="BG98" s="309" t="str">
        <f t="shared" si="57"/>
        <v/>
      </c>
      <c r="BH98" s="310" t="str">
        <f t="shared" si="57"/>
        <v/>
      </c>
      <c r="BI98" s="319" t="str">
        <f t="shared" si="52"/>
        <v/>
      </c>
    </row>
    <row r="99" ht="18.75" customHeight="1" spans="2:61">
      <c r="B99" s="7"/>
      <c r="C99" s="25">
        <v>5</v>
      </c>
      <c r="D99" s="14"/>
      <c r="E99" s="14"/>
      <c r="F99" s="14"/>
      <c r="G99" s="9"/>
      <c r="H99" s="9"/>
      <c r="I99" s="14"/>
      <c r="J99" s="14"/>
      <c r="K99" s="9"/>
      <c r="L99" s="10"/>
      <c r="X99" s="11" t="s">
        <v>58</v>
      </c>
      <c r="Y99" s="94">
        <f>第十四期!DA62</f>
        <v>13.4226567123412</v>
      </c>
      <c r="Z99" s="94">
        <f>第十四期!DA63</f>
        <v>9.738890478575</v>
      </c>
      <c r="AA99" s="94">
        <f>第十四期!DA64</f>
        <v>9.48888270386032</v>
      </c>
      <c r="AB99" s="94">
        <f>第十四期!DA65</f>
        <v>9.59126136350403</v>
      </c>
      <c r="AC99" s="126"/>
      <c r="AE99" s="11" t="s">
        <v>56</v>
      </c>
      <c r="AF99" s="292">
        <f>Z234</f>
        <v>0</v>
      </c>
      <c r="AG99" s="292">
        <f>AD234</f>
        <v>0</v>
      </c>
      <c r="AH99" s="292">
        <f>AH234</f>
        <v>0</v>
      </c>
      <c r="AI99" s="292">
        <f>AL234</f>
        <v>0</v>
      </c>
      <c r="AJ99" s="11" t="s">
        <v>56</v>
      </c>
      <c r="AK99" s="304">
        <f t="shared" si="56"/>
        <v>3200</v>
      </c>
      <c r="AL99" s="304">
        <f t="shared" si="56"/>
        <v>6350</v>
      </c>
      <c r="AM99" s="304">
        <f t="shared" si="56"/>
        <v>9800</v>
      </c>
      <c r="AN99" s="304">
        <f t="shared" si="56"/>
        <v>12950</v>
      </c>
      <c r="AR99" s="185">
        <v>18</v>
      </c>
      <c r="AS99" s="308" t="str">
        <f t="shared" si="57"/>
        <v/>
      </c>
      <c r="AT99" s="309" t="str">
        <f t="shared" si="57"/>
        <v/>
      </c>
      <c r="AU99" s="309" t="str">
        <f t="shared" si="57"/>
        <v/>
      </c>
      <c r="AV99" s="310" t="str">
        <f t="shared" si="57"/>
        <v/>
      </c>
      <c r="AW99" s="308" t="str">
        <f t="shared" si="57"/>
        <v/>
      </c>
      <c r="AX99" s="309" t="str">
        <f t="shared" si="57"/>
        <v/>
      </c>
      <c r="AY99" s="309" t="str">
        <f t="shared" si="57"/>
        <v/>
      </c>
      <c r="AZ99" s="310" t="str">
        <f t="shared" si="57"/>
        <v/>
      </c>
      <c r="BA99" s="308" t="str">
        <f t="shared" si="57"/>
        <v/>
      </c>
      <c r="BB99" s="309" t="str">
        <f t="shared" si="57"/>
        <v/>
      </c>
      <c r="BC99" s="309" t="str">
        <f t="shared" si="57"/>
        <v/>
      </c>
      <c r="BD99" s="310" t="str">
        <f t="shared" si="57"/>
        <v/>
      </c>
      <c r="BE99" s="308" t="str">
        <f t="shared" si="57"/>
        <v/>
      </c>
      <c r="BF99" s="309" t="str">
        <f t="shared" si="57"/>
        <v/>
      </c>
      <c r="BG99" s="309" t="str">
        <f t="shared" si="57"/>
        <v/>
      </c>
      <c r="BH99" s="310" t="str">
        <f t="shared" si="57"/>
        <v/>
      </c>
      <c r="BI99" s="319" t="str">
        <f t="shared" si="52"/>
        <v/>
      </c>
    </row>
    <row r="100" ht="18.75" customHeight="1" spans="2:61">
      <c r="B100" s="7"/>
      <c r="C100" s="25">
        <v>6</v>
      </c>
      <c r="D100" s="14"/>
      <c r="E100" s="14"/>
      <c r="F100" s="14"/>
      <c r="G100" s="9"/>
      <c r="H100" s="9"/>
      <c r="I100" s="14"/>
      <c r="J100" s="14"/>
      <c r="K100" s="9"/>
      <c r="L100" s="10"/>
      <c r="AE100" s="11" t="s">
        <v>57</v>
      </c>
      <c r="AF100" s="292">
        <f>AA234</f>
        <v>0</v>
      </c>
      <c r="AG100" s="292">
        <f>AE234</f>
        <v>0</v>
      </c>
      <c r="AH100" s="292">
        <f>AI234</f>
        <v>0</v>
      </c>
      <c r="AI100" s="292">
        <f>AM234</f>
        <v>0</v>
      </c>
      <c r="AJ100" s="11" t="s">
        <v>57</v>
      </c>
      <c r="AK100" s="304">
        <f t="shared" si="56"/>
        <v>3350</v>
      </c>
      <c r="AL100" s="304">
        <f t="shared" si="56"/>
        <v>6570</v>
      </c>
      <c r="AM100" s="304">
        <f t="shared" si="56"/>
        <v>10050</v>
      </c>
      <c r="AN100" s="304">
        <f t="shared" si="56"/>
        <v>13350</v>
      </c>
      <c r="AR100" s="185">
        <v>19</v>
      </c>
      <c r="AS100" s="308" t="str">
        <f t="shared" si="57"/>
        <v/>
      </c>
      <c r="AT100" s="309" t="str">
        <f t="shared" si="57"/>
        <v/>
      </c>
      <c r="AU100" s="309" t="str">
        <f t="shared" si="57"/>
        <v/>
      </c>
      <c r="AV100" s="310" t="str">
        <f t="shared" si="57"/>
        <v/>
      </c>
      <c r="AW100" s="308" t="str">
        <f t="shared" si="57"/>
        <v/>
      </c>
      <c r="AX100" s="309" t="str">
        <f t="shared" si="57"/>
        <v/>
      </c>
      <c r="AY100" s="309" t="str">
        <f t="shared" si="57"/>
        <v/>
      </c>
      <c r="AZ100" s="310" t="str">
        <f t="shared" si="57"/>
        <v/>
      </c>
      <c r="BA100" s="308" t="str">
        <f t="shared" si="57"/>
        <v/>
      </c>
      <c r="BB100" s="309" t="str">
        <f t="shared" si="57"/>
        <v/>
      </c>
      <c r="BC100" s="309" t="str">
        <f t="shared" si="57"/>
        <v/>
      </c>
      <c r="BD100" s="310" t="str">
        <f t="shared" si="57"/>
        <v/>
      </c>
      <c r="BE100" s="308" t="str">
        <f t="shared" si="57"/>
        <v/>
      </c>
      <c r="BF100" s="309" t="str">
        <f t="shared" si="57"/>
        <v/>
      </c>
      <c r="BG100" s="309" t="str">
        <f t="shared" si="57"/>
        <v/>
      </c>
      <c r="BH100" s="310" t="str">
        <f t="shared" si="57"/>
        <v/>
      </c>
      <c r="BI100" s="319" t="str">
        <f t="shared" si="52"/>
        <v/>
      </c>
    </row>
    <row r="101" ht="18.75" customHeight="1" spans="2:61">
      <c r="B101" s="7"/>
      <c r="C101" s="25">
        <v>7</v>
      </c>
      <c r="D101" s="14"/>
      <c r="E101" s="14"/>
      <c r="F101" s="14"/>
      <c r="G101" s="9"/>
      <c r="H101" s="9"/>
      <c r="I101" s="14"/>
      <c r="J101" s="14"/>
      <c r="K101" s="9"/>
      <c r="L101" s="10"/>
      <c r="X101" s="279" t="s">
        <v>390</v>
      </c>
      <c r="Y101" s="293" t="s">
        <v>38</v>
      </c>
      <c r="Z101" s="293" t="s">
        <v>39</v>
      </c>
      <c r="AA101" s="293" t="s">
        <v>40</v>
      </c>
      <c r="AB101" s="293" t="s">
        <v>41</v>
      </c>
      <c r="AC101" s="126"/>
      <c r="AE101" s="11" t="s">
        <v>58</v>
      </c>
      <c r="AF101" s="292">
        <f>AB234</f>
        <v>0</v>
      </c>
      <c r="AG101" s="292">
        <f>AF234</f>
        <v>0</v>
      </c>
      <c r="AH101" s="292">
        <f>AJ234</f>
        <v>0</v>
      </c>
      <c r="AI101" s="292">
        <f>AN234</f>
        <v>0</v>
      </c>
      <c r="AJ101" s="11" t="s">
        <v>58</v>
      </c>
      <c r="AK101" s="304">
        <f t="shared" si="56"/>
        <v>3400</v>
      </c>
      <c r="AL101" s="304">
        <f t="shared" si="56"/>
        <v>6650</v>
      </c>
      <c r="AM101" s="304">
        <f t="shared" si="56"/>
        <v>10050</v>
      </c>
      <c r="AN101" s="304">
        <f t="shared" si="56"/>
        <v>13500</v>
      </c>
      <c r="AR101" s="185">
        <v>20</v>
      </c>
      <c r="AS101" s="308" t="str">
        <f t="shared" si="57"/>
        <v/>
      </c>
      <c r="AT101" s="309" t="str">
        <f t="shared" si="57"/>
        <v/>
      </c>
      <c r="AU101" s="309" t="str">
        <f t="shared" si="57"/>
        <v/>
      </c>
      <c r="AV101" s="310" t="str">
        <f t="shared" si="57"/>
        <v/>
      </c>
      <c r="AW101" s="308" t="str">
        <f t="shared" si="57"/>
        <v/>
      </c>
      <c r="AX101" s="309" t="str">
        <f t="shared" si="57"/>
        <v/>
      </c>
      <c r="AY101" s="309" t="str">
        <f t="shared" si="57"/>
        <v/>
      </c>
      <c r="AZ101" s="310" t="str">
        <f t="shared" si="57"/>
        <v/>
      </c>
      <c r="BA101" s="308" t="str">
        <f t="shared" si="57"/>
        <v/>
      </c>
      <c r="BB101" s="309" t="str">
        <f t="shared" si="57"/>
        <v/>
      </c>
      <c r="BC101" s="309" t="str">
        <f t="shared" si="57"/>
        <v/>
      </c>
      <c r="BD101" s="310" t="str">
        <f t="shared" si="57"/>
        <v/>
      </c>
      <c r="BE101" s="308" t="str">
        <f t="shared" si="57"/>
        <v/>
      </c>
      <c r="BF101" s="309" t="str">
        <f t="shared" si="57"/>
        <v/>
      </c>
      <c r="BG101" s="309" t="str">
        <f t="shared" si="57"/>
        <v/>
      </c>
      <c r="BH101" s="310" t="str">
        <f t="shared" si="57"/>
        <v/>
      </c>
      <c r="BI101" s="319" t="str">
        <f t="shared" si="52"/>
        <v/>
      </c>
    </row>
    <row r="102" ht="18.75" customHeight="1" spans="2:28">
      <c r="B102" s="7"/>
      <c r="C102" s="25">
        <v>8</v>
      </c>
      <c r="D102" s="14"/>
      <c r="E102" s="14"/>
      <c r="F102" s="14"/>
      <c r="G102" s="9"/>
      <c r="H102" s="9"/>
      <c r="I102" s="14"/>
      <c r="J102" s="14"/>
      <c r="K102" s="9"/>
      <c r="L102" s="10"/>
      <c r="X102" s="280" t="s">
        <v>55</v>
      </c>
      <c r="Y102" s="94">
        <f t="shared" ref="Y102:AB105" si="58">(AF76-CJ19)/AF76</f>
        <v>0.409145522260664</v>
      </c>
      <c r="Z102" s="94">
        <f t="shared" si="58"/>
        <v>0.364995688132874</v>
      </c>
      <c r="AA102" s="94">
        <f t="shared" si="58"/>
        <v>0.362221982394584</v>
      </c>
      <c r="AB102" s="94">
        <f t="shared" si="58"/>
        <v>0.362429027723714</v>
      </c>
    </row>
    <row r="103" ht="18.75" customHeight="1" spans="2:36">
      <c r="B103" s="7"/>
      <c r="C103" s="25">
        <v>9</v>
      </c>
      <c r="D103" s="14"/>
      <c r="E103" s="14"/>
      <c r="F103" s="14"/>
      <c r="G103" s="9"/>
      <c r="H103" s="9"/>
      <c r="I103" s="14"/>
      <c r="J103" s="14"/>
      <c r="K103" s="9"/>
      <c r="L103" s="10"/>
      <c r="X103" s="281" t="s">
        <v>56</v>
      </c>
      <c r="Y103" s="94">
        <f t="shared" si="58"/>
        <v>0.421958022260664</v>
      </c>
      <c r="Z103" s="94">
        <f t="shared" si="58"/>
        <v>0.378224034589567</v>
      </c>
      <c r="AA103" s="94">
        <f t="shared" si="58"/>
        <v>0.373650553823155</v>
      </c>
      <c r="AB103" s="94">
        <f t="shared" si="58"/>
        <v>0.373085398380085</v>
      </c>
      <c r="AC103" s="126"/>
      <c r="AE103" s="63" t="s">
        <v>391</v>
      </c>
      <c r="AF103" s="73" t="s">
        <v>38</v>
      </c>
      <c r="AG103" s="73" t="s">
        <v>39</v>
      </c>
      <c r="AH103" s="73" t="s">
        <v>40</v>
      </c>
      <c r="AI103" s="73" t="s">
        <v>41</v>
      </c>
      <c r="AJ103" s="305" t="s">
        <v>100</v>
      </c>
    </row>
    <row r="104" ht="18.75" customHeight="1" spans="2:63">
      <c r="B104" s="7"/>
      <c r="C104" s="25">
        <v>10</v>
      </c>
      <c r="D104" s="14"/>
      <c r="E104" s="14"/>
      <c r="F104" s="14"/>
      <c r="G104" s="9"/>
      <c r="H104" s="9"/>
      <c r="I104" s="14"/>
      <c r="J104" s="14"/>
      <c r="K104" s="9"/>
      <c r="L104" s="10"/>
      <c r="X104" s="281" t="s">
        <v>57</v>
      </c>
      <c r="Y104" s="94">
        <f t="shared" si="58"/>
        <v>0.40067631977138</v>
      </c>
      <c r="Z104" s="94">
        <f t="shared" si="58"/>
        <v>0.366015619428273</v>
      </c>
      <c r="AA104" s="94">
        <f t="shared" si="58"/>
        <v>0.363758749001684</v>
      </c>
      <c r="AB104" s="94">
        <f t="shared" si="58"/>
        <v>0.366101566218884</v>
      </c>
      <c r="AC104" s="126"/>
      <c r="AE104" s="47" t="s">
        <v>55</v>
      </c>
      <c r="AF104" s="101"/>
      <c r="AG104" s="101"/>
      <c r="AH104" s="101"/>
      <c r="AI104" s="101"/>
      <c r="AJ104" s="84">
        <f>AF14</f>
        <v>2301374.91264423</v>
      </c>
      <c r="AR104" s="311"/>
      <c r="AS104" s="312"/>
      <c r="AT104" s="312"/>
      <c r="AU104" s="312"/>
      <c r="AV104" s="312"/>
      <c r="AW104" s="312"/>
      <c r="AX104" s="312"/>
      <c r="AY104" s="312"/>
      <c r="AZ104" s="312"/>
      <c r="BA104" s="312"/>
      <c r="BB104" s="312"/>
      <c r="BC104" s="312"/>
      <c r="BD104" s="312"/>
      <c r="BE104" s="312"/>
      <c r="BF104" s="312"/>
      <c r="BG104" s="312"/>
      <c r="BH104" s="312"/>
      <c r="BI104" s="312"/>
      <c r="BJ104" s="312"/>
      <c r="BK104" s="320"/>
    </row>
    <row r="105" ht="18.75" customHeight="1" spans="2:63">
      <c r="B105" s="7"/>
      <c r="C105" s="25">
        <v>11</v>
      </c>
      <c r="D105" s="14"/>
      <c r="E105" s="14"/>
      <c r="F105" s="14"/>
      <c r="G105" s="9"/>
      <c r="H105" s="9"/>
      <c r="I105" s="14"/>
      <c r="J105" s="14"/>
      <c r="K105" s="9"/>
      <c r="L105" s="10"/>
      <c r="X105" s="281" t="s">
        <v>58</v>
      </c>
      <c r="Y105" s="94">
        <f t="shared" si="58"/>
        <v>0.394784020951213</v>
      </c>
      <c r="Z105" s="94">
        <f t="shared" si="58"/>
        <v>0.366123702202068</v>
      </c>
      <c r="AA105" s="94">
        <f t="shared" si="58"/>
        <v>0.358783624623574</v>
      </c>
      <c r="AB105" s="94">
        <f t="shared" si="58"/>
        <v>0.369441178446081</v>
      </c>
      <c r="AC105" s="126"/>
      <c r="AE105" s="11" t="s">
        <v>56</v>
      </c>
      <c r="AF105" s="101"/>
      <c r="AG105" s="101"/>
      <c r="AH105" s="101"/>
      <c r="AI105" s="101"/>
      <c r="AJ105" s="42" t="s">
        <v>252</v>
      </c>
      <c r="AR105" s="313"/>
      <c r="AS105" s="11" t="s">
        <v>392</v>
      </c>
      <c r="AT105" s="11" t="s">
        <v>101</v>
      </c>
      <c r="AU105" s="92">
        <f>AR130</f>
        <v>0.15</v>
      </c>
      <c r="AV105" s="135"/>
      <c r="AW105" s="73"/>
      <c r="AX105" s="317"/>
      <c r="AY105" s="11">
        <f>AR130</f>
        <v>0.15</v>
      </c>
      <c r="AZ105" s="11">
        <f>AS181</f>
        <v>0.2</v>
      </c>
      <c r="BA105" s="11">
        <f>AT181</f>
        <v>0.12</v>
      </c>
      <c r="BB105" s="11">
        <f>AU181</f>
        <v>0.12</v>
      </c>
      <c r="BC105" s="11">
        <f>AV181</f>
        <v>0.16</v>
      </c>
      <c r="BD105" s="11">
        <f>AS130</f>
        <v>0.12</v>
      </c>
      <c r="BE105" s="11">
        <f>AV130</f>
        <v>0.13</v>
      </c>
      <c r="BF105" s="317"/>
      <c r="BG105" s="317"/>
      <c r="BH105" s="317"/>
      <c r="BI105" s="317"/>
      <c r="BJ105" s="317"/>
      <c r="BK105" s="321"/>
    </row>
    <row r="106" ht="18.75" customHeight="1" spans="2:63">
      <c r="B106" s="7"/>
      <c r="C106" s="25">
        <v>12</v>
      </c>
      <c r="D106" s="14"/>
      <c r="E106" s="14"/>
      <c r="F106" s="14"/>
      <c r="G106" s="9"/>
      <c r="H106" s="9"/>
      <c r="I106" s="14"/>
      <c r="J106" s="14"/>
      <c r="K106" s="9"/>
      <c r="L106" s="10"/>
      <c r="X106" s="48"/>
      <c r="Y106" s="48"/>
      <c r="Z106" s="48"/>
      <c r="AA106" s="48"/>
      <c r="AB106" s="48"/>
      <c r="AC106" s="48"/>
      <c r="AE106" s="11" t="s">
        <v>57</v>
      </c>
      <c r="AF106" s="101"/>
      <c r="AG106" s="101"/>
      <c r="AH106" s="101"/>
      <c r="AI106" s="101"/>
      <c r="AJ106" s="130">
        <f>AJ20</f>
        <v>9618135.59025289</v>
      </c>
      <c r="AR106" s="313"/>
      <c r="AS106" s="11" t="s">
        <v>285</v>
      </c>
      <c r="AT106" s="11" t="s">
        <v>38</v>
      </c>
      <c r="AU106" s="11" t="s">
        <v>39</v>
      </c>
      <c r="AV106" s="11" t="s">
        <v>40</v>
      </c>
      <c r="AW106" s="11" t="s">
        <v>41</v>
      </c>
      <c r="AX106" s="11" t="s">
        <v>285</v>
      </c>
      <c r="AY106" s="11" t="s">
        <v>101</v>
      </c>
      <c r="AZ106" s="11" t="s">
        <v>100</v>
      </c>
      <c r="BA106" s="11" t="s">
        <v>386</v>
      </c>
      <c r="BB106" s="11" t="s">
        <v>102</v>
      </c>
      <c r="BC106" s="11" t="s">
        <v>104</v>
      </c>
      <c r="BD106" s="11" t="s">
        <v>105</v>
      </c>
      <c r="BE106" s="11" t="s">
        <v>106</v>
      </c>
      <c r="BF106" s="174" t="s">
        <v>393</v>
      </c>
      <c r="BG106" s="65" t="s">
        <v>394</v>
      </c>
      <c r="BH106" s="65" t="s">
        <v>395</v>
      </c>
      <c r="BI106" s="65" t="s">
        <v>396</v>
      </c>
      <c r="BJ106" s="322" t="s">
        <v>387</v>
      </c>
      <c r="BK106" s="321"/>
    </row>
    <row r="107" ht="18.75" customHeight="1" spans="2:64">
      <c r="B107" s="7"/>
      <c r="C107" s="25">
        <v>13</v>
      </c>
      <c r="D107" s="14"/>
      <c r="E107" s="14"/>
      <c r="F107" s="14"/>
      <c r="G107" s="9"/>
      <c r="H107" s="9"/>
      <c r="I107" s="14"/>
      <c r="J107" s="14"/>
      <c r="K107" s="9"/>
      <c r="L107" s="10"/>
      <c r="X107" s="63" t="s">
        <v>397</v>
      </c>
      <c r="Y107" s="59" t="s">
        <v>38</v>
      </c>
      <c r="Z107" s="59" t="s">
        <v>39</v>
      </c>
      <c r="AA107" s="73" t="s">
        <v>40</v>
      </c>
      <c r="AB107" s="73" t="s">
        <v>41</v>
      </c>
      <c r="AC107" s="126"/>
      <c r="AE107" s="11" t="s">
        <v>58</v>
      </c>
      <c r="AF107" s="101"/>
      <c r="AG107" s="101"/>
      <c r="AH107" s="101"/>
      <c r="AI107" s="101"/>
      <c r="AJ107" s="42" t="s">
        <v>398</v>
      </c>
      <c r="AR107" s="313"/>
      <c r="AS107" s="190">
        <v>1</v>
      </c>
      <c r="AT107" s="314" t="str">
        <f>IF(AS82="","",AVERAGE(AS82:AV82)*$AR$130)</f>
        <v/>
      </c>
      <c r="AU107" s="314" t="str">
        <f>IF(AW82="","",AVERAGE(AW82:AZ82)*$AR$130)</f>
        <v/>
      </c>
      <c r="AV107" s="314" t="str">
        <f>IF(BA82="","",AVERAGE(BA82:BD82)*$AR$130)</f>
        <v/>
      </c>
      <c r="AW107" s="314" t="str">
        <f>IF(BE82="","",AVERAGE(BE82:BH82)*$AR$130)</f>
        <v/>
      </c>
      <c r="AX107" s="190">
        <v>1</v>
      </c>
      <c r="AY107" s="314" t="str">
        <f>IF(BI82="","",BI82*$AR$130)</f>
        <v/>
      </c>
      <c r="AZ107" s="314" t="str">
        <f t="shared" ref="AZ107:BC126" si="59">AS183</f>
        <v/>
      </c>
      <c r="BA107" s="314" t="str">
        <f t="shared" si="59"/>
        <v/>
      </c>
      <c r="BB107" s="314" t="str">
        <f t="shared" si="59"/>
        <v/>
      </c>
      <c r="BC107" s="314" t="str">
        <f t="shared" si="59"/>
        <v/>
      </c>
      <c r="BD107" s="318"/>
      <c r="BE107" s="318"/>
      <c r="BF107" s="314">
        <f t="shared" ref="BF107:BF126" si="60">(BJ107-BL107-BI107)/0.607</f>
        <v>0</v>
      </c>
      <c r="BG107" s="314">
        <f t="shared" ref="BG107:BG126" si="61">SUM(AY107:BC107)</f>
        <v>0</v>
      </c>
      <c r="BH107" s="101"/>
      <c r="BI107" s="314">
        <f t="shared" ref="BI107:BI126" si="62">(BG107+0.5*BH107)*0.607</f>
        <v>0</v>
      </c>
      <c r="BJ107" s="323">
        <f t="shared" ref="BJ107:BJ126" si="63">K95</f>
        <v>0</v>
      </c>
      <c r="BK107" s="324"/>
      <c r="BL107" s="2">
        <f t="shared" ref="BL107:BL126" si="64">IF(I95&lt;E95,-0.1,0)</f>
        <v>0</v>
      </c>
    </row>
    <row r="108" ht="18.75" customHeight="1" spans="2:64">
      <c r="B108" s="7"/>
      <c r="C108" s="25">
        <v>14</v>
      </c>
      <c r="D108" s="14"/>
      <c r="E108" s="14"/>
      <c r="F108" s="14"/>
      <c r="G108" s="9"/>
      <c r="H108" s="9"/>
      <c r="I108" s="14"/>
      <c r="J108" s="14"/>
      <c r="K108" s="9"/>
      <c r="L108" s="10"/>
      <c r="X108" s="47" t="s">
        <v>55</v>
      </c>
      <c r="Y108" s="65">
        <f>IF(Y88*$Y$113-INT(Y88*$Y$113)&lt;0.5,INT(Y88*$Y$113),INT(Y88*$Y$113)+1)</f>
        <v>7</v>
      </c>
      <c r="Z108" s="65">
        <f>IF(Z88*$Z$113-INT(Z88*$Z$113)&lt;0.5,INT(Z88*$Z$113),INT(Z88*$Z$113)+1)</f>
        <v>6</v>
      </c>
      <c r="AA108" s="65">
        <f>IF(AA88*$AA$113-INT(AA88*$AA$113)&lt;0.5,INT(AA88*$AA$113),INT(AA88*$AA$113)+1)</f>
        <v>2</v>
      </c>
      <c r="AB108" s="65">
        <f>IF(AB88*$AB$113-INT(AB88*$AB$113)&lt;0.5,INT(AB88*$AB$113),INT(AB88*$AB$113)+1)</f>
        <v>2</v>
      </c>
      <c r="AE108" s="11" t="s">
        <v>308</v>
      </c>
      <c r="AF108" s="294">
        <f>SUM(AF104:AF107)</f>
        <v>0</v>
      </c>
      <c r="AG108" s="294">
        <f>SUM(AG104:AG107)</f>
        <v>0</v>
      </c>
      <c r="AH108" s="294">
        <f>SUM(AH104:AH107)</f>
        <v>0</v>
      </c>
      <c r="AI108" s="294">
        <f>SUM(AI104:AI107)</f>
        <v>0</v>
      </c>
      <c r="AJ108" s="65">
        <f>SUMPRODUCT(AF104:AI107,AF76:AI79)</f>
        <v>0</v>
      </c>
      <c r="AR108" s="313"/>
      <c r="AS108" s="190">
        <v>2</v>
      </c>
      <c r="AT108" s="314" t="str">
        <f t="shared" ref="AT108:AT126" si="65">IF(AS83="","",AVERAGE(AS83:AV83)*$AR$130)</f>
        <v/>
      </c>
      <c r="AU108" s="314" t="str">
        <f t="shared" ref="AU108:AU126" si="66">IF(AW83="","",AVERAGE(AW83:AZ83)*$AR$130)</f>
        <v/>
      </c>
      <c r="AV108" s="314" t="str">
        <f t="shared" ref="AV108:AV126" si="67">IF(BA83="","",AVERAGE(BA83:BD83)*$AR$130)</f>
        <v/>
      </c>
      <c r="AW108" s="314" t="str">
        <f t="shared" ref="AW108:AW126" si="68">IF(BE83="","",AVERAGE(BE83:BH83)*$AR$130)</f>
        <v/>
      </c>
      <c r="AX108" s="190">
        <v>2</v>
      </c>
      <c r="AY108" s="314" t="str">
        <f t="shared" ref="AY108:AY126" si="69">IF(BI83="","",BI83*$AR$130)</f>
        <v/>
      </c>
      <c r="AZ108" s="314" t="str">
        <f t="shared" si="59"/>
        <v/>
      </c>
      <c r="BA108" s="314" t="str">
        <f t="shared" si="59"/>
        <v/>
      </c>
      <c r="BB108" s="314" t="str">
        <f t="shared" si="59"/>
        <v/>
      </c>
      <c r="BC108" s="314" t="str">
        <f t="shared" si="59"/>
        <v/>
      </c>
      <c r="BD108" s="318"/>
      <c r="BE108" s="318"/>
      <c r="BF108" s="314">
        <f t="shared" si="60"/>
        <v>0</v>
      </c>
      <c r="BG108" s="314">
        <f t="shared" si="61"/>
        <v>0</v>
      </c>
      <c r="BH108" s="101"/>
      <c r="BI108" s="314">
        <f t="shared" si="62"/>
        <v>0</v>
      </c>
      <c r="BJ108" s="323">
        <f t="shared" si="63"/>
        <v>0</v>
      </c>
      <c r="BK108" s="324"/>
      <c r="BL108" s="2">
        <f t="shared" si="64"/>
        <v>0</v>
      </c>
    </row>
    <row r="109" ht="18.75" customHeight="1" spans="2:64">
      <c r="B109" s="7"/>
      <c r="C109" s="25">
        <v>15</v>
      </c>
      <c r="D109" s="14"/>
      <c r="E109" s="14"/>
      <c r="F109" s="14"/>
      <c r="G109" s="9"/>
      <c r="H109" s="9"/>
      <c r="I109" s="14"/>
      <c r="J109" s="14"/>
      <c r="K109" s="9"/>
      <c r="L109" s="10"/>
      <c r="X109" s="11" t="s">
        <v>56</v>
      </c>
      <c r="Y109" s="65">
        <f>IF(Y89*$Y$113-INT(Y89*$Y$113)&lt;0.5,INT(Y89*$Y$113),INT(Y89*$Y$113)+1)</f>
        <v>7</v>
      </c>
      <c r="Z109" s="65">
        <f>IF(Z89*$Z$113-INT(Z89*$Z$113)&lt;0.5,INT(Z89*$Z$113),INT(Z89*$Z$113)+1)</f>
        <v>6</v>
      </c>
      <c r="AA109" s="65">
        <f>IF(AA89*$AA$113-INT(AA89*$AA$113)&lt;0.5,INT(AA89*$AA$113),INT(AA89*$AA$113)+1)</f>
        <v>2</v>
      </c>
      <c r="AB109" s="65">
        <f>IF(AB89*$AB$113-INT(AB89*$AB$113)&lt;0.5,INT(AB89*$AB$113),INT(AB89*$AB$113)+1)</f>
        <v>2</v>
      </c>
      <c r="AC109" s="48"/>
      <c r="AK109" s="42" t="s">
        <v>239</v>
      </c>
      <c r="AL109" s="145">
        <f>AA20</f>
        <v>338</v>
      </c>
      <c r="AR109" s="313"/>
      <c r="AS109" s="190">
        <v>3</v>
      </c>
      <c r="AT109" s="314" t="str">
        <f t="shared" si="65"/>
        <v/>
      </c>
      <c r="AU109" s="314" t="str">
        <f t="shared" si="66"/>
        <v/>
      </c>
      <c r="AV109" s="314" t="str">
        <f t="shared" si="67"/>
        <v/>
      </c>
      <c r="AW109" s="314" t="str">
        <f t="shared" si="68"/>
        <v/>
      </c>
      <c r="AX109" s="190">
        <v>3</v>
      </c>
      <c r="AY109" s="314" t="str">
        <f t="shared" si="69"/>
        <v/>
      </c>
      <c r="AZ109" s="314" t="str">
        <f t="shared" si="59"/>
        <v/>
      </c>
      <c r="BA109" s="314" t="str">
        <f t="shared" si="59"/>
        <v/>
      </c>
      <c r="BB109" s="314" t="str">
        <f t="shared" si="59"/>
        <v/>
      </c>
      <c r="BC109" s="314" t="str">
        <f t="shared" si="59"/>
        <v/>
      </c>
      <c r="BD109" s="318"/>
      <c r="BE109" s="318"/>
      <c r="BF109" s="314">
        <f t="shared" si="60"/>
        <v>0</v>
      </c>
      <c r="BG109" s="314">
        <f t="shared" si="61"/>
        <v>0</v>
      </c>
      <c r="BH109" s="101"/>
      <c r="BI109" s="314">
        <f t="shared" si="62"/>
        <v>0</v>
      </c>
      <c r="BJ109" s="323">
        <f t="shared" si="63"/>
        <v>0</v>
      </c>
      <c r="BK109" s="324"/>
      <c r="BL109" s="2">
        <f t="shared" si="64"/>
        <v>0</v>
      </c>
    </row>
    <row r="110" ht="18.75" customHeight="1" spans="2:64">
      <c r="B110" s="7"/>
      <c r="C110" s="25">
        <v>16</v>
      </c>
      <c r="D110" s="14"/>
      <c r="E110" s="14"/>
      <c r="F110" s="14"/>
      <c r="G110" s="9"/>
      <c r="H110" s="9"/>
      <c r="I110" s="14"/>
      <c r="J110" s="14"/>
      <c r="K110" s="9"/>
      <c r="L110" s="10"/>
      <c r="X110" s="11" t="s">
        <v>57</v>
      </c>
      <c r="Y110" s="65">
        <f>IF(Y90*$Y$113-INT(Y90*$Y$113)&lt;0.5,INT(Y90*$Y$113),INT(Y90*$Y$113)+1)</f>
        <v>10</v>
      </c>
      <c r="Z110" s="65">
        <f>IF(Z90*$Z$113-INT(Z90*$Z$113)&lt;0.5,INT(Z90*$Z$113),INT(Z90*$Z$113)+1)</f>
        <v>9</v>
      </c>
      <c r="AA110" s="65">
        <f>IF(AA90*$AA$113-INT(AA90*$AA$113)&lt;0.5,INT(AA90*$AA$113),INT(AA90*$AA$113)+1)</f>
        <v>3</v>
      </c>
      <c r="AB110" s="65">
        <f>IF(AB90*$AB$113-INT(AB90*$AB$113)&lt;0.5,INT(AB90*$AB$113),INT(AB90*$AB$113)+1)</f>
        <v>4</v>
      </c>
      <c r="AC110" s="48"/>
      <c r="AE110" s="42" t="s">
        <v>246</v>
      </c>
      <c r="AF110" s="65">
        <f>SUM(AF64:AF67)*比赛参数!D26/1300</f>
        <v>50.9230769230769</v>
      </c>
      <c r="AG110" s="65">
        <f>SUM(AG64:AG67)*比赛参数!E26/1300</f>
        <v>108.846153846154</v>
      </c>
      <c r="AH110" s="65">
        <f>SUM(AH64:AH67)*比赛参数!F26/1300</f>
        <v>60.8</v>
      </c>
      <c r="AI110" s="65">
        <f>SUM(AI64:AI67)*比赛参数!G26/1300</f>
        <v>95.2</v>
      </c>
      <c r="AJ110" s="65">
        <f>SUM(AF110:AI110)</f>
        <v>315.769230769231</v>
      </c>
      <c r="AK110" s="42" t="s">
        <v>246</v>
      </c>
      <c r="AL110" s="145">
        <f>SUM(AF110:AI110)</f>
        <v>315.769230769231</v>
      </c>
      <c r="AR110" s="313"/>
      <c r="AS110" s="190">
        <v>4</v>
      </c>
      <c r="AT110" s="314" t="str">
        <f t="shared" si="65"/>
        <v/>
      </c>
      <c r="AU110" s="314" t="str">
        <f t="shared" si="66"/>
        <v/>
      </c>
      <c r="AV110" s="314" t="str">
        <f t="shared" si="67"/>
        <v/>
      </c>
      <c r="AW110" s="314" t="str">
        <f t="shared" si="68"/>
        <v/>
      </c>
      <c r="AX110" s="190">
        <v>4</v>
      </c>
      <c r="AY110" s="314" t="str">
        <f t="shared" si="69"/>
        <v/>
      </c>
      <c r="AZ110" s="314" t="str">
        <f t="shared" si="59"/>
        <v/>
      </c>
      <c r="BA110" s="314" t="str">
        <f t="shared" si="59"/>
        <v/>
      </c>
      <c r="BB110" s="314" t="str">
        <f t="shared" si="59"/>
        <v/>
      </c>
      <c r="BC110" s="314" t="str">
        <f t="shared" si="59"/>
        <v/>
      </c>
      <c r="BD110" s="318"/>
      <c r="BE110" s="318"/>
      <c r="BF110" s="314">
        <f t="shared" si="60"/>
        <v>0</v>
      </c>
      <c r="BG110" s="314">
        <f t="shared" si="61"/>
        <v>0</v>
      </c>
      <c r="BH110" s="101"/>
      <c r="BI110" s="314">
        <f t="shared" si="62"/>
        <v>0</v>
      </c>
      <c r="BJ110" s="323">
        <f t="shared" si="63"/>
        <v>0</v>
      </c>
      <c r="BK110" s="324"/>
      <c r="BL110" s="2">
        <f t="shared" si="64"/>
        <v>0</v>
      </c>
    </row>
    <row r="111" ht="18.75" customHeight="1" spans="2:64">
      <c r="B111" s="7"/>
      <c r="C111" s="25">
        <v>17</v>
      </c>
      <c r="D111" s="14"/>
      <c r="E111" s="14"/>
      <c r="F111" s="14"/>
      <c r="G111" s="9"/>
      <c r="H111" s="9"/>
      <c r="I111" s="14"/>
      <c r="J111" s="14"/>
      <c r="K111" s="9"/>
      <c r="L111" s="10"/>
      <c r="X111" s="11" t="s">
        <v>58</v>
      </c>
      <c r="Y111" s="65">
        <f>IF(Y91*$Y$113-INT(Y91*$Y$113)&lt;0.5,INT(Y91*$Y$113),INT(Y91*$Y$113)+1)</f>
        <v>10</v>
      </c>
      <c r="Z111" s="65">
        <f>IF(Z91*$Z$113-INT(Z91*$Z$113)&lt;0.5,INT(Z91*$Z$113),INT(Z91*$Z$113)+1)</f>
        <v>9</v>
      </c>
      <c r="AA111" s="65">
        <f>IF(AA91*$AA$113-INT(AA91*$AA$113)&lt;0.5,INT(AA91*$AA$113),INT(AA91*$AA$113)+1)</f>
        <v>3</v>
      </c>
      <c r="AB111" s="65">
        <f>IF(AB91*$AB$113-INT(AB91*$AB$113)&lt;0.5,INT(AB91*$AB$113),INT(AB91*$AB$113)+1)</f>
        <v>4</v>
      </c>
      <c r="AC111" s="48"/>
      <c r="AE111" s="148" t="s">
        <v>253</v>
      </c>
      <c r="AF111" s="65">
        <f>(SUM(AF64:AF67)-SUM(AF104:AF107))*比赛参数!D26/1300</f>
        <v>50.9230769230769</v>
      </c>
      <c r="AG111" s="65">
        <f>(SUM(AG64:AG67)-SUM(AG104:AG107))*比赛参数!E26/1300</f>
        <v>108.846153846154</v>
      </c>
      <c r="AH111" s="65">
        <f>(SUM(AH64:AH67)-SUM(AH104:AH107))*比赛参数!F26/1300</f>
        <v>60.8</v>
      </c>
      <c r="AI111" s="65">
        <f>(SUM(AI64:AI67)-SUM(AI104:AI107))*比赛参数!G26/1300</f>
        <v>95.2</v>
      </c>
      <c r="AJ111" s="65">
        <f>SUM(AF111:AI111)</f>
        <v>315.769230769231</v>
      </c>
      <c r="AK111" s="148" t="s">
        <v>253</v>
      </c>
      <c r="AL111" s="145">
        <f>AJ111</f>
        <v>315.769230769231</v>
      </c>
      <c r="AR111" s="313"/>
      <c r="AS111" s="190">
        <v>5</v>
      </c>
      <c r="AT111" s="314" t="str">
        <f t="shared" si="65"/>
        <v/>
      </c>
      <c r="AU111" s="314" t="str">
        <f t="shared" si="66"/>
        <v/>
      </c>
      <c r="AV111" s="314" t="str">
        <f t="shared" si="67"/>
        <v/>
      </c>
      <c r="AW111" s="314" t="str">
        <f t="shared" si="68"/>
        <v/>
      </c>
      <c r="AX111" s="190">
        <v>5</v>
      </c>
      <c r="AY111" s="314" t="str">
        <f t="shared" si="69"/>
        <v/>
      </c>
      <c r="AZ111" s="314" t="str">
        <f t="shared" si="59"/>
        <v/>
      </c>
      <c r="BA111" s="314" t="str">
        <f t="shared" si="59"/>
        <v/>
      </c>
      <c r="BB111" s="314" t="str">
        <f t="shared" si="59"/>
        <v/>
      </c>
      <c r="BC111" s="314" t="str">
        <f t="shared" si="59"/>
        <v/>
      </c>
      <c r="BD111" s="318"/>
      <c r="BE111" s="318"/>
      <c r="BF111" s="314">
        <f t="shared" si="60"/>
        <v>0</v>
      </c>
      <c r="BG111" s="314">
        <f t="shared" si="61"/>
        <v>0</v>
      </c>
      <c r="BH111" s="101"/>
      <c r="BI111" s="314">
        <f t="shared" si="62"/>
        <v>0</v>
      </c>
      <c r="BJ111" s="323">
        <f t="shared" si="63"/>
        <v>0</v>
      </c>
      <c r="BK111" s="324"/>
      <c r="BL111" s="2">
        <f t="shared" si="64"/>
        <v>0</v>
      </c>
    </row>
    <row r="112" ht="18.75" customHeight="1" spans="2:64">
      <c r="B112" s="7"/>
      <c r="C112" s="25">
        <v>18</v>
      </c>
      <c r="D112" s="14"/>
      <c r="E112" s="14"/>
      <c r="F112" s="14"/>
      <c r="G112" s="9"/>
      <c r="H112" s="9"/>
      <c r="I112" s="14"/>
      <c r="J112" s="14"/>
      <c r="K112" s="9"/>
      <c r="L112" s="10"/>
      <c r="X112" s="48"/>
      <c r="Y112" s="48"/>
      <c r="Z112" s="48"/>
      <c r="AA112" s="48"/>
      <c r="AB112" s="48"/>
      <c r="AC112" s="48"/>
      <c r="AE112" s="148" t="s">
        <v>399</v>
      </c>
      <c r="AF112" s="142">
        <f>AF111/AF110</f>
        <v>1</v>
      </c>
      <c r="AG112" s="142">
        <f>AG111/AG110</f>
        <v>1</v>
      </c>
      <c r="AH112" s="142">
        <f>AH111/AH110</f>
        <v>1</v>
      </c>
      <c r="AI112" s="142">
        <f>AI111/AI110</f>
        <v>1</v>
      </c>
      <c r="AJ112" s="142">
        <f>AJ111/AJ110</f>
        <v>1</v>
      </c>
      <c r="AK112" s="148" t="s">
        <v>261</v>
      </c>
      <c r="AL112" s="306">
        <f>AL111/AL110</f>
        <v>1</v>
      </c>
      <c r="AR112" s="313"/>
      <c r="AS112" s="190">
        <v>6</v>
      </c>
      <c r="AT112" s="314" t="str">
        <f t="shared" si="65"/>
        <v/>
      </c>
      <c r="AU112" s="314" t="str">
        <f t="shared" si="66"/>
        <v/>
      </c>
      <c r="AV112" s="314" t="str">
        <f t="shared" si="67"/>
        <v/>
      </c>
      <c r="AW112" s="314" t="str">
        <f t="shared" si="68"/>
        <v/>
      </c>
      <c r="AX112" s="190">
        <v>6</v>
      </c>
      <c r="AY112" s="314" t="str">
        <f t="shared" si="69"/>
        <v/>
      </c>
      <c r="AZ112" s="314" t="str">
        <f t="shared" si="59"/>
        <v/>
      </c>
      <c r="BA112" s="314" t="str">
        <f t="shared" si="59"/>
        <v/>
      </c>
      <c r="BB112" s="314" t="str">
        <f t="shared" si="59"/>
        <v/>
      </c>
      <c r="BC112" s="314" t="str">
        <f t="shared" si="59"/>
        <v/>
      </c>
      <c r="BD112" s="318"/>
      <c r="BE112" s="318"/>
      <c r="BF112" s="314">
        <f t="shared" si="60"/>
        <v>0</v>
      </c>
      <c r="BG112" s="314">
        <f t="shared" si="61"/>
        <v>0</v>
      </c>
      <c r="BH112" s="101"/>
      <c r="BI112" s="314">
        <f t="shared" si="62"/>
        <v>0</v>
      </c>
      <c r="BJ112" s="323">
        <f t="shared" si="63"/>
        <v>0</v>
      </c>
      <c r="BK112" s="324"/>
      <c r="BL112" s="2">
        <f t="shared" si="64"/>
        <v>0</v>
      </c>
    </row>
    <row r="113" ht="18.75" customHeight="1" spans="2:64">
      <c r="B113" s="7"/>
      <c r="C113" s="25">
        <v>19</v>
      </c>
      <c r="D113" s="14"/>
      <c r="E113" s="14"/>
      <c r="F113" s="14"/>
      <c r="G113" s="9"/>
      <c r="H113" s="9"/>
      <c r="I113" s="14"/>
      <c r="J113" s="14"/>
      <c r="K113" s="9"/>
      <c r="L113" s="10"/>
      <c r="X113" s="63" t="s">
        <v>110</v>
      </c>
      <c r="Y113" s="295">
        <f>Y122</f>
        <v>0.05</v>
      </c>
      <c r="Z113" s="295">
        <f>Z122</f>
        <v>0.05</v>
      </c>
      <c r="AA113" s="295">
        <f>AA122</f>
        <v>0.05</v>
      </c>
      <c r="AB113" s="295">
        <f>AB122</f>
        <v>0.05</v>
      </c>
      <c r="AC113" s="48"/>
      <c r="AR113" s="313"/>
      <c r="AS113" s="190">
        <v>7</v>
      </c>
      <c r="AT113" s="314" t="str">
        <f t="shared" si="65"/>
        <v/>
      </c>
      <c r="AU113" s="314" t="str">
        <f t="shared" si="66"/>
        <v/>
      </c>
      <c r="AV113" s="314" t="str">
        <f t="shared" si="67"/>
        <v/>
      </c>
      <c r="AW113" s="314" t="str">
        <f t="shared" si="68"/>
        <v/>
      </c>
      <c r="AX113" s="190">
        <v>7</v>
      </c>
      <c r="AY113" s="314" t="str">
        <f t="shared" si="69"/>
        <v/>
      </c>
      <c r="AZ113" s="314" t="str">
        <f t="shared" si="59"/>
        <v/>
      </c>
      <c r="BA113" s="314" t="str">
        <f t="shared" si="59"/>
        <v/>
      </c>
      <c r="BB113" s="314" t="str">
        <f t="shared" si="59"/>
        <v/>
      </c>
      <c r="BC113" s="314" t="str">
        <f t="shared" si="59"/>
        <v/>
      </c>
      <c r="BD113" s="318"/>
      <c r="BE113" s="318"/>
      <c r="BF113" s="314">
        <f t="shared" si="60"/>
        <v>0</v>
      </c>
      <c r="BG113" s="314">
        <f t="shared" si="61"/>
        <v>0</v>
      </c>
      <c r="BH113" s="101"/>
      <c r="BI113" s="314">
        <f t="shared" si="62"/>
        <v>0</v>
      </c>
      <c r="BJ113" s="323">
        <f t="shared" si="63"/>
        <v>0</v>
      </c>
      <c r="BK113" s="324"/>
      <c r="BL113" s="2">
        <f t="shared" si="64"/>
        <v>0</v>
      </c>
    </row>
    <row r="114" ht="20.1" customHeight="1" spans="2:64">
      <c r="B114" s="7"/>
      <c r="C114" s="25">
        <v>20</v>
      </c>
      <c r="D114" s="14"/>
      <c r="E114" s="14"/>
      <c r="F114" s="14"/>
      <c r="G114" s="9"/>
      <c r="H114" s="9"/>
      <c r="I114" s="14"/>
      <c r="J114" s="14"/>
      <c r="K114" s="9"/>
      <c r="L114" s="10"/>
      <c r="X114" s="48"/>
      <c r="Y114" s="48"/>
      <c r="Z114" s="48"/>
      <c r="AA114" s="48"/>
      <c r="AB114" s="48"/>
      <c r="AC114" s="48"/>
      <c r="AR114" s="313"/>
      <c r="AS114" s="190">
        <v>8</v>
      </c>
      <c r="AT114" s="314" t="str">
        <f t="shared" si="65"/>
        <v/>
      </c>
      <c r="AU114" s="314" t="str">
        <f t="shared" si="66"/>
        <v/>
      </c>
      <c r="AV114" s="314" t="str">
        <f t="shared" si="67"/>
        <v/>
      </c>
      <c r="AW114" s="314" t="str">
        <f t="shared" si="68"/>
        <v/>
      </c>
      <c r="AX114" s="190">
        <v>8</v>
      </c>
      <c r="AY114" s="314" t="str">
        <f t="shared" si="69"/>
        <v/>
      </c>
      <c r="AZ114" s="314" t="str">
        <f t="shared" si="59"/>
        <v/>
      </c>
      <c r="BA114" s="314" t="str">
        <f t="shared" si="59"/>
        <v/>
      </c>
      <c r="BB114" s="314" t="str">
        <f t="shared" si="59"/>
        <v/>
      </c>
      <c r="BC114" s="314" t="str">
        <f t="shared" si="59"/>
        <v/>
      </c>
      <c r="BD114" s="318"/>
      <c r="BE114" s="318"/>
      <c r="BF114" s="314">
        <f t="shared" si="60"/>
        <v>0</v>
      </c>
      <c r="BG114" s="314">
        <f t="shared" si="61"/>
        <v>0</v>
      </c>
      <c r="BH114" s="101"/>
      <c r="BI114" s="314">
        <f t="shared" si="62"/>
        <v>0</v>
      </c>
      <c r="BJ114" s="323">
        <f t="shared" si="63"/>
        <v>0</v>
      </c>
      <c r="BK114" s="324"/>
      <c r="BL114" s="2">
        <f t="shared" si="64"/>
        <v>0</v>
      </c>
    </row>
    <row r="115" ht="20.1" customHeight="1" spans="3:64">
      <c r="C115" s="15"/>
      <c r="D115" s="15"/>
      <c r="E115" s="15"/>
      <c r="F115" s="15"/>
      <c r="G115" s="15"/>
      <c r="H115" s="15"/>
      <c r="I115" s="15"/>
      <c r="J115" s="15"/>
      <c r="K115" s="15"/>
      <c r="X115" s="63" t="s">
        <v>400</v>
      </c>
      <c r="Y115" s="73" t="s">
        <v>38</v>
      </c>
      <c r="Z115" s="73" t="s">
        <v>39</v>
      </c>
      <c r="AA115" s="73" t="s">
        <v>40</v>
      </c>
      <c r="AB115" s="73" t="s">
        <v>41</v>
      </c>
      <c r="AR115" s="313"/>
      <c r="AS115" s="190">
        <v>9</v>
      </c>
      <c r="AT115" s="314" t="str">
        <f t="shared" si="65"/>
        <v/>
      </c>
      <c r="AU115" s="314" t="str">
        <f t="shared" si="66"/>
        <v/>
      </c>
      <c r="AV115" s="314" t="str">
        <f t="shared" si="67"/>
        <v/>
      </c>
      <c r="AW115" s="314" t="str">
        <f t="shared" si="68"/>
        <v/>
      </c>
      <c r="AX115" s="190">
        <v>9</v>
      </c>
      <c r="AY115" s="314" t="str">
        <f t="shared" si="69"/>
        <v/>
      </c>
      <c r="AZ115" s="314" t="str">
        <f t="shared" si="59"/>
        <v/>
      </c>
      <c r="BA115" s="314" t="str">
        <f t="shared" si="59"/>
        <v/>
      </c>
      <c r="BB115" s="314" t="str">
        <f t="shared" si="59"/>
        <v/>
      </c>
      <c r="BC115" s="314" t="str">
        <f t="shared" si="59"/>
        <v/>
      </c>
      <c r="BD115" s="318"/>
      <c r="BE115" s="318"/>
      <c r="BF115" s="314">
        <f t="shared" si="60"/>
        <v>0</v>
      </c>
      <c r="BG115" s="314">
        <f t="shared" si="61"/>
        <v>0</v>
      </c>
      <c r="BH115" s="101"/>
      <c r="BI115" s="314">
        <f t="shared" si="62"/>
        <v>0</v>
      </c>
      <c r="BJ115" s="323">
        <f t="shared" si="63"/>
        <v>0</v>
      </c>
      <c r="BK115" s="324"/>
      <c r="BL115" s="2">
        <f t="shared" si="64"/>
        <v>0</v>
      </c>
    </row>
    <row r="116" ht="20.1" customHeight="1" spans="24:64">
      <c r="X116" s="47" t="s">
        <v>55</v>
      </c>
      <c r="Y116" s="296">
        <f>(AF76-CJ27-$AF$81-AK76)/(CJ27+$AF$81+AK76)</f>
        <v>0.3909604528367</v>
      </c>
      <c r="Z116" s="296">
        <f>(AG76-CK27-$AG$81-AK76)/(CK27+$AG$81+AK76)</f>
        <v>0.271338523081681</v>
      </c>
      <c r="AA116" s="296">
        <f>(AH76-CL27-$AH$81-AK76)/(CL27+$AH$81+AK76)</f>
        <v>0.266298840773401</v>
      </c>
      <c r="AB116" s="296">
        <f>(AI76-CM27-$AI$81-AK76)/(CM27+$AI$81+AK76)</f>
        <v>0.295330735832254</v>
      </c>
      <c r="AC116" s="48"/>
      <c r="AR116" s="313"/>
      <c r="AS116" s="190">
        <v>10</v>
      </c>
      <c r="AT116" s="314" t="str">
        <f t="shared" si="65"/>
        <v/>
      </c>
      <c r="AU116" s="314" t="str">
        <f t="shared" si="66"/>
        <v/>
      </c>
      <c r="AV116" s="314" t="str">
        <f t="shared" si="67"/>
        <v/>
      </c>
      <c r="AW116" s="314" t="str">
        <f t="shared" si="68"/>
        <v/>
      </c>
      <c r="AX116" s="190">
        <v>10</v>
      </c>
      <c r="AY116" s="314" t="str">
        <f t="shared" si="69"/>
        <v/>
      </c>
      <c r="AZ116" s="314" t="str">
        <f t="shared" si="59"/>
        <v/>
      </c>
      <c r="BA116" s="314" t="str">
        <f t="shared" si="59"/>
        <v/>
      </c>
      <c r="BB116" s="314" t="str">
        <f t="shared" si="59"/>
        <v/>
      </c>
      <c r="BC116" s="314" t="str">
        <f t="shared" si="59"/>
        <v/>
      </c>
      <c r="BD116" s="318"/>
      <c r="BE116" s="318"/>
      <c r="BF116" s="314">
        <f t="shared" si="60"/>
        <v>0</v>
      </c>
      <c r="BG116" s="314">
        <f t="shared" si="61"/>
        <v>0</v>
      </c>
      <c r="BH116" s="101"/>
      <c r="BI116" s="314">
        <f t="shared" si="62"/>
        <v>0</v>
      </c>
      <c r="BJ116" s="323">
        <f t="shared" si="63"/>
        <v>0</v>
      </c>
      <c r="BK116" s="324"/>
      <c r="BL116" s="2">
        <f t="shared" si="64"/>
        <v>0</v>
      </c>
    </row>
    <row r="117" ht="20.1" customHeight="1" spans="24:64">
      <c r="X117" s="11" t="s">
        <v>56</v>
      </c>
      <c r="Y117" s="296">
        <f>(AF77-CJ28-$AF$81-AK77)/(CJ28+$AF$81+AK77)</f>
        <v>0.445756309382513</v>
      </c>
      <c r="Z117" s="296">
        <f>(AG77-CK28-$AG$81-AK77)/(CK28+$AG$81+AK77)</f>
        <v>0.321128056288291</v>
      </c>
      <c r="AA117" s="296">
        <f>(AH77-CL28-$AH$81-AK77)/(CL28+$AH$81+AK77)</f>
        <v>0.311935373179715</v>
      </c>
      <c r="AB117" s="296">
        <f>(AI77-CM28-$AI$81-AK77)/(CM28+$AI$81+AK77)</f>
        <v>0.339134346224248</v>
      </c>
      <c r="AC117" s="48"/>
      <c r="AR117" s="313"/>
      <c r="AS117" s="190">
        <v>11</v>
      </c>
      <c r="AT117" s="314" t="str">
        <f t="shared" si="65"/>
        <v/>
      </c>
      <c r="AU117" s="314" t="str">
        <f t="shared" si="66"/>
        <v/>
      </c>
      <c r="AV117" s="314" t="str">
        <f t="shared" si="67"/>
        <v/>
      </c>
      <c r="AW117" s="314" t="str">
        <f t="shared" si="68"/>
        <v/>
      </c>
      <c r="AX117" s="190">
        <v>11</v>
      </c>
      <c r="AY117" s="314" t="str">
        <f t="shared" si="69"/>
        <v/>
      </c>
      <c r="AZ117" s="314" t="str">
        <f t="shared" si="59"/>
        <v/>
      </c>
      <c r="BA117" s="314" t="str">
        <f t="shared" si="59"/>
        <v/>
      </c>
      <c r="BB117" s="314" t="str">
        <f t="shared" si="59"/>
        <v/>
      </c>
      <c r="BC117" s="314" t="str">
        <f t="shared" si="59"/>
        <v/>
      </c>
      <c r="BD117" s="318"/>
      <c r="BE117" s="318"/>
      <c r="BF117" s="314">
        <f t="shared" si="60"/>
        <v>0</v>
      </c>
      <c r="BG117" s="314">
        <f t="shared" si="61"/>
        <v>0</v>
      </c>
      <c r="BH117" s="101"/>
      <c r="BI117" s="314">
        <f t="shared" si="62"/>
        <v>0</v>
      </c>
      <c r="BJ117" s="323">
        <f t="shared" si="63"/>
        <v>0</v>
      </c>
      <c r="BK117" s="324"/>
      <c r="BL117" s="2">
        <f t="shared" si="64"/>
        <v>0</v>
      </c>
    </row>
    <row r="118" ht="20.1" customHeight="1" spans="24:64">
      <c r="X118" s="11" t="s">
        <v>57</v>
      </c>
      <c r="Y118" s="296">
        <f>(AF78-CJ29-$AF$81-AK78)/(CJ29+$AF$81+AK78)</f>
        <v>0.314990366300303</v>
      </c>
      <c r="Z118" s="296">
        <f>(AG78-CK29-$AG$81-AK78)/(CK29+$AG$81+AK78)</f>
        <v>0.250392526523285</v>
      </c>
      <c r="AA118" s="296">
        <f>(AH78-CL29-$AH$81-AK78)/(CL29+$AH$81+AK78)</f>
        <v>0.261001728702519</v>
      </c>
      <c r="AB118" s="296">
        <f>(AI78-CM29-$AI$81-AK78)/(CM29+$AI$81+AK78)</f>
        <v>0.291378372208133</v>
      </c>
      <c r="AC118" s="48"/>
      <c r="AR118" s="313"/>
      <c r="AS118" s="190">
        <v>12</v>
      </c>
      <c r="AT118" s="314" t="str">
        <f t="shared" si="65"/>
        <v/>
      </c>
      <c r="AU118" s="314" t="str">
        <f t="shared" si="66"/>
        <v/>
      </c>
      <c r="AV118" s="314" t="str">
        <f t="shared" si="67"/>
        <v/>
      </c>
      <c r="AW118" s="314" t="str">
        <f t="shared" si="68"/>
        <v/>
      </c>
      <c r="AX118" s="190">
        <v>12</v>
      </c>
      <c r="AY118" s="314" t="str">
        <f t="shared" si="69"/>
        <v/>
      </c>
      <c r="AZ118" s="314" t="str">
        <f t="shared" si="59"/>
        <v/>
      </c>
      <c r="BA118" s="314" t="str">
        <f t="shared" si="59"/>
        <v/>
      </c>
      <c r="BB118" s="314" t="str">
        <f t="shared" si="59"/>
        <v/>
      </c>
      <c r="BC118" s="314" t="str">
        <f t="shared" si="59"/>
        <v/>
      </c>
      <c r="BD118" s="318"/>
      <c r="BE118" s="318"/>
      <c r="BF118" s="314">
        <f t="shared" si="60"/>
        <v>0</v>
      </c>
      <c r="BG118" s="314">
        <f t="shared" si="61"/>
        <v>0</v>
      </c>
      <c r="BH118" s="101"/>
      <c r="BI118" s="314">
        <f t="shared" si="62"/>
        <v>0</v>
      </c>
      <c r="BJ118" s="323">
        <f t="shared" si="63"/>
        <v>0</v>
      </c>
      <c r="BK118" s="324"/>
      <c r="BL118" s="2">
        <f t="shared" si="64"/>
        <v>0</v>
      </c>
    </row>
    <row r="119" ht="20.1" customHeight="1" spans="24:64">
      <c r="X119" s="11" t="s">
        <v>58</v>
      </c>
      <c r="Y119" s="296">
        <f>(AF79-CJ30-$AF$81-AK79)/(CJ30+$AF$81+AK79)</f>
        <v>0.280974317780755</v>
      </c>
      <c r="Z119" s="296">
        <f>(AG79-CK30-$AG$81-AK79)/(CK30+$AG$81+AK79)</f>
        <v>0.240143697861589</v>
      </c>
      <c r="AA119" s="296">
        <f>(AH79-CL30-$AH$81-AK79)/(CL30+$AH$81+AK79)</f>
        <v>0.242676552622442</v>
      </c>
      <c r="AB119" s="296">
        <f>(AI79-CM30-$AI$81-AK79)/(CM30+$AI$81+AK79)</f>
        <v>0.290642783248223</v>
      </c>
      <c r="AC119" s="297"/>
      <c r="AR119" s="313"/>
      <c r="AS119" s="190">
        <v>13</v>
      </c>
      <c r="AT119" s="314" t="str">
        <f t="shared" si="65"/>
        <v/>
      </c>
      <c r="AU119" s="314" t="str">
        <f t="shared" si="66"/>
        <v/>
      </c>
      <c r="AV119" s="314" t="str">
        <f t="shared" si="67"/>
        <v/>
      </c>
      <c r="AW119" s="314" t="str">
        <f t="shared" si="68"/>
        <v/>
      </c>
      <c r="AX119" s="190">
        <v>13</v>
      </c>
      <c r="AY119" s="314" t="str">
        <f t="shared" si="69"/>
        <v/>
      </c>
      <c r="AZ119" s="314" t="str">
        <f t="shared" si="59"/>
        <v/>
      </c>
      <c r="BA119" s="314" t="str">
        <f t="shared" si="59"/>
        <v/>
      </c>
      <c r="BB119" s="314" t="str">
        <f t="shared" si="59"/>
        <v/>
      </c>
      <c r="BC119" s="314" t="str">
        <f t="shared" si="59"/>
        <v/>
      </c>
      <c r="BD119" s="318"/>
      <c r="BE119" s="318"/>
      <c r="BF119" s="314">
        <f t="shared" si="60"/>
        <v>0</v>
      </c>
      <c r="BG119" s="314">
        <f t="shared" si="61"/>
        <v>0</v>
      </c>
      <c r="BH119" s="101"/>
      <c r="BI119" s="314">
        <f t="shared" si="62"/>
        <v>0</v>
      </c>
      <c r="BJ119" s="323">
        <f t="shared" si="63"/>
        <v>0</v>
      </c>
      <c r="BK119" s="324"/>
      <c r="BL119" s="2">
        <f t="shared" si="64"/>
        <v>0</v>
      </c>
    </row>
    <row r="120" ht="20.1" customHeight="1" spans="44:64">
      <c r="AR120" s="313"/>
      <c r="AS120" s="190">
        <v>14</v>
      </c>
      <c r="AT120" s="314" t="str">
        <f t="shared" si="65"/>
        <v/>
      </c>
      <c r="AU120" s="314" t="str">
        <f t="shared" si="66"/>
        <v/>
      </c>
      <c r="AV120" s="314" t="str">
        <f t="shared" si="67"/>
        <v/>
      </c>
      <c r="AW120" s="314" t="str">
        <f t="shared" si="68"/>
        <v/>
      </c>
      <c r="AX120" s="190">
        <v>14</v>
      </c>
      <c r="AY120" s="314" t="str">
        <f t="shared" si="69"/>
        <v/>
      </c>
      <c r="AZ120" s="314" t="str">
        <f t="shared" si="59"/>
        <v/>
      </c>
      <c r="BA120" s="314" t="str">
        <f t="shared" si="59"/>
        <v/>
      </c>
      <c r="BB120" s="314" t="str">
        <f t="shared" si="59"/>
        <v/>
      </c>
      <c r="BC120" s="314" t="str">
        <f t="shared" si="59"/>
        <v/>
      </c>
      <c r="BD120" s="318"/>
      <c r="BE120" s="318"/>
      <c r="BF120" s="314">
        <f t="shared" si="60"/>
        <v>0</v>
      </c>
      <c r="BG120" s="314">
        <f t="shared" si="61"/>
        <v>0</v>
      </c>
      <c r="BH120" s="101"/>
      <c r="BI120" s="314">
        <f t="shared" si="62"/>
        <v>0</v>
      </c>
      <c r="BJ120" s="323">
        <f t="shared" si="63"/>
        <v>0</v>
      </c>
      <c r="BK120" s="324"/>
      <c r="BL120" s="2">
        <f t="shared" si="64"/>
        <v>0</v>
      </c>
    </row>
    <row r="121" ht="20.1" customHeight="1" spans="24:64">
      <c r="X121" s="63" t="s">
        <v>110</v>
      </c>
      <c r="Y121" s="298" t="s">
        <v>38</v>
      </c>
      <c r="Z121" s="298" t="s">
        <v>39</v>
      </c>
      <c r="AA121" s="298" t="s">
        <v>40</v>
      </c>
      <c r="AB121" s="298" t="s">
        <v>41</v>
      </c>
      <c r="AR121" s="313"/>
      <c r="AS121" s="190">
        <v>15</v>
      </c>
      <c r="AT121" s="314" t="str">
        <f t="shared" si="65"/>
        <v/>
      </c>
      <c r="AU121" s="314" t="str">
        <f t="shared" si="66"/>
        <v/>
      </c>
      <c r="AV121" s="314" t="str">
        <f t="shared" si="67"/>
        <v/>
      </c>
      <c r="AW121" s="314" t="str">
        <f t="shared" si="68"/>
        <v/>
      </c>
      <c r="AX121" s="190">
        <v>15</v>
      </c>
      <c r="AY121" s="314" t="str">
        <f t="shared" si="69"/>
        <v/>
      </c>
      <c r="AZ121" s="314" t="str">
        <f t="shared" si="59"/>
        <v/>
      </c>
      <c r="BA121" s="314" t="str">
        <f t="shared" si="59"/>
        <v/>
      </c>
      <c r="BB121" s="314" t="str">
        <f t="shared" si="59"/>
        <v/>
      </c>
      <c r="BC121" s="314" t="str">
        <f t="shared" si="59"/>
        <v/>
      </c>
      <c r="BD121" s="318"/>
      <c r="BE121" s="318"/>
      <c r="BF121" s="314">
        <f t="shared" si="60"/>
        <v>0</v>
      </c>
      <c r="BG121" s="314">
        <f t="shared" si="61"/>
        <v>0</v>
      </c>
      <c r="BH121" s="101"/>
      <c r="BI121" s="314">
        <f t="shared" si="62"/>
        <v>0</v>
      </c>
      <c r="BJ121" s="323">
        <f t="shared" si="63"/>
        <v>0</v>
      </c>
      <c r="BK121" s="324"/>
      <c r="BL121" s="2">
        <f t="shared" si="64"/>
        <v>0</v>
      </c>
    </row>
    <row r="122" ht="20.1" customHeight="1" spans="24:64">
      <c r="X122" s="282" t="s">
        <v>111</v>
      </c>
      <c r="Y122" s="299">
        <f>IF(1-(($AH$18-1)*Y125/10+0.95+(H42-0.95)*Y124)&gt;0,1-(($AH$18-1)*Y125/10+0.95+(H42-0.95)*Y124),0)</f>
        <v>0.05</v>
      </c>
      <c r="Z122" s="299">
        <f>IF(1-(($AH$18-1)*Z125/10+0.95+(H43-0.95)*Z124)&gt;0,1-(($AH$18-1)*Z125/10+0.95+(H43-0.95)*Z124),0)</f>
        <v>0.05</v>
      </c>
      <c r="AA122" s="299">
        <f>1-(($AH$18-1)*AA125/10+0.95+(H44-0.95)*AA124)</f>
        <v>0.05</v>
      </c>
      <c r="AB122" s="299">
        <f>1-(($AH$18-1)*AB125/10+0.95+(H45-0.95)*AB124)</f>
        <v>0.05</v>
      </c>
      <c r="AR122" s="313"/>
      <c r="AS122" s="190">
        <v>16</v>
      </c>
      <c r="AT122" s="314" t="str">
        <f t="shared" si="65"/>
        <v/>
      </c>
      <c r="AU122" s="314" t="str">
        <f t="shared" si="66"/>
        <v/>
      </c>
      <c r="AV122" s="314" t="str">
        <f t="shared" si="67"/>
        <v/>
      </c>
      <c r="AW122" s="314" t="str">
        <f t="shared" si="68"/>
        <v/>
      </c>
      <c r="AX122" s="190">
        <v>16</v>
      </c>
      <c r="AY122" s="314" t="str">
        <f t="shared" si="69"/>
        <v/>
      </c>
      <c r="AZ122" s="314" t="str">
        <f t="shared" si="59"/>
        <v/>
      </c>
      <c r="BA122" s="314" t="str">
        <f t="shared" si="59"/>
        <v/>
      </c>
      <c r="BB122" s="314" t="str">
        <f t="shared" si="59"/>
        <v/>
      </c>
      <c r="BC122" s="314" t="str">
        <f t="shared" si="59"/>
        <v/>
      </c>
      <c r="BD122" s="318"/>
      <c r="BE122" s="318"/>
      <c r="BF122" s="314">
        <f t="shared" si="60"/>
        <v>0</v>
      </c>
      <c r="BG122" s="314">
        <f t="shared" si="61"/>
        <v>0</v>
      </c>
      <c r="BH122" s="101"/>
      <c r="BI122" s="314">
        <f t="shared" si="62"/>
        <v>0</v>
      </c>
      <c r="BJ122" s="323">
        <f t="shared" si="63"/>
        <v>0</v>
      </c>
      <c r="BK122" s="324"/>
      <c r="BL122" s="2">
        <f t="shared" si="64"/>
        <v>0</v>
      </c>
    </row>
    <row r="123" ht="20.1" customHeight="1" spans="24:64">
      <c r="X123" s="282" t="s">
        <v>113</v>
      </c>
      <c r="Y123" s="299">
        <f>1-Y122</f>
        <v>0.95</v>
      </c>
      <c r="Z123" s="299">
        <f>1-Z122</f>
        <v>0.95</v>
      </c>
      <c r="AA123" s="299">
        <f>1-AA122</f>
        <v>0.95</v>
      </c>
      <c r="AB123" s="299">
        <f>1-AB122</f>
        <v>0.95</v>
      </c>
      <c r="AR123" s="313"/>
      <c r="AS123" s="190">
        <v>17</v>
      </c>
      <c r="AT123" s="314" t="str">
        <f t="shared" si="65"/>
        <v/>
      </c>
      <c r="AU123" s="314" t="str">
        <f t="shared" si="66"/>
        <v/>
      </c>
      <c r="AV123" s="314" t="str">
        <f t="shared" si="67"/>
        <v/>
      </c>
      <c r="AW123" s="314" t="str">
        <f t="shared" si="68"/>
        <v/>
      </c>
      <c r="AX123" s="190">
        <v>17</v>
      </c>
      <c r="AY123" s="314" t="str">
        <f t="shared" si="69"/>
        <v/>
      </c>
      <c r="AZ123" s="314" t="str">
        <f t="shared" si="59"/>
        <v/>
      </c>
      <c r="BA123" s="314" t="str">
        <f t="shared" si="59"/>
        <v/>
      </c>
      <c r="BB123" s="314" t="str">
        <f t="shared" si="59"/>
        <v/>
      </c>
      <c r="BC123" s="314" t="str">
        <f t="shared" si="59"/>
        <v/>
      </c>
      <c r="BD123" s="318"/>
      <c r="BE123" s="318"/>
      <c r="BF123" s="314">
        <f t="shared" si="60"/>
        <v>0</v>
      </c>
      <c r="BG123" s="314">
        <f t="shared" si="61"/>
        <v>0</v>
      </c>
      <c r="BH123" s="101"/>
      <c r="BI123" s="314">
        <f t="shared" si="62"/>
        <v>0</v>
      </c>
      <c r="BJ123" s="323">
        <f t="shared" si="63"/>
        <v>0</v>
      </c>
      <c r="BK123" s="324"/>
      <c r="BL123" s="2">
        <f t="shared" si="64"/>
        <v>0</v>
      </c>
    </row>
    <row r="124" ht="20.1" customHeight="1" spans="24:64">
      <c r="X124" s="282" t="s">
        <v>114</v>
      </c>
      <c r="Y124" s="101">
        <v>0.3</v>
      </c>
      <c r="Z124" s="101">
        <v>0.3</v>
      </c>
      <c r="AA124" s="101">
        <v>0.3</v>
      </c>
      <c r="AB124" s="101">
        <v>0.3</v>
      </c>
      <c r="AR124" s="313"/>
      <c r="AS124" s="190">
        <v>18</v>
      </c>
      <c r="AT124" s="314" t="str">
        <f t="shared" si="65"/>
        <v/>
      </c>
      <c r="AU124" s="314" t="str">
        <f t="shared" si="66"/>
        <v/>
      </c>
      <c r="AV124" s="314" t="str">
        <f t="shared" si="67"/>
        <v/>
      </c>
      <c r="AW124" s="314" t="str">
        <f t="shared" si="68"/>
        <v/>
      </c>
      <c r="AX124" s="190">
        <v>18</v>
      </c>
      <c r="AY124" s="314" t="str">
        <f t="shared" si="69"/>
        <v/>
      </c>
      <c r="AZ124" s="314" t="str">
        <f t="shared" si="59"/>
        <v/>
      </c>
      <c r="BA124" s="314" t="str">
        <f t="shared" si="59"/>
        <v/>
      </c>
      <c r="BB124" s="314" t="str">
        <f t="shared" si="59"/>
        <v/>
      </c>
      <c r="BC124" s="314" t="str">
        <f t="shared" si="59"/>
        <v/>
      </c>
      <c r="BD124" s="318"/>
      <c r="BE124" s="318"/>
      <c r="BF124" s="314">
        <f t="shared" si="60"/>
        <v>0</v>
      </c>
      <c r="BG124" s="314">
        <f t="shared" si="61"/>
        <v>0</v>
      </c>
      <c r="BH124" s="101"/>
      <c r="BI124" s="314">
        <f t="shared" si="62"/>
        <v>0</v>
      </c>
      <c r="BJ124" s="323">
        <f t="shared" si="63"/>
        <v>0</v>
      </c>
      <c r="BK124" s="324"/>
      <c r="BL124" s="2">
        <f t="shared" si="64"/>
        <v>0</v>
      </c>
    </row>
    <row r="125" ht="20.1" customHeight="1" spans="24:64">
      <c r="X125" s="2" t="s">
        <v>401</v>
      </c>
      <c r="Y125" s="101">
        <v>0.7</v>
      </c>
      <c r="Z125" s="101">
        <v>0.7</v>
      </c>
      <c r="AA125" s="101">
        <v>0.7</v>
      </c>
      <c r="AB125" s="101">
        <v>0.7</v>
      </c>
      <c r="AR125" s="313"/>
      <c r="AS125" s="190">
        <v>19</v>
      </c>
      <c r="AT125" s="314" t="str">
        <f t="shared" si="65"/>
        <v/>
      </c>
      <c r="AU125" s="314" t="str">
        <f t="shared" si="66"/>
        <v/>
      </c>
      <c r="AV125" s="314" t="str">
        <f t="shared" si="67"/>
        <v/>
      </c>
      <c r="AW125" s="314" t="str">
        <f t="shared" si="68"/>
        <v/>
      </c>
      <c r="AX125" s="190">
        <v>19</v>
      </c>
      <c r="AY125" s="314" t="str">
        <f t="shared" si="69"/>
        <v/>
      </c>
      <c r="AZ125" s="314" t="str">
        <f t="shared" si="59"/>
        <v/>
      </c>
      <c r="BA125" s="314" t="str">
        <f t="shared" si="59"/>
        <v/>
      </c>
      <c r="BB125" s="314" t="str">
        <f t="shared" si="59"/>
        <v/>
      </c>
      <c r="BC125" s="314" t="str">
        <f t="shared" si="59"/>
        <v/>
      </c>
      <c r="BD125" s="318"/>
      <c r="BE125" s="318"/>
      <c r="BF125" s="314">
        <f t="shared" si="60"/>
        <v>0</v>
      </c>
      <c r="BG125" s="314">
        <f t="shared" si="61"/>
        <v>0</v>
      </c>
      <c r="BH125" s="101"/>
      <c r="BI125" s="314">
        <f t="shared" si="62"/>
        <v>0</v>
      </c>
      <c r="BJ125" s="323">
        <f t="shared" si="63"/>
        <v>0</v>
      </c>
      <c r="BK125" s="324"/>
      <c r="BL125" s="2">
        <f t="shared" si="64"/>
        <v>0</v>
      </c>
    </row>
    <row r="126" ht="20.1" customHeight="1" spans="44:64">
      <c r="AR126" s="313"/>
      <c r="AS126" s="190">
        <v>20</v>
      </c>
      <c r="AT126" s="314" t="str">
        <f t="shared" si="65"/>
        <v/>
      </c>
      <c r="AU126" s="314" t="str">
        <f t="shared" si="66"/>
        <v/>
      </c>
      <c r="AV126" s="314" t="str">
        <f t="shared" si="67"/>
        <v/>
      </c>
      <c r="AW126" s="314" t="str">
        <f t="shared" si="68"/>
        <v/>
      </c>
      <c r="AX126" s="190">
        <v>20</v>
      </c>
      <c r="AY126" s="314" t="str">
        <f t="shared" si="69"/>
        <v/>
      </c>
      <c r="AZ126" s="314" t="str">
        <f t="shared" si="59"/>
        <v/>
      </c>
      <c r="BA126" s="314" t="str">
        <f t="shared" si="59"/>
        <v/>
      </c>
      <c r="BB126" s="314" t="str">
        <f t="shared" si="59"/>
        <v/>
      </c>
      <c r="BC126" s="314" t="str">
        <f t="shared" si="59"/>
        <v/>
      </c>
      <c r="BD126" s="318"/>
      <c r="BE126" s="318"/>
      <c r="BF126" s="314">
        <f t="shared" si="60"/>
        <v>0</v>
      </c>
      <c r="BG126" s="314">
        <f t="shared" si="61"/>
        <v>0</v>
      </c>
      <c r="BH126" s="101"/>
      <c r="BI126" s="314">
        <f t="shared" si="62"/>
        <v>0</v>
      </c>
      <c r="BJ126" s="323">
        <f t="shared" si="63"/>
        <v>0</v>
      </c>
      <c r="BK126" s="324"/>
      <c r="BL126" s="2">
        <f t="shared" si="64"/>
        <v>0</v>
      </c>
    </row>
    <row r="127" ht="20.1" customHeight="1" spans="44:64">
      <c r="AR127" s="315"/>
      <c r="AS127" s="316"/>
      <c r="AT127" s="316"/>
      <c r="AU127" s="316"/>
      <c r="AV127" s="316"/>
      <c r="AW127" s="316"/>
      <c r="AX127" s="316"/>
      <c r="AY127" s="316"/>
      <c r="AZ127" s="316"/>
      <c r="BA127" s="316"/>
      <c r="BB127" s="316"/>
      <c r="BC127" s="316"/>
      <c r="BD127" s="316"/>
      <c r="BE127" s="316"/>
      <c r="BF127" s="316"/>
      <c r="BG127" s="316"/>
      <c r="BH127" s="316"/>
      <c r="BI127" s="316"/>
      <c r="BJ127" s="316"/>
      <c r="BK127" s="325"/>
      <c r="BL127" s="2">
        <f>IF(I105&lt;E105,-0.1,0)</f>
        <v>0</v>
      </c>
    </row>
    <row r="128" ht="20.1" customHeight="1"/>
    <row r="129" ht="20.1" customHeight="1" spans="44:55">
      <c r="AR129" s="247" t="s">
        <v>101</v>
      </c>
      <c r="AS129" s="247" t="s">
        <v>105</v>
      </c>
      <c r="AV129" s="342" t="s">
        <v>106</v>
      </c>
      <c r="BB129" s="247" t="s">
        <v>102</v>
      </c>
      <c r="BC129" s="247" t="s">
        <v>104</v>
      </c>
    </row>
    <row r="130" ht="20.1" customHeight="1" spans="22:55">
      <c r="V130" s="11" t="s">
        <v>402</v>
      </c>
      <c r="W130" s="76">
        <f>比赛参数!D4</f>
        <v>11</v>
      </c>
      <c r="X130" s="101"/>
      <c r="Y130" s="101"/>
      <c r="Z130" s="101"/>
      <c r="AA130" s="101"/>
      <c r="AB130" s="338">
        <f>AF64</f>
        <v>132</v>
      </c>
      <c r="AC130" s="338">
        <f>AF65</f>
        <v>132</v>
      </c>
      <c r="AD130" s="338">
        <f>AF66</f>
        <v>199</v>
      </c>
      <c r="AE130" s="338">
        <f>AF67</f>
        <v>199</v>
      </c>
      <c r="AH130" s="101"/>
      <c r="AI130" s="101"/>
      <c r="AJ130" s="101"/>
      <c r="AK130" s="101"/>
      <c r="AL130" s="338">
        <f>AG64</f>
        <v>112</v>
      </c>
      <c r="AM130" s="338">
        <f>AG65</f>
        <v>112</v>
      </c>
      <c r="AN130" s="338">
        <f>AG66</f>
        <v>171</v>
      </c>
      <c r="AO130" s="338">
        <f>AG67</f>
        <v>171</v>
      </c>
      <c r="AR130" s="343">
        <f>比赛参数!E75</f>
        <v>0.15</v>
      </c>
      <c r="AS130" s="343">
        <f>比赛参数!I75</f>
        <v>0.12</v>
      </c>
      <c r="AV130" s="343">
        <f>比赛参数!J75</f>
        <v>0.13</v>
      </c>
      <c r="BB130" s="247">
        <f>AU181</f>
        <v>0.12</v>
      </c>
      <c r="BC130" s="247">
        <f>AV181</f>
        <v>0.16</v>
      </c>
    </row>
    <row r="131" ht="20.1" customHeight="1" spans="22:56">
      <c r="V131" s="334" t="s">
        <v>21</v>
      </c>
      <c r="W131" s="11">
        <v>1</v>
      </c>
      <c r="X131" s="335">
        <f t="shared" ref="X131:AA150" si="70">D50</f>
        <v>0</v>
      </c>
      <c r="Y131" s="335">
        <f t="shared" si="70"/>
        <v>0</v>
      </c>
      <c r="Z131" s="335">
        <f t="shared" si="70"/>
        <v>0</v>
      </c>
      <c r="AA131" s="335">
        <f t="shared" si="70"/>
        <v>0</v>
      </c>
      <c r="AB131" s="339" t="e">
        <f t="shared" ref="AB131:AE150" si="71">INT(Y$232*D73+0.5)</f>
        <v>#DIV/0!</v>
      </c>
      <c r="AC131" s="339" t="e">
        <f t="shared" si="71"/>
        <v>#DIV/0!</v>
      </c>
      <c r="AD131" s="339" t="e">
        <f t="shared" si="71"/>
        <v>#DIV/0!</v>
      </c>
      <c r="AE131" s="339" t="e">
        <f t="shared" si="71"/>
        <v>#DIV/0!</v>
      </c>
      <c r="AF131" s="334" t="s">
        <v>403</v>
      </c>
      <c r="AG131" s="11">
        <v>1</v>
      </c>
      <c r="AH131" s="340">
        <f t="shared" ref="AH131:AK150" si="72">H50</f>
        <v>0</v>
      </c>
      <c r="AI131" s="340">
        <f t="shared" si="72"/>
        <v>0</v>
      </c>
      <c r="AJ131" s="340">
        <f t="shared" si="72"/>
        <v>0</v>
      </c>
      <c r="AK131" s="340">
        <f t="shared" si="72"/>
        <v>0</v>
      </c>
      <c r="AL131" s="341" t="e">
        <f t="shared" ref="AL131:AO150" si="73">INT(AC$232*H73+0.5)</f>
        <v>#DIV/0!</v>
      </c>
      <c r="AM131" s="341" t="e">
        <f t="shared" si="73"/>
        <v>#DIV/0!</v>
      </c>
      <c r="AN131" s="341" t="e">
        <f t="shared" si="73"/>
        <v>#DIV/0!</v>
      </c>
      <c r="AO131" s="341" t="e">
        <f t="shared" si="73"/>
        <v>#DIV/0!</v>
      </c>
      <c r="AR131" s="11" t="s">
        <v>285</v>
      </c>
      <c r="AS131" s="344" t="s">
        <v>100</v>
      </c>
      <c r="AT131" s="344" t="s">
        <v>386</v>
      </c>
      <c r="AU131" s="344" t="s">
        <v>102</v>
      </c>
      <c r="AV131" s="344" t="s">
        <v>104</v>
      </c>
      <c r="AX131" s="2" t="s">
        <v>238</v>
      </c>
      <c r="BA131" s="11" t="s">
        <v>285</v>
      </c>
      <c r="BB131" s="348" t="s">
        <v>102</v>
      </c>
      <c r="BC131" s="349" t="s">
        <v>104</v>
      </c>
      <c r="BD131" s="2" t="s">
        <v>404</v>
      </c>
    </row>
    <row r="132" ht="20.1" customHeight="1" spans="22:60">
      <c r="V132" s="336"/>
      <c r="W132" s="11">
        <v>2</v>
      </c>
      <c r="X132" s="335">
        <f t="shared" si="70"/>
        <v>0</v>
      </c>
      <c r="Y132" s="335">
        <f t="shared" si="70"/>
        <v>0</v>
      </c>
      <c r="Z132" s="335">
        <f t="shared" si="70"/>
        <v>0</v>
      </c>
      <c r="AA132" s="335">
        <f t="shared" si="70"/>
        <v>0</v>
      </c>
      <c r="AB132" s="339" t="e">
        <f t="shared" si="71"/>
        <v>#DIV/0!</v>
      </c>
      <c r="AC132" s="339" t="e">
        <f t="shared" si="71"/>
        <v>#DIV/0!</v>
      </c>
      <c r="AD132" s="339" t="e">
        <f t="shared" si="71"/>
        <v>#DIV/0!</v>
      </c>
      <c r="AE132" s="339" t="e">
        <f t="shared" si="71"/>
        <v>#DIV/0!</v>
      </c>
      <c r="AF132" s="336"/>
      <c r="AG132" s="11">
        <v>2</v>
      </c>
      <c r="AH132" s="340">
        <f t="shared" si="72"/>
        <v>0</v>
      </c>
      <c r="AI132" s="340">
        <f t="shared" si="72"/>
        <v>0</v>
      </c>
      <c r="AJ132" s="340">
        <f t="shared" si="72"/>
        <v>0</v>
      </c>
      <c r="AK132" s="340">
        <f t="shared" si="72"/>
        <v>0</v>
      </c>
      <c r="AL132" s="341" t="e">
        <f t="shared" si="73"/>
        <v>#DIV/0!</v>
      </c>
      <c r="AM132" s="341" t="e">
        <f t="shared" si="73"/>
        <v>#DIV/0!</v>
      </c>
      <c r="AN132" s="341" t="e">
        <f t="shared" si="73"/>
        <v>#DIV/0!</v>
      </c>
      <c r="AO132" s="341" t="e">
        <f t="shared" si="73"/>
        <v>#DIV/0!</v>
      </c>
      <c r="AR132" s="190">
        <v>1</v>
      </c>
      <c r="AS132" s="345" t="str">
        <f>IF(F95="","",F95)</f>
        <v/>
      </c>
      <c r="AT132" s="346" t="str">
        <f>IF(G95="","",G95)</f>
        <v/>
      </c>
      <c r="AU132" s="346" t="str">
        <f>IF(H95="","",H95)</f>
        <v/>
      </c>
      <c r="AV132" s="346" t="str">
        <f>IF(J95="","",J95)</f>
        <v/>
      </c>
      <c r="AW132" s="350"/>
      <c r="AX132" s="155"/>
      <c r="AY132" s="346" t="str">
        <f>IF(AU132="","",AU132+AX132)</f>
        <v/>
      </c>
      <c r="AZ132" s="346" t="str">
        <f>IF(AV132="","",AV132-AX132)</f>
        <v/>
      </c>
      <c r="BA132" s="190">
        <v>1</v>
      </c>
      <c r="BB132" s="351" t="e">
        <f t="shared" ref="BB132:BC151" si="74">(AY132-AY$153)/AY$178*BB$130</f>
        <v>#VALUE!</v>
      </c>
      <c r="BC132" s="318" t="e">
        <f t="shared" si="74"/>
        <v>#VALUE!</v>
      </c>
      <c r="BD132" s="352" t="e">
        <f t="shared" ref="BD132:BD151" si="75">BB132+BC132</f>
        <v>#VALUE!</v>
      </c>
      <c r="BE132" s="191"/>
      <c r="BF132" s="191"/>
      <c r="BG132" s="191"/>
      <c r="BH132" s="191"/>
    </row>
    <row r="133" ht="20.1" customHeight="1" spans="22:60">
      <c r="V133" s="336"/>
      <c r="W133" s="11">
        <v>3</v>
      </c>
      <c r="X133" s="335">
        <f t="shared" si="70"/>
        <v>0</v>
      </c>
      <c r="Y133" s="335">
        <f t="shared" si="70"/>
        <v>0</v>
      </c>
      <c r="Z133" s="335">
        <f t="shared" si="70"/>
        <v>0</v>
      </c>
      <c r="AA133" s="335">
        <f t="shared" si="70"/>
        <v>0</v>
      </c>
      <c r="AB133" s="339" t="e">
        <f t="shared" si="71"/>
        <v>#DIV/0!</v>
      </c>
      <c r="AC133" s="339" t="e">
        <f t="shared" si="71"/>
        <v>#DIV/0!</v>
      </c>
      <c r="AD133" s="339" t="e">
        <f t="shared" si="71"/>
        <v>#DIV/0!</v>
      </c>
      <c r="AE133" s="339" t="e">
        <f t="shared" si="71"/>
        <v>#DIV/0!</v>
      </c>
      <c r="AF133" s="336"/>
      <c r="AG133" s="11">
        <v>3</v>
      </c>
      <c r="AH133" s="340">
        <f t="shared" si="72"/>
        <v>0</v>
      </c>
      <c r="AI133" s="340">
        <f t="shared" si="72"/>
        <v>0</v>
      </c>
      <c r="AJ133" s="340">
        <f t="shared" si="72"/>
        <v>0</v>
      </c>
      <c r="AK133" s="340">
        <f t="shared" si="72"/>
        <v>0</v>
      </c>
      <c r="AL133" s="341" t="e">
        <f t="shared" si="73"/>
        <v>#DIV/0!</v>
      </c>
      <c r="AM133" s="341" t="e">
        <f t="shared" si="73"/>
        <v>#DIV/0!</v>
      </c>
      <c r="AN133" s="341" t="e">
        <f t="shared" si="73"/>
        <v>#DIV/0!</v>
      </c>
      <c r="AO133" s="341" t="e">
        <f t="shared" si="73"/>
        <v>#DIV/0!</v>
      </c>
      <c r="AR133" s="190">
        <v>2</v>
      </c>
      <c r="AS133" s="346" t="str">
        <f t="shared" ref="AS133:AU148" si="76">IF(F96="","",F96)</f>
        <v/>
      </c>
      <c r="AT133" s="346" t="str">
        <f t="shared" si="76"/>
        <v/>
      </c>
      <c r="AU133" s="346" t="str">
        <f t="shared" si="76"/>
        <v/>
      </c>
      <c r="AV133" s="346" t="str">
        <f t="shared" ref="AV133:AV151" si="77">IF(J96="","",J96)</f>
        <v/>
      </c>
      <c r="AX133" s="155"/>
      <c r="AY133" s="346" t="str">
        <f t="shared" ref="AY133:AY151" si="78">IF(AU133="","",AU133+AX133)</f>
        <v/>
      </c>
      <c r="AZ133" s="346" t="str">
        <f t="shared" ref="AZ133:AZ151" si="79">IF(AV133="","",AV133-AX133)</f>
        <v/>
      </c>
      <c r="BA133" s="190">
        <v>2</v>
      </c>
      <c r="BB133" s="351" t="e">
        <f t="shared" si="74"/>
        <v>#VALUE!</v>
      </c>
      <c r="BC133" s="318" t="e">
        <f t="shared" si="74"/>
        <v>#VALUE!</v>
      </c>
      <c r="BD133" s="352" t="e">
        <f t="shared" si="75"/>
        <v>#VALUE!</v>
      </c>
      <c r="BE133" s="191"/>
      <c r="BF133" s="191"/>
      <c r="BG133" s="191"/>
      <c r="BH133" s="191"/>
    </row>
    <row r="134" ht="20.1" customHeight="1" spans="22:56">
      <c r="V134" s="336"/>
      <c r="W134" s="11">
        <v>4</v>
      </c>
      <c r="X134" s="335">
        <f t="shared" si="70"/>
        <v>0</v>
      </c>
      <c r="Y134" s="335">
        <f t="shared" si="70"/>
        <v>0</v>
      </c>
      <c r="Z134" s="335">
        <f t="shared" si="70"/>
        <v>0</v>
      </c>
      <c r="AA134" s="335">
        <f t="shared" si="70"/>
        <v>0</v>
      </c>
      <c r="AB134" s="339" t="e">
        <f t="shared" si="71"/>
        <v>#DIV/0!</v>
      </c>
      <c r="AC134" s="339" t="e">
        <f t="shared" si="71"/>
        <v>#DIV/0!</v>
      </c>
      <c r="AD134" s="339" t="e">
        <f t="shared" si="71"/>
        <v>#DIV/0!</v>
      </c>
      <c r="AE134" s="339" t="e">
        <f t="shared" si="71"/>
        <v>#DIV/0!</v>
      </c>
      <c r="AF134" s="336"/>
      <c r="AG134" s="11">
        <v>4</v>
      </c>
      <c r="AH134" s="340">
        <f t="shared" si="72"/>
        <v>0</v>
      </c>
      <c r="AI134" s="340">
        <f t="shared" si="72"/>
        <v>0</v>
      </c>
      <c r="AJ134" s="340">
        <f t="shared" si="72"/>
        <v>0</v>
      </c>
      <c r="AK134" s="340">
        <f t="shared" si="72"/>
        <v>0</v>
      </c>
      <c r="AL134" s="341" t="e">
        <f t="shared" si="73"/>
        <v>#DIV/0!</v>
      </c>
      <c r="AM134" s="341" t="e">
        <f t="shared" si="73"/>
        <v>#DIV/0!</v>
      </c>
      <c r="AN134" s="341" t="e">
        <f t="shared" si="73"/>
        <v>#DIV/0!</v>
      </c>
      <c r="AO134" s="341" t="e">
        <f t="shared" si="73"/>
        <v>#DIV/0!</v>
      </c>
      <c r="AR134" s="190">
        <v>3</v>
      </c>
      <c r="AS134" s="346" t="str">
        <f t="shared" si="76"/>
        <v/>
      </c>
      <c r="AT134" s="346" t="str">
        <f t="shared" si="76"/>
        <v/>
      </c>
      <c r="AU134" s="346" t="str">
        <f t="shared" si="76"/>
        <v/>
      </c>
      <c r="AV134" s="346" t="str">
        <f t="shared" si="77"/>
        <v/>
      </c>
      <c r="AX134" s="155"/>
      <c r="AY134" s="346" t="str">
        <f t="shared" si="78"/>
        <v/>
      </c>
      <c r="AZ134" s="346" t="str">
        <f t="shared" si="79"/>
        <v/>
      </c>
      <c r="BA134" s="190">
        <v>3</v>
      </c>
      <c r="BB134" s="351" t="e">
        <f t="shared" si="74"/>
        <v>#VALUE!</v>
      </c>
      <c r="BC134" s="318" t="e">
        <f t="shared" si="74"/>
        <v>#VALUE!</v>
      </c>
      <c r="BD134" s="352" t="e">
        <f t="shared" si="75"/>
        <v>#VALUE!</v>
      </c>
    </row>
    <row r="135" ht="20.1" customHeight="1" spans="22:56">
      <c r="V135" s="336"/>
      <c r="W135" s="11">
        <v>5</v>
      </c>
      <c r="X135" s="335">
        <f t="shared" si="70"/>
        <v>0</v>
      </c>
      <c r="Y135" s="335">
        <f t="shared" si="70"/>
        <v>0</v>
      </c>
      <c r="Z135" s="335">
        <f t="shared" si="70"/>
        <v>0</v>
      </c>
      <c r="AA135" s="335">
        <f t="shared" si="70"/>
        <v>0</v>
      </c>
      <c r="AB135" s="339" t="e">
        <f t="shared" si="71"/>
        <v>#DIV/0!</v>
      </c>
      <c r="AC135" s="339" t="e">
        <f t="shared" si="71"/>
        <v>#DIV/0!</v>
      </c>
      <c r="AD135" s="339" t="e">
        <f t="shared" si="71"/>
        <v>#DIV/0!</v>
      </c>
      <c r="AE135" s="339" t="e">
        <f t="shared" si="71"/>
        <v>#DIV/0!</v>
      </c>
      <c r="AF135" s="336"/>
      <c r="AG135" s="11">
        <v>5</v>
      </c>
      <c r="AH135" s="340">
        <f t="shared" si="72"/>
        <v>0</v>
      </c>
      <c r="AI135" s="340">
        <f t="shared" si="72"/>
        <v>0</v>
      </c>
      <c r="AJ135" s="340">
        <f t="shared" si="72"/>
        <v>0</v>
      </c>
      <c r="AK135" s="340">
        <f t="shared" si="72"/>
        <v>0</v>
      </c>
      <c r="AL135" s="341" t="e">
        <f t="shared" si="73"/>
        <v>#DIV/0!</v>
      </c>
      <c r="AM135" s="341" t="e">
        <f t="shared" si="73"/>
        <v>#DIV/0!</v>
      </c>
      <c r="AN135" s="341" t="e">
        <f t="shared" si="73"/>
        <v>#DIV/0!</v>
      </c>
      <c r="AO135" s="341" t="e">
        <f t="shared" si="73"/>
        <v>#DIV/0!</v>
      </c>
      <c r="AR135" s="190">
        <v>4</v>
      </c>
      <c r="AS135" s="346" t="str">
        <f t="shared" si="76"/>
        <v/>
      </c>
      <c r="AT135" s="346" t="str">
        <f t="shared" si="76"/>
        <v/>
      </c>
      <c r="AU135" s="346" t="str">
        <f t="shared" si="76"/>
        <v/>
      </c>
      <c r="AV135" s="346" t="str">
        <f t="shared" si="77"/>
        <v/>
      </c>
      <c r="AX135" s="155"/>
      <c r="AY135" s="346" t="str">
        <f t="shared" si="78"/>
        <v/>
      </c>
      <c r="AZ135" s="346" t="str">
        <f t="shared" si="79"/>
        <v/>
      </c>
      <c r="BA135" s="190">
        <v>4</v>
      </c>
      <c r="BB135" s="351" t="e">
        <f t="shared" si="74"/>
        <v>#VALUE!</v>
      </c>
      <c r="BC135" s="318" t="e">
        <f t="shared" si="74"/>
        <v>#VALUE!</v>
      </c>
      <c r="BD135" s="352" t="e">
        <f t="shared" si="75"/>
        <v>#VALUE!</v>
      </c>
    </row>
    <row r="136" ht="20.1" customHeight="1" spans="22:56">
      <c r="V136" s="336"/>
      <c r="W136" s="11">
        <v>6</v>
      </c>
      <c r="X136" s="335">
        <f t="shared" si="70"/>
        <v>0</v>
      </c>
      <c r="Y136" s="335">
        <f t="shared" si="70"/>
        <v>0</v>
      </c>
      <c r="Z136" s="335">
        <f t="shared" si="70"/>
        <v>0</v>
      </c>
      <c r="AA136" s="335">
        <f t="shared" si="70"/>
        <v>0</v>
      </c>
      <c r="AB136" s="339" t="e">
        <f t="shared" si="71"/>
        <v>#DIV/0!</v>
      </c>
      <c r="AC136" s="339" t="e">
        <f t="shared" si="71"/>
        <v>#DIV/0!</v>
      </c>
      <c r="AD136" s="339" t="e">
        <f t="shared" si="71"/>
        <v>#DIV/0!</v>
      </c>
      <c r="AE136" s="339" t="e">
        <f t="shared" si="71"/>
        <v>#DIV/0!</v>
      </c>
      <c r="AF136" s="336"/>
      <c r="AG136" s="11">
        <v>6</v>
      </c>
      <c r="AH136" s="340">
        <f t="shared" si="72"/>
        <v>0</v>
      </c>
      <c r="AI136" s="340">
        <f t="shared" si="72"/>
        <v>0</v>
      </c>
      <c r="AJ136" s="340">
        <f t="shared" si="72"/>
        <v>0</v>
      </c>
      <c r="AK136" s="340">
        <f t="shared" si="72"/>
        <v>0</v>
      </c>
      <c r="AL136" s="341" t="e">
        <f t="shared" si="73"/>
        <v>#DIV/0!</v>
      </c>
      <c r="AM136" s="341" t="e">
        <f t="shared" si="73"/>
        <v>#DIV/0!</v>
      </c>
      <c r="AN136" s="341" t="e">
        <f t="shared" si="73"/>
        <v>#DIV/0!</v>
      </c>
      <c r="AO136" s="341" t="e">
        <f t="shared" si="73"/>
        <v>#DIV/0!</v>
      </c>
      <c r="AR136" s="190">
        <v>5</v>
      </c>
      <c r="AS136" s="346" t="str">
        <f t="shared" si="76"/>
        <v/>
      </c>
      <c r="AT136" s="346" t="str">
        <f t="shared" si="76"/>
        <v/>
      </c>
      <c r="AU136" s="346" t="str">
        <f t="shared" si="76"/>
        <v/>
      </c>
      <c r="AV136" s="346" t="str">
        <f t="shared" si="77"/>
        <v/>
      </c>
      <c r="AX136" s="155"/>
      <c r="AY136" s="346" t="str">
        <f t="shared" si="78"/>
        <v/>
      </c>
      <c r="AZ136" s="346" t="str">
        <f t="shared" si="79"/>
        <v/>
      </c>
      <c r="BA136" s="190">
        <v>5</v>
      </c>
      <c r="BB136" s="351" t="e">
        <f t="shared" si="74"/>
        <v>#VALUE!</v>
      </c>
      <c r="BC136" s="318" t="e">
        <f t="shared" si="74"/>
        <v>#VALUE!</v>
      </c>
      <c r="BD136" s="352" t="e">
        <f t="shared" si="75"/>
        <v>#VALUE!</v>
      </c>
    </row>
    <row r="137" ht="20.1" customHeight="1" spans="22:56">
      <c r="V137" s="336"/>
      <c r="W137" s="11">
        <v>7</v>
      </c>
      <c r="X137" s="335">
        <f t="shared" si="70"/>
        <v>0</v>
      </c>
      <c r="Y137" s="335">
        <f t="shared" si="70"/>
        <v>0</v>
      </c>
      <c r="Z137" s="335">
        <f t="shared" si="70"/>
        <v>0</v>
      </c>
      <c r="AA137" s="335">
        <f t="shared" si="70"/>
        <v>0</v>
      </c>
      <c r="AB137" s="339" t="e">
        <f t="shared" si="71"/>
        <v>#DIV/0!</v>
      </c>
      <c r="AC137" s="339" t="e">
        <f t="shared" si="71"/>
        <v>#DIV/0!</v>
      </c>
      <c r="AD137" s="339" t="e">
        <f t="shared" si="71"/>
        <v>#DIV/0!</v>
      </c>
      <c r="AE137" s="339" t="e">
        <f t="shared" si="71"/>
        <v>#DIV/0!</v>
      </c>
      <c r="AF137" s="336"/>
      <c r="AG137" s="11">
        <v>7</v>
      </c>
      <c r="AH137" s="340">
        <f t="shared" si="72"/>
        <v>0</v>
      </c>
      <c r="AI137" s="340">
        <f t="shared" si="72"/>
        <v>0</v>
      </c>
      <c r="AJ137" s="340">
        <f t="shared" si="72"/>
        <v>0</v>
      </c>
      <c r="AK137" s="340">
        <f t="shared" si="72"/>
        <v>0</v>
      </c>
      <c r="AL137" s="341" t="e">
        <f t="shared" si="73"/>
        <v>#DIV/0!</v>
      </c>
      <c r="AM137" s="341" t="e">
        <f t="shared" si="73"/>
        <v>#DIV/0!</v>
      </c>
      <c r="AN137" s="341" t="e">
        <f t="shared" si="73"/>
        <v>#DIV/0!</v>
      </c>
      <c r="AO137" s="341" t="e">
        <f t="shared" si="73"/>
        <v>#DIV/0!</v>
      </c>
      <c r="AR137" s="190">
        <v>6</v>
      </c>
      <c r="AS137" s="346" t="str">
        <f t="shared" si="76"/>
        <v/>
      </c>
      <c r="AT137" s="346" t="str">
        <f t="shared" si="76"/>
        <v/>
      </c>
      <c r="AU137" s="346" t="str">
        <f t="shared" si="76"/>
        <v/>
      </c>
      <c r="AV137" s="346" t="str">
        <f t="shared" si="77"/>
        <v/>
      </c>
      <c r="AX137" s="155"/>
      <c r="AY137" s="346" t="str">
        <f t="shared" si="78"/>
        <v/>
      </c>
      <c r="AZ137" s="346" t="str">
        <f t="shared" si="79"/>
        <v/>
      </c>
      <c r="BA137" s="190">
        <v>6</v>
      </c>
      <c r="BB137" s="351" t="e">
        <f t="shared" si="74"/>
        <v>#VALUE!</v>
      </c>
      <c r="BC137" s="318" t="e">
        <f t="shared" si="74"/>
        <v>#VALUE!</v>
      </c>
      <c r="BD137" s="352" t="e">
        <f t="shared" si="75"/>
        <v>#VALUE!</v>
      </c>
    </row>
    <row r="138" ht="20.1" customHeight="1" spans="22:56">
      <c r="V138" s="336"/>
      <c r="W138" s="11">
        <v>8</v>
      </c>
      <c r="X138" s="335">
        <f t="shared" si="70"/>
        <v>0</v>
      </c>
      <c r="Y138" s="335">
        <f t="shared" si="70"/>
        <v>0</v>
      </c>
      <c r="Z138" s="335">
        <f t="shared" si="70"/>
        <v>0</v>
      </c>
      <c r="AA138" s="335">
        <f t="shared" si="70"/>
        <v>0</v>
      </c>
      <c r="AB138" s="339" t="e">
        <f t="shared" si="71"/>
        <v>#DIV/0!</v>
      </c>
      <c r="AC138" s="339" t="e">
        <f t="shared" si="71"/>
        <v>#DIV/0!</v>
      </c>
      <c r="AD138" s="339" t="e">
        <f t="shared" si="71"/>
        <v>#DIV/0!</v>
      </c>
      <c r="AE138" s="339" t="e">
        <f t="shared" si="71"/>
        <v>#DIV/0!</v>
      </c>
      <c r="AF138" s="336"/>
      <c r="AG138" s="11">
        <v>8</v>
      </c>
      <c r="AH138" s="340">
        <f t="shared" si="72"/>
        <v>0</v>
      </c>
      <c r="AI138" s="340">
        <f t="shared" si="72"/>
        <v>0</v>
      </c>
      <c r="AJ138" s="340">
        <f t="shared" si="72"/>
        <v>0</v>
      </c>
      <c r="AK138" s="340">
        <f t="shared" si="72"/>
        <v>0</v>
      </c>
      <c r="AL138" s="341" t="e">
        <f t="shared" si="73"/>
        <v>#DIV/0!</v>
      </c>
      <c r="AM138" s="341" t="e">
        <f t="shared" si="73"/>
        <v>#DIV/0!</v>
      </c>
      <c r="AN138" s="341" t="e">
        <f t="shared" si="73"/>
        <v>#DIV/0!</v>
      </c>
      <c r="AO138" s="341" t="e">
        <f t="shared" si="73"/>
        <v>#DIV/0!</v>
      </c>
      <c r="AR138" s="190">
        <v>7</v>
      </c>
      <c r="AS138" s="346" t="str">
        <f t="shared" si="76"/>
        <v/>
      </c>
      <c r="AT138" s="346" t="str">
        <f t="shared" si="76"/>
        <v/>
      </c>
      <c r="AU138" s="346" t="str">
        <f t="shared" si="76"/>
        <v/>
      </c>
      <c r="AV138" s="346" t="str">
        <f t="shared" si="77"/>
        <v/>
      </c>
      <c r="AX138" s="155"/>
      <c r="AY138" s="346" t="str">
        <f t="shared" si="78"/>
        <v/>
      </c>
      <c r="AZ138" s="346" t="str">
        <f t="shared" si="79"/>
        <v/>
      </c>
      <c r="BA138" s="190">
        <v>7</v>
      </c>
      <c r="BB138" s="351" t="e">
        <f t="shared" si="74"/>
        <v>#VALUE!</v>
      </c>
      <c r="BC138" s="318" t="e">
        <f t="shared" si="74"/>
        <v>#VALUE!</v>
      </c>
      <c r="BD138" s="352" t="e">
        <f t="shared" si="75"/>
        <v>#VALUE!</v>
      </c>
    </row>
    <row r="139" ht="20.1" customHeight="1" spans="22:56">
      <c r="V139" s="336"/>
      <c r="W139" s="11">
        <v>9</v>
      </c>
      <c r="X139" s="335">
        <f t="shared" si="70"/>
        <v>0</v>
      </c>
      <c r="Y139" s="335">
        <f t="shared" si="70"/>
        <v>0</v>
      </c>
      <c r="Z139" s="335">
        <f t="shared" si="70"/>
        <v>0</v>
      </c>
      <c r="AA139" s="335">
        <f t="shared" si="70"/>
        <v>0</v>
      </c>
      <c r="AB139" s="339" t="e">
        <f t="shared" si="71"/>
        <v>#DIV/0!</v>
      </c>
      <c r="AC139" s="339" t="e">
        <f t="shared" si="71"/>
        <v>#DIV/0!</v>
      </c>
      <c r="AD139" s="339" t="e">
        <f t="shared" si="71"/>
        <v>#DIV/0!</v>
      </c>
      <c r="AE139" s="339" t="e">
        <f t="shared" si="71"/>
        <v>#DIV/0!</v>
      </c>
      <c r="AF139" s="336"/>
      <c r="AG139" s="11">
        <v>9</v>
      </c>
      <c r="AH139" s="340">
        <f t="shared" si="72"/>
        <v>0</v>
      </c>
      <c r="AI139" s="340">
        <f t="shared" si="72"/>
        <v>0</v>
      </c>
      <c r="AJ139" s="340">
        <f t="shared" si="72"/>
        <v>0</v>
      </c>
      <c r="AK139" s="340">
        <f t="shared" si="72"/>
        <v>0</v>
      </c>
      <c r="AL139" s="341" t="e">
        <f t="shared" si="73"/>
        <v>#DIV/0!</v>
      </c>
      <c r="AM139" s="341" t="e">
        <f t="shared" si="73"/>
        <v>#DIV/0!</v>
      </c>
      <c r="AN139" s="341" t="e">
        <f t="shared" si="73"/>
        <v>#DIV/0!</v>
      </c>
      <c r="AO139" s="341" t="e">
        <f t="shared" si="73"/>
        <v>#DIV/0!</v>
      </c>
      <c r="AR139" s="190">
        <v>8</v>
      </c>
      <c r="AS139" s="346" t="str">
        <f t="shared" si="76"/>
        <v/>
      </c>
      <c r="AT139" s="346" t="str">
        <f t="shared" si="76"/>
        <v/>
      </c>
      <c r="AU139" s="346" t="str">
        <f t="shared" si="76"/>
        <v/>
      </c>
      <c r="AV139" s="346" t="str">
        <f t="shared" si="77"/>
        <v/>
      </c>
      <c r="AX139" s="155"/>
      <c r="AY139" s="346" t="str">
        <f t="shared" si="78"/>
        <v/>
      </c>
      <c r="AZ139" s="346" t="str">
        <f t="shared" si="79"/>
        <v/>
      </c>
      <c r="BA139" s="190">
        <v>8</v>
      </c>
      <c r="BB139" s="351" t="e">
        <f t="shared" si="74"/>
        <v>#VALUE!</v>
      </c>
      <c r="BC139" s="318" t="e">
        <f t="shared" si="74"/>
        <v>#VALUE!</v>
      </c>
      <c r="BD139" s="352" t="e">
        <f t="shared" si="75"/>
        <v>#VALUE!</v>
      </c>
    </row>
    <row r="140" ht="20.1" customHeight="1" spans="22:56">
      <c r="V140" s="336"/>
      <c r="W140" s="11">
        <v>10</v>
      </c>
      <c r="X140" s="335">
        <f t="shared" si="70"/>
        <v>0</v>
      </c>
      <c r="Y140" s="335">
        <f t="shared" si="70"/>
        <v>0</v>
      </c>
      <c r="Z140" s="335">
        <f t="shared" si="70"/>
        <v>0</v>
      </c>
      <c r="AA140" s="335">
        <f t="shared" si="70"/>
        <v>0</v>
      </c>
      <c r="AB140" s="339" t="e">
        <f t="shared" si="71"/>
        <v>#DIV/0!</v>
      </c>
      <c r="AC140" s="339" t="e">
        <f t="shared" si="71"/>
        <v>#DIV/0!</v>
      </c>
      <c r="AD140" s="339" t="e">
        <f t="shared" si="71"/>
        <v>#DIV/0!</v>
      </c>
      <c r="AE140" s="339" t="e">
        <f t="shared" si="71"/>
        <v>#DIV/0!</v>
      </c>
      <c r="AF140" s="336"/>
      <c r="AG140" s="11">
        <v>10</v>
      </c>
      <c r="AH140" s="340">
        <f t="shared" si="72"/>
        <v>0</v>
      </c>
      <c r="AI140" s="340">
        <f t="shared" si="72"/>
        <v>0</v>
      </c>
      <c r="AJ140" s="340">
        <f t="shared" si="72"/>
        <v>0</v>
      </c>
      <c r="AK140" s="340">
        <f t="shared" si="72"/>
        <v>0</v>
      </c>
      <c r="AL140" s="341" t="e">
        <f t="shared" si="73"/>
        <v>#DIV/0!</v>
      </c>
      <c r="AM140" s="341" t="e">
        <f t="shared" si="73"/>
        <v>#DIV/0!</v>
      </c>
      <c r="AN140" s="341" t="e">
        <f t="shared" si="73"/>
        <v>#DIV/0!</v>
      </c>
      <c r="AO140" s="341" t="e">
        <f t="shared" si="73"/>
        <v>#DIV/0!</v>
      </c>
      <c r="AR140" s="190">
        <v>9</v>
      </c>
      <c r="AS140" s="346" t="str">
        <f t="shared" si="76"/>
        <v/>
      </c>
      <c r="AT140" s="346" t="str">
        <f t="shared" si="76"/>
        <v/>
      </c>
      <c r="AU140" s="346" t="str">
        <f t="shared" si="76"/>
        <v/>
      </c>
      <c r="AV140" s="346" t="str">
        <f t="shared" si="77"/>
        <v/>
      </c>
      <c r="AX140" s="155"/>
      <c r="AY140" s="346" t="str">
        <f t="shared" si="78"/>
        <v/>
      </c>
      <c r="AZ140" s="346" t="str">
        <f t="shared" si="79"/>
        <v/>
      </c>
      <c r="BA140" s="190">
        <v>9</v>
      </c>
      <c r="BB140" s="351" t="e">
        <f t="shared" si="74"/>
        <v>#VALUE!</v>
      </c>
      <c r="BC140" s="318" t="e">
        <f t="shared" si="74"/>
        <v>#VALUE!</v>
      </c>
      <c r="BD140" s="352" t="e">
        <f t="shared" si="75"/>
        <v>#VALUE!</v>
      </c>
    </row>
    <row r="141" ht="20.1" customHeight="1" spans="22:56">
      <c r="V141" s="336"/>
      <c r="W141" s="11">
        <v>11</v>
      </c>
      <c r="X141" s="335">
        <f t="shared" si="70"/>
        <v>3250</v>
      </c>
      <c r="Y141" s="335">
        <f t="shared" si="70"/>
        <v>3250</v>
      </c>
      <c r="Z141" s="335">
        <f t="shared" si="70"/>
        <v>3400</v>
      </c>
      <c r="AA141" s="335">
        <f t="shared" si="70"/>
        <v>3450</v>
      </c>
      <c r="AB141" s="339" t="e">
        <f t="shared" si="71"/>
        <v>#DIV/0!</v>
      </c>
      <c r="AC141" s="339" t="e">
        <f t="shared" si="71"/>
        <v>#DIV/0!</v>
      </c>
      <c r="AD141" s="339" t="e">
        <f t="shared" si="71"/>
        <v>#DIV/0!</v>
      </c>
      <c r="AE141" s="339" t="e">
        <f t="shared" si="71"/>
        <v>#DIV/0!</v>
      </c>
      <c r="AF141" s="336"/>
      <c r="AG141" s="11">
        <v>11</v>
      </c>
      <c r="AH141" s="340">
        <f t="shared" si="72"/>
        <v>6400</v>
      </c>
      <c r="AI141" s="340">
        <f t="shared" si="72"/>
        <v>6400</v>
      </c>
      <c r="AJ141" s="340">
        <f t="shared" si="72"/>
        <v>6620</v>
      </c>
      <c r="AK141" s="340">
        <f t="shared" si="72"/>
        <v>6700</v>
      </c>
      <c r="AL141" s="341" t="e">
        <f t="shared" si="73"/>
        <v>#DIV/0!</v>
      </c>
      <c r="AM141" s="341" t="e">
        <f t="shared" si="73"/>
        <v>#DIV/0!</v>
      </c>
      <c r="AN141" s="341" t="e">
        <f t="shared" si="73"/>
        <v>#DIV/0!</v>
      </c>
      <c r="AO141" s="341" t="e">
        <f t="shared" si="73"/>
        <v>#DIV/0!</v>
      </c>
      <c r="AR141" s="190">
        <v>10</v>
      </c>
      <c r="AS141" s="346" t="str">
        <f t="shared" si="76"/>
        <v/>
      </c>
      <c r="AT141" s="346" t="str">
        <f t="shared" si="76"/>
        <v/>
      </c>
      <c r="AU141" s="346" t="str">
        <f t="shared" si="76"/>
        <v/>
      </c>
      <c r="AV141" s="346" t="str">
        <f t="shared" si="77"/>
        <v/>
      </c>
      <c r="AX141" s="155"/>
      <c r="AY141" s="346" t="str">
        <f t="shared" si="78"/>
        <v/>
      </c>
      <c r="AZ141" s="346" t="str">
        <f t="shared" si="79"/>
        <v/>
      </c>
      <c r="BA141" s="190">
        <v>10</v>
      </c>
      <c r="BB141" s="351" t="e">
        <f t="shared" si="74"/>
        <v>#VALUE!</v>
      </c>
      <c r="BC141" s="318" t="e">
        <f t="shared" si="74"/>
        <v>#VALUE!</v>
      </c>
      <c r="BD141" s="352" t="e">
        <f t="shared" si="75"/>
        <v>#VALUE!</v>
      </c>
    </row>
    <row r="142" ht="20.1" customHeight="1" spans="22:56">
      <c r="V142" s="336"/>
      <c r="W142" s="11">
        <v>12</v>
      </c>
      <c r="X142" s="335">
        <f t="shared" si="70"/>
        <v>0</v>
      </c>
      <c r="Y142" s="335">
        <f t="shared" si="70"/>
        <v>0</v>
      </c>
      <c r="Z142" s="335">
        <f t="shared" si="70"/>
        <v>0</v>
      </c>
      <c r="AA142" s="335">
        <f t="shared" si="70"/>
        <v>0</v>
      </c>
      <c r="AB142" s="339" t="e">
        <f t="shared" si="71"/>
        <v>#DIV/0!</v>
      </c>
      <c r="AC142" s="339" t="e">
        <f t="shared" si="71"/>
        <v>#DIV/0!</v>
      </c>
      <c r="AD142" s="339" t="e">
        <f t="shared" si="71"/>
        <v>#DIV/0!</v>
      </c>
      <c r="AE142" s="339" t="e">
        <f t="shared" si="71"/>
        <v>#DIV/0!</v>
      </c>
      <c r="AF142" s="336"/>
      <c r="AG142" s="11">
        <v>12</v>
      </c>
      <c r="AH142" s="340">
        <f t="shared" si="72"/>
        <v>0</v>
      </c>
      <c r="AI142" s="340">
        <f t="shared" si="72"/>
        <v>0</v>
      </c>
      <c r="AJ142" s="340">
        <f t="shared" si="72"/>
        <v>0</v>
      </c>
      <c r="AK142" s="340">
        <f t="shared" si="72"/>
        <v>0</v>
      </c>
      <c r="AL142" s="341" t="e">
        <f t="shared" si="73"/>
        <v>#DIV/0!</v>
      </c>
      <c r="AM142" s="341" t="e">
        <f t="shared" si="73"/>
        <v>#DIV/0!</v>
      </c>
      <c r="AN142" s="341" t="e">
        <f t="shared" si="73"/>
        <v>#DIV/0!</v>
      </c>
      <c r="AO142" s="341" t="e">
        <f t="shared" si="73"/>
        <v>#DIV/0!</v>
      </c>
      <c r="AR142" s="190">
        <v>11</v>
      </c>
      <c r="AS142" s="346" t="str">
        <f t="shared" si="76"/>
        <v/>
      </c>
      <c r="AT142" s="346" t="str">
        <f t="shared" si="76"/>
        <v/>
      </c>
      <c r="AU142" s="346" t="str">
        <f t="shared" si="76"/>
        <v/>
      </c>
      <c r="AV142" s="346" t="str">
        <f t="shared" si="77"/>
        <v/>
      </c>
      <c r="AX142" s="155"/>
      <c r="AY142" s="346" t="str">
        <f t="shared" si="78"/>
        <v/>
      </c>
      <c r="AZ142" s="346" t="str">
        <f t="shared" si="79"/>
        <v/>
      </c>
      <c r="BA142" s="190">
        <v>11</v>
      </c>
      <c r="BB142" s="351" t="e">
        <f t="shared" si="74"/>
        <v>#VALUE!</v>
      </c>
      <c r="BC142" s="318" t="e">
        <f t="shared" si="74"/>
        <v>#VALUE!</v>
      </c>
      <c r="BD142" s="352" t="e">
        <f t="shared" si="75"/>
        <v>#VALUE!</v>
      </c>
    </row>
    <row r="143" ht="20.1" customHeight="1" spans="22:56">
      <c r="V143" s="336"/>
      <c r="W143" s="11">
        <v>13</v>
      </c>
      <c r="X143" s="335">
        <f t="shared" si="70"/>
        <v>0</v>
      </c>
      <c r="Y143" s="335">
        <f t="shared" si="70"/>
        <v>0</v>
      </c>
      <c r="Z143" s="335">
        <f t="shared" si="70"/>
        <v>0</v>
      </c>
      <c r="AA143" s="335">
        <f t="shared" si="70"/>
        <v>0</v>
      </c>
      <c r="AB143" s="339" t="e">
        <f t="shared" si="71"/>
        <v>#DIV/0!</v>
      </c>
      <c r="AC143" s="339" t="e">
        <f t="shared" si="71"/>
        <v>#DIV/0!</v>
      </c>
      <c r="AD143" s="339" t="e">
        <f t="shared" si="71"/>
        <v>#DIV/0!</v>
      </c>
      <c r="AE143" s="339" t="e">
        <f t="shared" si="71"/>
        <v>#DIV/0!</v>
      </c>
      <c r="AF143" s="336"/>
      <c r="AG143" s="11">
        <v>13</v>
      </c>
      <c r="AH143" s="340">
        <f t="shared" si="72"/>
        <v>0</v>
      </c>
      <c r="AI143" s="340">
        <f t="shared" si="72"/>
        <v>0</v>
      </c>
      <c r="AJ143" s="340">
        <f t="shared" si="72"/>
        <v>0</v>
      </c>
      <c r="AK143" s="340">
        <f t="shared" si="72"/>
        <v>0</v>
      </c>
      <c r="AL143" s="341" t="e">
        <f t="shared" si="73"/>
        <v>#DIV/0!</v>
      </c>
      <c r="AM143" s="341" t="e">
        <f t="shared" si="73"/>
        <v>#DIV/0!</v>
      </c>
      <c r="AN143" s="341" t="e">
        <f t="shared" si="73"/>
        <v>#DIV/0!</v>
      </c>
      <c r="AO143" s="341" t="e">
        <f t="shared" si="73"/>
        <v>#DIV/0!</v>
      </c>
      <c r="AR143" s="190">
        <v>12</v>
      </c>
      <c r="AS143" s="346" t="str">
        <f t="shared" si="76"/>
        <v/>
      </c>
      <c r="AT143" s="346" t="str">
        <f t="shared" si="76"/>
        <v/>
      </c>
      <c r="AU143" s="346" t="str">
        <f t="shared" si="76"/>
        <v/>
      </c>
      <c r="AV143" s="346" t="str">
        <f t="shared" si="77"/>
        <v/>
      </c>
      <c r="AX143" s="155"/>
      <c r="AY143" s="346" t="str">
        <f t="shared" si="78"/>
        <v/>
      </c>
      <c r="AZ143" s="346" t="str">
        <f t="shared" si="79"/>
        <v/>
      </c>
      <c r="BA143" s="190">
        <v>12</v>
      </c>
      <c r="BB143" s="351" t="e">
        <f t="shared" si="74"/>
        <v>#VALUE!</v>
      </c>
      <c r="BC143" s="318" t="e">
        <f t="shared" si="74"/>
        <v>#VALUE!</v>
      </c>
      <c r="BD143" s="352" t="e">
        <f t="shared" si="75"/>
        <v>#VALUE!</v>
      </c>
    </row>
    <row r="144" ht="20.1" customHeight="1" spans="22:56">
      <c r="V144" s="336"/>
      <c r="W144" s="11">
        <v>14</v>
      </c>
      <c r="X144" s="335">
        <f t="shared" si="70"/>
        <v>0</v>
      </c>
      <c r="Y144" s="335">
        <f t="shared" si="70"/>
        <v>0</v>
      </c>
      <c r="Z144" s="335">
        <f t="shared" si="70"/>
        <v>0</v>
      </c>
      <c r="AA144" s="335">
        <f t="shared" si="70"/>
        <v>0</v>
      </c>
      <c r="AB144" s="339" t="e">
        <f t="shared" si="71"/>
        <v>#DIV/0!</v>
      </c>
      <c r="AC144" s="339" t="e">
        <f t="shared" si="71"/>
        <v>#DIV/0!</v>
      </c>
      <c r="AD144" s="339" t="e">
        <f t="shared" si="71"/>
        <v>#DIV/0!</v>
      </c>
      <c r="AE144" s="339" t="e">
        <f t="shared" si="71"/>
        <v>#DIV/0!</v>
      </c>
      <c r="AF144" s="336"/>
      <c r="AG144" s="11">
        <v>14</v>
      </c>
      <c r="AH144" s="340">
        <f t="shared" si="72"/>
        <v>0</v>
      </c>
      <c r="AI144" s="340">
        <f t="shared" si="72"/>
        <v>0</v>
      </c>
      <c r="AJ144" s="340">
        <f t="shared" si="72"/>
        <v>0</v>
      </c>
      <c r="AK144" s="340">
        <f t="shared" si="72"/>
        <v>0</v>
      </c>
      <c r="AL144" s="341" t="e">
        <f t="shared" si="73"/>
        <v>#DIV/0!</v>
      </c>
      <c r="AM144" s="341" t="e">
        <f t="shared" si="73"/>
        <v>#DIV/0!</v>
      </c>
      <c r="AN144" s="341" t="e">
        <f t="shared" si="73"/>
        <v>#DIV/0!</v>
      </c>
      <c r="AO144" s="341" t="e">
        <f t="shared" si="73"/>
        <v>#DIV/0!</v>
      </c>
      <c r="AR144" s="190">
        <v>13</v>
      </c>
      <c r="AS144" s="346" t="str">
        <f t="shared" si="76"/>
        <v/>
      </c>
      <c r="AT144" s="346" t="str">
        <f t="shared" si="76"/>
        <v/>
      </c>
      <c r="AU144" s="346" t="str">
        <f t="shared" si="76"/>
        <v/>
      </c>
      <c r="AV144" s="346" t="str">
        <f t="shared" si="77"/>
        <v/>
      </c>
      <c r="AX144" s="155"/>
      <c r="AY144" s="346" t="str">
        <f t="shared" si="78"/>
        <v/>
      </c>
      <c r="AZ144" s="346" t="str">
        <f t="shared" si="79"/>
        <v/>
      </c>
      <c r="BA144" s="190">
        <v>13</v>
      </c>
      <c r="BB144" s="351" t="e">
        <f t="shared" si="74"/>
        <v>#VALUE!</v>
      </c>
      <c r="BC144" s="318" t="e">
        <f t="shared" si="74"/>
        <v>#VALUE!</v>
      </c>
      <c r="BD144" s="352" t="e">
        <f t="shared" si="75"/>
        <v>#VALUE!</v>
      </c>
    </row>
    <row r="145" ht="20.1" customHeight="1" spans="22:56">
      <c r="V145" s="336"/>
      <c r="W145" s="11">
        <v>15</v>
      </c>
      <c r="X145" s="335">
        <f t="shared" si="70"/>
        <v>0</v>
      </c>
      <c r="Y145" s="335">
        <f t="shared" si="70"/>
        <v>0</v>
      </c>
      <c r="Z145" s="335">
        <f t="shared" si="70"/>
        <v>0</v>
      </c>
      <c r="AA145" s="335">
        <f t="shared" si="70"/>
        <v>0</v>
      </c>
      <c r="AB145" s="339" t="e">
        <f t="shared" si="71"/>
        <v>#DIV/0!</v>
      </c>
      <c r="AC145" s="339" t="e">
        <f t="shared" si="71"/>
        <v>#DIV/0!</v>
      </c>
      <c r="AD145" s="339" t="e">
        <f t="shared" si="71"/>
        <v>#DIV/0!</v>
      </c>
      <c r="AE145" s="339" t="e">
        <f t="shared" si="71"/>
        <v>#DIV/0!</v>
      </c>
      <c r="AF145" s="336"/>
      <c r="AG145" s="11">
        <v>15</v>
      </c>
      <c r="AH145" s="340">
        <f t="shared" si="72"/>
        <v>0</v>
      </c>
      <c r="AI145" s="340">
        <f t="shared" si="72"/>
        <v>0</v>
      </c>
      <c r="AJ145" s="340">
        <f t="shared" si="72"/>
        <v>0</v>
      </c>
      <c r="AK145" s="340">
        <f t="shared" si="72"/>
        <v>0</v>
      </c>
      <c r="AL145" s="341" t="e">
        <f t="shared" si="73"/>
        <v>#DIV/0!</v>
      </c>
      <c r="AM145" s="341" t="e">
        <f t="shared" si="73"/>
        <v>#DIV/0!</v>
      </c>
      <c r="AN145" s="341" t="e">
        <f t="shared" si="73"/>
        <v>#DIV/0!</v>
      </c>
      <c r="AO145" s="341" t="e">
        <f t="shared" si="73"/>
        <v>#DIV/0!</v>
      </c>
      <c r="AR145" s="190">
        <v>14</v>
      </c>
      <c r="AS145" s="346" t="str">
        <f t="shared" si="76"/>
        <v/>
      </c>
      <c r="AT145" s="346" t="str">
        <f t="shared" si="76"/>
        <v/>
      </c>
      <c r="AU145" s="346" t="str">
        <f t="shared" si="76"/>
        <v/>
      </c>
      <c r="AV145" s="346" t="str">
        <f t="shared" si="77"/>
        <v/>
      </c>
      <c r="AX145" s="155"/>
      <c r="AY145" s="346" t="str">
        <f t="shared" si="78"/>
        <v/>
      </c>
      <c r="AZ145" s="346" t="str">
        <f t="shared" si="79"/>
        <v/>
      </c>
      <c r="BA145" s="190">
        <v>14</v>
      </c>
      <c r="BB145" s="351" t="e">
        <f t="shared" si="74"/>
        <v>#VALUE!</v>
      </c>
      <c r="BC145" s="318" t="e">
        <f t="shared" si="74"/>
        <v>#VALUE!</v>
      </c>
      <c r="BD145" s="352" t="e">
        <f t="shared" si="75"/>
        <v>#VALUE!</v>
      </c>
    </row>
    <row r="146" ht="20.1" customHeight="1" spans="22:56">
      <c r="V146" s="336"/>
      <c r="W146" s="11">
        <v>16</v>
      </c>
      <c r="X146" s="335">
        <f t="shared" si="70"/>
        <v>0</v>
      </c>
      <c r="Y146" s="335">
        <f t="shared" si="70"/>
        <v>0</v>
      </c>
      <c r="Z146" s="335">
        <f t="shared" si="70"/>
        <v>0</v>
      </c>
      <c r="AA146" s="335">
        <f t="shared" si="70"/>
        <v>0</v>
      </c>
      <c r="AB146" s="339" t="e">
        <f t="shared" si="71"/>
        <v>#DIV/0!</v>
      </c>
      <c r="AC146" s="339" t="e">
        <f t="shared" si="71"/>
        <v>#DIV/0!</v>
      </c>
      <c r="AD146" s="339" t="e">
        <f t="shared" si="71"/>
        <v>#DIV/0!</v>
      </c>
      <c r="AE146" s="339" t="e">
        <f t="shared" si="71"/>
        <v>#DIV/0!</v>
      </c>
      <c r="AF146" s="336"/>
      <c r="AG146" s="11">
        <v>16</v>
      </c>
      <c r="AH146" s="340">
        <f t="shared" si="72"/>
        <v>0</v>
      </c>
      <c r="AI146" s="340">
        <f t="shared" si="72"/>
        <v>0</v>
      </c>
      <c r="AJ146" s="340">
        <f t="shared" si="72"/>
        <v>0</v>
      </c>
      <c r="AK146" s="340">
        <f t="shared" si="72"/>
        <v>0</v>
      </c>
      <c r="AL146" s="341" t="e">
        <f t="shared" si="73"/>
        <v>#DIV/0!</v>
      </c>
      <c r="AM146" s="341" t="e">
        <f t="shared" si="73"/>
        <v>#DIV/0!</v>
      </c>
      <c r="AN146" s="341" t="e">
        <f t="shared" si="73"/>
        <v>#DIV/0!</v>
      </c>
      <c r="AO146" s="341" t="e">
        <f t="shared" si="73"/>
        <v>#DIV/0!</v>
      </c>
      <c r="AR146" s="190">
        <v>15</v>
      </c>
      <c r="AS146" s="346" t="str">
        <f t="shared" si="76"/>
        <v/>
      </c>
      <c r="AT146" s="346" t="str">
        <f t="shared" si="76"/>
        <v/>
      </c>
      <c r="AU146" s="346" t="str">
        <f t="shared" si="76"/>
        <v/>
      </c>
      <c r="AV146" s="346" t="str">
        <f t="shared" si="77"/>
        <v/>
      </c>
      <c r="AX146" s="155"/>
      <c r="AY146" s="346" t="str">
        <f t="shared" si="78"/>
        <v/>
      </c>
      <c r="AZ146" s="346" t="str">
        <f t="shared" si="79"/>
        <v/>
      </c>
      <c r="BA146" s="190">
        <v>15</v>
      </c>
      <c r="BB146" s="351" t="e">
        <f t="shared" si="74"/>
        <v>#VALUE!</v>
      </c>
      <c r="BC146" s="318" t="e">
        <f t="shared" si="74"/>
        <v>#VALUE!</v>
      </c>
      <c r="BD146" s="352" t="e">
        <f t="shared" si="75"/>
        <v>#VALUE!</v>
      </c>
    </row>
    <row r="147" ht="20.1" customHeight="1" spans="22:56">
      <c r="V147" s="336"/>
      <c r="W147" s="11">
        <v>17</v>
      </c>
      <c r="X147" s="335">
        <f t="shared" si="70"/>
        <v>0</v>
      </c>
      <c r="Y147" s="335">
        <f t="shared" si="70"/>
        <v>0</v>
      </c>
      <c r="Z147" s="335">
        <f t="shared" si="70"/>
        <v>0</v>
      </c>
      <c r="AA147" s="335">
        <f t="shared" si="70"/>
        <v>0</v>
      </c>
      <c r="AB147" s="339" t="e">
        <f t="shared" si="71"/>
        <v>#DIV/0!</v>
      </c>
      <c r="AC147" s="339" t="e">
        <f t="shared" si="71"/>
        <v>#DIV/0!</v>
      </c>
      <c r="AD147" s="339" t="e">
        <f t="shared" si="71"/>
        <v>#DIV/0!</v>
      </c>
      <c r="AE147" s="339" t="e">
        <f t="shared" si="71"/>
        <v>#DIV/0!</v>
      </c>
      <c r="AF147" s="336"/>
      <c r="AG147" s="11">
        <v>17</v>
      </c>
      <c r="AH147" s="340">
        <f t="shared" si="72"/>
        <v>0</v>
      </c>
      <c r="AI147" s="340">
        <f t="shared" si="72"/>
        <v>0</v>
      </c>
      <c r="AJ147" s="340">
        <f t="shared" si="72"/>
        <v>0</v>
      </c>
      <c r="AK147" s="340">
        <f t="shared" si="72"/>
        <v>0</v>
      </c>
      <c r="AL147" s="341" t="e">
        <f t="shared" si="73"/>
        <v>#DIV/0!</v>
      </c>
      <c r="AM147" s="341" t="e">
        <f t="shared" si="73"/>
        <v>#DIV/0!</v>
      </c>
      <c r="AN147" s="341" t="e">
        <f t="shared" si="73"/>
        <v>#DIV/0!</v>
      </c>
      <c r="AO147" s="341" t="e">
        <f t="shared" si="73"/>
        <v>#DIV/0!</v>
      </c>
      <c r="AR147" s="190">
        <v>16</v>
      </c>
      <c r="AS147" s="346" t="str">
        <f t="shared" si="76"/>
        <v/>
      </c>
      <c r="AT147" s="346" t="str">
        <f t="shared" si="76"/>
        <v/>
      </c>
      <c r="AU147" s="346" t="str">
        <f t="shared" si="76"/>
        <v/>
      </c>
      <c r="AV147" s="346" t="str">
        <f t="shared" si="77"/>
        <v/>
      </c>
      <c r="AX147" s="155"/>
      <c r="AY147" s="346" t="str">
        <f t="shared" si="78"/>
        <v/>
      </c>
      <c r="AZ147" s="346" t="str">
        <f t="shared" si="79"/>
        <v/>
      </c>
      <c r="BA147" s="190">
        <v>16</v>
      </c>
      <c r="BB147" s="351" t="e">
        <f t="shared" si="74"/>
        <v>#VALUE!</v>
      </c>
      <c r="BC147" s="318" t="e">
        <f t="shared" si="74"/>
        <v>#VALUE!</v>
      </c>
      <c r="BD147" s="352" t="e">
        <f t="shared" si="75"/>
        <v>#VALUE!</v>
      </c>
    </row>
    <row r="148" ht="20.1" customHeight="1" spans="22:56">
      <c r="V148" s="336"/>
      <c r="W148" s="11">
        <v>18</v>
      </c>
      <c r="X148" s="335">
        <f t="shared" si="70"/>
        <v>0</v>
      </c>
      <c r="Y148" s="335">
        <f t="shared" si="70"/>
        <v>0</v>
      </c>
      <c r="Z148" s="335">
        <f t="shared" si="70"/>
        <v>0</v>
      </c>
      <c r="AA148" s="335">
        <f t="shared" si="70"/>
        <v>0</v>
      </c>
      <c r="AB148" s="339" t="e">
        <f t="shared" si="71"/>
        <v>#DIV/0!</v>
      </c>
      <c r="AC148" s="339" t="e">
        <f t="shared" si="71"/>
        <v>#DIV/0!</v>
      </c>
      <c r="AD148" s="339" t="e">
        <f t="shared" si="71"/>
        <v>#DIV/0!</v>
      </c>
      <c r="AE148" s="339" t="e">
        <f t="shared" si="71"/>
        <v>#DIV/0!</v>
      </c>
      <c r="AF148" s="336"/>
      <c r="AG148" s="11">
        <v>18</v>
      </c>
      <c r="AH148" s="340">
        <f t="shared" si="72"/>
        <v>0</v>
      </c>
      <c r="AI148" s="340">
        <f t="shared" si="72"/>
        <v>0</v>
      </c>
      <c r="AJ148" s="340">
        <f t="shared" si="72"/>
        <v>0</v>
      </c>
      <c r="AK148" s="340">
        <f t="shared" si="72"/>
        <v>0</v>
      </c>
      <c r="AL148" s="341" t="e">
        <f t="shared" si="73"/>
        <v>#DIV/0!</v>
      </c>
      <c r="AM148" s="341" t="e">
        <f t="shared" si="73"/>
        <v>#DIV/0!</v>
      </c>
      <c r="AN148" s="341" t="e">
        <f t="shared" si="73"/>
        <v>#DIV/0!</v>
      </c>
      <c r="AO148" s="341" t="e">
        <f t="shared" si="73"/>
        <v>#DIV/0!</v>
      </c>
      <c r="AR148" s="190">
        <v>17</v>
      </c>
      <c r="AS148" s="346" t="str">
        <f t="shared" si="76"/>
        <v/>
      </c>
      <c r="AT148" s="346" t="str">
        <f t="shared" si="76"/>
        <v/>
      </c>
      <c r="AU148" s="346" t="str">
        <f t="shared" si="76"/>
        <v/>
      </c>
      <c r="AV148" s="346" t="str">
        <f t="shared" si="77"/>
        <v/>
      </c>
      <c r="AX148" s="155"/>
      <c r="AY148" s="346" t="str">
        <f t="shared" si="78"/>
        <v/>
      </c>
      <c r="AZ148" s="346" t="str">
        <f t="shared" si="79"/>
        <v/>
      </c>
      <c r="BA148" s="190">
        <v>17</v>
      </c>
      <c r="BB148" s="351" t="e">
        <f t="shared" si="74"/>
        <v>#VALUE!</v>
      </c>
      <c r="BC148" s="318" t="e">
        <f t="shared" si="74"/>
        <v>#VALUE!</v>
      </c>
      <c r="BD148" s="352" t="e">
        <f t="shared" si="75"/>
        <v>#VALUE!</v>
      </c>
    </row>
    <row r="149" ht="20.1" customHeight="1" spans="22:56">
      <c r="V149" s="336"/>
      <c r="W149" s="11">
        <v>19</v>
      </c>
      <c r="X149" s="335">
        <f t="shared" si="70"/>
        <v>0</v>
      </c>
      <c r="Y149" s="335">
        <f t="shared" si="70"/>
        <v>0</v>
      </c>
      <c r="Z149" s="335">
        <f t="shared" si="70"/>
        <v>0</v>
      </c>
      <c r="AA149" s="335">
        <f t="shared" si="70"/>
        <v>0</v>
      </c>
      <c r="AB149" s="339" t="e">
        <f t="shared" si="71"/>
        <v>#DIV/0!</v>
      </c>
      <c r="AC149" s="339" t="e">
        <f t="shared" si="71"/>
        <v>#DIV/0!</v>
      </c>
      <c r="AD149" s="339" t="e">
        <f t="shared" si="71"/>
        <v>#DIV/0!</v>
      </c>
      <c r="AE149" s="339" t="e">
        <f t="shared" si="71"/>
        <v>#DIV/0!</v>
      </c>
      <c r="AF149" s="336"/>
      <c r="AG149" s="11">
        <v>19</v>
      </c>
      <c r="AH149" s="340">
        <f t="shared" si="72"/>
        <v>0</v>
      </c>
      <c r="AI149" s="340">
        <f t="shared" si="72"/>
        <v>0</v>
      </c>
      <c r="AJ149" s="340">
        <f t="shared" si="72"/>
        <v>0</v>
      </c>
      <c r="AK149" s="340">
        <f t="shared" si="72"/>
        <v>0</v>
      </c>
      <c r="AL149" s="341" t="e">
        <f t="shared" si="73"/>
        <v>#DIV/0!</v>
      </c>
      <c r="AM149" s="341" t="e">
        <f t="shared" si="73"/>
        <v>#DIV/0!</v>
      </c>
      <c r="AN149" s="341" t="e">
        <f t="shared" si="73"/>
        <v>#DIV/0!</v>
      </c>
      <c r="AO149" s="341" t="e">
        <f t="shared" si="73"/>
        <v>#DIV/0!</v>
      </c>
      <c r="AR149" s="190">
        <v>18</v>
      </c>
      <c r="AS149" s="346" t="str">
        <f t="shared" ref="AS149:AU151" si="80">IF(F112="","",F112)</f>
        <v/>
      </c>
      <c r="AT149" s="346" t="str">
        <f t="shared" si="80"/>
        <v/>
      </c>
      <c r="AU149" s="346" t="str">
        <f t="shared" si="80"/>
        <v/>
      </c>
      <c r="AV149" s="346" t="str">
        <f t="shared" si="77"/>
        <v/>
      </c>
      <c r="AX149" s="155"/>
      <c r="AY149" s="346" t="str">
        <f t="shared" si="78"/>
        <v/>
      </c>
      <c r="AZ149" s="346" t="str">
        <f t="shared" si="79"/>
        <v/>
      </c>
      <c r="BA149" s="190">
        <v>18</v>
      </c>
      <c r="BB149" s="351" t="e">
        <f t="shared" si="74"/>
        <v>#VALUE!</v>
      </c>
      <c r="BC149" s="318" t="e">
        <f t="shared" si="74"/>
        <v>#VALUE!</v>
      </c>
      <c r="BD149" s="352" t="e">
        <f t="shared" si="75"/>
        <v>#VALUE!</v>
      </c>
    </row>
    <row r="150" ht="20.1" customHeight="1" spans="22:56">
      <c r="V150" s="337"/>
      <c r="W150" s="11">
        <v>20</v>
      </c>
      <c r="X150" s="335">
        <f t="shared" si="70"/>
        <v>0</v>
      </c>
      <c r="Y150" s="335">
        <f t="shared" si="70"/>
        <v>0</v>
      </c>
      <c r="Z150" s="335">
        <f t="shared" si="70"/>
        <v>0</v>
      </c>
      <c r="AA150" s="335">
        <f t="shared" si="70"/>
        <v>0</v>
      </c>
      <c r="AB150" s="339" t="e">
        <f t="shared" si="71"/>
        <v>#DIV/0!</v>
      </c>
      <c r="AC150" s="339" t="e">
        <f t="shared" si="71"/>
        <v>#DIV/0!</v>
      </c>
      <c r="AD150" s="339" t="e">
        <f t="shared" si="71"/>
        <v>#DIV/0!</v>
      </c>
      <c r="AE150" s="339" t="e">
        <f t="shared" si="71"/>
        <v>#DIV/0!</v>
      </c>
      <c r="AF150" s="337"/>
      <c r="AG150" s="11">
        <v>20</v>
      </c>
      <c r="AH150" s="340">
        <f t="shared" si="72"/>
        <v>0</v>
      </c>
      <c r="AI150" s="340">
        <f t="shared" si="72"/>
        <v>0</v>
      </c>
      <c r="AJ150" s="340">
        <f t="shared" si="72"/>
        <v>0</v>
      </c>
      <c r="AK150" s="340">
        <f t="shared" si="72"/>
        <v>0</v>
      </c>
      <c r="AL150" s="341" t="e">
        <f t="shared" si="73"/>
        <v>#DIV/0!</v>
      </c>
      <c r="AM150" s="341" t="e">
        <f t="shared" si="73"/>
        <v>#DIV/0!</v>
      </c>
      <c r="AN150" s="341" t="e">
        <f t="shared" si="73"/>
        <v>#DIV/0!</v>
      </c>
      <c r="AO150" s="341" t="e">
        <f t="shared" si="73"/>
        <v>#DIV/0!</v>
      </c>
      <c r="AR150" s="190">
        <v>19</v>
      </c>
      <c r="AS150" s="346" t="str">
        <f t="shared" si="80"/>
        <v/>
      </c>
      <c r="AT150" s="346" t="str">
        <f t="shared" si="80"/>
        <v/>
      </c>
      <c r="AU150" s="346" t="str">
        <f t="shared" si="80"/>
        <v/>
      </c>
      <c r="AV150" s="346" t="str">
        <f t="shared" si="77"/>
        <v/>
      </c>
      <c r="AX150" s="155"/>
      <c r="AY150" s="346" t="str">
        <f t="shared" si="78"/>
        <v/>
      </c>
      <c r="AZ150" s="346" t="str">
        <f t="shared" si="79"/>
        <v/>
      </c>
      <c r="BA150" s="190">
        <v>19</v>
      </c>
      <c r="BB150" s="351" t="e">
        <f t="shared" si="74"/>
        <v>#VALUE!</v>
      </c>
      <c r="BC150" s="318" t="e">
        <f t="shared" si="74"/>
        <v>#VALUE!</v>
      </c>
      <c r="BD150" s="352" t="e">
        <f t="shared" si="75"/>
        <v>#VALUE!</v>
      </c>
    </row>
    <row r="151" ht="20.1" customHeight="1" spans="44:56">
      <c r="AR151" s="190">
        <v>20</v>
      </c>
      <c r="AS151" s="346" t="str">
        <f t="shared" si="80"/>
        <v/>
      </c>
      <c r="AT151" s="346" t="str">
        <f t="shared" si="80"/>
        <v/>
      </c>
      <c r="AU151" s="346" t="str">
        <f t="shared" si="80"/>
        <v/>
      </c>
      <c r="AV151" s="346" t="str">
        <f t="shared" si="77"/>
        <v/>
      </c>
      <c r="AX151" s="155"/>
      <c r="AY151" s="346" t="str">
        <f t="shared" si="78"/>
        <v/>
      </c>
      <c r="AZ151" s="346" t="str">
        <f t="shared" si="79"/>
        <v/>
      </c>
      <c r="BA151" s="190">
        <v>20</v>
      </c>
      <c r="BB151" s="351" t="e">
        <f t="shared" si="74"/>
        <v>#VALUE!</v>
      </c>
      <c r="BC151" s="318" t="e">
        <f t="shared" si="74"/>
        <v>#VALUE!</v>
      </c>
      <c r="BD151" s="352" t="e">
        <f t="shared" si="75"/>
        <v>#VALUE!</v>
      </c>
    </row>
    <row r="152" ht="20.1" customHeight="1"/>
    <row r="153" ht="20.1" customHeight="1" spans="24:52">
      <c r="X153" s="101"/>
      <c r="Y153" s="101"/>
      <c r="Z153" s="101"/>
      <c r="AA153" s="101"/>
      <c r="AB153" s="338">
        <f>AH64</f>
        <v>41</v>
      </c>
      <c r="AC153" s="338">
        <f>AH65</f>
        <v>41</v>
      </c>
      <c r="AD153" s="338">
        <f>AH66</f>
        <v>63</v>
      </c>
      <c r="AE153" s="338">
        <f>AH67</f>
        <v>63</v>
      </c>
      <c r="AH153" s="101"/>
      <c r="AI153" s="101"/>
      <c r="AJ153" s="101"/>
      <c r="AK153" s="101"/>
      <c r="AL153" s="338">
        <f>AI64</f>
        <v>47</v>
      </c>
      <c r="AM153" s="338">
        <f>AI65</f>
        <v>47</v>
      </c>
      <c r="AN153" s="338">
        <f>AI66</f>
        <v>72</v>
      </c>
      <c r="AO153" s="338">
        <f>AI67</f>
        <v>72</v>
      </c>
      <c r="AR153" s="2" t="s">
        <v>25</v>
      </c>
      <c r="AS153" s="2">
        <f>SUM(AS132:AS151)/比赛参数!$G$4</f>
        <v>0</v>
      </c>
      <c r="AT153" s="2">
        <f>SUM(AT132:AT151)/比赛参数!$G$4</f>
        <v>0</v>
      </c>
      <c r="AU153" s="2">
        <f>SUM(AU132:AU151)/比赛参数!$G$4</f>
        <v>0</v>
      </c>
      <c r="AV153" s="2">
        <f>SUM(AV132:AV151)/比赛参数!$G$4</f>
        <v>0</v>
      </c>
      <c r="AY153" s="2">
        <f>SUM(AY132:AY151)/比赛参数!$G$4</f>
        <v>0</v>
      </c>
      <c r="AZ153" s="2">
        <f>SUM(AZ132:AZ151)/比赛参数!$G$4</f>
        <v>0</v>
      </c>
    </row>
    <row r="154" ht="20.1" customHeight="1" spans="22:41">
      <c r="V154" s="334" t="s">
        <v>23</v>
      </c>
      <c r="W154" s="11">
        <v>1</v>
      </c>
      <c r="X154" s="335">
        <f t="shared" ref="X154:AA173" si="81">L50</f>
        <v>0</v>
      </c>
      <c r="Y154" s="335">
        <f t="shared" si="81"/>
        <v>0</v>
      </c>
      <c r="Z154" s="335">
        <f t="shared" si="81"/>
        <v>0</v>
      </c>
      <c r="AA154" s="335">
        <f t="shared" si="81"/>
        <v>0</v>
      </c>
      <c r="AB154" s="339">
        <f t="shared" ref="AB154:AE173" si="82">INT(AG$232*L73+0.5)</f>
        <v>0</v>
      </c>
      <c r="AC154" s="339">
        <f t="shared" si="82"/>
        <v>0</v>
      </c>
      <c r="AD154" s="339">
        <f t="shared" si="82"/>
        <v>0</v>
      </c>
      <c r="AE154" s="339">
        <f t="shared" si="82"/>
        <v>0</v>
      </c>
      <c r="AF154" s="334" t="s">
        <v>24</v>
      </c>
      <c r="AG154" s="11">
        <v>1</v>
      </c>
      <c r="AH154" s="340">
        <f t="shared" ref="AH154:AK173" si="83">P50</f>
        <v>0</v>
      </c>
      <c r="AI154" s="340">
        <f t="shared" si="83"/>
        <v>0</v>
      </c>
      <c r="AJ154" s="340">
        <f t="shared" si="83"/>
        <v>0</v>
      </c>
      <c r="AK154" s="340">
        <f t="shared" si="83"/>
        <v>0</v>
      </c>
      <c r="AL154" s="341">
        <f t="shared" ref="AL154:AO173" si="84">INT(AK$232*P73+0.5)</f>
        <v>0</v>
      </c>
      <c r="AM154" s="341">
        <f t="shared" si="84"/>
        <v>0</v>
      </c>
      <c r="AN154" s="341">
        <f t="shared" si="84"/>
        <v>0</v>
      </c>
      <c r="AO154" s="341">
        <f t="shared" si="84"/>
        <v>0</v>
      </c>
    </row>
    <row r="155" ht="20.1" customHeight="1" spans="22:41">
      <c r="V155" s="336"/>
      <c r="W155" s="11">
        <v>2</v>
      </c>
      <c r="X155" s="335">
        <f t="shared" si="81"/>
        <v>0</v>
      </c>
      <c r="Y155" s="335">
        <f t="shared" si="81"/>
        <v>0</v>
      </c>
      <c r="Z155" s="335">
        <f t="shared" si="81"/>
        <v>0</v>
      </c>
      <c r="AA155" s="335">
        <f t="shared" si="81"/>
        <v>0</v>
      </c>
      <c r="AB155" s="339">
        <f t="shared" si="82"/>
        <v>0</v>
      </c>
      <c r="AC155" s="339">
        <f t="shared" si="82"/>
        <v>0</v>
      </c>
      <c r="AD155" s="339">
        <f t="shared" si="82"/>
        <v>0</v>
      </c>
      <c r="AE155" s="339">
        <f t="shared" si="82"/>
        <v>0</v>
      </c>
      <c r="AF155" s="336"/>
      <c r="AG155" s="11">
        <v>2</v>
      </c>
      <c r="AH155" s="340">
        <f t="shared" si="83"/>
        <v>0</v>
      </c>
      <c r="AI155" s="340">
        <f t="shared" si="83"/>
        <v>0</v>
      </c>
      <c r="AJ155" s="340">
        <f t="shared" si="83"/>
        <v>0</v>
      </c>
      <c r="AK155" s="340">
        <f t="shared" si="83"/>
        <v>0</v>
      </c>
      <c r="AL155" s="341">
        <f t="shared" si="84"/>
        <v>0</v>
      </c>
      <c r="AM155" s="341">
        <f t="shared" si="84"/>
        <v>0</v>
      </c>
      <c r="AN155" s="341">
        <f t="shared" si="84"/>
        <v>0</v>
      </c>
      <c r="AO155" s="341">
        <f t="shared" si="84"/>
        <v>0</v>
      </c>
    </row>
    <row r="156" ht="20.1" customHeight="1" spans="22:44">
      <c r="V156" s="336"/>
      <c r="W156" s="11">
        <v>3</v>
      </c>
      <c r="X156" s="335">
        <f t="shared" si="81"/>
        <v>0</v>
      </c>
      <c r="Y156" s="335">
        <f t="shared" si="81"/>
        <v>0</v>
      </c>
      <c r="Z156" s="335">
        <f t="shared" si="81"/>
        <v>0</v>
      </c>
      <c r="AA156" s="335">
        <f t="shared" si="81"/>
        <v>0</v>
      </c>
      <c r="AB156" s="339">
        <f t="shared" si="82"/>
        <v>0</v>
      </c>
      <c r="AC156" s="339">
        <f t="shared" si="82"/>
        <v>0</v>
      </c>
      <c r="AD156" s="339">
        <f t="shared" si="82"/>
        <v>0</v>
      </c>
      <c r="AE156" s="339">
        <f t="shared" si="82"/>
        <v>0</v>
      </c>
      <c r="AF156" s="336"/>
      <c r="AG156" s="11">
        <v>3</v>
      </c>
      <c r="AH156" s="340">
        <f t="shared" si="83"/>
        <v>0</v>
      </c>
      <c r="AI156" s="340">
        <f t="shared" si="83"/>
        <v>0</v>
      </c>
      <c r="AJ156" s="340">
        <f t="shared" si="83"/>
        <v>0</v>
      </c>
      <c r="AK156" s="340">
        <f t="shared" si="83"/>
        <v>0</v>
      </c>
      <c r="AL156" s="341">
        <f t="shared" si="84"/>
        <v>0</v>
      </c>
      <c r="AM156" s="341">
        <f t="shared" si="84"/>
        <v>0</v>
      </c>
      <c r="AN156" s="341">
        <f t="shared" si="84"/>
        <v>0</v>
      </c>
      <c r="AO156" s="341">
        <f t="shared" si="84"/>
        <v>0</v>
      </c>
      <c r="AR156" s="2" t="s">
        <v>285</v>
      </c>
    </row>
    <row r="157" ht="20.1" customHeight="1" spans="22:52">
      <c r="V157" s="336"/>
      <c r="W157" s="11">
        <v>4</v>
      </c>
      <c r="X157" s="335">
        <f t="shared" si="81"/>
        <v>0</v>
      </c>
      <c r="Y157" s="335">
        <f t="shared" si="81"/>
        <v>0</v>
      </c>
      <c r="Z157" s="335">
        <f t="shared" si="81"/>
        <v>0</v>
      </c>
      <c r="AA157" s="335">
        <f t="shared" si="81"/>
        <v>0</v>
      </c>
      <c r="AB157" s="339">
        <f t="shared" si="82"/>
        <v>0</v>
      </c>
      <c r="AC157" s="339">
        <f t="shared" si="82"/>
        <v>0</v>
      </c>
      <c r="AD157" s="339">
        <f t="shared" si="82"/>
        <v>0</v>
      </c>
      <c r="AE157" s="339">
        <f t="shared" si="82"/>
        <v>0</v>
      </c>
      <c r="AF157" s="336"/>
      <c r="AG157" s="11">
        <v>4</v>
      </c>
      <c r="AH157" s="340">
        <f t="shared" si="83"/>
        <v>0</v>
      </c>
      <c r="AI157" s="340">
        <f t="shared" si="83"/>
        <v>0</v>
      </c>
      <c r="AJ157" s="340">
        <f t="shared" si="83"/>
        <v>0</v>
      </c>
      <c r="AK157" s="340">
        <f t="shared" si="83"/>
        <v>0</v>
      </c>
      <c r="AL157" s="341">
        <f t="shared" si="84"/>
        <v>0</v>
      </c>
      <c r="AM157" s="341">
        <f t="shared" si="84"/>
        <v>0</v>
      </c>
      <c r="AN157" s="341">
        <f t="shared" si="84"/>
        <v>0</v>
      </c>
      <c r="AO157" s="341">
        <f t="shared" si="84"/>
        <v>0</v>
      </c>
      <c r="AR157" s="2">
        <v>1</v>
      </c>
      <c r="AS157" s="2" t="str">
        <f>IF(AS132="","",(AS132-AS$153)^2)</f>
        <v/>
      </c>
      <c r="AT157" s="2" t="str">
        <f>IF(AT132="","",(AT132-AT$153)^2)</f>
        <v/>
      </c>
      <c r="AU157" s="2" t="str">
        <f>IF(AU132="","",(AU132-AU$153)^2)</f>
        <v/>
      </c>
      <c r="AV157" s="2" t="str">
        <f>IF(AV132="","",(AV132-AV$153)^2)</f>
        <v/>
      </c>
      <c r="AY157" s="2" t="str">
        <f>IF(AY132="","",(AY132-AY$153)^2)</f>
        <v/>
      </c>
      <c r="AZ157" s="2" t="str">
        <f>IF(AZ132="","",(AZ132-AZ$153)^2)</f>
        <v/>
      </c>
    </row>
    <row r="158" ht="20.1" customHeight="1" spans="22:52">
      <c r="V158" s="336"/>
      <c r="W158" s="11">
        <v>5</v>
      </c>
      <c r="X158" s="335">
        <f t="shared" si="81"/>
        <v>0</v>
      </c>
      <c r="Y158" s="335">
        <f t="shared" si="81"/>
        <v>0</v>
      </c>
      <c r="Z158" s="335">
        <f t="shared" si="81"/>
        <v>0</v>
      </c>
      <c r="AA158" s="335">
        <f t="shared" si="81"/>
        <v>0</v>
      </c>
      <c r="AB158" s="339">
        <f t="shared" si="82"/>
        <v>0</v>
      </c>
      <c r="AC158" s="339">
        <f t="shared" si="82"/>
        <v>0</v>
      </c>
      <c r="AD158" s="339">
        <f t="shared" si="82"/>
        <v>0</v>
      </c>
      <c r="AE158" s="339">
        <f t="shared" si="82"/>
        <v>0</v>
      </c>
      <c r="AF158" s="336"/>
      <c r="AG158" s="11">
        <v>5</v>
      </c>
      <c r="AH158" s="340">
        <f t="shared" si="83"/>
        <v>0</v>
      </c>
      <c r="AI158" s="340">
        <f t="shared" si="83"/>
        <v>0</v>
      </c>
      <c r="AJ158" s="340">
        <f t="shared" si="83"/>
        <v>0</v>
      </c>
      <c r="AK158" s="340">
        <f t="shared" si="83"/>
        <v>0</v>
      </c>
      <c r="AL158" s="341">
        <f t="shared" si="84"/>
        <v>0</v>
      </c>
      <c r="AM158" s="341">
        <f t="shared" si="84"/>
        <v>0</v>
      </c>
      <c r="AN158" s="341">
        <f t="shared" si="84"/>
        <v>0</v>
      </c>
      <c r="AO158" s="341">
        <f t="shared" si="84"/>
        <v>0</v>
      </c>
      <c r="AR158" s="2">
        <v>2</v>
      </c>
      <c r="AS158" s="2" t="str">
        <f t="shared" ref="AS158:AV173" si="85">IF(AS133="","",(AS133-AS$153)^2)</f>
        <v/>
      </c>
      <c r="AT158" s="2" t="str">
        <f t="shared" si="85"/>
        <v/>
      </c>
      <c r="AU158" s="2" t="str">
        <f t="shared" si="85"/>
        <v/>
      </c>
      <c r="AV158" s="2" t="str">
        <f t="shared" si="85"/>
        <v/>
      </c>
      <c r="AY158" s="2" t="str">
        <f t="shared" ref="AY158:AZ173" si="86">IF(AY133="","",(AY133-AY$153)^2)</f>
        <v/>
      </c>
      <c r="AZ158" s="2" t="str">
        <f t="shared" si="86"/>
        <v/>
      </c>
    </row>
    <row r="159" ht="20.1" customHeight="1" spans="22:52">
      <c r="V159" s="336"/>
      <c r="W159" s="11">
        <v>6</v>
      </c>
      <c r="X159" s="335">
        <f t="shared" si="81"/>
        <v>0</v>
      </c>
      <c r="Y159" s="335">
        <f t="shared" si="81"/>
        <v>0</v>
      </c>
      <c r="Z159" s="335">
        <f t="shared" si="81"/>
        <v>0</v>
      </c>
      <c r="AA159" s="335">
        <f t="shared" si="81"/>
        <v>0</v>
      </c>
      <c r="AB159" s="339">
        <f t="shared" si="82"/>
        <v>0</v>
      </c>
      <c r="AC159" s="339">
        <f t="shared" si="82"/>
        <v>0</v>
      </c>
      <c r="AD159" s="339">
        <f t="shared" si="82"/>
        <v>0</v>
      </c>
      <c r="AE159" s="339">
        <f t="shared" si="82"/>
        <v>0</v>
      </c>
      <c r="AF159" s="336"/>
      <c r="AG159" s="11">
        <v>6</v>
      </c>
      <c r="AH159" s="340">
        <f t="shared" si="83"/>
        <v>0</v>
      </c>
      <c r="AI159" s="340">
        <f t="shared" si="83"/>
        <v>0</v>
      </c>
      <c r="AJ159" s="340">
        <f t="shared" si="83"/>
        <v>0</v>
      </c>
      <c r="AK159" s="340">
        <f t="shared" si="83"/>
        <v>0</v>
      </c>
      <c r="AL159" s="341">
        <f t="shared" si="84"/>
        <v>0</v>
      </c>
      <c r="AM159" s="341">
        <f t="shared" si="84"/>
        <v>0</v>
      </c>
      <c r="AN159" s="341">
        <f t="shared" si="84"/>
        <v>0</v>
      </c>
      <c r="AO159" s="341">
        <f t="shared" si="84"/>
        <v>0</v>
      </c>
      <c r="AR159" s="2">
        <v>3</v>
      </c>
      <c r="AS159" s="2" t="str">
        <f t="shared" si="85"/>
        <v/>
      </c>
      <c r="AT159" s="2" t="str">
        <f t="shared" si="85"/>
        <v/>
      </c>
      <c r="AU159" s="2" t="str">
        <f t="shared" si="85"/>
        <v/>
      </c>
      <c r="AV159" s="2" t="str">
        <f t="shared" si="85"/>
        <v/>
      </c>
      <c r="AY159" s="2" t="str">
        <f t="shared" si="86"/>
        <v/>
      </c>
      <c r="AZ159" s="2" t="str">
        <f t="shared" si="86"/>
        <v/>
      </c>
    </row>
    <row r="160" ht="20.1" customHeight="1" spans="22:52">
      <c r="V160" s="336"/>
      <c r="W160" s="11">
        <v>7</v>
      </c>
      <c r="X160" s="335">
        <f t="shared" si="81"/>
        <v>0</v>
      </c>
      <c r="Y160" s="335">
        <f t="shared" si="81"/>
        <v>0</v>
      </c>
      <c r="Z160" s="335">
        <f t="shared" si="81"/>
        <v>0</v>
      </c>
      <c r="AA160" s="335">
        <f t="shared" si="81"/>
        <v>0</v>
      </c>
      <c r="AB160" s="339">
        <f t="shared" si="82"/>
        <v>0</v>
      </c>
      <c r="AC160" s="339">
        <f t="shared" si="82"/>
        <v>0</v>
      </c>
      <c r="AD160" s="339">
        <f t="shared" si="82"/>
        <v>0</v>
      </c>
      <c r="AE160" s="339">
        <f t="shared" si="82"/>
        <v>0</v>
      </c>
      <c r="AF160" s="336"/>
      <c r="AG160" s="11">
        <v>7</v>
      </c>
      <c r="AH160" s="340">
        <f t="shared" si="83"/>
        <v>0</v>
      </c>
      <c r="AI160" s="340">
        <f t="shared" si="83"/>
        <v>0</v>
      </c>
      <c r="AJ160" s="340">
        <f t="shared" si="83"/>
        <v>0</v>
      </c>
      <c r="AK160" s="340">
        <f t="shared" si="83"/>
        <v>0</v>
      </c>
      <c r="AL160" s="341">
        <f t="shared" si="84"/>
        <v>0</v>
      </c>
      <c r="AM160" s="341">
        <f t="shared" si="84"/>
        <v>0</v>
      </c>
      <c r="AN160" s="341">
        <f t="shared" si="84"/>
        <v>0</v>
      </c>
      <c r="AO160" s="341">
        <f t="shared" si="84"/>
        <v>0</v>
      </c>
      <c r="AR160" s="2">
        <v>4</v>
      </c>
      <c r="AS160" s="2" t="str">
        <f t="shared" si="85"/>
        <v/>
      </c>
      <c r="AT160" s="2" t="str">
        <f t="shared" si="85"/>
        <v/>
      </c>
      <c r="AU160" s="2" t="str">
        <f t="shared" si="85"/>
        <v/>
      </c>
      <c r="AV160" s="2" t="str">
        <f t="shared" si="85"/>
        <v/>
      </c>
      <c r="AY160" s="2" t="str">
        <f t="shared" si="86"/>
        <v/>
      </c>
      <c r="AZ160" s="2" t="str">
        <f t="shared" si="86"/>
        <v/>
      </c>
    </row>
    <row r="161" ht="20.1" customHeight="1" spans="22:52">
      <c r="V161" s="336"/>
      <c r="W161" s="11">
        <v>8</v>
      </c>
      <c r="X161" s="335">
        <f t="shared" si="81"/>
        <v>0</v>
      </c>
      <c r="Y161" s="335">
        <f t="shared" si="81"/>
        <v>0</v>
      </c>
      <c r="Z161" s="335">
        <f t="shared" si="81"/>
        <v>0</v>
      </c>
      <c r="AA161" s="335">
        <f t="shared" si="81"/>
        <v>0</v>
      </c>
      <c r="AB161" s="339">
        <f t="shared" si="82"/>
        <v>0</v>
      </c>
      <c r="AC161" s="339">
        <f t="shared" si="82"/>
        <v>0</v>
      </c>
      <c r="AD161" s="339">
        <f t="shared" si="82"/>
        <v>0</v>
      </c>
      <c r="AE161" s="339">
        <f t="shared" si="82"/>
        <v>0</v>
      </c>
      <c r="AF161" s="336"/>
      <c r="AG161" s="11">
        <v>8</v>
      </c>
      <c r="AH161" s="340">
        <f t="shared" si="83"/>
        <v>0</v>
      </c>
      <c r="AI161" s="340">
        <f t="shared" si="83"/>
        <v>0</v>
      </c>
      <c r="AJ161" s="340">
        <f t="shared" si="83"/>
        <v>0</v>
      </c>
      <c r="AK161" s="340">
        <f t="shared" si="83"/>
        <v>0</v>
      </c>
      <c r="AL161" s="341">
        <f t="shared" si="84"/>
        <v>0</v>
      </c>
      <c r="AM161" s="341">
        <f t="shared" si="84"/>
        <v>0</v>
      </c>
      <c r="AN161" s="341">
        <f t="shared" si="84"/>
        <v>0</v>
      </c>
      <c r="AO161" s="341">
        <f t="shared" si="84"/>
        <v>0</v>
      </c>
      <c r="AR161" s="2">
        <v>5</v>
      </c>
      <c r="AS161" s="2" t="str">
        <f t="shared" si="85"/>
        <v/>
      </c>
      <c r="AT161" s="2" t="str">
        <f t="shared" si="85"/>
        <v/>
      </c>
      <c r="AU161" s="2" t="str">
        <f t="shared" si="85"/>
        <v/>
      </c>
      <c r="AV161" s="2" t="str">
        <f t="shared" si="85"/>
        <v/>
      </c>
      <c r="AY161" s="2" t="str">
        <f t="shared" si="86"/>
        <v/>
      </c>
      <c r="AZ161" s="2" t="str">
        <f t="shared" si="86"/>
        <v/>
      </c>
    </row>
    <row r="162" ht="20.1" customHeight="1" spans="22:52">
      <c r="V162" s="336"/>
      <c r="W162" s="11">
        <v>9</v>
      </c>
      <c r="X162" s="335">
        <f t="shared" si="81"/>
        <v>0</v>
      </c>
      <c r="Y162" s="335">
        <f t="shared" si="81"/>
        <v>0</v>
      </c>
      <c r="Z162" s="335">
        <f t="shared" si="81"/>
        <v>0</v>
      </c>
      <c r="AA162" s="335">
        <f t="shared" si="81"/>
        <v>0</v>
      </c>
      <c r="AB162" s="339">
        <f t="shared" si="82"/>
        <v>0</v>
      </c>
      <c r="AC162" s="339">
        <f t="shared" si="82"/>
        <v>0</v>
      </c>
      <c r="AD162" s="339">
        <f t="shared" si="82"/>
        <v>0</v>
      </c>
      <c r="AE162" s="339">
        <f t="shared" si="82"/>
        <v>0</v>
      </c>
      <c r="AF162" s="336"/>
      <c r="AG162" s="11">
        <v>9</v>
      </c>
      <c r="AH162" s="340">
        <f t="shared" si="83"/>
        <v>0</v>
      </c>
      <c r="AI162" s="340">
        <f t="shared" si="83"/>
        <v>0</v>
      </c>
      <c r="AJ162" s="340">
        <f t="shared" si="83"/>
        <v>0</v>
      </c>
      <c r="AK162" s="340">
        <f t="shared" si="83"/>
        <v>0</v>
      </c>
      <c r="AL162" s="341">
        <f t="shared" si="84"/>
        <v>0</v>
      </c>
      <c r="AM162" s="341">
        <f t="shared" si="84"/>
        <v>0</v>
      </c>
      <c r="AN162" s="341">
        <f t="shared" si="84"/>
        <v>0</v>
      </c>
      <c r="AO162" s="341">
        <f t="shared" si="84"/>
        <v>0</v>
      </c>
      <c r="AR162" s="2">
        <v>6</v>
      </c>
      <c r="AS162" s="2" t="str">
        <f t="shared" si="85"/>
        <v/>
      </c>
      <c r="AT162" s="2" t="str">
        <f t="shared" si="85"/>
        <v/>
      </c>
      <c r="AU162" s="2" t="str">
        <f t="shared" si="85"/>
        <v/>
      </c>
      <c r="AV162" s="2" t="str">
        <f t="shared" si="85"/>
        <v/>
      </c>
      <c r="AY162" s="2" t="str">
        <f t="shared" si="86"/>
        <v/>
      </c>
      <c r="AZ162" s="2" t="str">
        <f t="shared" si="86"/>
        <v/>
      </c>
    </row>
    <row r="163" ht="20.1" customHeight="1" spans="22:52">
      <c r="V163" s="336"/>
      <c r="W163" s="11">
        <v>10</v>
      </c>
      <c r="X163" s="335">
        <f t="shared" si="81"/>
        <v>0</v>
      </c>
      <c r="Y163" s="335">
        <f t="shared" si="81"/>
        <v>0</v>
      </c>
      <c r="Z163" s="335">
        <f t="shared" si="81"/>
        <v>0</v>
      </c>
      <c r="AA163" s="335">
        <f t="shared" si="81"/>
        <v>0</v>
      </c>
      <c r="AB163" s="339">
        <f t="shared" si="82"/>
        <v>0</v>
      </c>
      <c r="AC163" s="339">
        <f t="shared" si="82"/>
        <v>0</v>
      </c>
      <c r="AD163" s="339">
        <f t="shared" si="82"/>
        <v>0</v>
      </c>
      <c r="AE163" s="339">
        <f t="shared" si="82"/>
        <v>0</v>
      </c>
      <c r="AF163" s="336"/>
      <c r="AG163" s="11">
        <v>10</v>
      </c>
      <c r="AH163" s="340">
        <f t="shared" si="83"/>
        <v>0</v>
      </c>
      <c r="AI163" s="340">
        <f t="shared" si="83"/>
        <v>0</v>
      </c>
      <c r="AJ163" s="340">
        <f t="shared" si="83"/>
        <v>0</v>
      </c>
      <c r="AK163" s="340">
        <f t="shared" si="83"/>
        <v>0</v>
      </c>
      <c r="AL163" s="341">
        <f t="shared" si="84"/>
        <v>0</v>
      </c>
      <c r="AM163" s="341">
        <f t="shared" si="84"/>
        <v>0</v>
      </c>
      <c r="AN163" s="341">
        <f t="shared" si="84"/>
        <v>0</v>
      </c>
      <c r="AO163" s="341">
        <f t="shared" si="84"/>
        <v>0</v>
      </c>
      <c r="AR163" s="2">
        <v>7</v>
      </c>
      <c r="AS163" s="2" t="str">
        <f t="shared" si="85"/>
        <v/>
      </c>
      <c r="AT163" s="2" t="str">
        <f t="shared" si="85"/>
        <v/>
      </c>
      <c r="AU163" s="2" t="str">
        <f t="shared" si="85"/>
        <v/>
      </c>
      <c r="AV163" s="2" t="str">
        <f t="shared" si="85"/>
        <v/>
      </c>
      <c r="AY163" s="2" t="str">
        <f t="shared" si="86"/>
        <v/>
      </c>
      <c r="AZ163" s="2" t="str">
        <f t="shared" si="86"/>
        <v/>
      </c>
    </row>
    <row r="164" ht="20.1" customHeight="1" spans="22:52">
      <c r="V164" s="336"/>
      <c r="W164" s="11">
        <v>11</v>
      </c>
      <c r="X164" s="335">
        <f t="shared" si="81"/>
        <v>9850</v>
      </c>
      <c r="Y164" s="335">
        <f t="shared" si="81"/>
        <v>9850</v>
      </c>
      <c r="Z164" s="335">
        <f t="shared" si="81"/>
        <v>10100</v>
      </c>
      <c r="AA164" s="335">
        <f t="shared" si="81"/>
        <v>10100</v>
      </c>
      <c r="AB164" s="339">
        <f t="shared" si="82"/>
        <v>0</v>
      </c>
      <c r="AC164" s="339">
        <f t="shared" si="82"/>
        <v>0</v>
      </c>
      <c r="AD164" s="339">
        <f t="shared" si="82"/>
        <v>0</v>
      </c>
      <c r="AE164" s="339">
        <f t="shared" si="82"/>
        <v>0</v>
      </c>
      <c r="AF164" s="336"/>
      <c r="AG164" s="11">
        <v>11</v>
      </c>
      <c r="AH164" s="340">
        <f t="shared" si="83"/>
        <v>12950</v>
      </c>
      <c r="AI164" s="340">
        <f t="shared" si="83"/>
        <v>12950</v>
      </c>
      <c r="AJ164" s="340">
        <f t="shared" si="83"/>
        <v>13350</v>
      </c>
      <c r="AK164" s="340">
        <f t="shared" si="83"/>
        <v>13500</v>
      </c>
      <c r="AL164" s="341">
        <f t="shared" si="84"/>
        <v>0</v>
      </c>
      <c r="AM164" s="341">
        <f t="shared" si="84"/>
        <v>0</v>
      </c>
      <c r="AN164" s="341">
        <f t="shared" si="84"/>
        <v>0</v>
      </c>
      <c r="AO164" s="341">
        <f t="shared" si="84"/>
        <v>0</v>
      </c>
      <c r="AR164" s="2">
        <v>8</v>
      </c>
      <c r="AS164" s="2" t="str">
        <f t="shared" si="85"/>
        <v/>
      </c>
      <c r="AT164" s="2" t="str">
        <f t="shared" si="85"/>
        <v/>
      </c>
      <c r="AU164" s="2" t="str">
        <f t="shared" si="85"/>
        <v/>
      </c>
      <c r="AV164" s="2" t="str">
        <f t="shared" si="85"/>
        <v/>
      </c>
      <c r="AY164" s="2" t="str">
        <f t="shared" si="86"/>
        <v/>
      </c>
      <c r="AZ164" s="2" t="str">
        <f t="shared" si="86"/>
        <v/>
      </c>
    </row>
    <row r="165" ht="20.1" customHeight="1" spans="22:52">
      <c r="V165" s="336"/>
      <c r="W165" s="11">
        <v>12</v>
      </c>
      <c r="X165" s="335">
        <f t="shared" si="81"/>
        <v>0</v>
      </c>
      <c r="Y165" s="335">
        <f t="shared" si="81"/>
        <v>0</v>
      </c>
      <c r="Z165" s="335">
        <f t="shared" si="81"/>
        <v>0</v>
      </c>
      <c r="AA165" s="335">
        <f t="shared" si="81"/>
        <v>0</v>
      </c>
      <c r="AB165" s="339">
        <f t="shared" si="82"/>
        <v>0</v>
      </c>
      <c r="AC165" s="339">
        <f t="shared" si="82"/>
        <v>0</v>
      </c>
      <c r="AD165" s="339">
        <f t="shared" si="82"/>
        <v>0</v>
      </c>
      <c r="AE165" s="339">
        <f t="shared" si="82"/>
        <v>0</v>
      </c>
      <c r="AF165" s="336"/>
      <c r="AG165" s="11">
        <v>12</v>
      </c>
      <c r="AH165" s="340">
        <f t="shared" si="83"/>
        <v>0</v>
      </c>
      <c r="AI165" s="340">
        <f t="shared" si="83"/>
        <v>0</v>
      </c>
      <c r="AJ165" s="340">
        <f t="shared" si="83"/>
        <v>0</v>
      </c>
      <c r="AK165" s="340">
        <f t="shared" si="83"/>
        <v>0</v>
      </c>
      <c r="AL165" s="341">
        <f t="shared" si="84"/>
        <v>0</v>
      </c>
      <c r="AM165" s="341">
        <f t="shared" si="84"/>
        <v>0</v>
      </c>
      <c r="AN165" s="341">
        <f t="shared" si="84"/>
        <v>0</v>
      </c>
      <c r="AO165" s="341">
        <f t="shared" si="84"/>
        <v>0</v>
      </c>
      <c r="AR165" s="2">
        <v>9</v>
      </c>
      <c r="AS165" s="2" t="str">
        <f t="shared" si="85"/>
        <v/>
      </c>
      <c r="AT165" s="2" t="str">
        <f t="shared" si="85"/>
        <v/>
      </c>
      <c r="AU165" s="2" t="str">
        <f t="shared" si="85"/>
        <v/>
      </c>
      <c r="AV165" s="2" t="str">
        <f t="shared" si="85"/>
        <v/>
      </c>
      <c r="AY165" s="2" t="str">
        <f t="shared" si="86"/>
        <v/>
      </c>
      <c r="AZ165" s="2" t="str">
        <f t="shared" si="86"/>
        <v/>
      </c>
    </row>
    <row r="166" ht="20.1" customHeight="1" spans="22:52">
      <c r="V166" s="336"/>
      <c r="W166" s="11">
        <v>13</v>
      </c>
      <c r="X166" s="335">
        <f t="shared" si="81"/>
        <v>0</v>
      </c>
      <c r="Y166" s="335">
        <f t="shared" si="81"/>
        <v>0</v>
      </c>
      <c r="Z166" s="335">
        <f t="shared" si="81"/>
        <v>0</v>
      </c>
      <c r="AA166" s="335">
        <f t="shared" si="81"/>
        <v>0</v>
      </c>
      <c r="AB166" s="339">
        <f t="shared" si="82"/>
        <v>0</v>
      </c>
      <c r="AC166" s="339">
        <f t="shared" si="82"/>
        <v>0</v>
      </c>
      <c r="AD166" s="339">
        <f t="shared" si="82"/>
        <v>0</v>
      </c>
      <c r="AE166" s="339">
        <f t="shared" si="82"/>
        <v>0</v>
      </c>
      <c r="AF166" s="336"/>
      <c r="AG166" s="11">
        <v>13</v>
      </c>
      <c r="AH166" s="340">
        <f t="shared" si="83"/>
        <v>0</v>
      </c>
      <c r="AI166" s="340">
        <f t="shared" si="83"/>
        <v>0</v>
      </c>
      <c r="AJ166" s="340">
        <f t="shared" si="83"/>
        <v>0</v>
      </c>
      <c r="AK166" s="340">
        <f t="shared" si="83"/>
        <v>0</v>
      </c>
      <c r="AL166" s="341">
        <f t="shared" si="84"/>
        <v>0</v>
      </c>
      <c r="AM166" s="341">
        <f t="shared" si="84"/>
        <v>0</v>
      </c>
      <c r="AN166" s="341">
        <f t="shared" si="84"/>
        <v>0</v>
      </c>
      <c r="AO166" s="341">
        <f t="shared" si="84"/>
        <v>0</v>
      </c>
      <c r="AR166" s="2">
        <v>10</v>
      </c>
      <c r="AS166" s="2" t="str">
        <f t="shared" si="85"/>
        <v/>
      </c>
      <c r="AT166" s="2" t="str">
        <f t="shared" si="85"/>
        <v/>
      </c>
      <c r="AU166" s="2" t="str">
        <f t="shared" si="85"/>
        <v/>
      </c>
      <c r="AV166" s="2" t="str">
        <f t="shared" si="85"/>
        <v/>
      </c>
      <c r="AY166" s="2" t="str">
        <f t="shared" si="86"/>
        <v/>
      </c>
      <c r="AZ166" s="2" t="str">
        <f t="shared" si="86"/>
        <v/>
      </c>
    </row>
    <row r="167" ht="19.5" customHeight="1" spans="22:52">
      <c r="V167" s="336"/>
      <c r="W167" s="11">
        <v>14</v>
      </c>
      <c r="X167" s="335">
        <f t="shared" si="81"/>
        <v>0</v>
      </c>
      <c r="Y167" s="335">
        <f t="shared" si="81"/>
        <v>0</v>
      </c>
      <c r="Z167" s="335">
        <f t="shared" si="81"/>
        <v>0</v>
      </c>
      <c r="AA167" s="335">
        <f t="shared" si="81"/>
        <v>0</v>
      </c>
      <c r="AB167" s="339">
        <f t="shared" si="82"/>
        <v>0</v>
      </c>
      <c r="AC167" s="339">
        <f t="shared" si="82"/>
        <v>0</v>
      </c>
      <c r="AD167" s="339">
        <f t="shared" si="82"/>
        <v>0</v>
      </c>
      <c r="AE167" s="339">
        <f t="shared" si="82"/>
        <v>0</v>
      </c>
      <c r="AF167" s="336"/>
      <c r="AG167" s="11">
        <v>14</v>
      </c>
      <c r="AH167" s="340">
        <f t="shared" si="83"/>
        <v>0</v>
      </c>
      <c r="AI167" s="340">
        <f t="shared" si="83"/>
        <v>0</v>
      </c>
      <c r="AJ167" s="340">
        <f t="shared" si="83"/>
        <v>0</v>
      </c>
      <c r="AK167" s="340">
        <f t="shared" si="83"/>
        <v>0</v>
      </c>
      <c r="AL167" s="341">
        <f t="shared" si="84"/>
        <v>0</v>
      </c>
      <c r="AM167" s="341">
        <f t="shared" si="84"/>
        <v>0</v>
      </c>
      <c r="AN167" s="341">
        <f t="shared" si="84"/>
        <v>0</v>
      </c>
      <c r="AO167" s="341">
        <f t="shared" si="84"/>
        <v>0</v>
      </c>
      <c r="AR167" s="2">
        <v>11</v>
      </c>
      <c r="AS167" s="2" t="str">
        <f t="shared" si="85"/>
        <v/>
      </c>
      <c r="AT167" s="2" t="str">
        <f t="shared" si="85"/>
        <v/>
      </c>
      <c r="AU167" s="2" t="str">
        <f t="shared" si="85"/>
        <v/>
      </c>
      <c r="AV167" s="2" t="str">
        <f t="shared" si="85"/>
        <v/>
      </c>
      <c r="AY167" s="2" t="str">
        <f t="shared" si="86"/>
        <v/>
      </c>
      <c r="AZ167" s="2" t="str">
        <f t="shared" si="86"/>
        <v/>
      </c>
    </row>
    <row r="168" ht="19.5" customHeight="1" spans="22:52">
      <c r="V168" s="336"/>
      <c r="W168" s="11">
        <v>15</v>
      </c>
      <c r="X168" s="335">
        <f t="shared" si="81"/>
        <v>0</v>
      </c>
      <c r="Y168" s="335">
        <f t="shared" si="81"/>
        <v>0</v>
      </c>
      <c r="Z168" s="335">
        <f t="shared" si="81"/>
        <v>0</v>
      </c>
      <c r="AA168" s="335">
        <f t="shared" si="81"/>
        <v>0</v>
      </c>
      <c r="AB168" s="339">
        <f t="shared" si="82"/>
        <v>0</v>
      </c>
      <c r="AC168" s="339">
        <f t="shared" si="82"/>
        <v>0</v>
      </c>
      <c r="AD168" s="339">
        <f t="shared" si="82"/>
        <v>0</v>
      </c>
      <c r="AE168" s="339">
        <f t="shared" si="82"/>
        <v>0</v>
      </c>
      <c r="AF168" s="336"/>
      <c r="AG168" s="11">
        <v>15</v>
      </c>
      <c r="AH168" s="340">
        <f t="shared" si="83"/>
        <v>0</v>
      </c>
      <c r="AI168" s="340">
        <f t="shared" si="83"/>
        <v>0</v>
      </c>
      <c r="AJ168" s="340">
        <f t="shared" si="83"/>
        <v>0</v>
      </c>
      <c r="AK168" s="340">
        <f t="shared" si="83"/>
        <v>0</v>
      </c>
      <c r="AL168" s="341">
        <f t="shared" si="84"/>
        <v>0</v>
      </c>
      <c r="AM168" s="341">
        <f t="shared" si="84"/>
        <v>0</v>
      </c>
      <c r="AN168" s="341">
        <f t="shared" si="84"/>
        <v>0</v>
      </c>
      <c r="AO168" s="341">
        <f t="shared" si="84"/>
        <v>0</v>
      </c>
      <c r="AR168" s="2">
        <v>12</v>
      </c>
      <c r="AS168" s="2" t="str">
        <f t="shared" si="85"/>
        <v/>
      </c>
      <c r="AT168" s="2" t="str">
        <f t="shared" si="85"/>
        <v/>
      </c>
      <c r="AU168" s="2" t="str">
        <f t="shared" si="85"/>
        <v/>
      </c>
      <c r="AV168" s="2" t="str">
        <f t="shared" si="85"/>
        <v/>
      </c>
      <c r="AY168" s="2" t="str">
        <f t="shared" si="86"/>
        <v/>
      </c>
      <c r="AZ168" s="2" t="str">
        <f t="shared" si="86"/>
        <v/>
      </c>
    </row>
    <row r="169" ht="19.5" customHeight="1" spans="22:52">
      <c r="V169" s="336"/>
      <c r="W169" s="11">
        <v>16</v>
      </c>
      <c r="X169" s="335">
        <f t="shared" si="81"/>
        <v>0</v>
      </c>
      <c r="Y169" s="335">
        <f t="shared" si="81"/>
        <v>0</v>
      </c>
      <c r="Z169" s="335">
        <f t="shared" si="81"/>
        <v>0</v>
      </c>
      <c r="AA169" s="335">
        <f t="shared" si="81"/>
        <v>0</v>
      </c>
      <c r="AB169" s="339">
        <f t="shared" si="82"/>
        <v>0</v>
      </c>
      <c r="AC169" s="339">
        <f t="shared" si="82"/>
        <v>0</v>
      </c>
      <c r="AD169" s="339">
        <f t="shared" si="82"/>
        <v>0</v>
      </c>
      <c r="AE169" s="339">
        <f t="shared" si="82"/>
        <v>0</v>
      </c>
      <c r="AF169" s="336"/>
      <c r="AG169" s="11">
        <v>16</v>
      </c>
      <c r="AH169" s="340">
        <f t="shared" si="83"/>
        <v>0</v>
      </c>
      <c r="AI169" s="340">
        <f t="shared" si="83"/>
        <v>0</v>
      </c>
      <c r="AJ169" s="340">
        <f t="shared" si="83"/>
        <v>0</v>
      </c>
      <c r="AK169" s="340">
        <f t="shared" si="83"/>
        <v>0</v>
      </c>
      <c r="AL169" s="341">
        <f t="shared" si="84"/>
        <v>0</v>
      </c>
      <c r="AM169" s="341">
        <f t="shared" si="84"/>
        <v>0</v>
      </c>
      <c r="AN169" s="341">
        <f t="shared" si="84"/>
        <v>0</v>
      </c>
      <c r="AO169" s="341">
        <f t="shared" si="84"/>
        <v>0</v>
      </c>
      <c r="AR169" s="2">
        <v>13</v>
      </c>
      <c r="AS169" s="2" t="str">
        <f t="shared" si="85"/>
        <v/>
      </c>
      <c r="AT169" s="2" t="str">
        <f t="shared" si="85"/>
        <v/>
      </c>
      <c r="AU169" s="2" t="str">
        <f t="shared" si="85"/>
        <v/>
      </c>
      <c r="AV169" s="2" t="str">
        <f t="shared" si="85"/>
        <v/>
      </c>
      <c r="AY169" s="2" t="str">
        <f t="shared" si="86"/>
        <v/>
      </c>
      <c r="AZ169" s="2" t="str">
        <f t="shared" si="86"/>
        <v/>
      </c>
    </row>
    <row r="170" ht="19.5" customHeight="1" spans="22:52">
      <c r="V170" s="336"/>
      <c r="W170" s="11">
        <v>17</v>
      </c>
      <c r="X170" s="335">
        <f t="shared" si="81"/>
        <v>0</v>
      </c>
      <c r="Y170" s="335">
        <f t="shared" si="81"/>
        <v>0</v>
      </c>
      <c r="Z170" s="335">
        <f t="shared" si="81"/>
        <v>0</v>
      </c>
      <c r="AA170" s="335">
        <f t="shared" si="81"/>
        <v>0</v>
      </c>
      <c r="AB170" s="339">
        <f t="shared" si="82"/>
        <v>0</v>
      </c>
      <c r="AC170" s="339">
        <f t="shared" si="82"/>
        <v>0</v>
      </c>
      <c r="AD170" s="339">
        <f t="shared" si="82"/>
        <v>0</v>
      </c>
      <c r="AE170" s="339">
        <f t="shared" si="82"/>
        <v>0</v>
      </c>
      <c r="AF170" s="336"/>
      <c r="AG170" s="11">
        <v>17</v>
      </c>
      <c r="AH170" s="340">
        <f t="shared" si="83"/>
        <v>0</v>
      </c>
      <c r="AI170" s="340">
        <f t="shared" si="83"/>
        <v>0</v>
      </c>
      <c r="AJ170" s="340">
        <f t="shared" si="83"/>
        <v>0</v>
      </c>
      <c r="AK170" s="340">
        <f t="shared" si="83"/>
        <v>0</v>
      </c>
      <c r="AL170" s="341">
        <f t="shared" si="84"/>
        <v>0</v>
      </c>
      <c r="AM170" s="341">
        <f t="shared" si="84"/>
        <v>0</v>
      </c>
      <c r="AN170" s="341">
        <f t="shared" si="84"/>
        <v>0</v>
      </c>
      <c r="AO170" s="341">
        <f t="shared" si="84"/>
        <v>0</v>
      </c>
      <c r="AR170" s="2">
        <v>14</v>
      </c>
      <c r="AS170" s="2" t="str">
        <f t="shared" si="85"/>
        <v/>
      </c>
      <c r="AT170" s="2" t="str">
        <f t="shared" si="85"/>
        <v/>
      </c>
      <c r="AU170" s="2" t="str">
        <f t="shared" si="85"/>
        <v/>
      </c>
      <c r="AV170" s="2" t="str">
        <f t="shared" si="85"/>
        <v/>
      </c>
      <c r="AY170" s="2" t="str">
        <f t="shared" si="86"/>
        <v/>
      </c>
      <c r="AZ170" s="2" t="str">
        <f t="shared" si="86"/>
        <v/>
      </c>
    </row>
    <row r="171" ht="19.5" customHeight="1" spans="22:52">
      <c r="V171" s="336"/>
      <c r="W171" s="11">
        <v>18</v>
      </c>
      <c r="X171" s="335">
        <f t="shared" si="81"/>
        <v>0</v>
      </c>
      <c r="Y171" s="335">
        <f t="shared" si="81"/>
        <v>0</v>
      </c>
      <c r="Z171" s="335">
        <f t="shared" si="81"/>
        <v>0</v>
      </c>
      <c r="AA171" s="335">
        <f t="shared" si="81"/>
        <v>0</v>
      </c>
      <c r="AB171" s="339">
        <f t="shared" si="82"/>
        <v>0</v>
      </c>
      <c r="AC171" s="339">
        <f t="shared" si="82"/>
        <v>0</v>
      </c>
      <c r="AD171" s="339">
        <f t="shared" si="82"/>
        <v>0</v>
      </c>
      <c r="AE171" s="339">
        <f t="shared" si="82"/>
        <v>0</v>
      </c>
      <c r="AF171" s="336"/>
      <c r="AG171" s="11">
        <v>18</v>
      </c>
      <c r="AH171" s="340">
        <f t="shared" si="83"/>
        <v>0</v>
      </c>
      <c r="AI171" s="340">
        <f t="shared" si="83"/>
        <v>0</v>
      </c>
      <c r="AJ171" s="340">
        <f t="shared" si="83"/>
        <v>0</v>
      </c>
      <c r="AK171" s="340">
        <f t="shared" si="83"/>
        <v>0</v>
      </c>
      <c r="AL171" s="341">
        <f t="shared" si="84"/>
        <v>0</v>
      </c>
      <c r="AM171" s="341">
        <f t="shared" si="84"/>
        <v>0</v>
      </c>
      <c r="AN171" s="341">
        <f t="shared" si="84"/>
        <v>0</v>
      </c>
      <c r="AO171" s="341">
        <f t="shared" si="84"/>
        <v>0</v>
      </c>
      <c r="AR171" s="2">
        <v>15</v>
      </c>
      <c r="AS171" s="2" t="str">
        <f t="shared" si="85"/>
        <v/>
      </c>
      <c r="AT171" s="2" t="str">
        <f t="shared" si="85"/>
        <v/>
      </c>
      <c r="AU171" s="2" t="str">
        <f t="shared" si="85"/>
        <v/>
      </c>
      <c r="AV171" s="2" t="str">
        <f t="shared" si="85"/>
        <v/>
      </c>
      <c r="AY171" s="2" t="str">
        <f t="shared" si="86"/>
        <v/>
      </c>
      <c r="AZ171" s="2" t="str">
        <f t="shared" si="86"/>
        <v/>
      </c>
    </row>
    <row r="172" ht="19.5" customHeight="1" spans="22:52">
      <c r="V172" s="336"/>
      <c r="W172" s="11">
        <v>19</v>
      </c>
      <c r="X172" s="335">
        <f t="shared" si="81"/>
        <v>0</v>
      </c>
      <c r="Y172" s="335">
        <f t="shared" si="81"/>
        <v>0</v>
      </c>
      <c r="Z172" s="335">
        <f t="shared" si="81"/>
        <v>0</v>
      </c>
      <c r="AA172" s="335">
        <f t="shared" si="81"/>
        <v>0</v>
      </c>
      <c r="AB172" s="339">
        <f t="shared" si="82"/>
        <v>0</v>
      </c>
      <c r="AC172" s="339">
        <f t="shared" si="82"/>
        <v>0</v>
      </c>
      <c r="AD172" s="339">
        <f t="shared" si="82"/>
        <v>0</v>
      </c>
      <c r="AE172" s="339">
        <f t="shared" si="82"/>
        <v>0</v>
      </c>
      <c r="AF172" s="336"/>
      <c r="AG172" s="11">
        <v>19</v>
      </c>
      <c r="AH172" s="340">
        <f t="shared" si="83"/>
        <v>0</v>
      </c>
      <c r="AI172" s="340">
        <f t="shared" si="83"/>
        <v>0</v>
      </c>
      <c r="AJ172" s="340">
        <f t="shared" si="83"/>
        <v>0</v>
      </c>
      <c r="AK172" s="340">
        <f t="shared" si="83"/>
        <v>0</v>
      </c>
      <c r="AL172" s="341">
        <f t="shared" si="84"/>
        <v>0</v>
      </c>
      <c r="AM172" s="341">
        <f t="shared" si="84"/>
        <v>0</v>
      </c>
      <c r="AN172" s="341">
        <f t="shared" si="84"/>
        <v>0</v>
      </c>
      <c r="AO172" s="341">
        <f t="shared" si="84"/>
        <v>0</v>
      </c>
      <c r="AR172" s="2">
        <v>16</v>
      </c>
      <c r="AS172" s="2" t="str">
        <f t="shared" si="85"/>
        <v/>
      </c>
      <c r="AT172" s="2" t="str">
        <f t="shared" si="85"/>
        <v/>
      </c>
      <c r="AU172" s="2" t="str">
        <f t="shared" si="85"/>
        <v/>
      </c>
      <c r="AV172" s="2" t="str">
        <f t="shared" si="85"/>
        <v/>
      </c>
      <c r="AY172" s="2" t="str">
        <f t="shared" si="86"/>
        <v/>
      </c>
      <c r="AZ172" s="2" t="str">
        <f t="shared" si="86"/>
        <v/>
      </c>
    </row>
    <row r="173" ht="19.5" customHeight="1" spans="22:52">
      <c r="V173" s="337"/>
      <c r="W173" s="11">
        <v>20</v>
      </c>
      <c r="X173" s="335">
        <f t="shared" si="81"/>
        <v>0</v>
      </c>
      <c r="Y173" s="335">
        <f t="shared" si="81"/>
        <v>0</v>
      </c>
      <c r="Z173" s="335">
        <f t="shared" si="81"/>
        <v>0</v>
      </c>
      <c r="AA173" s="335">
        <f t="shared" si="81"/>
        <v>0</v>
      </c>
      <c r="AB173" s="339">
        <f t="shared" si="82"/>
        <v>0</v>
      </c>
      <c r="AC173" s="339">
        <f t="shared" si="82"/>
        <v>0</v>
      </c>
      <c r="AD173" s="339">
        <f t="shared" si="82"/>
        <v>0</v>
      </c>
      <c r="AE173" s="339">
        <f t="shared" si="82"/>
        <v>0</v>
      </c>
      <c r="AF173" s="337"/>
      <c r="AG173" s="11">
        <v>20</v>
      </c>
      <c r="AH173" s="340">
        <f t="shared" si="83"/>
        <v>0</v>
      </c>
      <c r="AI173" s="340">
        <f t="shared" si="83"/>
        <v>0</v>
      </c>
      <c r="AJ173" s="340">
        <f t="shared" si="83"/>
        <v>0</v>
      </c>
      <c r="AK173" s="340">
        <f t="shared" si="83"/>
        <v>0</v>
      </c>
      <c r="AL173" s="341">
        <f t="shared" si="84"/>
        <v>0</v>
      </c>
      <c r="AM173" s="341">
        <f t="shared" si="84"/>
        <v>0</v>
      </c>
      <c r="AN173" s="341">
        <f t="shared" si="84"/>
        <v>0</v>
      </c>
      <c r="AO173" s="341">
        <f t="shared" si="84"/>
        <v>0</v>
      </c>
      <c r="AR173" s="2">
        <v>17</v>
      </c>
      <c r="AS173" s="2" t="str">
        <f t="shared" si="85"/>
        <v/>
      </c>
      <c r="AT173" s="2" t="str">
        <f t="shared" si="85"/>
        <v/>
      </c>
      <c r="AU173" s="2" t="str">
        <f t="shared" si="85"/>
        <v/>
      </c>
      <c r="AV173" s="2" t="str">
        <f t="shared" si="85"/>
        <v/>
      </c>
      <c r="AY173" s="2" t="str">
        <f t="shared" si="86"/>
        <v/>
      </c>
      <c r="AZ173" s="2" t="str">
        <f t="shared" si="86"/>
        <v/>
      </c>
    </row>
    <row r="174" ht="19.5" customHeight="1" spans="44:52">
      <c r="AR174" s="2">
        <v>18</v>
      </c>
      <c r="AS174" s="2" t="str">
        <f t="shared" ref="AS174:AV176" si="87">IF(AS149="","",(AS149-AS$153)^2)</f>
        <v/>
      </c>
      <c r="AT174" s="2" t="str">
        <f t="shared" si="87"/>
        <v/>
      </c>
      <c r="AU174" s="2" t="str">
        <f t="shared" si="87"/>
        <v/>
      </c>
      <c r="AV174" s="2" t="str">
        <f t="shared" si="87"/>
        <v/>
      </c>
      <c r="AY174" s="2" t="str">
        <f t="shared" ref="AY174:AZ176" si="88">IF(AY149="","",(AY149-AY$153)^2)</f>
        <v/>
      </c>
      <c r="AZ174" s="2" t="str">
        <f t="shared" si="88"/>
        <v/>
      </c>
    </row>
    <row r="175" ht="19.5" customHeight="1" spans="44:52">
      <c r="AR175" s="2">
        <v>19</v>
      </c>
      <c r="AS175" s="2" t="str">
        <f t="shared" si="87"/>
        <v/>
      </c>
      <c r="AT175" s="2" t="str">
        <f t="shared" si="87"/>
        <v/>
      </c>
      <c r="AU175" s="2" t="str">
        <f t="shared" si="87"/>
        <v/>
      </c>
      <c r="AV175" s="2" t="str">
        <f t="shared" si="87"/>
        <v/>
      </c>
      <c r="AY175" s="2" t="str">
        <f t="shared" si="88"/>
        <v/>
      </c>
      <c r="AZ175" s="2" t="str">
        <f t="shared" si="88"/>
        <v/>
      </c>
    </row>
    <row r="176" ht="19.5" customHeight="1" spans="44:52">
      <c r="AR176" s="2">
        <v>20</v>
      </c>
      <c r="AS176" s="2" t="str">
        <f t="shared" si="87"/>
        <v/>
      </c>
      <c r="AT176" s="2" t="str">
        <f t="shared" si="87"/>
        <v/>
      </c>
      <c r="AU176" s="2" t="str">
        <f t="shared" si="87"/>
        <v/>
      </c>
      <c r="AV176" s="2" t="str">
        <f t="shared" si="87"/>
        <v/>
      </c>
      <c r="AY176" s="2" t="str">
        <f t="shared" si="88"/>
        <v/>
      </c>
      <c r="AZ176" s="2" t="str">
        <f t="shared" si="88"/>
        <v/>
      </c>
    </row>
    <row r="177" ht="19.5" customHeight="1"/>
    <row r="178" ht="19.5" customHeight="1" spans="44:52">
      <c r="AR178" s="2" t="s">
        <v>353</v>
      </c>
      <c r="AS178" s="2">
        <f>(SUM(AS157:AS176)/比赛参数!$G$4)^0.5</f>
        <v>0</v>
      </c>
      <c r="AT178" s="2">
        <f>(SUM(AT157:AT176)/比赛参数!$G$4)^0.5</f>
        <v>0</v>
      </c>
      <c r="AU178" s="2">
        <f>(SUM(AU157:AU176)/比赛参数!$G$4)^0.5</f>
        <v>0</v>
      </c>
      <c r="AV178" s="2">
        <f>(SUM(AV157:AV176)/比赛参数!$G$4)^0.5</f>
        <v>0</v>
      </c>
      <c r="AY178" s="2">
        <f>(SUM(AY157:AY176)/比赛参数!$G$4)^0.5</f>
        <v>0</v>
      </c>
      <c r="AZ178" s="2">
        <f>(SUM(AZ157:AZ176)/比赛参数!$G$4)^0.5</f>
        <v>0</v>
      </c>
    </row>
    <row r="179" ht="19.5" customHeight="1"/>
    <row r="180" ht="19.5" customHeight="1" spans="45:48">
      <c r="AS180" s="247" t="s">
        <v>100</v>
      </c>
      <c r="AT180" s="247" t="s">
        <v>103</v>
      </c>
      <c r="AU180" s="247" t="s">
        <v>102</v>
      </c>
      <c r="AV180" s="247" t="s">
        <v>104</v>
      </c>
    </row>
    <row r="181" customHeight="1" spans="45:48">
      <c r="AS181" s="343">
        <f>比赛参数!D75</f>
        <v>0.2</v>
      </c>
      <c r="AT181" s="343">
        <f>比赛参数!G75</f>
        <v>0.12</v>
      </c>
      <c r="AU181" s="343">
        <f>比赛参数!F75</f>
        <v>0.12</v>
      </c>
      <c r="AV181" s="343">
        <f>比赛参数!H75</f>
        <v>0.16</v>
      </c>
    </row>
    <row r="182" customHeight="1" spans="44:48">
      <c r="AR182" s="11" t="s">
        <v>285</v>
      </c>
      <c r="AS182" s="344" t="s">
        <v>100</v>
      </c>
      <c r="AT182" s="344" t="s">
        <v>386</v>
      </c>
      <c r="AU182" s="344" t="s">
        <v>102</v>
      </c>
      <c r="AV182" s="344" t="s">
        <v>104</v>
      </c>
    </row>
    <row r="183" customHeight="1" spans="44:48">
      <c r="AR183" s="347">
        <v>1</v>
      </c>
      <c r="AS183" s="318" t="str">
        <f t="shared" ref="AS183:AV198" si="89">IF(AS132="","",(AS132-AS$153)/AS$178*AS$181)</f>
        <v/>
      </c>
      <c r="AT183" s="318" t="str">
        <f t="shared" si="89"/>
        <v/>
      </c>
      <c r="AU183" s="318" t="str">
        <f t="shared" si="89"/>
        <v/>
      </c>
      <c r="AV183" s="318" t="str">
        <f t="shared" si="89"/>
        <v/>
      </c>
    </row>
    <row r="184" customHeight="1" spans="44:48">
      <c r="AR184" s="347">
        <v>2</v>
      </c>
      <c r="AS184" s="318" t="str">
        <f t="shared" si="89"/>
        <v/>
      </c>
      <c r="AT184" s="318" t="str">
        <f t="shared" si="89"/>
        <v/>
      </c>
      <c r="AU184" s="318" t="str">
        <f t="shared" si="89"/>
        <v/>
      </c>
      <c r="AV184" s="318" t="str">
        <f t="shared" si="89"/>
        <v/>
      </c>
    </row>
    <row r="185" customHeight="1" spans="44:48">
      <c r="AR185" s="347">
        <v>3</v>
      </c>
      <c r="AS185" s="318" t="str">
        <f t="shared" si="89"/>
        <v/>
      </c>
      <c r="AT185" s="318" t="str">
        <f t="shared" si="89"/>
        <v/>
      </c>
      <c r="AU185" s="318" t="str">
        <f t="shared" si="89"/>
        <v/>
      </c>
      <c r="AV185" s="318" t="str">
        <f t="shared" si="89"/>
        <v/>
      </c>
    </row>
    <row r="186" customHeight="1" spans="44:48">
      <c r="AR186" s="347">
        <v>4</v>
      </c>
      <c r="AS186" s="318" t="str">
        <f t="shared" si="89"/>
        <v/>
      </c>
      <c r="AT186" s="318" t="str">
        <f t="shared" si="89"/>
        <v/>
      </c>
      <c r="AU186" s="318" t="str">
        <f t="shared" si="89"/>
        <v/>
      </c>
      <c r="AV186" s="318" t="str">
        <f t="shared" si="89"/>
        <v/>
      </c>
    </row>
    <row r="187" customHeight="1" spans="44:48">
      <c r="AR187" s="347">
        <v>5</v>
      </c>
      <c r="AS187" s="318" t="str">
        <f t="shared" si="89"/>
        <v/>
      </c>
      <c r="AT187" s="318" t="str">
        <f t="shared" si="89"/>
        <v/>
      </c>
      <c r="AU187" s="318" t="str">
        <f t="shared" si="89"/>
        <v/>
      </c>
      <c r="AV187" s="318" t="str">
        <f t="shared" si="89"/>
        <v/>
      </c>
    </row>
    <row r="188" customHeight="1" spans="44:48">
      <c r="AR188" s="347">
        <v>6</v>
      </c>
      <c r="AS188" s="318" t="str">
        <f t="shared" si="89"/>
        <v/>
      </c>
      <c r="AT188" s="318" t="str">
        <f t="shared" si="89"/>
        <v/>
      </c>
      <c r="AU188" s="318" t="str">
        <f t="shared" si="89"/>
        <v/>
      </c>
      <c r="AV188" s="318" t="str">
        <f t="shared" si="89"/>
        <v/>
      </c>
    </row>
    <row r="189" customHeight="1" spans="44:48">
      <c r="AR189" s="347">
        <v>7</v>
      </c>
      <c r="AS189" s="318" t="str">
        <f t="shared" si="89"/>
        <v/>
      </c>
      <c r="AT189" s="318" t="str">
        <f t="shared" si="89"/>
        <v/>
      </c>
      <c r="AU189" s="318" t="str">
        <f t="shared" si="89"/>
        <v/>
      </c>
      <c r="AV189" s="318" t="str">
        <f t="shared" si="89"/>
        <v/>
      </c>
    </row>
    <row r="190" customHeight="1" spans="44:48">
      <c r="AR190" s="347">
        <v>8</v>
      </c>
      <c r="AS190" s="318" t="str">
        <f t="shared" si="89"/>
        <v/>
      </c>
      <c r="AT190" s="318" t="str">
        <f t="shared" si="89"/>
        <v/>
      </c>
      <c r="AU190" s="318" t="str">
        <f t="shared" si="89"/>
        <v/>
      </c>
      <c r="AV190" s="318" t="str">
        <f t="shared" si="89"/>
        <v/>
      </c>
    </row>
    <row r="191" customHeight="1" spans="44:48">
      <c r="AR191" s="347">
        <v>9</v>
      </c>
      <c r="AS191" s="318" t="str">
        <f t="shared" si="89"/>
        <v/>
      </c>
      <c r="AT191" s="318" t="str">
        <f t="shared" si="89"/>
        <v/>
      </c>
      <c r="AU191" s="318" t="str">
        <f t="shared" si="89"/>
        <v/>
      </c>
      <c r="AV191" s="318" t="str">
        <f t="shared" si="89"/>
        <v/>
      </c>
    </row>
    <row r="192" customHeight="1" spans="44:48">
      <c r="AR192" s="347">
        <v>10</v>
      </c>
      <c r="AS192" s="318" t="str">
        <f t="shared" si="89"/>
        <v/>
      </c>
      <c r="AT192" s="318" t="str">
        <f t="shared" si="89"/>
        <v/>
      </c>
      <c r="AU192" s="318" t="str">
        <f t="shared" si="89"/>
        <v/>
      </c>
      <c r="AV192" s="318" t="str">
        <f t="shared" si="89"/>
        <v/>
      </c>
    </row>
    <row r="193" customHeight="1" spans="44:48">
      <c r="AR193" s="347">
        <v>11</v>
      </c>
      <c r="AS193" s="318" t="str">
        <f t="shared" si="89"/>
        <v/>
      </c>
      <c r="AT193" s="318" t="str">
        <f t="shared" si="89"/>
        <v/>
      </c>
      <c r="AU193" s="318" t="str">
        <f t="shared" si="89"/>
        <v/>
      </c>
      <c r="AV193" s="318" t="str">
        <f t="shared" si="89"/>
        <v/>
      </c>
    </row>
    <row r="194" customHeight="1" spans="44:48">
      <c r="AR194" s="347">
        <v>12</v>
      </c>
      <c r="AS194" s="318" t="str">
        <f t="shared" si="89"/>
        <v/>
      </c>
      <c r="AT194" s="318" t="str">
        <f t="shared" si="89"/>
        <v/>
      </c>
      <c r="AU194" s="318" t="str">
        <f t="shared" si="89"/>
        <v/>
      </c>
      <c r="AV194" s="318" t="str">
        <f t="shared" si="89"/>
        <v/>
      </c>
    </row>
    <row r="195" customHeight="1" spans="44:48">
      <c r="AR195" s="347">
        <v>13</v>
      </c>
      <c r="AS195" s="318" t="str">
        <f t="shared" si="89"/>
        <v/>
      </c>
      <c r="AT195" s="318" t="str">
        <f t="shared" si="89"/>
        <v/>
      </c>
      <c r="AU195" s="318" t="str">
        <f t="shared" si="89"/>
        <v/>
      </c>
      <c r="AV195" s="318" t="str">
        <f t="shared" si="89"/>
        <v/>
      </c>
    </row>
    <row r="196" customHeight="1" spans="44:48">
      <c r="AR196" s="347">
        <v>14</v>
      </c>
      <c r="AS196" s="318" t="str">
        <f t="shared" si="89"/>
        <v/>
      </c>
      <c r="AT196" s="318" t="str">
        <f t="shared" si="89"/>
        <v/>
      </c>
      <c r="AU196" s="318" t="str">
        <f t="shared" si="89"/>
        <v/>
      </c>
      <c r="AV196" s="318" t="str">
        <f t="shared" si="89"/>
        <v/>
      </c>
    </row>
    <row r="197" ht="19.5" customHeight="1" spans="44:48">
      <c r="AR197" s="347">
        <v>15</v>
      </c>
      <c r="AS197" s="318" t="str">
        <f t="shared" si="89"/>
        <v/>
      </c>
      <c r="AT197" s="318" t="str">
        <f t="shared" si="89"/>
        <v/>
      </c>
      <c r="AU197" s="318" t="str">
        <f t="shared" si="89"/>
        <v/>
      </c>
      <c r="AV197" s="318" t="str">
        <f t="shared" si="89"/>
        <v/>
      </c>
    </row>
    <row r="198" ht="19.5" customHeight="1" spans="44:48">
      <c r="AR198" s="347">
        <v>16</v>
      </c>
      <c r="AS198" s="318" t="str">
        <f t="shared" si="89"/>
        <v/>
      </c>
      <c r="AT198" s="318" t="str">
        <f t="shared" si="89"/>
        <v/>
      </c>
      <c r="AU198" s="318" t="str">
        <f t="shared" si="89"/>
        <v/>
      </c>
      <c r="AV198" s="318" t="str">
        <f t="shared" si="89"/>
        <v/>
      </c>
    </row>
    <row r="199" ht="19.5" customHeight="1" spans="44:48">
      <c r="AR199" s="347">
        <v>17</v>
      </c>
      <c r="AS199" s="318" t="str">
        <f t="shared" ref="AS199:AV202" si="90">IF(AS148="","",(AS148-AS$153)/AS$178*AS$181)</f>
        <v/>
      </c>
      <c r="AT199" s="318" t="str">
        <f>IF(AT148="","",(AT148-AT$153)/AT$178*AT$181)</f>
        <v/>
      </c>
      <c r="AU199" s="318" t="str">
        <f>IF(AU148="","",(AU148-AU$153)/AU$178*AU$181)</f>
        <v/>
      </c>
      <c r="AV199" s="318" t="str">
        <f>IF(AV148="","",(AV148-AV$153)/AV$178*AV$181)</f>
        <v/>
      </c>
    </row>
    <row r="200" ht="19.5" customHeight="1" spans="44:48">
      <c r="AR200" s="347">
        <v>18</v>
      </c>
      <c r="AS200" s="318" t="str">
        <f t="shared" si="90"/>
        <v/>
      </c>
      <c r="AT200" s="318" t="str">
        <f t="shared" si="90"/>
        <v/>
      </c>
      <c r="AU200" s="318" t="str">
        <f t="shared" si="90"/>
        <v/>
      </c>
      <c r="AV200" s="318" t="str">
        <f t="shared" si="90"/>
        <v/>
      </c>
    </row>
    <row r="201" ht="19.5" customHeight="1" spans="44:48">
      <c r="AR201" s="347">
        <v>19</v>
      </c>
      <c r="AS201" s="318" t="str">
        <f t="shared" si="90"/>
        <v/>
      </c>
      <c r="AT201" s="318" t="str">
        <f t="shared" si="90"/>
        <v/>
      </c>
      <c r="AU201" s="318" t="str">
        <f t="shared" si="90"/>
        <v/>
      </c>
      <c r="AV201" s="318" t="str">
        <f t="shared" si="90"/>
        <v/>
      </c>
    </row>
    <row r="202" ht="19.5" customHeight="1" spans="44:48">
      <c r="AR202" s="347">
        <v>20</v>
      </c>
      <c r="AS202" s="318" t="str">
        <f t="shared" si="90"/>
        <v/>
      </c>
      <c r="AT202" s="318" t="str">
        <f t="shared" si="90"/>
        <v/>
      </c>
      <c r="AU202" s="318" t="str">
        <f t="shared" si="90"/>
        <v/>
      </c>
      <c r="AV202" s="318" t="str">
        <f t="shared" si="90"/>
        <v/>
      </c>
    </row>
    <row r="203" ht="19.5" customHeight="1"/>
    <row r="204" ht="19.5" customHeight="1"/>
    <row r="205" ht="19.5" customHeight="1"/>
    <row r="206" ht="19.5" customHeight="1"/>
    <row r="207" ht="19.5" customHeight="1"/>
    <row r="231" customHeight="1" spans="24:40">
      <c r="X231" s="11" t="s">
        <v>405</v>
      </c>
      <c r="Y231" s="65">
        <f>G24</f>
        <v>0</v>
      </c>
      <c r="Z231" s="65">
        <f>G25</f>
        <v>0</v>
      </c>
      <c r="AA231" s="65">
        <f>G26</f>
        <v>0</v>
      </c>
      <c r="AB231" s="65">
        <f>G27</f>
        <v>0</v>
      </c>
      <c r="AC231" s="65">
        <f>G28</f>
        <v>0</v>
      </c>
      <c r="AD231" s="65">
        <f>G29</f>
        <v>0</v>
      </c>
      <c r="AE231" s="65">
        <f>G30</f>
        <v>0</v>
      </c>
      <c r="AF231" s="65">
        <f>G31</f>
        <v>0</v>
      </c>
      <c r="AG231" s="65">
        <f>G32</f>
        <v>0</v>
      </c>
      <c r="AH231" s="65">
        <f>G33</f>
        <v>0</v>
      </c>
      <c r="AI231" s="65">
        <f>G34</f>
        <v>0</v>
      </c>
      <c r="AJ231" s="65">
        <f>G35</f>
        <v>0</v>
      </c>
      <c r="AK231" s="65">
        <f>G36</f>
        <v>0</v>
      </c>
      <c r="AL231" s="65">
        <f>G37</f>
        <v>0</v>
      </c>
      <c r="AM231" s="65">
        <f>G38</f>
        <v>0</v>
      </c>
      <c r="AN231" s="65">
        <f>G39</f>
        <v>0</v>
      </c>
    </row>
    <row r="232" customHeight="1" spans="24:40">
      <c r="X232" s="11" t="s">
        <v>406</v>
      </c>
      <c r="Y232" s="65" t="e">
        <f t="shared" ref="Y232:AF232" si="91">INT(Y231/DS37+0.5)</f>
        <v>#DIV/0!</v>
      </c>
      <c r="Z232" s="65" t="e">
        <f t="shared" si="91"/>
        <v>#DIV/0!</v>
      </c>
      <c r="AA232" s="65" t="e">
        <f t="shared" si="91"/>
        <v>#DIV/0!</v>
      </c>
      <c r="AB232" s="65" t="e">
        <f t="shared" si="91"/>
        <v>#DIV/0!</v>
      </c>
      <c r="AC232" s="65" t="e">
        <f t="shared" si="91"/>
        <v>#DIV/0!</v>
      </c>
      <c r="AD232" s="65" t="e">
        <f t="shared" si="91"/>
        <v>#DIV/0!</v>
      </c>
      <c r="AE232" s="65" t="e">
        <f t="shared" si="91"/>
        <v>#DIV/0!</v>
      </c>
      <c r="AF232" s="65" t="e">
        <f t="shared" si="91"/>
        <v>#DIV/0!</v>
      </c>
      <c r="AG232" s="65">
        <f t="shared" ref="AG232:AN232" si="92">IF(EA37&gt;0,INT(AG231/EA37+0.5),0)</f>
        <v>0</v>
      </c>
      <c r="AH232" s="65">
        <f t="shared" si="92"/>
        <v>0</v>
      </c>
      <c r="AI232" s="65">
        <f t="shared" si="92"/>
        <v>0</v>
      </c>
      <c r="AJ232" s="65">
        <f t="shared" si="92"/>
        <v>0</v>
      </c>
      <c r="AK232" s="65">
        <f t="shared" si="92"/>
        <v>0</v>
      </c>
      <c r="AL232" s="65">
        <f t="shared" si="92"/>
        <v>0</v>
      </c>
      <c r="AM232" s="65">
        <f t="shared" si="92"/>
        <v>0</v>
      </c>
      <c r="AN232" s="65">
        <f t="shared" si="92"/>
        <v>0</v>
      </c>
    </row>
    <row r="233" customHeight="1" spans="24:40">
      <c r="X233" s="11" t="s">
        <v>407</v>
      </c>
      <c r="Y233" s="113" t="e">
        <f>SUM(AB131:AB150)/比赛参数!$G$4</f>
        <v>#DIV/0!</v>
      </c>
      <c r="Z233" s="113" t="e">
        <f>SUM(AC131:AC150)/比赛参数!$G$4</f>
        <v>#DIV/0!</v>
      </c>
      <c r="AA233" s="113" t="e">
        <f>SUM(AD131:AD150)/比赛参数!$G$4</f>
        <v>#DIV/0!</v>
      </c>
      <c r="AB233" s="113" t="e">
        <f>SUM(AE131:AE150)/比赛参数!$G$4</f>
        <v>#DIV/0!</v>
      </c>
      <c r="AC233" s="113" t="e">
        <f>SUM(AL131:AL150)/比赛参数!$G$4</f>
        <v>#DIV/0!</v>
      </c>
      <c r="AD233" s="113" t="e">
        <f>SUM(AM131:AM150)/比赛参数!$G$4</f>
        <v>#DIV/0!</v>
      </c>
      <c r="AE233" s="113" t="e">
        <f>SUM(AN131:AN150)/比赛参数!$G$4</f>
        <v>#DIV/0!</v>
      </c>
      <c r="AF233" s="113" t="e">
        <f>SUM(AO131:AO150)/比赛参数!$G$4</f>
        <v>#DIV/0!</v>
      </c>
      <c r="AG233" s="113">
        <f>SUM(AB154:AB173)/比赛参数!$G$4</f>
        <v>0</v>
      </c>
      <c r="AH233" s="113">
        <f>SUM(AC154:AC173)/比赛参数!$G$4</f>
        <v>0</v>
      </c>
      <c r="AI233" s="113">
        <f>SUM(AD154:AD173)/比赛参数!$G$4</f>
        <v>0</v>
      </c>
      <c r="AJ233" s="113">
        <f>SUM(AE154:AE173)/比赛参数!$G$4</f>
        <v>0</v>
      </c>
      <c r="AK233" s="113">
        <f>SUM(AL154:AL173)/比赛参数!$G$4</f>
        <v>0</v>
      </c>
      <c r="AL233" s="113">
        <f>SUM(AM154:AM173)/比赛参数!$G$4</f>
        <v>0</v>
      </c>
      <c r="AM233" s="113">
        <f>SUM(AN154:AN173)/比赛参数!$G$4</f>
        <v>0</v>
      </c>
      <c r="AN233" s="113">
        <f>SUM(AO154:AO173)/比赛参数!$G$4</f>
        <v>0</v>
      </c>
    </row>
    <row r="234" customHeight="1" spans="24:40">
      <c r="X234" s="11" t="s">
        <v>408</v>
      </c>
      <c r="Y234" s="304">
        <f t="shared" ref="Y234:AN234" si="93">SUMPRODUCT(D50:D69,D73:D92)</f>
        <v>0</v>
      </c>
      <c r="Z234" s="304">
        <f t="shared" si="93"/>
        <v>0</v>
      </c>
      <c r="AA234" s="304">
        <f t="shared" si="93"/>
        <v>0</v>
      </c>
      <c r="AB234" s="304">
        <f t="shared" si="93"/>
        <v>0</v>
      </c>
      <c r="AC234" s="304">
        <f t="shared" si="93"/>
        <v>0</v>
      </c>
      <c r="AD234" s="304">
        <f t="shared" si="93"/>
        <v>0</v>
      </c>
      <c r="AE234" s="304">
        <f t="shared" si="93"/>
        <v>0</v>
      </c>
      <c r="AF234" s="304">
        <f t="shared" si="93"/>
        <v>0</v>
      </c>
      <c r="AG234" s="304">
        <f t="shared" si="93"/>
        <v>0</v>
      </c>
      <c r="AH234" s="304">
        <f t="shared" si="93"/>
        <v>0</v>
      </c>
      <c r="AI234" s="304">
        <f t="shared" si="93"/>
        <v>0</v>
      </c>
      <c r="AJ234" s="304">
        <f t="shared" si="93"/>
        <v>0</v>
      </c>
      <c r="AK234" s="304">
        <f t="shared" si="93"/>
        <v>0</v>
      </c>
      <c r="AL234" s="304">
        <f t="shared" si="93"/>
        <v>0</v>
      </c>
      <c r="AM234" s="304">
        <f t="shared" si="93"/>
        <v>0</v>
      </c>
      <c r="AN234" s="304">
        <f t="shared" si="93"/>
        <v>0</v>
      </c>
    </row>
    <row r="235" customHeight="1" spans="24:40">
      <c r="X235" s="2" t="s">
        <v>409</v>
      </c>
      <c r="Y235" s="113">
        <f t="shared" ref="Y235:AN235" si="94">IF($C$50=$S$47,D50,0)+IF($C$51=$S$47,D51,0)+IF($C$52=$S$47,D52,0)+IF($C$53=$S$47,D53,0)+IF($C$54=$S$47,D54,0)+IF($C$55=$S$47,D55,0)+IF($C$56=$S$47,D56,0)+IF($C$57=$S$47,D57,0)+IF($C$58=$S$47,D58,0)+IF($C$59=$S$47,D59,0)+IF($C$60=$S$47,D60,0)+IF($C$61=$S$47,D61,0)+IF($C$62=$S$47,D62,0)+IF($C$63=$S$47,D63,0)+IF($C$64=$S$47,D64,0)+IF($C$65=$S$47,D65,0)-Y234</f>
        <v>3250</v>
      </c>
      <c r="Z235" s="113">
        <f t="shared" si="94"/>
        <v>3250</v>
      </c>
      <c r="AA235" s="113">
        <f t="shared" si="94"/>
        <v>3400</v>
      </c>
      <c r="AB235" s="113">
        <f t="shared" si="94"/>
        <v>3450</v>
      </c>
      <c r="AC235" s="113">
        <f t="shared" si="94"/>
        <v>6400</v>
      </c>
      <c r="AD235" s="113">
        <f t="shared" si="94"/>
        <v>6400</v>
      </c>
      <c r="AE235" s="113">
        <f t="shared" si="94"/>
        <v>6620</v>
      </c>
      <c r="AF235" s="113">
        <f t="shared" si="94"/>
        <v>6700</v>
      </c>
      <c r="AG235" s="113">
        <f t="shared" si="94"/>
        <v>9850</v>
      </c>
      <c r="AH235" s="113">
        <f t="shared" si="94"/>
        <v>9850</v>
      </c>
      <c r="AI235" s="113">
        <f t="shared" si="94"/>
        <v>10100</v>
      </c>
      <c r="AJ235" s="113">
        <f t="shared" si="94"/>
        <v>10100</v>
      </c>
      <c r="AK235" s="113">
        <f t="shared" si="94"/>
        <v>12950</v>
      </c>
      <c r="AL235" s="113">
        <f t="shared" si="94"/>
        <v>12950</v>
      </c>
      <c r="AM235" s="113">
        <f t="shared" si="94"/>
        <v>13350</v>
      </c>
      <c r="AN235" s="113">
        <f t="shared" si="94"/>
        <v>13500</v>
      </c>
    </row>
    <row r="236" customHeight="1" spans="24:40">
      <c r="X236" s="2" t="s">
        <v>410</v>
      </c>
      <c r="Y236" s="114" t="e">
        <f t="shared" ref="Y236:AN236" si="95">Y235/Y234</f>
        <v>#DIV/0!</v>
      </c>
      <c r="Z236" s="114" t="e">
        <f t="shared" si="95"/>
        <v>#DIV/0!</v>
      </c>
      <c r="AA236" s="114" t="e">
        <f t="shared" si="95"/>
        <v>#DIV/0!</v>
      </c>
      <c r="AB236" s="114" t="e">
        <f t="shared" si="95"/>
        <v>#DIV/0!</v>
      </c>
      <c r="AC236" s="114" t="e">
        <f t="shared" si="95"/>
        <v>#DIV/0!</v>
      </c>
      <c r="AD236" s="114" t="e">
        <f t="shared" si="95"/>
        <v>#DIV/0!</v>
      </c>
      <c r="AE236" s="114" t="e">
        <f t="shared" si="95"/>
        <v>#DIV/0!</v>
      </c>
      <c r="AF236" s="114" t="e">
        <f t="shared" si="95"/>
        <v>#DIV/0!</v>
      </c>
      <c r="AG236" s="114" t="e">
        <f t="shared" si="95"/>
        <v>#DIV/0!</v>
      </c>
      <c r="AH236" s="114" t="e">
        <f t="shared" si="95"/>
        <v>#DIV/0!</v>
      </c>
      <c r="AI236" s="114" t="e">
        <f t="shared" si="95"/>
        <v>#DIV/0!</v>
      </c>
      <c r="AJ236" s="114" t="e">
        <f t="shared" si="95"/>
        <v>#DIV/0!</v>
      </c>
      <c r="AK236" s="114" t="e">
        <f t="shared" si="95"/>
        <v>#DIV/0!</v>
      </c>
      <c r="AL236" s="114" t="e">
        <f t="shared" si="95"/>
        <v>#DIV/0!</v>
      </c>
      <c r="AM236" s="114" t="e">
        <f t="shared" si="95"/>
        <v>#DIV/0!</v>
      </c>
      <c r="AN236" s="114" t="e">
        <f t="shared" si="95"/>
        <v>#DIV/0!</v>
      </c>
    </row>
  </sheetData>
  <mergeCells count="18">
    <mergeCell ref="B2:T2"/>
    <mergeCell ref="V2:AO2"/>
    <mergeCell ref="AQ2:BO2"/>
    <mergeCell ref="BQ2:BX2"/>
    <mergeCell ref="Z15:AA15"/>
    <mergeCell ref="AJ27:AK27"/>
    <mergeCell ref="DS31:DV31"/>
    <mergeCell ref="DW31:DZ31"/>
    <mergeCell ref="EA31:ED31"/>
    <mergeCell ref="EE31:EH31"/>
    <mergeCell ref="DS35:DV35"/>
    <mergeCell ref="DW35:DZ35"/>
    <mergeCell ref="V131:V150"/>
    <mergeCell ref="V154:V173"/>
    <mergeCell ref="AF131:AF150"/>
    <mergeCell ref="AF154:AF173"/>
    <mergeCell ref="V48:AO51"/>
    <mergeCell ref="BQ48:BX51"/>
  </mergeCells>
  <conditionalFormatting sqref="AC13">
    <cfRule type="cellIs" dxfId="0" priority="7" stopIfTrue="1" operator="equal">
      <formula>"人数 YES"</formula>
    </cfRule>
    <cfRule type="cellIs" dxfId="1" priority="8" stopIfTrue="1" operator="equal">
      <formula>"人数 NO"</formula>
    </cfRule>
  </conditionalFormatting>
  <conditionalFormatting sqref="AH13">
    <cfRule type="cellIs" dxfId="0" priority="14" stopIfTrue="1" operator="greaterThanOrEqual">
      <formula>0</formula>
    </cfRule>
    <cfRule type="cellIs" dxfId="1" priority="15" stopIfTrue="1" operator="lessThan">
      <formula>0</formula>
    </cfRule>
  </conditionalFormatting>
  <conditionalFormatting sqref="AC14">
    <cfRule type="cellIs" dxfId="0" priority="5" stopIfTrue="1" operator="equal">
      <formula>"机器 YES"</formula>
    </cfRule>
    <cfRule type="cellIs" dxfId="1" priority="6" stopIfTrue="1" operator="equal">
      <formula>"机器 NO"</formula>
    </cfRule>
  </conditionalFormatting>
  <conditionalFormatting sqref="AH14">
    <cfRule type="cellIs" dxfId="2" priority="12" stopIfTrue="1" operator="greaterThan">
      <formula>$AJ$14</formula>
    </cfRule>
  </conditionalFormatting>
  <conditionalFormatting sqref="K15">
    <cfRule type="cellIs" dxfId="3" priority="23" stopIfTrue="1" operator="greaterThan">
      <formula>0</formula>
    </cfRule>
  </conditionalFormatting>
  <conditionalFormatting sqref="AC15">
    <cfRule type="cellIs" dxfId="0" priority="3" stopIfTrue="1" operator="equal">
      <formula>"材料 YES"</formula>
    </cfRule>
    <cfRule type="cellIs" dxfId="1" priority="4" stopIfTrue="1" operator="equal">
      <formula>"材料 NO"</formula>
    </cfRule>
  </conditionalFormatting>
  <conditionalFormatting sqref="AH15">
    <cfRule type="cellIs" dxfId="3" priority="13" stopIfTrue="1" operator="greaterThan">
      <formula>$AJ$15</formula>
    </cfRule>
  </conditionalFormatting>
  <conditionalFormatting sqref="Y18">
    <cfRule type="cellIs" dxfId="3" priority="10" stopIfTrue="1" operator="greaterThan">
      <formula>$Y$19</formula>
    </cfRule>
  </conditionalFormatting>
  <conditionalFormatting sqref="AA18">
    <cfRule type="cellIs" dxfId="3" priority="1" stopIfTrue="1" operator="lessThan">
      <formula>$AA$19</formula>
    </cfRule>
  </conditionalFormatting>
  <conditionalFormatting sqref="AC18">
    <cfRule type="cellIs" dxfId="3" priority="9" stopIfTrue="1" operator="lessThan">
      <formula>$AC$19</formula>
    </cfRule>
  </conditionalFormatting>
  <conditionalFormatting sqref="AJ18">
    <cfRule type="cellIs" dxfId="3" priority="16" stopIfTrue="1" operator="greaterThan">
      <formula>$AJ$19</formula>
    </cfRule>
  </conditionalFormatting>
  <conditionalFormatting sqref="BW76">
    <cfRule type="cellIs" dxfId="4" priority="11" stopIfTrue="1" operator="equal">
      <formula>"YES"</formula>
    </cfRule>
  </conditionalFormatting>
  <conditionalFormatting sqref="Y92">
    <cfRule type="cellIs" dxfId="3" priority="20" stopIfTrue="1" operator="greaterThan">
      <formula>$Y$93</formula>
    </cfRule>
  </conditionalFormatting>
  <conditionalFormatting sqref="Z92">
    <cfRule type="cellIs" dxfId="3" priority="19" stopIfTrue="1" operator="greaterThan">
      <formula>$Z$93</formula>
    </cfRule>
  </conditionalFormatting>
  <conditionalFormatting sqref="AA92">
    <cfRule type="cellIs" dxfId="3" priority="18" stopIfTrue="1" operator="greaterThan">
      <formula>$AA$93</formula>
    </cfRule>
  </conditionalFormatting>
  <conditionalFormatting sqref="AB92">
    <cfRule type="cellIs" dxfId="3" priority="17" stopIfTrue="1" operator="greaterThan">
      <formula>$AB$93</formula>
    </cfRule>
  </conditionalFormatting>
  <conditionalFormatting sqref="AC92">
    <cfRule type="cellIs" dxfId="0" priority="21" stopIfTrue="1" operator="equal">
      <formula>"YES"</formula>
    </cfRule>
    <cfRule type="cellIs" dxfId="1" priority="22" stopIfTrue="1" operator="equal">
      <formula>"NO"</formula>
    </cfRule>
  </conditionalFormatting>
  <conditionalFormatting sqref="AJ21:AJ23">
    <cfRule type="cellIs" dxfId="5" priority="2" stopIfTrue="1" operator="greaterThan">
      <formula>$AJ$20</formula>
    </cfRule>
  </conditionalFormatting>
  <conditionalFormatting sqref="BE132:BE133">
    <cfRule type="expression" dxfId="6" priority="27" stopIfTrue="1">
      <formula>(第十四期!#REF!-$BE$54)&lt;0</formula>
    </cfRule>
  </conditionalFormatting>
  <conditionalFormatting sqref="BF132:BF133">
    <cfRule type="expression" dxfId="6" priority="26" stopIfTrue="1">
      <formula>(第十四期!#REF!-$BF$54)&lt;0</formula>
    </cfRule>
  </conditionalFormatting>
  <conditionalFormatting sqref="BG132:BG133">
    <cfRule type="expression" dxfId="6" priority="25" stopIfTrue="1">
      <formula>(第十四期!#REF!-$BG$54)&lt;0</formula>
    </cfRule>
  </conditionalFormatting>
  <conditionalFormatting sqref="BH132:BH133">
    <cfRule type="expression" dxfId="6" priority="24" stopIfTrue="1">
      <formula>(第十四期!#REF!-$BH$54)&lt;0</formula>
    </cfRule>
  </conditionalFormatting>
  <conditionalFormatting sqref="AJ40:AN43">
    <cfRule type="cellIs" dxfId="7" priority="29" stopIfTrue="1" operator="equal">
      <formula>CJ70+0.0001</formula>
    </cfRule>
  </conditionalFormatting>
  <conditionalFormatting sqref="AS57:BH76">
    <cfRule type="expression" dxfId="6" priority="28" stopIfTrue="1">
      <formula>(AS33-$AS$54)&lt;0</formula>
    </cfRule>
  </conditionalFormatting>
  <pageMargins left="0.75" right="0.75" top="1" bottom="1" header="0.5" footer="0.5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投资预算</vt:lpstr>
      <vt:lpstr>比赛参数</vt:lpstr>
      <vt:lpstr>工资系数</vt:lpstr>
      <vt:lpstr>第九期</vt:lpstr>
      <vt:lpstr>第十期</vt:lpstr>
      <vt:lpstr>第十一期</vt:lpstr>
      <vt:lpstr>第十二期</vt:lpstr>
      <vt:lpstr>第十三期</vt:lpstr>
      <vt:lpstr>第十四期</vt:lpstr>
      <vt:lpstr>第十五期</vt:lpstr>
      <vt:lpstr>第十六期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决策工具</dc:title>
  <dc:creator>chen</dc:creator>
  <cp:lastModifiedBy>罹</cp:lastModifiedBy>
  <dcterms:created xsi:type="dcterms:W3CDTF">1996-12-17T01:32:42Z</dcterms:created>
  <dcterms:modified xsi:type="dcterms:W3CDTF">2019-10-25T07:48:24Z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