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15" windowHeight="9155" tabRatio="665"/>
  </bookViews>
  <sheets>
    <sheet name="投资预算" sheetId="9" r:id="rId1"/>
    <sheet name="比赛参数" sheetId="1" r:id="rId2"/>
    <sheet name="工资系数" sheetId="125" r:id="rId3"/>
    <sheet name="第九期" sheetId="104" r:id="rId4"/>
    <sheet name="第十期" sheetId="118" r:id="rId5"/>
    <sheet name="第十一期" sheetId="120" r:id="rId6"/>
    <sheet name="第十二期" sheetId="121" r:id="rId7"/>
    <sheet name="第十三期" sheetId="122" r:id="rId8"/>
    <sheet name="第十四期" sheetId="119" r:id="rId9"/>
    <sheet name="第十五期" sheetId="123" r:id="rId10"/>
    <sheet name="第十六期" sheetId="124" r:id="rId11"/>
  </sheets>
  <definedNames>
    <definedName name="cailiao">#REF!</definedName>
    <definedName name="chengben">#REF!</definedName>
    <definedName name="chengben2">#REF!</definedName>
    <definedName name="cost">#REF!</definedName>
    <definedName name="gkucun">#REF!</definedName>
    <definedName name="gongzi">#REF!</definedName>
    <definedName name="guanli">#REF!</definedName>
    <definedName name="jiage">#REF!</definedName>
    <definedName name="jishi">#REF!</definedName>
    <definedName name="jungong">#REF!</definedName>
    <definedName name="junjia">#REF!</definedName>
    <definedName name="keyongjiqi">#REF!</definedName>
    <definedName name="keyongjiqi2">#REF!</definedName>
    <definedName name="keyongren">#REF!</definedName>
    <definedName name="keyongren2">#REF!</definedName>
    <definedName name="lirun">#REF!</definedName>
    <definedName name="mubiaoA">#REF!</definedName>
    <definedName name="mubiaoB">#REF!</definedName>
    <definedName name="mubiaoC">#REF!</definedName>
    <definedName name="mubiaoD">#REF!</definedName>
    <definedName name="renshi">#REF!</definedName>
    <definedName name="result">#REF!</definedName>
    <definedName name="result2">#REF!</definedName>
    <definedName name="sdinghuo">#REF!</definedName>
    <definedName name="skucun">#REF!</definedName>
    <definedName name="solver_adj" localSheetId="3" hidden="1">第九期!$AX$133</definedName>
    <definedName name="solver_adj" localSheetId="6" hidden="1">第十二期!$AX$133</definedName>
    <definedName name="solver_adj" localSheetId="10" hidden="1">第十六期!$AX$133</definedName>
    <definedName name="solver_adj" localSheetId="4" hidden="1">第十期!$AX$133</definedName>
    <definedName name="solver_adj" localSheetId="7" hidden="1">第十三期!$AX$133</definedName>
    <definedName name="solver_adj" localSheetId="8" hidden="1">第十四期!$AX$133</definedName>
    <definedName name="solver_adj" localSheetId="9" hidden="1">第十五期!$AX$133</definedName>
    <definedName name="solver_adj" localSheetId="5" hidden="1">第十一期!$AX$133</definedName>
    <definedName name="solver_cvg" localSheetId="3" hidden="1">0.0001</definedName>
    <definedName name="solver_cvg" localSheetId="6" hidden="1">0.0001</definedName>
    <definedName name="solver_cvg" localSheetId="10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5" hidden="1">0.0001</definedName>
    <definedName name="solver_drv" localSheetId="3" hidden="1">1</definedName>
    <definedName name="solver_drv" localSheetId="6" hidden="1">1</definedName>
    <definedName name="solver_drv" localSheetId="10" hidden="1">1</definedName>
    <definedName name="solver_drv" localSheetId="4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5" hidden="1">1</definedName>
    <definedName name="solver_eng" localSheetId="3" hidden="1">1</definedName>
    <definedName name="solver_eng" localSheetId="6" hidden="1">1</definedName>
    <definedName name="solver_eng" localSheetId="10" hidden="1">1</definedName>
    <definedName name="solver_eng" localSheetId="4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5" hidden="1">1</definedName>
    <definedName name="solver_est" localSheetId="3" hidden="1">1</definedName>
    <definedName name="solver_est" localSheetId="6" hidden="1">1</definedName>
    <definedName name="solver_est" localSheetId="10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5" hidden="1">1</definedName>
    <definedName name="solver_itr" localSheetId="3" hidden="1">100</definedName>
    <definedName name="solver_itr" localSheetId="6" hidden="1">100</definedName>
    <definedName name="solver_itr" localSheetId="10" hidden="1">100</definedName>
    <definedName name="solver_itr" localSheetId="4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5" hidden="1">100</definedName>
    <definedName name="solver_lhs1" localSheetId="3" hidden="1">第九期!$AW$130</definedName>
    <definedName name="solver_lhs1" localSheetId="6" hidden="1">第十二期!$AW$130</definedName>
    <definedName name="solver_lhs1" localSheetId="10" hidden="1">第十六期!$AW$130</definedName>
    <definedName name="solver_lhs1" localSheetId="4" hidden="1">第十期!$AW$130</definedName>
    <definedName name="solver_lhs1" localSheetId="7" hidden="1">第十三期!$AW$130</definedName>
    <definedName name="solver_lhs1" localSheetId="8" hidden="1">第十四期!$AW$130</definedName>
    <definedName name="solver_lhs1" localSheetId="9" hidden="1">第十五期!$AW$130</definedName>
    <definedName name="solver_lhs1" localSheetId="5" hidden="1">第十一期!$AW$130</definedName>
    <definedName name="solver_lin" localSheetId="3" hidden="1">2</definedName>
    <definedName name="solver_lin" localSheetId="6" hidden="1">2</definedName>
    <definedName name="solver_lin" localSheetId="10" hidden="1">2</definedName>
    <definedName name="solver_lin" localSheetId="4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5" hidden="1">2</definedName>
    <definedName name="solver_mip" localSheetId="3" hidden="1">2147483647</definedName>
    <definedName name="solver_mip" localSheetId="6" hidden="1">2147483647</definedName>
    <definedName name="solver_mip" localSheetId="10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5" hidden="1">2147483647</definedName>
    <definedName name="solver_mni" localSheetId="3" hidden="1">30</definedName>
    <definedName name="solver_mni" localSheetId="6" hidden="1">30</definedName>
    <definedName name="solver_mni" localSheetId="10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5" hidden="1">30</definedName>
    <definedName name="solver_mrt" localSheetId="3" hidden="1">0.075</definedName>
    <definedName name="solver_mrt" localSheetId="6" hidden="1">0.075</definedName>
    <definedName name="solver_mrt" localSheetId="10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5" hidden="1">0.075</definedName>
    <definedName name="solver_msl" localSheetId="3" hidden="1">2</definedName>
    <definedName name="solver_msl" localSheetId="6" hidden="1">2</definedName>
    <definedName name="solver_msl" localSheetId="10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5" hidden="1">2</definedName>
    <definedName name="solver_neg" localSheetId="3" hidden="1">2</definedName>
    <definedName name="solver_neg" localSheetId="6" hidden="1">2</definedName>
    <definedName name="solver_neg" localSheetId="10" hidden="1">2</definedName>
    <definedName name="solver_neg" localSheetId="4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5" hidden="1">2</definedName>
    <definedName name="solver_nod" localSheetId="3" hidden="1">2147483647</definedName>
    <definedName name="solver_nod" localSheetId="6" hidden="1">2147483647</definedName>
    <definedName name="solver_nod" localSheetId="10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5" hidden="1">2147483647</definedName>
    <definedName name="solver_num" localSheetId="3" hidden="1">0</definedName>
    <definedName name="solver_num" localSheetId="6" hidden="1">0</definedName>
    <definedName name="solver_num" localSheetId="10" hidden="1">0</definedName>
    <definedName name="solver_num" localSheetId="4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5" hidden="1">0</definedName>
    <definedName name="solver_nwt" localSheetId="3" hidden="1">1</definedName>
    <definedName name="solver_nwt" localSheetId="6" hidden="1">1</definedName>
    <definedName name="solver_nwt" localSheetId="10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5" hidden="1">1</definedName>
    <definedName name="solver_opt" localSheetId="3" hidden="1">第九期!$BD$133</definedName>
    <definedName name="solver_opt" localSheetId="6" hidden="1">第十二期!$BD$133</definedName>
    <definedName name="solver_opt" localSheetId="10" hidden="1">第十六期!$BD$133</definedName>
    <definedName name="solver_opt" localSheetId="4" hidden="1">第十期!$BD$133</definedName>
    <definedName name="solver_opt" localSheetId="7" hidden="1">第十三期!$BD$133</definedName>
    <definedName name="solver_opt" localSheetId="8" hidden="1">第十四期!$BD$133</definedName>
    <definedName name="solver_opt" localSheetId="9" hidden="1">第十五期!$BD$133</definedName>
    <definedName name="solver_opt" localSheetId="5" hidden="1">第十一期!$BD$133</definedName>
    <definedName name="solver_pre" localSheetId="3" hidden="1">0.000001</definedName>
    <definedName name="solver_pre" localSheetId="6" hidden="1">0.000001</definedName>
    <definedName name="solver_pre" localSheetId="10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5" hidden="1">0.000001</definedName>
    <definedName name="solver_rbv" localSheetId="3" hidden="1">1</definedName>
    <definedName name="solver_rbv" localSheetId="6" hidden="1">1</definedName>
    <definedName name="solver_rbv" localSheetId="10" hidden="1">1</definedName>
    <definedName name="solver_rbv" localSheetId="4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5" hidden="1">1</definedName>
    <definedName name="solver_rel1" localSheetId="3" hidden="1">2</definedName>
    <definedName name="solver_rel1" localSheetId="6" hidden="1">2</definedName>
    <definedName name="solver_rel1" localSheetId="10" hidden="1">2</definedName>
    <definedName name="solver_rel1" localSheetId="4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5" hidden="1">2</definedName>
    <definedName name="solver_rhs1" localSheetId="3" hidden="1">第九期!$AW$129</definedName>
    <definedName name="solver_rhs1" localSheetId="6" hidden="1">第十二期!$AW$129</definedName>
    <definedName name="solver_rhs1" localSheetId="10" hidden="1">第十六期!$AW$129</definedName>
    <definedName name="solver_rhs1" localSheetId="4" hidden="1">第十期!$AW$129</definedName>
    <definedName name="solver_rhs1" localSheetId="7" hidden="1">第十三期!$AW$129</definedName>
    <definedName name="solver_rhs1" localSheetId="8" hidden="1">第十四期!$AW$129</definedName>
    <definedName name="solver_rhs1" localSheetId="9" hidden="1">第十五期!$AW$129</definedName>
    <definedName name="solver_rhs1" localSheetId="5" hidden="1">第十一期!$AW$129</definedName>
    <definedName name="solver_rlx" localSheetId="3" hidden="1">1</definedName>
    <definedName name="solver_rlx" localSheetId="6" hidden="1">1</definedName>
    <definedName name="solver_rlx" localSheetId="10" hidden="1">1</definedName>
    <definedName name="solver_rlx" localSheetId="4" hidden="1">1</definedName>
    <definedName name="solver_rlx" localSheetId="7" hidden="1">1</definedName>
    <definedName name="solver_rlx" localSheetId="8" hidden="1">1</definedName>
    <definedName name="solver_rlx" localSheetId="9" hidden="1">1</definedName>
    <definedName name="solver_rlx" localSheetId="5" hidden="1">1</definedName>
    <definedName name="solver_rsd" localSheetId="3" hidden="1">0</definedName>
    <definedName name="solver_rsd" localSheetId="6" hidden="1">0</definedName>
    <definedName name="solver_rsd" localSheetId="10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5" hidden="1">0</definedName>
    <definedName name="solver_scl" localSheetId="3" hidden="1">2</definedName>
    <definedName name="solver_scl" localSheetId="6" hidden="1">2</definedName>
    <definedName name="solver_scl" localSheetId="10" hidden="1">2</definedName>
    <definedName name="solver_scl" localSheetId="4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5" hidden="1">2</definedName>
    <definedName name="solver_sho" localSheetId="3" hidden="1">2</definedName>
    <definedName name="solver_sho" localSheetId="6" hidden="1">2</definedName>
    <definedName name="solver_sho" localSheetId="10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5" hidden="1">2</definedName>
    <definedName name="solver_ssz" localSheetId="3" hidden="1">100</definedName>
    <definedName name="solver_ssz" localSheetId="6" hidden="1">100</definedName>
    <definedName name="solver_ssz" localSheetId="10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5" hidden="1">100</definedName>
    <definedName name="solver_tim" localSheetId="3" hidden="1">100</definedName>
    <definedName name="solver_tim" localSheetId="6" hidden="1">100</definedName>
    <definedName name="solver_tim" localSheetId="10" hidden="1">100</definedName>
    <definedName name="solver_tim" localSheetId="4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5" hidden="1">100</definedName>
    <definedName name="solver_tol" localSheetId="3" hidden="1">0.05</definedName>
    <definedName name="solver_tol" localSheetId="6" hidden="1">0.05</definedName>
    <definedName name="solver_tol" localSheetId="10" hidden="1">0.05</definedName>
    <definedName name="solver_tol" localSheetId="4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5" hidden="1">0.05</definedName>
    <definedName name="solver_typ" localSheetId="3" hidden="1">1</definedName>
    <definedName name="solver_typ" localSheetId="6" hidden="1">1</definedName>
    <definedName name="solver_typ" localSheetId="10" hidden="1">1</definedName>
    <definedName name="solver_typ" localSheetId="4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5" hidden="1">1</definedName>
    <definedName name="solver_val" localSheetId="3" hidden="1">0</definedName>
    <definedName name="solver_val" localSheetId="6" hidden="1">0</definedName>
    <definedName name="solver_val" localSheetId="10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5" hidden="1">0</definedName>
    <definedName name="solver_ver" localSheetId="3" hidden="1">3</definedName>
    <definedName name="solver_ver" localSheetId="6" hidden="1">3</definedName>
    <definedName name="solver_ver" localSheetId="10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5" hidden="1">3</definedName>
    <definedName name="yinzi">#REF!</definedName>
    <definedName name="zhuangtai">#REF!</definedName>
    <definedName name="zhuangtai2">#REF!</definedName>
    <definedName name="数据导入" localSheetId="3">第九期!$M$26:$N$40</definedName>
    <definedName name="数据导入" localSheetId="6">第十二期!$M$26:$N$40</definedName>
    <definedName name="数据导入" localSheetId="10">第十六期!$M$26:$N$40</definedName>
    <definedName name="数据导入" localSheetId="4">第十期!$M$26:$N$40</definedName>
    <definedName name="数据导入" localSheetId="7">第十三期!$M$26:$N$40</definedName>
    <definedName name="数据导入" localSheetId="8">第十四期!$M$26:$N$40</definedName>
    <definedName name="数据导入" localSheetId="9">第十五期!$M$26:$N$40</definedName>
    <definedName name="数据导入" localSheetId="5">第十一期!$M$26:$N$40</definedName>
  </definedNames>
  <calcPr calcId="144525"/>
</workbook>
</file>

<file path=xl/connections.xml><?xml version="1.0" encoding="utf-8"?>
<connections xmlns="http://schemas.openxmlformats.org/spreadsheetml/2006/main">
  <connection id="1" name="数据导入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2" name="数据导入1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3" name="数据导入11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4" name="数据导入1111111112" type="6" background="1" refreshedVersion="2" saveData="1">
    <textPr sourceFile="C:\Users\sony\Desktop\数据导入.txt" decimal="." thousands="," delimiter="=">
      <textFields>
        <textField/>
      </textFields>
    </textPr>
  </connection>
  <connection id="5" name="数据导入11111111121" type="6" background="1" refreshedVersion="2" saveData="1">
    <textPr sourceFile="C:\Users\sony\Desktop\数据导入.txt" decimal="." thousands="," delimiter="=">
      <textFields>
        <textField/>
      </textFields>
    </textPr>
  </connection>
  <connection id="6" name="数据导入111111111211" type="6" background="1" refreshedVersion="2" saveData="1">
    <textPr sourceFile="C:\Users\sony\Desktop\数据导入.txt" decimal="." thousands="," delimiter="=">
      <textFields>
        <textField/>
      </textFields>
    </textPr>
  </connection>
  <connection id="7" name="数据导入1111111113" type="6" background="1" refreshedVersion="2" saveData="1">
    <textPr sourceFile="C:\Users\sony\Desktop\数据导入.txt" decimal="." thousands="," delimiter="=">
      <textFields>
        <textField/>
      </textFields>
    </textPr>
  </connection>
  <connection id="8" name="数据导入11111111131" type="6" background="1" refreshedVersion="2" saveData="1">
    <textPr sourceFile="C:\Users\sony\Desktop\数据导入.txt" decimal="." thousands="," delimiter="=">
      <textFields>
        <textField/>
      </textFields>
    </textPr>
  </connection>
</connections>
</file>

<file path=xl/sharedStrings.xml><?xml version="1.0" encoding="utf-8"?>
<sst xmlns="http://schemas.openxmlformats.org/spreadsheetml/2006/main" count="9458" uniqueCount="417">
  <si>
    <t>投       资       预       算</t>
  </si>
  <si>
    <t>项目</t>
  </si>
  <si>
    <t>期数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</si>
  <si>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</si>
  <si>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</si>
  <si>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</si>
  <si>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</si>
  <si>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</si>
  <si>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</si>
  <si>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</si>
  <si>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</si>
  <si>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</si>
  <si>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</si>
  <si>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机器</t>
  </si>
  <si>
    <t>新增</t>
  </si>
  <si>
    <t>现有</t>
  </si>
  <si>
    <t>工人</t>
  </si>
  <si>
    <t>退休</t>
  </si>
  <si>
    <t>MIN</t>
  </si>
  <si>
    <t>MAX</t>
  </si>
  <si>
    <t>总量</t>
  </si>
  <si>
    <t>产品A</t>
  </si>
  <si>
    <t>产品B</t>
  </si>
  <si>
    <t>产品C</t>
  </si>
  <si>
    <t>产品D</t>
  </si>
  <si>
    <t>均值</t>
  </si>
  <si>
    <t>人数/机器</t>
  </si>
  <si>
    <t>人机比</t>
  </si>
  <si>
    <t>当量</t>
  </si>
  <si>
    <t>材料</t>
  </si>
  <si>
    <t>可用材料</t>
  </si>
  <si>
    <t>本期需要</t>
  </si>
  <si>
    <t>本期需要/机器</t>
  </si>
  <si>
    <t>材料机比</t>
  </si>
  <si>
    <t>本期采购</t>
  </si>
  <si>
    <t>期末库存</t>
  </si>
  <si>
    <t>原材料优惠</t>
  </si>
  <si>
    <t>研发</t>
  </si>
  <si>
    <t>A产品</t>
  </si>
  <si>
    <t>B产品</t>
  </si>
  <si>
    <t>C产品</t>
  </si>
  <si>
    <t>D产品</t>
  </si>
  <si>
    <t>研发合计</t>
  </si>
  <si>
    <t>累计研发</t>
  </si>
  <si>
    <t>研发费用</t>
  </si>
  <si>
    <t>等级1</t>
  </si>
  <si>
    <t>等级2</t>
  </si>
  <si>
    <t>等级3</t>
  </si>
  <si>
    <t>等级4</t>
  </si>
  <si>
    <t>等级5</t>
  </si>
  <si>
    <t xml:space="preserve">比      赛      参      数 </t>
  </si>
  <si>
    <t>本公司序数</t>
  </si>
  <si>
    <t>总共公司数</t>
  </si>
  <si>
    <t>产品运出率</t>
  </si>
  <si>
    <t>固定运费</t>
  </si>
  <si>
    <t>市场1</t>
  </si>
  <si>
    <t>市场2</t>
  </si>
  <si>
    <t>市场3</t>
  </si>
  <si>
    <t>市场4</t>
  </si>
  <si>
    <t>产品A、B</t>
  </si>
  <si>
    <t>产品C、D</t>
  </si>
  <si>
    <t>变动运输费</t>
  </si>
  <si>
    <t>单位原材料库存费</t>
  </si>
  <si>
    <t>成品库存费</t>
  </si>
  <si>
    <t>单位生产资源</t>
  </si>
  <si>
    <t>机器（时）</t>
  </si>
  <si>
    <t>人力（时）</t>
  </si>
  <si>
    <t>原材料（单位）</t>
  </si>
  <si>
    <t>机器价格</t>
  </si>
  <si>
    <t>折旧率</t>
  </si>
  <si>
    <t>原材料价格</t>
  </si>
  <si>
    <t>订购量</t>
  </si>
  <si>
    <t>单价</t>
  </si>
  <si>
    <t>原材料运费</t>
  </si>
  <si>
    <t>固定</t>
  </si>
  <si>
    <t>变动</t>
  </si>
  <si>
    <t>原材料使用率</t>
  </si>
  <si>
    <t>管理费</t>
  </si>
  <si>
    <t>第一班</t>
  </si>
  <si>
    <t>第二班</t>
  </si>
  <si>
    <t>机器维修费</t>
  </si>
  <si>
    <t>冰箱</t>
  </si>
  <si>
    <t>电视</t>
  </si>
  <si>
    <t>手机</t>
  </si>
  <si>
    <t>计算机</t>
  </si>
  <si>
    <t>招收新工人比例</t>
  </si>
  <si>
    <t>培训费</t>
  </si>
  <si>
    <t>新工人作用工资比例</t>
  </si>
  <si>
    <t>自然退休比例</t>
  </si>
  <si>
    <t>最大解聘比例</t>
  </si>
  <si>
    <t>安置费</t>
  </si>
  <si>
    <t>工人工资</t>
  </si>
  <si>
    <t>一正</t>
  </si>
  <si>
    <t>一加</t>
  </si>
  <si>
    <t>二正</t>
  </si>
  <si>
    <t>二加</t>
  </si>
  <si>
    <t>最低保留现金</t>
  </si>
  <si>
    <t>银行信用额</t>
  </si>
  <si>
    <t>银行年利率</t>
  </si>
  <si>
    <t>国债年利率</t>
  </si>
  <si>
    <t>债券年利率</t>
  </si>
  <si>
    <t>偿债券率</t>
  </si>
  <si>
    <t>纳税比例</t>
  </si>
  <si>
    <t>评判标准</t>
  </si>
  <si>
    <t>本期利润</t>
  </si>
  <si>
    <t>市场份额</t>
  </si>
  <si>
    <t>累计分红</t>
  </si>
  <si>
    <t>累计缴税</t>
  </si>
  <si>
    <t>净资产</t>
  </si>
  <si>
    <t>人均利润率</t>
  </si>
  <si>
    <t>资本利润率</t>
  </si>
  <si>
    <t>权重</t>
  </si>
  <si>
    <t>工资系数</t>
  </si>
  <si>
    <t>上期正品率</t>
  </si>
  <si>
    <t>废品系数</t>
  </si>
  <si>
    <t>考虑上期影响（选用）</t>
  </si>
  <si>
    <t>下期正品率</t>
  </si>
  <si>
    <t>正品率</t>
  </si>
  <si>
    <t>影响因子</t>
  </si>
  <si>
    <t>最大值</t>
  </si>
  <si>
    <t>第1次数据</t>
  </si>
  <si>
    <t>第2次数据</t>
  </si>
  <si>
    <t>第3次数据</t>
  </si>
  <si>
    <t>第4次数据</t>
  </si>
  <si>
    <t>第5次数据</t>
  </si>
  <si>
    <t>第6次数据</t>
  </si>
  <si>
    <t>第7次数据</t>
  </si>
  <si>
    <t>第8次数据</t>
  </si>
  <si>
    <t>第9次数据</t>
  </si>
  <si>
    <t>第10次数据</t>
  </si>
  <si>
    <t>第11次数据</t>
  </si>
  <si>
    <t>第12次数据</t>
  </si>
  <si>
    <t>第13次数据</t>
  </si>
  <si>
    <t>第14次数据</t>
  </si>
  <si>
    <t>第15次数据</t>
  </si>
  <si>
    <t>第16次数据</t>
  </si>
  <si>
    <t>第17次数据</t>
  </si>
  <si>
    <t>第18次数据</t>
  </si>
  <si>
    <t>数      据      填      充</t>
  </si>
  <si>
    <t>生      产      安      排</t>
  </si>
  <si>
    <t>竞     争     对     手     分     析</t>
  </si>
  <si>
    <t>决        策        单</t>
  </si>
  <si>
    <t>上期需求</t>
  </si>
  <si>
    <t>上期市场份额</t>
  </si>
  <si>
    <t>平均份额</t>
  </si>
  <si>
    <t>标准供应量</t>
  </si>
  <si>
    <t>实际供应量</t>
  </si>
  <si>
    <t>无折旧机时贡献</t>
  </si>
  <si>
    <t>机时成本</t>
  </si>
  <si>
    <t>人时贡献</t>
  </si>
  <si>
    <t>无折旧成本贡献</t>
  </si>
  <si>
    <t>无差别机时贡献</t>
  </si>
  <si>
    <t>成本贡献*15</t>
  </si>
  <si>
    <t>单位成本/机时</t>
  </si>
  <si>
    <t>可运出</t>
  </si>
  <si>
    <t>工厂库存</t>
  </si>
  <si>
    <t>工人数</t>
  </si>
  <si>
    <t>上期发债券数</t>
  </si>
  <si>
    <t>机器数</t>
  </si>
  <si>
    <t>上期偿债本金</t>
  </si>
  <si>
    <t>产品</t>
  </si>
  <si>
    <t>市场</t>
  </si>
  <si>
    <t>需求</t>
  </si>
  <si>
    <t>订货</t>
  </si>
  <si>
    <t>库存</t>
  </si>
  <si>
    <t>原材料</t>
  </si>
  <si>
    <t>发债券数</t>
  </si>
  <si>
    <t>价格</t>
  </si>
  <si>
    <t>广告</t>
  </si>
  <si>
    <t>现 金</t>
  </si>
  <si>
    <t>偿债本金</t>
  </si>
  <si>
    <t>累计折旧</t>
  </si>
  <si>
    <t>生产安排</t>
  </si>
  <si>
    <t>实际机时贡献</t>
  </si>
  <si>
    <t>边际贡献率*20</t>
  </si>
  <si>
    <t>消耗机时</t>
  </si>
  <si>
    <t>单位利润</t>
  </si>
  <si>
    <t>公司号</t>
  </si>
  <si>
    <t>销售产能</t>
  </si>
  <si>
    <t>销售机器</t>
  </si>
  <si>
    <t>机时利润率</t>
  </si>
  <si>
    <t>本期成本</t>
  </si>
  <si>
    <t>成本利润率</t>
  </si>
  <si>
    <t>销售收入</t>
  </si>
  <si>
    <t>实际收入</t>
  </si>
  <si>
    <t>原材料采购</t>
  </si>
  <si>
    <t>纯利润</t>
  </si>
  <si>
    <t>研发分摊</t>
  </si>
  <si>
    <t>调整利润（扣除研发）</t>
  </si>
  <si>
    <t>机时利润</t>
  </si>
  <si>
    <t>银行信用额度</t>
  </si>
  <si>
    <t>下</t>
  </si>
  <si>
    <t>现  金</t>
  </si>
  <si>
    <t>产品A产量</t>
  </si>
  <si>
    <t>国 债</t>
  </si>
  <si>
    <t>产品B产量</t>
  </si>
  <si>
    <t>债 券</t>
  </si>
  <si>
    <t>现金</t>
  </si>
  <si>
    <t>期</t>
  </si>
  <si>
    <t>银行信用</t>
  </si>
  <si>
    <t>产品C产量</t>
  </si>
  <si>
    <t>促销</t>
  </si>
  <si>
    <t>累计研发费</t>
  </si>
  <si>
    <t>国债</t>
  </si>
  <si>
    <t>产品D产量</t>
  </si>
  <si>
    <t>企</t>
  </si>
  <si>
    <t>下期债券</t>
  </si>
  <si>
    <t>各班需人数</t>
  </si>
  <si>
    <t>售前现金</t>
  </si>
  <si>
    <t>机时总贡献</t>
  </si>
  <si>
    <t>供货</t>
  </si>
  <si>
    <t>本期交税</t>
  </si>
  <si>
    <t>债券</t>
  </si>
  <si>
    <t>各班需机器</t>
  </si>
  <si>
    <t>银行贷款</t>
  </si>
  <si>
    <t>下期信用额</t>
  </si>
  <si>
    <t>累计交税</t>
  </si>
  <si>
    <t>交税信用</t>
  </si>
  <si>
    <t>业</t>
  </si>
  <si>
    <t>机器利用率</t>
  </si>
  <si>
    <t>发行债券</t>
  </si>
  <si>
    <t>债券可发额</t>
  </si>
  <si>
    <t>下期可发债券</t>
  </si>
  <si>
    <t>管理成本</t>
  </si>
  <si>
    <t>生产成本</t>
  </si>
  <si>
    <t>未值班工人</t>
  </si>
  <si>
    <t>平均机时贡献</t>
  </si>
  <si>
    <t>单位机器贡献</t>
  </si>
  <si>
    <t>广告促销费</t>
  </si>
  <si>
    <t>单位工资</t>
  </si>
  <si>
    <t>第一班正班</t>
  </si>
  <si>
    <t>第一班加班</t>
  </si>
  <si>
    <t>第二班正班</t>
  </si>
  <si>
    <t>第二班加班</t>
  </si>
  <si>
    <t>平均工资</t>
  </si>
  <si>
    <t>单位成本</t>
  </si>
  <si>
    <t>无差别成本</t>
  </si>
  <si>
    <t>状</t>
  </si>
  <si>
    <t>未值班工资</t>
  </si>
  <si>
    <t>单产机时贡献</t>
  </si>
  <si>
    <t>新雇人数</t>
  </si>
  <si>
    <t>解雇人数</t>
  </si>
  <si>
    <t>购原材料</t>
  </si>
  <si>
    <t>购买机器</t>
  </si>
  <si>
    <t>分红</t>
  </si>
  <si>
    <t>现有机器数</t>
  </si>
  <si>
    <t>单位成本贡献</t>
  </si>
  <si>
    <t>成本</t>
  </si>
  <si>
    <t>况</t>
  </si>
  <si>
    <t>Max</t>
  </si>
  <si>
    <t>Min</t>
  </si>
  <si>
    <t>税后利润</t>
  </si>
  <si>
    <t>供应机器数</t>
  </si>
  <si>
    <t>机时贡献</t>
  </si>
  <si>
    <r>
      <t>研发(K</t>
    </r>
    <r>
      <rPr>
        <sz val="12"/>
        <rFont val="宋体"/>
        <charset val="134"/>
      </rPr>
      <t>)</t>
    </r>
  </si>
  <si>
    <t>总资本利润率</t>
  </si>
  <si>
    <t>可用人数</t>
  </si>
  <si>
    <t>可用原材料</t>
  </si>
  <si>
    <t>买国债</t>
  </si>
  <si>
    <t>期末现金</t>
  </si>
  <si>
    <t>销售机器数</t>
  </si>
  <si>
    <t>综合评分</t>
  </si>
  <si>
    <t>需要人数</t>
  </si>
  <si>
    <t>需要机器数</t>
  </si>
  <si>
    <t>需要原材料</t>
  </si>
  <si>
    <t>国债利息</t>
  </si>
  <si>
    <t>废品损失</t>
  </si>
  <si>
    <t>保留现金</t>
  </si>
  <si>
    <t>销售比例</t>
  </si>
  <si>
    <t>利用机器</t>
  </si>
  <si>
    <t>期初现金</t>
  </si>
  <si>
    <t>期初原材料</t>
  </si>
  <si>
    <t>机时</t>
  </si>
  <si>
    <t>上期预定</t>
  </si>
  <si>
    <t>本期需求</t>
  </si>
  <si>
    <t>本期销售</t>
  </si>
  <si>
    <t>废品</t>
  </si>
  <si>
    <t>本期费用</t>
  </si>
  <si>
    <t>期末原材料</t>
  </si>
  <si>
    <t>上期研发费</t>
  </si>
  <si>
    <t>加权平均</t>
  </si>
  <si>
    <t>本期比例</t>
  </si>
  <si>
    <t>售前费用</t>
  </si>
  <si>
    <t>本期机器</t>
  </si>
  <si>
    <t>下期机器</t>
  </si>
  <si>
    <t>单位价值</t>
  </si>
  <si>
    <t>发展</t>
  </si>
  <si>
    <t>辞退人数</t>
  </si>
  <si>
    <t>买机器</t>
  </si>
  <si>
    <r>
      <t>原材料(K</t>
    </r>
    <r>
      <rPr>
        <sz val="12"/>
        <rFont val="宋体"/>
        <charset val="134"/>
      </rPr>
      <t>)</t>
    </r>
  </si>
  <si>
    <t>等级</t>
  </si>
  <si>
    <t>公司</t>
  </si>
  <si>
    <t>利润</t>
  </si>
  <si>
    <t>A</t>
  </si>
  <si>
    <t>B</t>
  </si>
  <si>
    <t>C</t>
  </si>
  <si>
    <t>D</t>
  </si>
  <si>
    <t>单位运输成本</t>
  </si>
  <si>
    <t>单位销售成本</t>
  </si>
  <si>
    <t>下期售前费用</t>
  </si>
  <si>
    <t>财务(K)</t>
  </si>
  <si>
    <t>发债券</t>
  </si>
  <si>
    <t>人时</t>
  </si>
  <si>
    <t>单位机时贡献</t>
  </si>
  <si>
    <t>现有人机比</t>
  </si>
  <si>
    <t>单位贡献</t>
  </si>
  <si>
    <t>基础毛利率</t>
  </si>
  <si>
    <t>研发费</t>
  </si>
  <si>
    <t>升级费用</t>
  </si>
  <si>
    <t>产品等级</t>
  </si>
  <si>
    <t>单位产品边际贡献</t>
  </si>
  <si>
    <t>单位机时边际贡献</t>
  </si>
  <si>
    <t>成本贡献</t>
  </si>
  <si>
    <t>单位产品边际贡献率</t>
  </si>
  <si>
    <t>总计</t>
  </si>
  <si>
    <t>运输成本</t>
  </si>
  <si>
    <t>变动运输成本</t>
  </si>
  <si>
    <t>本期研发</t>
  </si>
  <si>
    <t>总运费</t>
  </si>
  <si>
    <t>本公司</t>
  </si>
  <si>
    <t>分      销      ＆      定      价</t>
  </si>
  <si>
    <t>会       计       报       表</t>
  </si>
  <si>
    <t>收入</t>
  </si>
  <si>
    <t>各班工资</t>
  </si>
  <si>
    <t>平均</t>
  </si>
  <si>
    <t>是否运出</t>
  </si>
  <si>
    <t>是否生产</t>
  </si>
  <si>
    <t>收支</t>
  </si>
  <si>
    <t>本期收入</t>
  </si>
  <si>
    <t>现金累计</t>
  </si>
  <si>
    <t>废品基础损失</t>
  </si>
  <si>
    <t>上期库存</t>
  </si>
  <si>
    <t>上期订货</t>
  </si>
  <si>
    <t>实际生产量</t>
  </si>
  <si>
    <t>还债券本金</t>
  </si>
  <si>
    <t>供货量总量</t>
  </si>
  <si>
    <t>还债券利息</t>
  </si>
  <si>
    <t>预测市场库存</t>
  </si>
  <si>
    <t>新工人培训费</t>
  </si>
  <si>
    <t>期初库存</t>
  </si>
  <si>
    <t>库存收入</t>
  </si>
  <si>
    <t>解雇工人安置费</t>
  </si>
  <si>
    <t>工人基本工资</t>
  </si>
  <si>
    <t>单位成品存储费</t>
  </si>
  <si>
    <t>供需差额</t>
  </si>
  <si>
    <t>实际供应</t>
  </si>
  <si>
    <t>研发费分摊</t>
  </si>
  <si>
    <t>库存变化</t>
  </si>
  <si>
    <t>购原材料优惠</t>
  </si>
  <si>
    <t>库存费</t>
  </si>
  <si>
    <t>购材料运费</t>
  </si>
  <si>
    <t>特殊班工资</t>
  </si>
  <si>
    <t>使用材料费</t>
  </si>
  <si>
    <t>成品运输费</t>
  </si>
  <si>
    <t>参照市场份额</t>
  </si>
  <si>
    <t>本期价格</t>
  </si>
  <si>
    <t>促销分摊</t>
  </si>
  <si>
    <t>广告费</t>
  </si>
  <si>
    <t>促销费</t>
  </si>
  <si>
    <t>标准差</t>
  </si>
  <si>
    <t>折旧费</t>
  </si>
  <si>
    <t>加权平均单价</t>
  </si>
  <si>
    <t>各班机时</t>
  </si>
  <si>
    <t>广告比</t>
  </si>
  <si>
    <t>产品库存变化</t>
  </si>
  <si>
    <t>参照评分贡献</t>
  </si>
  <si>
    <t>广告分摊</t>
  </si>
  <si>
    <t>促销比</t>
  </si>
  <si>
    <t>市场均值</t>
  </si>
  <si>
    <t>原材料存储费</t>
  </si>
  <si>
    <t>成品存储费</t>
  </si>
  <si>
    <t>加权机时贡献</t>
  </si>
  <si>
    <t>上期国债返回</t>
  </si>
  <si>
    <t xml:space="preserve"> </t>
  </si>
  <si>
    <t>上期价格</t>
  </si>
  <si>
    <t>价格增量</t>
  </si>
  <si>
    <t>付银行贷款</t>
  </si>
  <si>
    <t>付银行利息</t>
  </si>
  <si>
    <t>加权平均成本</t>
  </si>
  <si>
    <t>各班几时占用率</t>
  </si>
  <si>
    <t>本期产品分配</t>
  </si>
  <si>
    <t>分配原则</t>
  </si>
  <si>
    <t>本期纳税</t>
  </si>
  <si>
    <t>机时贡献相等</t>
  </si>
  <si>
    <t>市场份额相等</t>
  </si>
  <si>
    <t>边际贡献相等</t>
  </si>
  <si>
    <t>市场1、2无差别</t>
  </si>
  <si>
    <t>外部定价</t>
  </si>
  <si>
    <t>上期与均价差</t>
  </si>
  <si>
    <t>本期合计供货</t>
  </si>
  <si>
    <t>折旧分摊</t>
  </si>
  <si>
    <t>可运出产品数量</t>
  </si>
  <si>
    <t>累计纳税</t>
  </si>
  <si>
    <t>综合分</t>
  </si>
  <si>
    <t>上期加权均价</t>
  </si>
  <si>
    <t>本期与均价差</t>
  </si>
  <si>
    <t>边际贡献率</t>
  </si>
  <si>
    <t>库存预测</t>
  </si>
  <si>
    <t>评分</t>
  </si>
  <si>
    <t>利润率贡献</t>
  </si>
  <si>
    <t>本期贡献</t>
  </si>
  <si>
    <t>上上期分数</t>
  </si>
  <si>
    <t>理论分数</t>
  </si>
  <si>
    <t>预计废品数</t>
  </si>
  <si>
    <t>库存金额</t>
  </si>
  <si>
    <t>百分比</t>
  </si>
  <si>
    <t>进一步毛利率</t>
  </si>
  <si>
    <t>系数</t>
  </si>
  <si>
    <t>本公司号</t>
  </si>
  <si>
    <r>
      <t>产品</t>
    </r>
    <r>
      <rPr>
        <sz val="48"/>
        <color indexed="9"/>
        <rFont val="宋体"/>
        <charset val="134"/>
      </rPr>
      <t>B</t>
    </r>
  </si>
  <si>
    <t>和</t>
  </si>
  <si>
    <t>本公司销售量</t>
  </si>
  <si>
    <t>市场总销量</t>
  </si>
  <si>
    <t>平均销量</t>
  </si>
  <si>
    <t>加权单价</t>
  </si>
  <si>
    <t>差价</t>
  </si>
  <si>
    <t>比例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</si>
</sst>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%"/>
    <numFmt numFmtId="177" formatCode="#,##0_ "/>
    <numFmt numFmtId="178" formatCode="0.0_ "/>
    <numFmt numFmtId="179" formatCode="0.0000%"/>
    <numFmt numFmtId="180" formatCode="#,##0_);[Red]\(#,##0\)"/>
    <numFmt numFmtId="181" formatCode="0_ "/>
    <numFmt numFmtId="182" formatCode="0.00_ "/>
    <numFmt numFmtId="183" formatCode="0.000_ "/>
    <numFmt numFmtId="184" formatCode="0.000%"/>
    <numFmt numFmtId="185" formatCode="#,##0.000_ "/>
    <numFmt numFmtId="186" formatCode="0.0000;[Red]0.0000"/>
    <numFmt numFmtId="187" formatCode="0.0000_);[Red]\(0.0000\)"/>
    <numFmt numFmtId="188" formatCode="0.0000_ "/>
    <numFmt numFmtId="189" formatCode="0.0%"/>
  </numFmts>
  <fonts count="44">
    <font>
      <sz val="12"/>
      <name val="宋体"/>
      <charset val="134"/>
    </font>
    <font>
      <b/>
      <sz val="12"/>
      <name val="宋体"/>
      <charset val="134"/>
    </font>
    <font>
      <b/>
      <sz val="28"/>
      <color indexed="9"/>
      <name val="宋体"/>
      <charset val="134"/>
    </font>
    <font>
      <b/>
      <sz val="14"/>
      <name val="宋体"/>
      <charset val="134"/>
    </font>
    <font>
      <b/>
      <sz val="12"/>
      <color theme="0"/>
      <name val="宋体"/>
      <charset val="134"/>
    </font>
    <font>
      <b/>
      <sz val="12"/>
      <color indexed="10"/>
      <name val="宋体"/>
      <charset val="134"/>
    </font>
    <font>
      <sz val="12"/>
      <color rgb="FFFF0000"/>
      <name val="宋体"/>
      <charset val="134"/>
    </font>
    <font>
      <b/>
      <sz val="12"/>
      <color indexed="9"/>
      <name val="宋体"/>
      <charset val="134"/>
    </font>
    <font>
      <b/>
      <sz val="10"/>
      <name val="宋体"/>
      <charset val="134"/>
    </font>
    <font>
      <sz val="10.5"/>
      <name val="Times New Roman"/>
      <family val="1"/>
      <charset val="0"/>
    </font>
    <font>
      <b/>
      <sz val="12"/>
      <name val="Times New Roman"/>
      <family val="1"/>
      <charset val="0"/>
    </font>
    <font>
      <b/>
      <sz val="26"/>
      <name val="宋体"/>
      <charset val="134"/>
    </font>
    <font>
      <sz val="28"/>
      <color indexed="9"/>
      <name val="宋体"/>
      <charset val="134"/>
    </font>
    <font>
      <sz val="28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sz val="12"/>
      <color indexed="12"/>
      <name val="宋体"/>
      <charset val="134"/>
    </font>
    <font>
      <b/>
      <sz val="48"/>
      <color indexed="9"/>
      <name val="宋体"/>
      <charset val="134"/>
    </font>
    <font>
      <b/>
      <sz val="12"/>
      <color indexed="56"/>
      <name val="宋体"/>
      <charset val="134"/>
    </font>
    <font>
      <sz val="12"/>
      <name val="Times New Roman"/>
      <family val="1"/>
      <charset val="0"/>
    </font>
    <font>
      <sz val="16"/>
      <color indexed="9"/>
      <name val="宋体"/>
      <charset val="134"/>
    </font>
    <font>
      <sz val="16"/>
      <name val="宋体"/>
      <charset val="134"/>
    </font>
    <font>
      <b/>
      <sz val="18"/>
      <color indexed="9"/>
      <name val="宋体"/>
      <charset val="134"/>
    </font>
    <font>
      <sz val="18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48"/>
      <color indexed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36" borderId="8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43" borderId="85" applyNumberFormat="0" applyFon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42" fillId="0" borderId="87" applyNumberFormat="0" applyFill="0" applyAlignment="0" applyProtection="0">
      <alignment vertical="center"/>
    </xf>
    <xf numFmtId="0" fontId="26" fillId="0" borderId="0">
      <alignment vertical="center"/>
    </xf>
    <xf numFmtId="0" fontId="41" fillId="0" borderId="86" applyNumberFormat="0" applyFill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4" fillId="0" borderId="8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2" fillId="38" borderId="82" applyNumberFormat="0" applyAlignment="0" applyProtection="0">
      <alignment vertical="center"/>
    </xf>
    <xf numFmtId="0" fontId="40" fillId="38" borderId="80" applyNumberFormat="0" applyAlignment="0" applyProtection="0">
      <alignment vertical="center"/>
    </xf>
    <xf numFmtId="0" fontId="33" fillId="42" borderId="83" applyNumberFormat="0" applyAlignment="0" applyProtection="0">
      <alignment vertical="center"/>
    </xf>
    <xf numFmtId="0" fontId="26" fillId="5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1" fillId="0" borderId="81" applyNumberFormat="0" applyFill="0" applyAlignment="0" applyProtection="0">
      <alignment vertical="center"/>
    </xf>
    <xf numFmtId="0" fontId="27" fillId="0" borderId="79" applyNumberFormat="0" applyFill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4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3" fontId="0" fillId="4" borderId="4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horizontal="right" vertical="center" wrapText="1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wrapText="1"/>
    </xf>
    <xf numFmtId="0" fontId="0" fillId="5" borderId="4" xfId="0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0" fillId="5" borderId="4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8" fontId="1" fillId="8" borderId="4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1" fontId="1" fillId="6" borderId="4" xfId="0" applyNumberFormat="1" applyFont="1" applyFill="1" applyBorder="1" applyAlignment="1">
      <alignment horizontal="center" vertical="center"/>
    </xf>
    <xf numFmtId="10" fontId="0" fillId="5" borderId="4" xfId="0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81" fontId="1" fillId="5" borderId="4" xfId="0" applyNumberFormat="1" applyFont="1" applyFill="1" applyBorder="1" applyAlignment="1">
      <alignment horizontal="center" vertical="center"/>
    </xf>
    <xf numFmtId="178" fontId="1" fillId="10" borderId="4" xfId="0" applyNumberFormat="1" applyFont="1" applyFill="1" applyBorder="1" applyAlignment="1">
      <alignment horizontal="center" vertical="center"/>
    </xf>
    <xf numFmtId="183" fontId="0" fillId="11" borderId="4" xfId="0" applyNumberFormat="1" applyFont="1" applyFill="1" applyBorder="1" applyAlignment="1">
      <alignment horizontal="center" vertical="center"/>
    </xf>
    <xf numFmtId="183" fontId="0" fillId="5" borderId="4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12" borderId="4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183" fontId="0" fillId="13" borderId="4" xfId="0" applyNumberFormat="1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83" fontId="0" fillId="5" borderId="30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77" fontId="0" fillId="0" borderId="25" xfId="0" applyNumberFormat="1" applyFont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177" fontId="1" fillId="14" borderId="33" xfId="0" applyNumberFormat="1" applyFont="1" applyFill="1" applyBorder="1" applyAlignment="1">
      <alignment horizontal="right" vertical="center"/>
    </xf>
    <xf numFmtId="184" fontId="1" fillId="15" borderId="4" xfId="0" applyNumberFormat="1" applyFont="1" applyFill="1" applyBorder="1" applyAlignment="1">
      <alignment horizontal="center" vertical="center"/>
    </xf>
    <xf numFmtId="184" fontId="1" fillId="15" borderId="1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4" fontId="1" fillId="15" borderId="30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77" fontId="0" fillId="0" borderId="22" xfId="0" applyNumberFormat="1" applyFont="1" applyBorder="1" applyAlignment="1">
      <alignment horizontal="right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77" fontId="1" fillId="14" borderId="33" xfId="0" applyNumberFormat="1" applyFont="1" applyFill="1" applyBorder="1" applyAlignment="1">
      <alignment horizontal="center" vertical="center"/>
    </xf>
    <xf numFmtId="183" fontId="1" fillId="14" borderId="4" xfId="0" applyNumberFormat="1" applyFont="1" applyFill="1" applyBorder="1" applyAlignment="1">
      <alignment horizontal="center" vertical="center"/>
    </xf>
    <xf numFmtId="183" fontId="1" fillId="14" borderId="33" xfId="0" applyNumberFormat="1" applyFont="1" applyFill="1" applyBorder="1" applyAlignment="1">
      <alignment horizontal="right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83" fontId="1" fillId="0" borderId="22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right" vertical="center"/>
    </xf>
    <xf numFmtId="177" fontId="1" fillId="13" borderId="4" xfId="0" applyNumberFormat="1" applyFont="1" applyFill="1" applyBorder="1" applyAlignment="1">
      <alignment horizontal="right" vertical="center"/>
    </xf>
    <xf numFmtId="177" fontId="1" fillId="16" borderId="4" xfId="0" applyNumberFormat="1" applyFont="1" applyFill="1" applyBorder="1" applyAlignment="1">
      <alignment horizontal="center" vertical="center"/>
    </xf>
    <xf numFmtId="183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7" fontId="0" fillId="0" borderId="4" xfId="0" applyNumberFormat="1" applyFont="1" applyBorder="1" applyAlignment="1">
      <alignment horizontal="right" vertical="center"/>
    </xf>
    <xf numFmtId="183" fontId="0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right" vertical="center"/>
    </xf>
    <xf numFmtId="0" fontId="1" fillId="13" borderId="4" xfId="0" applyFont="1" applyFill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78" fontId="1" fillId="18" borderId="4" xfId="0" applyNumberFormat="1" applyFont="1" applyFill="1" applyBorder="1" applyAlignment="1">
      <alignment horizontal="center" vertical="center"/>
    </xf>
    <xf numFmtId="178" fontId="1" fillId="10" borderId="30" xfId="0" applyNumberFormat="1" applyFont="1" applyFill="1" applyBorder="1" applyAlignment="1">
      <alignment horizontal="center" vertical="center"/>
    </xf>
    <xf numFmtId="0" fontId="1" fillId="19" borderId="36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1" fillId="18" borderId="36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3" fontId="1" fillId="19" borderId="36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82" fontId="0" fillId="20" borderId="4" xfId="0" applyNumberFormat="1" applyFont="1" applyFill="1" applyBorder="1" applyAlignment="1">
      <alignment horizontal="center" vertical="center"/>
    </xf>
    <xf numFmtId="183" fontId="0" fillId="20" borderId="4" xfId="0" applyNumberFormat="1" applyFont="1" applyFill="1" applyBorder="1" applyAlignment="1">
      <alignment horizontal="center" vertical="center"/>
    </xf>
    <xf numFmtId="0" fontId="0" fillId="13" borderId="4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78" fontId="7" fillId="2" borderId="33" xfId="0" applyNumberFormat="1" applyFont="1" applyFill="1" applyBorder="1" applyAlignment="1">
      <alignment horizontal="center" vertical="center"/>
    </xf>
    <xf numFmtId="177" fontId="0" fillId="13" borderId="22" xfId="0" applyNumberFormat="1" applyFont="1" applyFill="1" applyBorder="1" applyAlignment="1">
      <alignment horizontal="right" vertical="center"/>
    </xf>
    <xf numFmtId="177" fontId="1" fillId="4" borderId="22" xfId="0" applyNumberFormat="1" applyFont="1" applyFill="1" applyBorder="1" applyAlignment="1">
      <alignment horizontal="right" vertical="center"/>
    </xf>
    <xf numFmtId="177" fontId="0" fillId="13" borderId="4" xfId="0" applyNumberFormat="1" applyFont="1" applyFill="1" applyBorder="1" applyAlignment="1">
      <alignment horizontal="right" vertical="center"/>
    </xf>
    <xf numFmtId="181" fontId="1" fillId="14" borderId="33" xfId="0" applyNumberFormat="1" applyFont="1" applyFill="1" applyBorder="1" applyAlignment="1">
      <alignment horizontal="right" vertical="center"/>
    </xf>
    <xf numFmtId="177" fontId="1" fillId="14" borderId="4" xfId="0" applyNumberFormat="1" applyFont="1" applyFill="1" applyBorder="1" applyAlignment="1">
      <alignment horizontal="right" vertical="center"/>
    </xf>
    <xf numFmtId="10" fontId="1" fillId="0" borderId="4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181" fontId="1" fillId="0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80" fontId="0" fillId="0" borderId="4" xfId="0" applyNumberFormat="1" applyFont="1" applyBorder="1" applyAlignment="1">
      <alignment horizontal="right" vertical="center"/>
    </xf>
    <xf numFmtId="0" fontId="1" fillId="6" borderId="4" xfId="0" applyNumberFormat="1" applyFont="1" applyFill="1" applyBorder="1" applyAlignment="1">
      <alignment horizontal="center" vertical="center"/>
    </xf>
    <xf numFmtId="180" fontId="1" fillId="6" borderId="4" xfId="0" applyNumberFormat="1" applyFont="1" applyFill="1" applyBorder="1" applyAlignment="1">
      <alignment horizontal="center" vertical="center"/>
    </xf>
    <xf numFmtId="9" fontId="1" fillId="0" borderId="4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82" fontId="0" fillId="5" borderId="4" xfId="0" applyNumberFormat="1" applyFont="1" applyFill="1" applyBorder="1" applyAlignment="1">
      <alignment horizontal="center" vertical="center"/>
    </xf>
    <xf numFmtId="182" fontId="0" fillId="0" borderId="4" xfId="0" applyNumberFormat="1" applyFont="1" applyFill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177" fontId="1" fillId="0" borderId="3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177" fontId="1" fillId="13" borderId="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0" fillId="0" borderId="16" xfId="0" applyNumberFormat="1" applyFont="1" applyFill="1" applyBorder="1" applyAlignment="1">
      <alignment horizontal="center" vertical="center"/>
    </xf>
    <xf numFmtId="183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183" fontId="1" fillId="6" borderId="4" xfId="0" applyNumberFormat="1" applyFont="1" applyFill="1" applyBorder="1" applyAlignment="1">
      <alignment horizontal="center" vertical="center"/>
    </xf>
    <xf numFmtId="183" fontId="1" fillId="0" borderId="0" xfId="0" applyNumberFormat="1" applyFont="1" applyFill="1" applyBorder="1" applyAlignment="1">
      <alignment horizontal="center" vertical="center"/>
    </xf>
    <xf numFmtId="3" fontId="1" fillId="21" borderId="4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justify" vertical="top" wrapText="1"/>
    </xf>
    <xf numFmtId="10" fontId="10" fillId="0" borderId="36" xfId="0" applyNumberFormat="1" applyFont="1" applyBorder="1" applyAlignment="1">
      <alignment horizontal="justify" vertical="top" wrapText="1"/>
    </xf>
    <xf numFmtId="10" fontId="10" fillId="0" borderId="4" xfId="0" applyNumberFormat="1" applyFont="1" applyBorder="1" applyAlignment="1">
      <alignment horizontal="justify" vertical="top" wrapText="1"/>
    </xf>
    <xf numFmtId="10" fontId="10" fillId="0" borderId="37" xfId="0" applyNumberFormat="1" applyFont="1" applyBorder="1" applyAlignment="1">
      <alignment horizontal="justify" vertical="top" wrapText="1"/>
    </xf>
    <xf numFmtId="0" fontId="11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justify" vertical="top" wrapText="1"/>
    </xf>
    <xf numFmtId="179" fontId="1" fillId="0" borderId="0" xfId="0" applyNumberFormat="1" applyFont="1" applyAlignment="1">
      <alignment horizontal="center" vertical="center"/>
    </xf>
    <xf numFmtId="10" fontId="1" fillId="6" borderId="4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1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1" fillId="22" borderId="4" xfId="0" applyFont="1" applyFill="1" applyBorder="1"/>
    <xf numFmtId="0" fontId="0" fillId="6" borderId="4" xfId="0" applyFont="1" applyFill="1" applyBorder="1" applyAlignment="1">
      <alignment horizontal="center"/>
    </xf>
    <xf numFmtId="177" fontId="1" fillId="19" borderId="4" xfId="0" applyNumberFormat="1" applyFont="1" applyFill="1" applyBorder="1"/>
    <xf numFmtId="0" fontId="0" fillId="0" borderId="0" xfId="0" applyFont="1" applyBorder="1"/>
    <xf numFmtId="0" fontId="1" fillId="0" borderId="0" xfId="0" applyFont="1" applyBorder="1"/>
    <xf numFmtId="0" fontId="1" fillId="0" borderId="21" xfId="0" applyFont="1" applyFill="1" applyBorder="1" applyAlignment="1">
      <alignment horizontal="center"/>
    </xf>
    <xf numFmtId="177" fontId="1" fillId="22" borderId="4" xfId="0" applyNumberFormat="1" applyFont="1" applyFill="1" applyBorder="1"/>
    <xf numFmtId="0" fontId="2" fillId="2" borderId="43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177" fontId="0" fillId="3" borderId="22" xfId="0" applyNumberFormat="1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2" borderId="4" xfId="0" applyNumberFormat="1" applyFont="1" applyFill="1" applyBorder="1"/>
    <xf numFmtId="0" fontId="0" fillId="0" borderId="0" xfId="0" applyFont="1" applyAlignment="1">
      <alignment horizontal="center" vertical="center"/>
    </xf>
    <xf numFmtId="185" fontId="0" fillId="0" borderId="0" xfId="0" applyNumberFormat="1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3" fontId="0" fillId="3" borderId="16" xfId="0" applyNumberFormat="1" applyFont="1" applyFill="1" applyBorder="1" applyAlignment="1">
      <alignment horizontal="center" vertical="center"/>
    </xf>
    <xf numFmtId="183" fontId="0" fillId="0" borderId="0" xfId="0" applyNumberFormat="1" applyFont="1" applyBorder="1" applyAlignment="1">
      <alignment horizontal="center" vertical="center"/>
    </xf>
    <xf numFmtId="183" fontId="0" fillId="3" borderId="28" xfId="0" applyNumberFormat="1" applyFont="1" applyFill="1" applyBorder="1" applyAlignment="1">
      <alignment horizontal="center" vertical="center"/>
    </xf>
    <xf numFmtId="183" fontId="0" fillId="3" borderId="4" xfId="0" applyNumberFormat="1" applyFont="1" applyFill="1" applyBorder="1" applyAlignment="1">
      <alignment horizontal="center" vertical="center"/>
    </xf>
    <xf numFmtId="183" fontId="0" fillId="0" borderId="23" xfId="0" applyNumberFormat="1" applyFont="1" applyFill="1" applyBorder="1" applyAlignment="1">
      <alignment horizontal="center" vertical="center"/>
    </xf>
    <xf numFmtId="183" fontId="0" fillId="0" borderId="21" xfId="0" applyNumberFormat="1" applyFont="1" applyBorder="1" applyAlignment="1">
      <alignment horizontal="center" vertical="center"/>
    </xf>
    <xf numFmtId="185" fontId="0" fillId="0" borderId="4" xfId="0" applyNumberFormat="1" applyFont="1" applyFill="1" applyBorder="1" applyAlignment="1">
      <alignment horizontal="center" vertical="center"/>
    </xf>
    <xf numFmtId="183" fontId="0" fillId="0" borderId="16" xfId="0" applyNumberFormat="1" applyFont="1" applyFill="1" applyBorder="1" applyAlignment="1">
      <alignment horizontal="center" vertical="center"/>
    </xf>
    <xf numFmtId="183" fontId="0" fillId="0" borderId="15" xfId="0" applyNumberFormat="1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82" fontId="0" fillId="0" borderId="4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82" fontId="1" fillId="0" borderId="4" xfId="0" applyNumberFormat="1" applyFont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182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5" borderId="56" xfId="0" applyFont="1" applyFill="1" applyBorder="1" applyAlignment="1">
      <alignment horizontal="center"/>
    </xf>
    <xf numFmtId="0" fontId="0" fillId="5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5" borderId="58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3" borderId="7" xfId="0" applyFont="1" applyFill="1" applyBorder="1" applyAlignment="1">
      <alignment horizontal="justify" vertical="top" wrapText="1"/>
    </xf>
    <xf numFmtId="0" fontId="15" fillId="3" borderId="8" xfId="0" applyFont="1" applyFill="1" applyBorder="1" applyAlignment="1">
      <alignment horizontal="justify" vertical="top" wrapText="1"/>
    </xf>
    <xf numFmtId="3" fontId="0" fillId="0" borderId="0" xfId="0" applyNumberFormat="1" applyAlignment="1">
      <alignment horizontal="right" wrapText="1"/>
    </xf>
    <xf numFmtId="0" fontId="9" fillId="0" borderId="0" xfId="0" applyFont="1" applyBorder="1" applyAlignment="1">
      <alignment horizontal="justify" vertical="top" wrapText="1"/>
    </xf>
    <xf numFmtId="183" fontId="1" fillId="0" borderId="21" xfId="0" applyNumberFormat="1" applyFont="1" applyBorder="1" applyAlignment="1">
      <alignment horizontal="center" vertical="center"/>
    </xf>
    <xf numFmtId="183" fontId="1" fillId="3" borderId="28" xfId="0" applyNumberFormat="1" applyFont="1" applyFill="1" applyBorder="1" applyAlignment="1">
      <alignment horizontal="center" vertical="center"/>
    </xf>
    <xf numFmtId="183" fontId="1" fillId="3" borderId="4" xfId="0" applyNumberFormat="1" applyFont="1" applyFill="1" applyBorder="1" applyAlignment="1">
      <alignment horizontal="center" vertical="center"/>
    </xf>
    <xf numFmtId="0" fontId="1" fillId="23" borderId="4" xfId="0" applyFont="1" applyFill="1" applyBorder="1" applyAlignment="1"/>
    <xf numFmtId="189" fontId="0" fillId="14" borderId="4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83" fontId="1" fillId="0" borderId="16" xfId="0" applyNumberFormat="1" applyFont="1" applyBorder="1" applyAlignment="1">
      <alignment horizontal="center" vertical="center"/>
    </xf>
    <xf numFmtId="0" fontId="0" fillId="14" borderId="4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181" fontId="1" fillId="10" borderId="4" xfId="0" applyNumberFormat="1" applyFont="1" applyFill="1" applyBorder="1" applyAlignment="1">
      <alignment horizontal="center" vertical="center"/>
    </xf>
    <xf numFmtId="183" fontId="1" fillId="3" borderId="16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83" fontId="1" fillId="0" borderId="1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23" borderId="4" xfId="0" applyFont="1" applyFill="1" applyBorder="1" applyAlignment="1">
      <alignment horizontal="center"/>
    </xf>
    <xf numFmtId="10" fontId="1" fillId="21" borderId="4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vertical="center"/>
    </xf>
    <xf numFmtId="183" fontId="1" fillId="0" borderId="4" xfId="0" applyNumberFormat="1" applyFont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83" fontId="1" fillId="0" borderId="23" xfId="0" applyNumberFormat="1" applyFont="1" applyBorder="1" applyAlignment="1">
      <alignment horizontal="center" vertical="center"/>
    </xf>
    <xf numFmtId="181" fontId="1" fillId="0" borderId="4" xfId="0" applyNumberFormat="1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88" fontId="10" fillId="0" borderId="36" xfId="0" applyNumberFormat="1" applyFont="1" applyBorder="1" applyAlignment="1">
      <alignment horizontal="justify" vertical="top" wrapText="1"/>
    </xf>
    <xf numFmtId="188" fontId="10" fillId="0" borderId="4" xfId="0" applyNumberFormat="1" applyFont="1" applyBorder="1" applyAlignment="1">
      <alignment horizontal="justify" vertical="top" wrapText="1"/>
    </xf>
    <xf numFmtId="188" fontId="10" fillId="0" borderId="37" xfId="0" applyNumberFormat="1" applyFont="1" applyBorder="1" applyAlignment="1">
      <alignment horizontal="justify" vertical="top" wrapText="1"/>
    </xf>
    <xf numFmtId="0" fontId="1" fillId="25" borderId="59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187" fontId="10" fillId="0" borderId="4" xfId="0" applyNumberFormat="1" applyFont="1" applyBorder="1" applyAlignment="1">
      <alignment horizontal="justify" vertical="top" wrapText="1"/>
    </xf>
    <xf numFmtId="0" fontId="1" fillId="25" borderId="60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justify" vertical="top" wrapText="1"/>
    </xf>
    <xf numFmtId="188" fontId="1" fillId="0" borderId="0" xfId="0" applyNumberFormat="1" applyFont="1" applyAlignment="1">
      <alignment horizontal="center" vertical="center"/>
    </xf>
    <xf numFmtId="0" fontId="1" fillId="25" borderId="61" xfId="0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justify" vertical="top" wrapText="1"/>
    </xf>
    <xf numFmtId="0" fontId="1" fillId="25" borderId="2" xfId="0" applyFont="1" applyFill="1" applyBorder="1" applyAlignment="1">
      <alignment horizontal="left" vertical="center"/>
    </xf>
    <xf numFmtId="0" fontId="1" fillId="25" borderId="62" xfId="0" applyFont="1" applyFill="1" applyBorder="1" applyAlignment="1">
      <alignment horizontal="center" vertical="center"/>
    </xf>
    <xf numFmtId="177" fontId="0" fillId="3" borderId="58" xfId="0" applyNumberFormat="1" applyFont="1" applyFill="1" applyBorder="1" applyAlignment="1">
      <alignment horizontal="center" vertical="center"/>
    </xf>
    <xf numFmtId="177" fontId="0" fillId="0" borderId="58" xfId="0" applyNumberFormat="1" applyFont="1" applyBorder="1" applyAlignment="1">
      <alignment horizontal="center" vertical="center"/>
    </xf>
    <xf numFmtId="177" fontId="0" fillId="0" borderId="22" xfId="0" applyNumberFormat="1" applyFont="1" applyBorder="1" applyAlignment="1">
      <alignment horizontal="center" vertical="center"/>
    </xf>
    <xf numFmtId="177" fontId="0" fillId="17" borderId="4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7" fontId="5" fillId="2" borderId="15" xfId="0" applyNumberFormat="1" applyFont="1" applyFill="1" applyBorder="1" applyAlignment="1">
      <alignment horizontal="center" vertical="center"/>
    </xf>
    <xf numFmtId="177" fontId="1" fillId="3" borderId="30" xfId="0" applyNumberFormat="1" applyFont="1" applyFill="1" applyBorder="1" applyAlignment="1">
      <alignment horizontal="center" vertical="center"/>
    </xf>
    <xf numFmtId="177" fontId="0" fillId="17" borderId="33" xfId="0" applyNumberFormat="1" applyFont="1" applyFill="1" applyBorder="1" applyAlignment="1">
      <alignment horizontal="center" vertical="center"/>
    </xf>
    <xf numFmtId="0" fontId="17" fillId="25" borderId="25" xfId="0" applyFont="1" applyFill="1" applyBorder="1" applyAlignment="1">
      <alignment horizontal="center" vertical="center" wrapText="1"/>
    </xf>
    <xf numFmtId="3" fontId="1" fillId="21" borderId="4" xfId="0" applyNumberFormat="1" applyFont="1" applyFill="1" applyBorder="1" applyAlignment="1">
      <alignment horizontal="right" wrapText="1"/>
    </xf>
    <xf numFmtId="0" fontId="7" fillId="25" borderId="39" xfId="0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3" fontId="18" fillId="21" borderId="4" xfId="0" applyNumberFormat="1" applyFont="1" applyFill="1" applyBorder="1" applyAlignment="1">
      <alignment horizontal="right" wrapText="1"/>
    </xf>
    <xf numFmtId="3" fontId="1" fillId="19" borderId="4" xfId="0" applyNumberFormat="1" applyFont="1" applyFill="1" applyBorder="1" applyAlignment="1">
      <alignment horizontal="right" wrapText="1"/>
    </xf>
    <xf numFmtId="3" fontId="18" fillId="19" borderId="4" xfId="0" applyNumberFormat="1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center" wrapText="1"/>
    </xf>
    <xf numFmtId="0" fontId="1" fillId="8" borderId="25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justify" vertical="top" wrapText="1"/>
    </xf>
    <xf numFmtId="3" fontId="19" fillId="0" borderId="4" xfId="0" applyNumberFormat="1" applyFont="1" applyBorder="1" applyAlignment="1">
      <alignment horizontal="justify" vertical="top" wrapText="1"/>
    </xf>
    <xf numFmtId="0" fontId="19" fillId="0" borderId="4" xfId="0" applyFont="1" applyBorder="1" applyAlignment="1">
      <alignment horizontal="justify" vertical="top" wrapText="1"/>
    </xf>
    <xf numFmtId="0" fontId="9" fillId="3" borderId="4" xfId="0" applyNumberFormat="1" applyFont="1" applyFill="1" applyBorder="1" applyAlignment="1">
      <alignment horizontal="justify" vertical="top" wrapText="1"/>
    </xf>
    <xf numFmtId="0" fontId="1" fillId="3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87" fontId="1" fillId="0" borderId="0" xfId="0" applyNumberFormat="1" applyFont="1" applyAlignment="1">
      <alignment horizontal="center" vertical="center"/>
    </xf>
    <xf numFmtId="0" fontId="10" fillId="0" borderId="16" xfId="0" applyNumberFormat="1" applyFont="1" applyBorder="1" applyAlignment="1">
      <alignment horizontal="justify" vertical="top" wrapText="1"/>
    </xf>
    <xf numFmtId="186" fontId="1" fillId="0" borderId="0" xfId="0" applyNumberFormat="1" applyFont="1" applyAlignment="1">
      <alignment horizontal="center" vertical="center"/>
    </xf>
    <xf numFmtId="0" fontId="0" fillId="0" borderId="0" xfId="0" applyFont="1"/>
    <xf numFmtId="10" fontId="0" fillId="12" borderId="0" xfId="0" applyNumberFormat="1" applyFill="1"/>
    <xf numFmtId="0" fontId="0" fillId="12" borderId="0" xfId="0" applyFill="1"/>
    <xf numFmtId="0" fontId="1" fillId="26" borderId="4" xfId="0" applyFont="1" applyFill="1" applyBorder="1" applyAlignment="1">
      <alignment horizontal="center" vertical="center"/>
    </xf>
    <xf numFmtId="0" fontId="1" fillId="21" borderId="4" xfId="0" applyNumberFormat="1" applyFont="1" applyFill="1" applyBorder="1" applyAlignment="1">
      <alignment horizontal="center"/>
    </xf>
    <xf numFmtId="0" fontId="0" fillId="23" borderId="4" xfId="0" applyFont="1" applyFill="1" applyBorder="1" applyAlignment="1"/>
    <xf numFmtId="0" fontId="1" fillId="1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0" fillId="2" borderId="44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63" xfId="0" applyNumberFormat="1" applyFont="1" applyFill="1" applyBorder="1" applyAlignment="1">
      <alignment horizontal="center"/>
    </xf>
    <xf numFmtId="10" fontId="0" fillId="4" borderId="63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3" fontId="0" fillId="4" borderId="64" xfId="0" applyNumberFormat="1" applyFont="1" applyFill="1" applyBorder="1" applyAlignment="1">
      <alignment horizontal="center"/>
    </xf>
    <xf numFmtId="3" fontId="0" fillId="4" borderId="63" xfId="0" applyNumberFormat="1" applyFont="1" applyFill="1" applyBorder="1" applyAlignment="1">
      <alignment horizontal="center"/>
    </xf>
    <xf numFmtId="0" fontId="0" fillId="4" borderId="64" xfId="0" applyFont="1" applyFill="1" applyBorder="1" applyAlignment="1">
      <alignment horizontal="center"/>
    </xf>
    <xf numFmtId="0" fontId="0" fillId="4" borderId="63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65" xfId="0" applyFont="1" applyFill="1" applyBorder="1" applyAlignment="1">
      <alignment horizontal="center"/>
    </xf>
    <xf numFmtId="189" fontId="0" fillId="4" borderId="4" xfId="0" applyNumberFormat="1" applyFont="1" applyFill="1" applyBorder="1" applyAlignment="1">
      <alignment horizontal="center"/>
    </xf>
    <xf numFmtId="0" fontId="0" fillId="4" borderId="51" xfId="0" applyFont="1" applyFill="1" applyBorder="1" applyAlignment="1" applyProtection="1">
      <alignment horizontal="center"/>
    </xf>
    <xf numFmtId="0" fontId="0" fillId="0" borderId="4" xfId="0" applyNumberFormat="1" applyFont="1" applyBorder="1" applyAlignment="1">
      <alignment horizontal="center"/>
    </xf>
    <xf numFmtId="4" fontId="0" fillId="4" borderId="51" xfId="0" applyNumberFormat="1" applyFont="1" applyFill="1" applyBorder="1" applyAlignment="1">
      <alignment horizontal="center"/>
    </xf>
    <xf numFmtId="4" fontId="0" fillId="4" borderId="4" xfId="0" applyNumberFormat="1" applyFont="1" applyFill="1" applyBorder="1" applyAlignment="1">
      <alignment horizontal="center"/>
    </xf>
    <xf numFmtId="189" fontId="0" fillId="4" borderId="51" xfId="0" applyNumberFormat="1" applyFont="1" applyFill="1" applyBorder="1" applyAlignment="1">
      <alignment horizontal="center"/>
    </xf>
    <xf numFmtId="10" fontId="0" fillId="4" borderId="51" xfId="0" applyNumberFormat="1" applyFont="1" applyFill="1" applyBorder="1" applyAlignment="1">
      <alignment horizontal="center"/>
    </xf>
    <xf numFmtId="0" fontId="21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189" fontId="0" fillId="4" borderId="25" xfId="0" applyNumberFormat="1" applyFont="1" applyFill="1" applyBorder="1" applyAlignment="1">
      <alignment horizontal="center"/>
    </xf>
    <xf numFmtId="0" fontId="0" fillId="4" borderId="4" xfId="0" applyFont="1" applyFill="1" applyBorder="1" applyAlignment="1" applyProtection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50" xfId="0" applyFont="1" applyBorder="1" applyAlignment="1">
      <alignment horizontal="center"/>
    </xf>
    <xf numFmtId="0" fontId="22" fillId="2" borderId="44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7" borderId="27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13" borderId="1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83" fontId="1" fillId="8" borderId="16" xfId="0" applyNumberFormat="1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0" fillId="13" borderId="36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8" borderId="1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0" fillId="13" borderId="77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183" fontId="1" fillId="8" borderId="77" xfId="0" applyNumberFormat="1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0" fillId="13" borderId="3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8" borderId="27" xfId="0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常规 7" xfId="56"/>
  </cellStyles>
  <dxfs count="8">
    <dxf>
      <font>
        <b val="1"/>
        <i val="0"/>
        <color indexed="9"/>
      </font>
      <fill>
        <patternFill patternType="solid">
          <bgColor indexed="8"/>
        </patternFill>
      </fill>
    </dxf>
    <dxf>
      <font>
        <b val="1"/>
        <i val="0"/>
        <color indexed="10"/>
      </font>
      <fill>
        <patternFill patternType="solid">
          <bgColor indexed="8"/>
        </patternFill>
      </fill>
    </dxf>
    <dxf>
      <font>
        <b val="1"/>
        <i val="0"/>
      </font>
      <fill>
        <patternFill patternType="solid">
          <bgColor indexed="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</font>
      <fill>
        <patternFill patternType="solid">
          <bgColor indexed="10"/>
        </patternFill>
      </fill>
    </dxf>
    <dxf>
      <font>
        <b val="1"/>
        <i val="0"/>
        <color indexed="9"/>
      </font>
    </dxf>
    <dxf>
      <font>
        <b val="0"/>
        <i val="0"/>
        <strike val="0"/>
      </font>
      <fill>
        <patternFill patternType="solid">
          <bgColor indexed="10"/>
        </patternFill>
      </fill>
    </dxf>
    <dxf>
      <font>
        <color indexed="10"/>
      </font>
      <fill>
        <patternFill patternType="none"/>
      </fill>
    </dxf>
    <dxf>
      <font>
        <b val="1"/>
        <i val="0"/>
      </font>
      <fill>
        <patternFill patternType="solid">
          <bgColor indexed="50"/>
        </patternFill>
      </fill>
    </dxf>
  </dxfs>
  <tableStyles count="0" defaultTableStyle="TableStyleMedium9" defaultPivotStyle="PivotStyleLight16"/>
  <colors>
    <mruColors>
      <color rgb="00666699"/>
      <color rgb="00FFFFFF"/>
      <color rgb="00993366"/>
      <color rgb="00FFCC00"/>
      <color rgb="00003366"/>
      <color rgb="00C0C0C0"/>
      <color rgb="00FFCC99"/>
      <color rgb="00FFFF99"/>
      <color rgb="0033996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3491019909348"/>
          <c:y val="0.0440125984251969"/>
          <c:w val="0.924547737866524"/>
          <c:h val="0.835913312693498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diamond"/>
            <c:size val="9"/>
            <c:spPr>
              <a:solidFill>
                <a:srgbClr val="FF66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投资预算!$F$4:$N$4</c:f>
              <c:strCache>
                <c:ptCount val="9"/>
                <c:pt idx="0">
                  <c:v>第9期</c:v>
                </c:pt>
                <c:pt idx="1">
                  <c:v>第10期</c:v>
                </c:pt>
                <c:pt idx="2">
                  <c:v>第11期</c:v>
                </c:pt>
                <c:pt idx="3">
                  <c:v>第12期</c:v>
                </c:pt>
                <c:pt idx="4">
                  <c:v>第13期</c:v>
                </c:pt>
                <c:pt idx="5">
                  <c:v>第14期</c:v>
                </c:pt>
                <c:pt idx="6">
                  <c:v>第15期</c:v>
                </c:pt>
                <c:pt idx="7">
                  <c:v>第16期</c:v>
                </c:pt>
                <c:pt idx="8">
                  <c:v>第17期</c:v>
                </c:pt>
              </c:strCache>
            </c:strRef>
          </c:cat>
          <c:val>
            <c:numRef>
              <c:f>投资预算!$F$14:$N$14</c:f>
              <c:numCache>
                <c:formatCode>0.000_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0554"/>
        <c:axId val="755224808"/>
      </c:lineChart>
      <c:catAx>
        <c:axId val="12436055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55224808"/>
        <c:crosses val="autoZero"/>
        <c:auto val="1"/>
        <c:lblAlgn val="ctr"/>
        <c:lblOffset val="100"/>
        <c:tickLblSkip val="1"/>
        <c:noMultiLvlLbl val="0"/>
      </c:catAx>
      <c:valAx>
        <c:axId val="755224808"/>
        <c:scaling>
          <c:orientation val="minMax"/>
          <c:min val="1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0_ " sourceLinked="1"/>
        <c:majorTickMark val="in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24360554"/>
        <c:crosses val="autoZero"/>
        <c:crossBetween val="between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861695</xdr:colOff>
      <xdr:row>17</xdr:row>
      <xdr:rowOff>76200</xdr:rowOff>
    </xdr:from>
    <xdr:to>
      <xdr:col>11</xdr:col>
      <xdr:colOff>800100</xdr:colOff>
      <xdr:row>26</xdr:row>
      <xdr:rowOff>46355</xdr:rowOff>
    </xdr:to>
    <xdr:graphicFrame>
      <xdr:nvGraphicFramePr>
        <xdr:cNvPr id="69191" name="图表 1"/>
        <xdr:cNvGraphicFramePr/>
      </xdr:nvGraphicFramePr>
      <xdr:xfrm>
        <a:off x="1052195" y="3667125"/>
        <a:ext cx="8830945" cy="228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数据导入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数据导入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数据导入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数据导入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数据导入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数据导入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数据导入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数据导入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6"/>
  </sheetPr>
  <dimension ref="B1:W52"/>
  <sheetViews>
    <sheetView tabSelected="1" zoomScale="75" zoomScaleNormal="75" workbookViewId="0">
      <selection activeCell="F11" sqref="F6:H6 F9:N9 F11:K11"/>
    </sheetView>
  </sheetViews>
  <sheetFormatPr defaultColWidth="9" defaultRowHeight="15.6"/>
  <cols>
    <col min="1" max="1" width="1.4" style="219" customWidth="1"/>
    <col min="2" max="2" width="1.1" style="219" customWidth="1"/>
    <col min="3" max="3" width="14.9" style="219" customWidth="1"/>
    <col min="4" max="4" width="16.6" style="219" customWidth="1"/>
    <col min="5" max="5" width="9.6" style="219"/>
    <col min="6" max="14" width="12.6" style="219" customWidth="1"/>
    <col min="15" max="16" width="1.4" style="219" customWidth="1"/>
    <col min="17" max="17" width="14.1" style="219" customWidth="1"/>
    <col min="18" max="24" width="9" style="219"/>
    <col min="25" max="25" width="12.4" style="219" customWidth="1"/>
    <col min="26" max="26" width="13" style="219" customWidth="1"/>
    <col min="27" max="27" width="12.6" style="219" customWidth="1"/>
    <col min="28" max="28" width="12" style="219" customWidth="1"/>
    <col min="29" max="29" width="12.2" style="219" customWidth="1"/>
    <col min="30" max="30" width="13.7" style="219" customWidth="1"/>
    <col min="31" max="31" width="9" style="219"/>
    <col min="32" max="32" width="11" style="219" customWidth="1"/>
    <col min="33" max="16384" width="9" style="219"/>
  </cols>
  <sheetData>
    <row r="1" ht="6.75" customHeight="1"/>
    <row r="2" ht="23.25" customHeight="1" spans="2:15">
      <c r="B2" s="390" t="s">
        <v>0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429"/>
    </row>
    <row r="3" ht="9" customHeight="1" spans="2:15">
      <c r="B3" s="392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430"/>
    </row>
    <row r="4" ht="20.1" customHeight="1" spans="2:15">
      <c r="B4" s="392"/>
      <c r="C4" s="16" t="s">
        <v>1</v>
      </c>
      <c r="D4" s="393" t="s">
        <v>2</v>
      </c>
      <c r="E4" s="394" t="s">
        <v>3</v>
      </c>
      <c r="F4" s="395" t="s">
        <v>4</v>
      </c>
      <c r="G4" s="393" t="s">
        <v>5</v>
      </c>
      <c r="H4" s="393" t="s">
        <v>6</v>
      </c>
      <c r="I4" s="393" t="s">
        <v>7</v>
      </c>
      <c r="J4" s="393" t="s">
        <v>8</v>
      </c>
      <c r="K4" s="393" t="s">
        <v>9</v>
      </c>
      <c r="L4" s="393" t="s">
        <v>10</v>
      </c>
      <c r="M4" s="393" t="s">
        <v>11</v>
      </c>
      <c r="N4" s="393" t="s">
        <v>12</v>
      </c>
      <c r="O4" s="430"/>
    </row>
    <row r="5" ht="9" customHeight="1" spans="2:15">
      <c r="B5" s="392"/>
      <c r="C5" s="215"/>
      <c r="D5" s="215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430"/>
    </row>
    <row r="6" ht="24" customHeight="1" spans="2:15">
      <c r="B6" s="392"/>
      <c r="C6" s="21" t="s">
        <v>13</v>
      </c>
      <c r="D6" s="397" t="s">
        <v>14</v>
      </c>
      <c r="E6" s="398"/>
      <c r="F6" s="399"/>
      <c r="G6" s="399"/>
      <c r="H6" s="399"/>
      <c r="I6" s="399"/>
      <c r="J6" s="399"/>
      <c r="K6" s="431"/>
      <c r="L6" s="431"/>
      <c r="M6" s="431"/>
      <c r="N6" s="432"/>
      <c r="O6" s="430"/>
    </row>
    <row r="7" ht="20.1" customHeight="1" spans="2:15">
      <c r="B7" s="392"/>
      <c r="C7" s="23"/>
      <c r="D7" s="400" t="s">
        <v>15</v>
      </c>
      <c r="E7" s="401">
        <f>第九期!D5</f>
        <v>0</v>
      </c>
      <c r="F7" s="402">
        <f>E7</f>
        <v>0</v>
      </c>
      <c r="G7" s="400">
        <f t="shared" ref="G7:N7" si="0">F7+E6</f>
        <v>0</v>
      </c>
      <c r="H7" s="400">
        <f t="shared" si="0"/>
        <v>0</v>
      </c>
      <c r="I7" s="400">
        <f t="shared" si="0"/>
        <v>0</v>
      </c>
      <c r="J7" s="400">
        <f t="shared" si="0"/>
        <v>0</v>
      </c>
      <c r="K7" s="400">
        <f t="shared" si="0"/>
        <v>0</v>
      </c>
      <c r="L7" s="400">
        <f t="shared" si="0"/>
        <v>0</v>
      </c>
      <c r="M7" s="400">
        <f t="shared" si="0"/>
        <v>0</v>
      </c>
      <c r="N7" s="412">
        <f t="shared" si="0"/>
        <v>0</v>
      </c>
      <c r="O7" s="430"/>
    </row>
    <row r="8" ht="9" customHeight="1" spans="2:15">
      <c r="B8" s="392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430"/>
    </row>
    <row r="9" ht="24" customHeight="1" spans="2:21">
      <c r="B9" s="392"/>
      <c r="C9" s="403" t="s">
        <v>16</v>
      </c>
      <c r="D9" s="397" t="s">
        <v>17</v>
      </c>
      <c r="E9" s="398"/>
      <c r="F9" s="404"/>
      <c r="G9" s="284"/>
      <c r="H9" s="284"/>
      <c r="I9" s="284"/>
      <c r="J9" s="284"/>
      <c r="K9" s="284"/>
      <c r="L9" s="284"/>
      <c r="M9" s="284"/>
      <c r="N9" s="433"/>
      <c r="O9" s="430"/>
      <c r="Q9" s="217"/>
      <c r="R9" s="217"/>
      <c r="S9" s="217"/>
      <c r="T9" s="217"/>
      <c r="U9" s="217"/>
    </row>
    <row r="10" ht="12" customHeight="1" spans="2:21">
      <c r="B10" s="392"/>
      <c r="C10" s="405"/>
      <c r="D10" s="174" t="s">
        <v>18</v>
      </c>
      <c r="E10" s="406"/>
      <c r="F10" s="407">
        <f>E13*比赛参数!$D$60</f>
        <v>0</v>
      </c>
      <c r="G10" s="407">
        <f>F13*比赛参数!$D$60</f>
        <v>0</v>
      </c>
      <c r="H10" s="407">
        <f>G13*比赛参数!$D$60</f>
        <v>0</v>
      </c>
      <c r="I10" s="407">
        <f>H13*比赛参数!$D$60</f>
        <v>0</v>
      </c>
      <c r="J10" s="407">
        <f>I13*比赛参数!$D$60</f>
        <v>0</v>
      </c>
      <c r="K10" s="407">
        <f>J13*比赛参数!$D$60</f>
        <v>0</v>
      </c>
      <c r="L10" s="407">
        <f>K13*比赛参数!$D$60</f>
        <v>0</v>
      </c>
      <c r="M10" s="407">
        <f>L13*比赛参数!$D$60</f>
        <v>0</v>
      </c>
      <c r="N10" s="407">
        <f>M13*比赛参数!$D$60</f>
        <v>0</v>
      </c>
      <c r="O10" s="430"/>
      <c r="Q10" s="217"/>
      <c r="R10" s="217"/>
      <c r="S10" s="217"/>
      <c r="T10" s="217"/>
      <c r="U10" s="217"/>
    </row>
    <row r="11" ht="24" customHeight="1" spans="2:21">
      <c r="B11" s="392"/>
      <c r="C11" s="405"/>
      <c r="D11" s="65" t="s">
        <v>14</v>
      </c>
      <c r="E11" s="406"/>
      <c r="F11" s="300"/>
      <c r="G11" s="101"/>
      <c r="H11" s="101"/>
      <c r="I11" s="101"/>
      <c r="J11" s="101"/>
      <c r="K11" s="101"/>
      <c r="L11" s="101"/>
      <c r="M11" s="101"/>
      <c r="N11" s="434"/>
      <c r="O11" s="430"/>
      <c r="Q11" s="217"/>
      <c r="R11" s="217"/>
      <c r="S11" s="217"/>
      <c r="T11" s="217"/>
      <c r="U11" s="217"/>
    </row>
    <row r="12" ht="12" customHeight="1" spans="2:17">
      <c r="B12" s="392"/>
      <c r="C12" s="405"/>
      <c r="D12" s="65" t="s">
        <v>19</v>
      </c>
      <c r="E12" s="406"/>
      <c r="F12" s="407">
        <f t="shared" ref="F12:N12" si="1">0.5*E13</f>
        <v>0</v>
      </c>
      <c r="G12" s="407">
        <f t="shared" si="1"/>
        <v>0</v>
      </c>
      <c r="H12" s="407">
        <f t="shared" si="1"/>
        <v>0</v>
      </c>
      <c r="I12" s="407">
        <f t="shared" si="1"/>
        <v>0</v>
      </c>
      <c r="J12" s="407">
        <f t="shared" si="1"/>
        <v>0</v>
      </c>
      <c r="K12" s="407">
        <f t="shared" si="1"/>
        <v>0</v>
      </c>
      <c r="L12" s="407">
        <f t="shared" si="1"/>
        <v>0</v>
      </c>
      <c r="M12" s="407">
        <f t="shared" si="1"/>
        <v>0</v>
      </c>
      <c r="N12" s="435">
        <f t="shared" si="1"/>
        <v>0</v>
      </c>
      <c r="O12" s="430"/>
      <c r="Q12" s="217"/>
    </row>
    <row r="13" ht="20.1" customHeight="1" spans="2:23">
      <c r="B13" s="392"/>
      <c r="C13" s="405"/>
      <c r="D13" s="65" t="s">
        <v>20</v>
      </c>
      <c r="E13" s="408">
        <f>第九期!D4</f>
        <v>0</v>
      </c>
      <c r="F13" s="409">
        <f t="shared" ref="F13:N13" si="2">E13+F11-F9</f>
        <v>0</v>
      </c>
      <c r="G13" s="409">
        <f t="shared" si="2"/>
        <v>0</v>
      </c>
      <c r="H13" s="409">
        <f t="shared" si="2"/>
        <v>0</v>
      </c>
      <c r="I13" s="409">
        <f t="shared" si="2"/>
        <v>0</v>
      </c>
      <c r="J13" s="409">
        <f t="shared" si="2"/>
        <v>0</v>
      </c>
      <c r="K13" s="409">
        <f t="shared" si="2"/>
        <v>0</v>
      </c>
      <c r="L13" s="409">
        <f t="shared" si="2"/>
        <v>0</v>
      </c>
      <c r="M13" s="409">
        <f t="shared" si="2"/>
        <v>0</v>
      </c>
      <c r="N13" s="436">
        <f t="shared" si="2"/>
        <v>0</v>
      </c>
      <c r="O13" s="430"/>
      <c r="R13" s="108"/>
      <c r="S13" s="196" t="s">
        <v>21</v>
      </c>
      <c r="T13" s="196" t="s">
        <v>22</v>
      </c>
      <c r="U13" s="196" t="s">
        <v>23</v>
      </c>
      <c r="V13" s="196" t="s">
        <v>24</v>
      </c>
      <c r="W13" s="98" t="s">
        <v>25</v>
      </c>
    </row>
    <row r="14" ht="20.1" customHeight="1" spans="2:23">
      <c r="B14" s="392"/>
      <c r="C14" s="405"/>
      <c r="D14" s="65" t="s">
        <v>26</v>
      </c>
      <c r="E14" s="406"/>
      <c r="F14" s="410" t="e">
        <f>F15/F7</f>
        <v>#DIV/0!</v>
      </c>
      <c r="G14" s="410" t="e">
        <f>G15/G7</f>
        <v>#DIV/0!</v>
      </c>
      <c r="H14" s="410" t="e">
        <f t="shared" ref="H14:N14" si="3">H15/H7</f>
        <v>#DIV/0!</v>
      </c>
      <c r="I14" s="410" t="e">
        <f t="shared" si="3"/>
        <v>#DIV/0!</v>
      </c>
      <c r="J14" s="410" t="e">
        <f t="shared" si="3"/>
        <v>#DIV/0!</v>
      </c>
      <c r="K14" s="410" t="e">
        <f t="shared" si="3"/>
        <v>#DIV/0!</v>
      </c>
      <c r="L14" s="410" t="e">
        <f t="shared" si="3"/>
        <v>#DIV/0!</v>
      </c>
      <c r="M14" s="410" t="e">
        <f t="shared" si="3"/>
        <v>#DIV/0!</v>
      </c>
      <c r="N14" s="437" t="e">
        <f t="shared" si="3"/>
        <v>#DIV/0!</v>
      </c>
      <c r="O14" s="430"/>
      <c r="Q14" s="444" t="e">
        <f>W14*2</f>
        <v>#DIV/0!</v>
      </c>
      <c r="R14" s="196" t="s">
        <v>27</v>
      </c>
      <c r="S14" s="108" t="e">
        <f>比赛参数!D27/比赛参数!D26</f>
        <v>#DIV/0!</v>
      </c>
      <c r="T14" s="108" t="e">
        <f>比赛参数!E27/比赛参数!E26</f>
        <v>#DIV/0!</v>
      </c>
      <c r="U14" s="108" t="e">
        <f>比赛参数!F27/比赛参数!F26</f>
        <v>#DIV/0!</v>
      </c>
      <c r="V14" s="108" t="e">
        <f>比赛参数!G27/比赛参数!G26</f>
        <v>#DIV/0!</v>
      </c>
      <c r="W14" s="108" t="e">
        <f>AVERAGE(S14:V14)</f>
        <v>#DIV/0!</v>
      </c>
    </row>
    <row r="15" ht="20.1" customHeight="1" spans="2:20">
      <c r="B15" s="392"/>
      <c r="C15" s="411"/>
      <c r="D15" s="400" t="s">
        <v>28</v>
      </c>
      <c r="E15" s="412"/>
      <c r="F15" s="402">
        <f>E13-F9+F11*比赛参数!$D$59</f>
        <v>0</v>
      </c>
      <c r="G15" s="402">
        <f>F13-G9+G11*比赛参数!$D$59</f>
        <v>0</v>
      </c>
      <c r="H15" s="402">
        <f>G13-H9+H11*比赛参数!$D$59</f>
        <v>0</v>
      </c>
      <c r="I15" s="402">
        <f>H13-I9+I11*比赛参数!$D$59</f>
        <v>0</v>
      </c>
      <c r="J15" s="402">
        <f>I13-J9+J11*比赛参数!$D$59</f>
        <v>0</v>
      </c>
      <c r="K15" s="402">
        <f>J13-K9+K11*比赛参数!$D$59</f>
        <v>0</v>
      </c>
      <c r="L15" s="402">
        <f>K13-L9+L11*比赛参数!$D$59</f>
        <v>0</v>
      </c>
      <c r="M15" s="402">
        <f>L13-M9+M11*比赛参数!$D$59</f>
        <v>0</v>
      </c>
      <c r="N15" s="438">
        <f>M13-N9+N11*比赛参数!$D$59</f>
        <v>0</v>
      </c>
      <c r="O15" s="430"/>
      <c r="R15" s="217"/>
      <c r="S15" s="217"/>
      <c r="T15" s="217"/>
    </row>
    <row r="16" ht="9" customHeight="1" spans="2:15">
      <c r="B16" s="392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430"/>
    </row>
    <row r="17" ht="20.25" customHeight="1" spans="2:15">
      <c r="B17" s="392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430"/>
    </row>
    <row r="18" ht="20.25" customHeight="1" spans="2:15">
      <c r="B18" s="392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430"/>
    </row>
    <row r="19" ht="20.25" customHeight="1" spans="2:15">
      <c r="B19" s="392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430"/>
    </row>
    <row r="20" ht="20.25" customHeight="1" spans="2:15">
      <c r="B20" s="392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430"/>
    </row>
    <row r="21" ht="20.25" customHeight="1" spans="2:15">
      <c r="B21" s="392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430"/>
    </row>
    <row r="22" ht="20.25" customHeight="1" spans="2:15">
      <c r="B22" s="392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430"/>
    </row>
    <row r="23" ht="20.25" customHeight="1" spans="2:15">
      <c r="B23" s="392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430"/>
    </row>
    <row r="24" ht="20.25" customHeight="1" spans="2:15">
      <c r="B24" s="392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430"/>
    </row>
    <row r="25" ht="20.25" customHeight="1" spans="2:15">
      <c r="B25" s="392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430"/>
    </row>
    <row r="26" ht="20.25" customHeight="1" spans="2:15">
      <c r="B26" s="392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430"/>
    </row>
    <row r="27" ht="20.25" customHeight="1" spans="2:15">
      <c r="B27" s="392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430"/>
    </row>
    <row r="28" ht="20.25" customHeight="1" spans="2:15">
      <c r="B28" s="392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430"/>
    </row>
    <row r="29" ht="9" customHeight="1" spans="2:15">
      <c r="B29" s="392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430"/>
    </row>
    <row r="30" ht="20.1" customHeight="1" spans="2:15">
      <c r="B30" s="392"/>
      <c r="C30" s="413" t="s">
        <v>29</v>
      </c>
      <c r="D30" s="414" t="s">
        <v>30</v>
      </c>
      <c r="E30" s="415"/>
      <c r="F30" s="416">
        <f>E35+F33*比赛参数!$D$41</f>
        <v>0</v>
      </c>
      <c r="G30" s="397">
        <f>F35+G33*比赛参数!$D$41</f>
        <v>0</v>
      </c>
      <c r="H30" s="397">
        <f>G35+H33*比赛参数!$D$41</f>
        <v>0</v>
      </c>
      <c r="I30" s="397">
        <f>H35+I33*比赛参数!$D$41</f>
        <v>0</v>
      </c>
      <c r="J30" s="397">
        <f>I35+J33*比赛参数!$D$41</f>
        <v>0</v>
      </c>
      <c r="K30" s="397">
        <f>J35+K33*比赛参数!$D$41</f>
        <v>0</v>
      </c>
      <c r="L30" s="397">
        <f>K35+L33*比赛参数!$D$41</f>
        <v>0</v>
      </c>
      <c r="M30" s="397">
        <f>L35+M33*比赛参数!$D$41</f>
        <v>0</v>
      </c>
      <c r="N30" s="398">
        <f>M35+N33*比赛参数!$D$41</f>
        <v>0</v>
      </c>
      <c r="O30" s="430"/>
    </row>
    <row r="31" ht="24" customHeight="1" spans="2:23">
      <c r="B31" s="392"/>
      <c r="C31" s="417"/>
      <c r="D31" s="409" t="s">
        <v>31</v>
      </c>
      <c r="E31" s="154"/>
      <c r="F31" s="300"/>
      <c r="G31" s="101"/>
      <c r="H31" s="101"/>
      <c r="I31" s="101"/>
      <c r="J31" s="101"/>
      <c r="K31" s="101"/>
      <c r="L31" s="101"/>
      <c r="M31" s="101"/>
      <c r="N31" s="434"/>
      <c r="O31" s="430"/>
      <c r="R31" s="108"/>
      <c r="S31" s="196" t="s">
        <v>21</v>
      </c>
      <c r="T31" s="196" t="s">
        <v>22</v>
      </c>
      <c r="U31" s="196" t="s">
        <v>23</v>
      </c>
      <c r="V31" s="196" t="s">
        <v>24</v>
      </c>
      <c r="W31" s="98" t="s">
        <v>25</v>
      </c>
    </row>
    <row r="32" ht="20.1" customHeight="1" spans="2:23">
      <c r="B32" s="392"/>
      <c r="C32" s="417"/>
      <c r="D32" s="409" t="s">
        <v>32</v>
      </c>
      <c r="E32" s="154"/>
      <c r="F32" s="418" t="e">
        <f t="shared" ref="F32:N32" si="4">F31/F7</f>
        <v>#DIV/0!</v>
      </c>
      <c r="G32" s="338" t="e">
        <f t="shared" si="4"/>
        <v>#DIV/0!</v>
      </c>
      <c r="H32" s="338" t="e">
        <f t="shared" si="4"/>
        <v>#DIV/0!</v>
      </c>
      <c r="I32" s="338" t="e">
        <f t="shared" si="4"/>
        <v>#DIV/0!</v>
      </c>
      <c r="J32" s="338" t="e">
        <f t="shared" si="4"/>
        <v>#DIV/0!</v>
      </c>
      <c r="K32" s="338" t="e">
        <f t="shared" si="4"/>
        <v>#DIV/0!</v>
      </c>
      <c r="L32" s="338" t="e">
        <f t="shared" si="4"/>
        <v>#DIV/0!</v>
      </c>
      <c r="M32" s="338" t="e">
        <f t="shared" si="4"/>
        <v>#DIV/0!</v>
      </c>
      <c r="N32" s="439" t="e">
        <f t="shared" si="4"/>
        <v>#DIV/0!</v>
      </c>
      <c r="O32" s="430"/>
      <c r="Q32" s="444" t="e">
        <f>W32*1300</f>
        <v>#DIV/0!</v>
      </c>
      <c r="R32" s="196" t="s">
        <v>33</v>
      </c>
      <c r="S32" s="108" t="e">
        <f>比赛参数!D28/比赛参数!D26</f>
        <v>#DIV/0!</v>
      </c>
      <c r="T32" s="108" t="e">
        <f>比赛参数!E28/比赛参数!E26</f>
        <v>#DIV/0!</v>
      </c>
      <c r="U32" s="108" t="e">
        <f>比赛参数!F28/比赛参数!F26</f>
        <v>#DIV/0!</v>
      </c>
      <c r="V32" s="108" t="e">
        <f>比赛参数!G28/比赛参数!G26</f>
        <v>#DIV/0!</v>
      </c>
      <c r="W32" s="108" t="e">
        <f>AVERAGE(S32:V32)</f>
        <v>#DIV/0!</v>
      </c>
    </row>
    <row r="33" ht="24" customHeight="1" spans="2:15">
      <c r="B33" s="392"/>
      <c r="C33" s="417"/>
      <c r="D33" s="409" t="s">
        <v>34</v>
      </c>
      <c r="E33" s="154"/>
      <c r="F33" s="300"/>
      <c r="G33" s="101"/>
      <c r="H33" s="101"/>
      <c r="I33" s="101"/>
      <c r="J33" s="101"/>
      <c r="K33" s="101"/>
      <c r="L33" s="101"/>
      <c r="M33" s="101"/>
      <c r="N33" s="434"/>
      <c r="O33" s="430"/>
    </row>
    <row r="34" ht="12" customHeight="1" spans="2:15">
      <c r="B34" s="392"/>
      <c r="C34" s="417"/>
      <c r="D34" s="409" t="s">
        <v>18</v>
      </c>
      <c r="E34" s="154"/>
      <c r="F34" s="419">
        <f>IF((F31-E35)&gt;0,(F31-E35)/比赛参数!$D$41,0)</f>
        <v>0</v>
      </c>
      <c r="G34" s="99">
        <f>IF((G31-F35)&gt;0,(G31-F35)/比赛参数!$D$41,0)</f>
        <v>0</v>
      </c>
      <c r="H34" s="99">
        <f>IF((H31-G35)&gt;0,(H31-G35)/比赛参数!$D$41,0)</f>
        <v>0</v>
      </c>
      <c r="I34" s="99">
        <f>IF((I31-H35)&gt;0,(I31-H35)/比赛参数!$D$41,0)</f>
        <v>0</v>
      </c>
      <c r="J34" s="99">
        <f>IF((J31-I35)&gt;0,(J31-I35)/比赛参数!$D$41,0)</f>
        <v>0</v>
      </c>
      <c r="K34" s="99">
        <f>IF((K31-J35)&gt;0,(K31-J35)/比赛参数!$D$41,0)</f>
        <v>0</v>
      </c>
      <c r="L34" s="99">
        <f>IF((L31-K35)&gt;0,(L31-K35)/比赛参数!$D$41,0)</f>
        <v>0</v>
      </c>
      <c r="M34" s="99">
        <f>IF((M31-L35)&gt;0,(M31-L35)/比赛参数!$D$41,0)</f>
        <v>0</v>
      </c>
      <c r="N34" s="440">
        <f>IF((N31-M35)&gt;0,(N31-M35)/比赛参数!$D$41,0)</f>
        <v>0</v>
      </c>
      <c r="O34" s="430"/>
    </row>
    <row r="35" ht="20.1" customHeight="1" spans="2:15">
      <c r="B35" s="392"/>
      <c r="C35" s="417"/>
      <c r="D35" s="402" t="s">
        <v>35</v>
      </c>
      <c r="E35" s="420"/>
      <c r="F35" s="421">
        <f t="shared" ref="F35:N35" si="5">F33+E35-F31</f>
        <v>0</v>
      </c>
      <c r="G35" s="400">
        <f t="shared" si="5"/>
        <v>0</v>
      </c>
      <c r="H35" s="400">
        <f t="shared" si="5"/>
        <v>0</v>
      </c>
      <c r="I35" s="400">
        <f t="shared" si="5"/>
        <v>0</v>
      </c>
      <c r="J35" s="400">
        <f t="shared" si="5"/>
        <v>0</v>
      </c>
      <c r="K35" s="400">
        <f t="shared" si="5"/>
        <v>0</v>
      </c>
      <c r="L35" s="400">
        <f t="shared" si="5"/>
        <v>0</v>
      </c>
      <c r="M35" s="400">
        <f t="shared" si="5"/>
        <v>0</v>
      </c>
      <c r="N35" s="412">
        <f t="shared" si="5"/>
        <v>0</v>
      </c>
      <c r="O35" s="430"/>
    </row>
    <row r="36" ht="9" customHeight="1" spans="2:15">
      <c r="B36" s="392"/>
      <c r="C36" s="422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441"/>
      <c r="O36" s="430"/>
    </row>
    <row r="37" ht="24" customHeight="1" spans="2:17">
      <c r="B37" s="392"/>
      <c r="C37" s="423"/>
      <c r="D37" s="402" t="s">
        <v>36</v>
      </c>
      <c r="E37" s="424"/>
      <c r="F37" s="425">
        <f>IF(F33&gt;=比赛参数!$D$36,IF(F33&gt;=比赛参数!$D$35,IF(F33&gt;=比赛参数!$D$34,F33*(1-比赛参数!$E$34),F33*(1-比赛参数!$E$35)),F33*(1-比赛参数!$E$36)),0)</f>
        <v>0</v>
      </c>
      <c r="G37" s="425">
        <f>IF(G33&gt;=比赛参数!$D$36,IF(G33&gt;=比赛参数!$D$35,IF(G33&gt;=比赛参数!$D$34,G33*(1-比赛参数!$E$34),G33*(1-比赛参数!$E$35)),G33*(1-比赛参数!$E$36)),0)</f>
        <v>0</v>
      </c>
      <c r="H37" s="425">
        <f>IF(H33&gt;=比赛参数!$D$36,IF(H33&gt;=比赛参数!$D$35,IF(H33&gt;=比赛参数!$D$34,H33*(1-比赛参数!$E$34),H33*(1-比赛参数!$E$35)),H33*(1-比赛参数!$E$36)),0)</f>
        <v>0</v>
      </c>
      <c r="I37" s="425">
        <f>IF(I33&gt;=比赛参数!$D$36,IF(I33&gt;=比赛参数!$D$35,IF(I33&gt;=比赛参数!$D$34,I33*(1-比赛参数!$E$34),I33*(1-比赛参数!$E$35)),I33*(1-比赛参数!$E$36)),0)</f>
        <v>0</v>
      </c>
      <c r="J37" s="425">
        <f>IF(J33&gt;=比赛参数!$D$36,IF(J33&gt;=比赛参数!$D$35,IF(J33&gt;=比赛参数!$D$34,J33*(1-比赛参数!$E$34),J33*(1-比赛参数!$E$35)),J33*(1-比赛参数!$E$36)),0)</f>
        <v>0</v>
      </c>
      <c r="K37" s="425">
        <f>IF(K33&gt;=比赛参数!$D$36,IF(K33&gt;=比赛参数!$D$35,IF(K33&gt;=比赛参数!$D$34,K33*(1-比赛参数!$E$34),K33*(1-比赛参数!$E$35)),K33*(1-比赛参数!$E$36)),0)</f>
        <v>0</v>
      </c>
      <c r="L37" s="425">
        <f>IF(L33&gt;=比赛参数!$D$36,IF(L33&gt;=比赛参数!$D$35,IF(L33&gt;=比赛参数!$D$34,L33*(1-比赛参数!$E$34),L33*(1-比赛参数!$E$35)),L33*(1-比赛参数!$E$36)),0)</f>
        <v>0</v>
      </c>
      <c r="M37" s="425"/>
      <c r="N37" s="442"/>
      <c r="O37" s="430"/>
      <c r="Q37" s="219">
        <f>F37+G37+H37+I37+J37+K37+L37+M37</f>
        <v>0</v>
      </c>
    </row>
    <row r="38" ht="24" customHeight="1" spans="2:17">
      <c r="B38" s="392"/>
      <c r="O38" s="430"/>
      <c r="Q38" s="219">
        <v>435600</v>
      </c>
    </row>
    <row r="39" ht="24" customHeight="1" spans="2:15">
      <c r="B39" s="392"/>
      <c r="C39" s="21" t="s">
        <v>37</v>
      </c>
      <c r="D39" s="397" t="s">
        <v>38</v>
      </c>
      <c r="E39" s="398">
        <f>比赛参数!D52</f>
        <v>0</v>
      </c>
      <c r="F39" s="284"/>
      <c r="G39" s="284"/>
      <c r="H39" s="284"/>
      <c r="I39" s="284"/>
      <c r="J39" s="284"/>
      <c r="K39" s="284"/>
      <c r="L39" s="284"/>
      <c r="M39" s="284"/>
      <c r="N39" s="433"/>
      <c r="O39" s="430"/>
    </row>
    <row r="40" ht="24" customHeight="1" spans="2:15">
      <c r="B40" s="392"/>
      <c r="C40" s="183"/>
      <c r="D40" s="65" t="s">
        <v>39</v>
      </c>
      <c r="E40" s="406">
        <f>比赛参数!D53</f>
        <v>0</v>
      </c>
      <c r="F40" s="101"/>
      <c r="G40" s="101"/>
      <c r="H40" s="101"/>
      <c r="I40" s="101"/>
      <c r="J40" s="101"/>
      <c r="K40" s="101"/>
      <c r="L40" s="101"/>
      <c r="M40" s="101"/>
      <c r="N40" s="434"/>
      <c r="O40" s="430"/>
    </row>
    <row r="41" ht="24" customHeight="1" spans="2:15">
      <c r="B41" s="392"/>
      <c r="C41" s="183"/>
      <c r="D41" s="65" t="s">
        <v>40</v>
      </c>
      <c r="E41" s="406"/>
      <c r="F41" s="101"/>
      <c r="G41" s="101"/>
      <c r="H41" s="101"/>
      <c r="I41" s="101"/>
      <c r="J41" s="101"/>
      <c r="K41" s="101"/>
      <c r="L41" s="101"/>
      <c r="M41" s="101"/>
      <c r="N41" s="434"/>
      <c r="O41" s="430"/>
    </row>
    <row r="42" ht="19.5" customHeight="1" spans="2:15">
      <c r="B42" s="392"/>
      <c r="C42" s="183"/>
      <c r="D42" s="65" t="s">
        <v>41</v>
      </c>
      <c r="E42" s="406"/>
      <c r="F42" s="101"/>
      <c r="G42" s="101"/>
      <c r="H42" s="101"/>
      <c r="I42" s="101"/>
      <c r="J42" s="101"/>
      <c r="K42" s="101"/>
      <c r="L42" s="101"/>
      <c r="M42" s="101"/>
      <c r="N42" s="434"/>
      <c r="O42" s="430"/>
    </row>
    <row r="43" ht="19.5" customHeight="1" spans="2:15">
      <c r="B43" s="392"/>
      <c r="C43" s="23"/>
      <c r="D43" s="400" t="s">
        <v>42</v>
      </c>
      <c r="E43" s="412"/>
      <c r="F43" s="402">
        <f t="shared" ref="F43:N43" si="6">SUM(F39:F42)</f>
        <v>0</v>
      </c>
      <c r="G43" s="402">
        <f t="shared" si="6"/>
        <v>0</v>
      </c>
      <c r="H43" s="402">
        <f t="shared" si="6"/>
        <v>0</v>
      </c>
      <c r="I43" s="402">
        <f t="shared" si="6"/>
        <v>0</v>
      </c>
      <c r="J43" s="402">
        <f t="shared" si="6"/>
        <v>0</v>
      </c>
      <c r="K43" s="402">
        <f t="shared" si="6"/>
        <v>0</v>
      </c>
      <c r="L43" s="402">
        <f t="shared" si="6"/>
        <v>0</v>
      </c>
      <c r="M43" s="402">
        <f t="shared" si="6"/>
        <v>0</v>
      </c>
      <c r="N43" s="438">
        <f t="shared" si="6"/>
        <v>0</v>
      </c>
      <c r="O43" s="430"/>
    </row>
    <row r="44" ht="19.5" customHeight="1" spans="2:15">
      <c r="B44" s="392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430"/>
    </row>
    <row r="45" ht="19.5" customHeight="1" spans="2:15">
      <c r="B45" s="392"/>
      <c r="C45" s="217"/>
      <c r="D45" s="426" t="s">
        <v>43</v>
      </c>
      <c r="E45" s="217"/>
      <c r="F45" s="426" t="s">
        <v>44</v>
      </c>
      <c r="G45" s="195" t="s">
        <v>45</v>
      </c>
      <c r="H45" s="196" t="s">
        <v>46</v>
      </c>
      <c r="I45" s="196" t="s">
        <v>47</v>
      </c>
      <c r="J45" s="196" t="s">
        <v>48</v>
      </c>
      <c r="K45" s="196" t="s">
        <v>49</v>
      </c>
      <c r="L45" s="217"/>
      <c r="M45" s="217"/>
      <c r="N45" s="217"/>
      <c r="O45" s="430"/>
    </row>
    <row r="46" ht="19.5" customHeight="1" spans="2:15">
      <c r="B46" s="392"/>
      <c r="C46" s="217"/>
      <c r="D46" s="65">
        <f>SUM(E39:N39)</f>
        <v>0</v>
      </c>
      <c r="E46" s="217"/>
      <c r="F46" s="11" t="s">
        <v>21</v>
      </c>
      <c r="G46" s="65">
        <f>比赛参数!D52</f>
        <v>0</v>
      </c>
      <c r="H46" s="65">
        <f>比赛参数!E52</f>
        <v>0</v>
      </c>
      <c r="I46" s="65">
        <f>比赛参数!F52</f>
        <v>0</v>
      </c>
      <c r="J46" s="65">
        <f>比赛参数!G52</f>
        <v>0</v>
      </c>
      <c r="K46" s="65">
        <f>比赛参数!H52</f>
        <v>0</v>
      </c>
      <c r="L46" s="217"/>
      <c r="M46" s="217"/>
      <c r="N46" s="217"/>
      <c r="O46" s="430"/>
    </row>
    <row r="47" ht="19.5" customHeight="1" spans="2:15">
      <c r="B47" s="392"/>
      <c r="C47" s="217"/>
      <c r="D47" s="65">
        <f>SUM(E40:N40)</f>
        <v>0</v>
      </c>
      <c r="E47" s="217"/>
      <c r="F47" s="11" t="s">
        <v>22</v>
      </c>
      <c r="G47" s="65">
        <f>比赛参数!D53</f>
        <v>0</v>
      </c>
      <c r="H47" s="65">
        <f>比赛参数!E53</f>
        <v>0</v>
      </c>
      <c r="I47" s="65">
        <f>比赛参数!F53</f>
        <v>0</v>
      </c>
      <c r="J47" s="65">
        <f>比赛参数!G53</f>
        <v>0</v>
      </c>
      <c r="K47" s="65">
        <f>比赛参数!H53</f>
        <v>0</v>
      </c>
      <c r="L47" s="217"/>
      <c r="M47" s="217"/>
      <c r="N47" s="217"/>
      <c r="O47" s="430"/>
    </row>
    <row r="48" ht="19.5" customHeight="1" spans="2:15">
      <c r="B48" s="392"/>
      <c r="C48" s="217"/>
      <c r="D48" s="65">
        <f>SUM(E41:N41)</f>
        <v>0</v>
      </c>
      <c r="E48" s="217"/>
      <c r="F48" s="11" t="s">
        <v>23</v>
      </c>
      <c r="G48" s="65">
        <f>比赛参数!D54</f>
        <v>0</v>
      </c>
      <c r="H48" s="65">
        <f>比赛参数!E54</f>
        <v>0</v>
      </c>
      <c r="I48" s="65">
        <f>比赛参数!F54</f>
        <v>0</v>
      </c>
      <c r="J48" s="65">
        <f>比赛参数!G54</f>
        <v>0</v>
      </c>
      <c r="K48" s="65">
        <f>比赛参数!H54</f>
        <v>0</v>
      </c>
      <c r="L48" s="217"/>
      <c r="M48" s="217"/>
      <c r="N48" s="217"/>
      <c r="O48" s="430"/>
    </row>
    <row r="49" ht="19.5" customHeight="1" spans="2:15">
      <c r="B49" s="392"/>
      <c r="C49" s="217"/>
      <c r="D49" s="65">
        <f>SUM(E42:N42)</f>
        <v>0</v>
      </c>
      <c r="E49" s="217"/>
      <c r="F49" s="11" t="s">
        <v>24</v>
      </c>
      <c r="G49" s="65">
        <f>比赛参数!D55</f>
        <v>0</v>
      </c>
      <c r="H49" s="65">
        <f>比赛参数!E55</f>
        <v>0</v>
      </c>
      <c r="I49" s="65">
        <f>比赛参数!F55</f>
        <v>0</v>
      </c>
      <c r="J49" s="65">
        <f>比赛参数!G55</f>
        <v>0</v>
      </c>
      <c r="K49" s="65">
        <f>比赛参数!H55</f>
        <v>0</v>
      </c>
      <c r="L49" s="217"/>
      <c r="M49" s="217"/>
      <c r="N49" s="217"/>
      <c r="O49" s="430"/>
    </row>
    <row r="50" ht="19.5" customHeight="1" spans="2:15">
      <c r="B50" s="427"/>
      <c r="C50" s="428"/>
      <c r="D50" s="428"/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43"/>
    </row>
    <row r="51" ht="19.5" customHeight="1"/>
    <row r="52" ht="19.5" customHeight="1"/>
  </sheetData>
  <mergeCells count="5">
    <mergeCell ref="B2:O2"/>
    <mergeCell ref="C6:C7"/>
    <mergeCell ref="C9:C15"/>
    <mergeCell ref="C30:C37"/>
    <mergeCell ref="C39:C43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1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第十五期!AF76</f>
        <v>0</v>
      </c>
      <c r="BT7" s="198">
        <f>第十五期!AF77</f>
        <v>0</v>
      </c>
      <c r="BU7" s="198">
        <f>第十五期!AF78</f>
        <v>0</v>
      </c>
      <c r="BV7" s="198">
        <f>第十五期!AF79</f>
        <v>0</v>
      </c>
      <c r="BW7" s="200">
        <f>第十五期!$AF$80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第十五期!$AG$76</f>
        <v>0</v>
      </c>
      <c r="BT8" s="198">
        <f>第十五期!$AG$77</f>
        <v>0</v>
      </c>
      <c r="BU8" s="198">
        <f>第十五期!$AG$78</f>
        <v>0</v>
      </c>
      <c r="BV8" s="198">
        <f>第十五期!$AG$79</f>
        <v>0</v>
      </c>
      <c r="BW8" s="200">
        <f>第十五期!$AG$80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第十五期!DB56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第十五期!$AH$76</f>
        <v>0</v>
      </c>
      <c r="BT9" s="198">
        <f>第十五期!$AH$77</f>
        <v>0</v>
      </c>
      <c r="BU9" s="198">
        <f>第十五期!$AH$78</f>
        <v>0</v>
      </c>
      <c r="BV9" s="198">
        <f>第十五期!$AH$79</f>
        <v>0</v>
      </c>
      <c r="BW9" s="200">
        <f>第十五期!$AH$80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第十五期!DB57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第十五期!$AI$76</f>
        <v>0</v>
      </c>
      <c r="BT10" s="198">
        <f>第十五期!$AI$77</f>
        <v>0</v>
      </c>
      <c r="BU10" s="198">
        <f>第十五期!$AI$78</f>
        <v>0</v>
      </c>
      <c r="BV10" s="198">
        <f>第十五期!$AI$79</f>
        <v>0</v>
      </c>
      <c r="BW10" s="200">
        <f>第十五期!$AI$80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第十五期!DB58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第十五期!$AJ$76</f>
        <v>0</v>
      </c>
      <c r="BT11" s="200">
        <f>第十五期!$AJ$77</f>
        <v>0</v>
      </c>
      <c r="BU11" s="200">
        <f>第十五期!$AJ$78</f>
        <v>0</v>
      </c>
      <c r="BV11" s="200">
        <f>第十五期!$AJ$79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第十五期!DB59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第十五期!BU86</f>
        <v>0</v>
      </c>
      <c r="AG13" s="135" t="s">
        <v>208</v>
      </c>
      <c r="AH13" s="136">
        <f>第十五期!BV76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第十五期!BW92</f>
        <v>0</v>
      </c>
      <c r="AG14" s="73" t="s">
        <v>214</v>
      </c>
      <c r="AH14" s="138"/>
      <c r="AI14" s="42" t="s">
        <v>97</v>
      </c>
      <c r="AJ14" s="139">
        <f>第十五期!K12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第十五期!Y88</f>
        <v>0</v>
      </c>
      <c r="BT14" s="198">
        <f>第十五期!Y89</f>
        <v>0</v>
      </c>
      <c r="BU14" s="198">
        <f>第十五期!Y90</f>
        <v>0</v>
      </c>
      <c r="BV14" s="198">
        <f>第十五期!Y91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AF14/(Y18+第十五期!K8-AA18)</f>
        <v>#DIV/0!</v>
      </c>
      <c r="AG15" s="73" t="s">
        <v>220</v>
      </c>
      <c r="AH15" s="138"/>
      <c r="AI15" s="42" t="s">
        <v>221</v>
      </c>
      <c r="AJ15" s="139">
        <f>第十五期!K16*0.5-第十五期!K14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第十五期!Z88</f>
        <v>0</v>
      </c>
      <c r="BT15" s="198">
        <f>第十五期!Z89</f>
        <v>0</v>
      </c>
      <c r="BU15" s="198">
        <f>第十五期!Z90</f>
        <v>0</v>
      </c>
      <c r="BV15" s="198">
        <f>第十五期!Z91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第十五期!DM60</f>
        <v>0</v>
      </c>
      <c r="Z16" s="92" t="s">
        <v>224</v>
      </c>
      <c r="AA16" s="93">
        <f>AH20+Y16+第十五期!K9*比赛参数!D30*比赛参数!F30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第十五期!AA88</f>
        <v>0</v>
      </c>
      <c r="BT16" s="198">
        <f>第十五期!AA89</f>
        <v>0</v>
      </c>
      <c r="BU16" s="198">
        <f>第十五期!AA90</f>
        <v>0</v>
      </c>
      <c r="BV16" s="198">
        <f>第十五期!AA91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第十五期!AB88</f>
        <v>0</v>
      </c>
      <c r="BT17" s="198">
        <f>第十五期!AB89</f>
        <v>0</v>
      </c>
      <c r="BU17" s="198">
        <f>第十五期!AB90</f>
        <v>0</v>
      </c>
      <c r="BV17" s="198">
        <f>第十五期!AB91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第十五期!K8*比赛参数!D57</f>
        <v>0</v>
      </c>
      <c r="Z19" s="104" t="s">
        <v>250</v>
      </c>
      <c r="AA19" s="99">
        <f>第十五期!K8*比赛参数!D60</f>
        <v>0</v>
      </c>
      <c r="AB19" s="104" t="s">
        <v>250</v>
      </c>
      <c r="AC19" s="105" t="e">
        <f>IF((AC21-第十五期!K10)/比赛参数!D41&gt;0,(AC21-第十五期!K10)/比赛参数!D41,0)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IF((第十五期!BW92-第十五期!BS87)&gt;0,第十五期!BW92-第十五期!BS87,0)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第十五期!$CX$68</f>
        <v>0</v>
      </c>
      <c r="CD19" s="110">
        <f>第十五期!$CX$69</f>
        <v>0</v>
      </c>
      <c r="CE19" s="110">
        <f>第十五期!$CX$70</f>
        <v>0</v>
      </c>
      <c r="CF19" s="110">
        <f>第十五期!$CX$71</f>
        <v>0</v>
      </c>
      <c r="CG19" s="219"/>
      <c r="CH19" s="225"/>
      <c r="CI19" s="226" t="s">
        <v>55</v>
      </c>
      <c r="CJ19" s="110">
        <f>第十五期!$CX$50</f>
        <v>0</v>
      </c>
      <c r="CK19" s="110">
        <f>第十五期!$CX$51</f>
        <v>0</v>
      </c>
      <c r="CL19" s="110">
        <f>第十五期!$CX$52</f>
        <v>0</v>
      </c>
      <c r="CM19" s="110">
        <f>第十五期!$CX$53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第十五期!K8+第十五期!Y18*比赛参数!D59-第十五期!AA18</f>
        <v>0</v>
      </c>
      <c r="Z20" s="42" t="s">
        <v>245</v>
      </c>
      <c r="AA20" s="108">
        <f>第十五期!K9</f>
        <v>0</v>
      </c>
      <c r="AB20" s="42" t="s">
        <v>257</v>
      </c>
      <c r="AC20" s="109">
        <f>AC18*比赛参数!D41+第十五期!K10</f>
        <v>0</v>
      </c>
      <c r="AE20" s="11" t="s">
        <v>258</v>
      </c>
      <c r="AF20" s="101"/>
      <c r="AG20" s="42" t="s">
        <v>91</v>
      </c>
      <c r="AH20" s="147">
        <f>第十五期!BS62+第十五期!BS71</f>
        <v>0</v>
      </c>
      <c r="AI20" s="73" t="s">
        <v>259</v>
      </c>
      <c r="AJ20" s="111">
        <f>第十五期!BV90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第十五期!Y9</f>
        <v>0</v>
      </c>
      <c r="BT20" s="198">
        <f>第十五期!Z9</f>
        <v>0</v>
      </c>
      <c r="BU20" s="198">
        <f>第十五期!AA9</f>
        <v>0</v>
      </c>
      <c r="BV20" s="198">
        <f>第十五期!AB9</f>
        <v>0</v>
      </c>
      <c r="BW20" s="200">
        <f>第十五期!AJ34</f>
        <v>0</v>
      </c>
      <c r="BX20" s="215"/>
      <c r="CA20" s="213"/>
      <c r="CB20" s="196" t="s">
        <v>56</v>
      </c>
      <c r="CC20" s="110">
        <f>第十五期!$CY$68</f>
        <v>0</v>
      </c>
      <c r="CD20" s="110">
        <f>第十五期!$CY$69</f>
        <v>0</v>
      </c>
      <c r="CE20" s="110">
        <f>第十五期!$CY$70</f>
        <v>0</v>
      </c>
      <c r="CF20" s="110">
        <f>第十五期!$CY$71</f>
        <v>0</v>
      </c>
      <c r="CG20" s="219"/>
      <c r="CH20" s="225"/>
      <c r="CI20" s="227" t="s">
        <v>56</v>
      </c>
      <c r="CJ20" s="110">
        <f>第十五期!$CY$50</f>
        <v>0</v>
      </c>
      <c r="CK20" s="110">
        <f>第十五期!$CY$51</f>
        <v>0</v>
      </c>
      <c r="CL20" s="110">
        <f>第十五期!$CY$52</f>
        <v>0</v>
      </c>
      <c r="CM20" s="110">
        <f>第十五期!$CY$53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第十五期!Y10</f>
        <v>0</v>
      </c>
      <c r="BT21" s="198">
        <f>第十五期!Z10</f>
        <v>0</v>
      </c>
      <c r="BU21" s="198">
        <f>第十五期!AA10</f>
        <v>0</v>
      </c>
      <c r="BV21" s="198">
        <f>第十五期!AB10</f>
        <v>0</v>
      </c>
      <c r="BW21" s="200">
        <f>第十五期!AJ35</f>
        <v>0</v>
      </c>
      <c r="BX21" s="215"/>
      <c r="CA21" s="213"/>
      <c r="CB21" s="196" t="s">
        <v>57</v>
      </c>
      <c r="CC21" s="110">
        <f>第十五期!$CZ$68</f>
        <v>0</v>
      </c>
      <c r="CD21" s="110">
        <f>第十五期!$CZ$69</f>
        <v>0</v>
      </c>
      <c r="CE21" s="110">
        <f>第十五期!$CZ$70</f>
        <v>0</v>
      </c>
      <c r="CF21" s="110">
        <f>第十五期!$CZ$71</f>
        <v>0</v>
      </c>
      <c r="CG21" s="219"/>
      <c r="CH21" s="225"/>
      <c r="CI21" s="227" t="s">
        <v>57</v>
      </c>
      <c r="CJ21" s="110">
        <f>第十五期!$CZ$50</f>
        <v>0</v>
      </c>
      <c r="CK21" s="110">
        <f>第十五期!$CZ$51</f>
        <v>0</v>
      </c>
      <c r="CL21" s="110">
        <f>第十五期!$CZ$52</f>
        <v>0</v>
      </c>
      <c r="CM21" s="110">
        <f>第十五期!$CZ$53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第十五期!Y11</f>
        <v>0</v>
      </c>
      <c r="BT22" s="198">
        <f>第十五期!Z11</f>
        <v>0</v>
      </c>
      <c r="BU22" s="198">
        <f>第十五期!AA11</f>
        <v>0</v>
      </c>
      <c r="BV22" s="198">
        <f>第十五期!AB11</f>
        <v>0</v>
      </c>
      <c r="BW22" s="200">
        <f>第十五期!AJ36</f>
        <v>0</v>
      </c>
      <c r="BX22" s="215"/>
      <c r="CA22" s="213"/>
      <c r="CB22" s="196" t="s">
        <v>58</v>
      </c>
      <c r="CC22" s="110">
        <f>第十五期!$DA$68</f>
        <v>0</v>
      </c>
      <c r="CD22" s="110">
        <f>第十五期!$DA$69</f>
        <v>0</v>
      </c>
      <c r="CE22" s="110">
        <f>第十五期!$DA$70</f>
        <v>0</v>
      </c>
      <c r="CF22" s="110">
        <f>第十五期!$DA$71</f>
        <v>0</v>
      </c>
      <c r="CG22" s="219"/>
      <c r="CH22" s="225"/>
      <c r="CI22" s="227" t="s">
        <v>58</v>
      </c>
      <c r="CJ22" s="110">
        <f>第十五期!$DA$50</f>
        <v>0</v>
      </c>
      <c r="CK22" s="110">
        <f>第十五期!$DA$51</f>
        <v>0</v>
      </c>
      <c r="CL22" s="110">
        <f>第十五期!$DA$52</f>
        <v>0</v>
      </c>
      <c r="CM22" s="110">
        <f>第十五期!$DA$53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第十五期!Y12</f>
        <v>0</v>
      </c>
      <c r="BT23" s="198">
        <f>第十五期!Z12</f>
        <v>0</v>
      </c>
      <c r="BU23" s="198">
        <f>第十五期!AA12</f>
        <v>0</v>
      </c>
      <c r="BV23" s="198">
        <f>第十五期!AB12</f>
        <v>0</v>
      </c>
      <c r="BW23" s="200">
        <f>第十五期!AJ37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第十五期!BV57-第十五期!BV76</f>
        <v>0</v>
      </c>
      <c r="AJ26" s="65">
        <f>第十五期!K9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第十五期!DB50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第十五期!Y18</f>
        <v>0</v>
      </c>
      <c r="BT26" s="198">
        <f>第十五期!AA18</f>
        <v>0</v>
      </c>
      <c r="BU26" s="198">
        <f>第十五期!AF18</f>
        <v>0</v>
      </c>
      <c r="BV26" s="204">
        <f>第十五期!AC18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第十五期!DB51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第十五期!DB52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第十五期!DB53</f>
        <v>0</v>
      </c>
      <c r="BQ29" s="177"/>
      <c r="BR29" s="201"/>
      <c r="BS29" s="204">
        <f>第十五期!AH14</f>
        <v>0</v>
      </c>
      <c r="BT29" s="204">
        <f>第十五期!AH15</f>
        <v>0</v>
      </c>
      <c r="BU29" s="198">
        <f>第十五期!AF20</f>
        <v>0</v>
      </c>
      <c r="BV29" s="204">
        <f>第十五期!AJ18</f>
        <v>0</v>
      </c>
      <c r="BW29" s="218">
        <f>第十五期!AH18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INT(第十五期!DV26)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INT(第十五期!DV27)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INT(第十五期!DV28)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INT(第十五期!DV29)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第十五期!DG56*第十五期!DG50+第十五期!DG64*第十五期!Y88</f>
        <v>0</v>
      </c>
      <c r="CD38" s="108">
        <f>第十五期!DH56*第十五期!DH50+第十五期!DH64*第十五期!Z88</f>
        <v>0</v>
      </c>
      <c r="CE38" s="108">
        <f>第十五期!DI56*第十五期!DI50+第十五期!DI64*第十五期!AA88</f>
        <v>0</v>
      </c>
      <c r="CF38" s="108">
        <f>第十五期!DJ56*第十五期!DJ50+第十五期!DJ64*第十五期!AB88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第十五期!DG57*第十五期!DG51+第十五期!DG65*第十五期!Y89</f>
        <v>0</v>
      </c>
      <c r="CD39" s="108">
        <f>第十五期!DH57*第十五期!DH51+第十五期!DH65*第十五期!Z89</f>
        <v>0</v>
      </c>
      <c r="CE39" s="108">
        <f>第十五期!DI57*第十五期!DI51+第十五期!DI65*第十五期!AA89</f>
        <v>0</v>
      </c>
      <c r="CF39" s="108">
        <f>第十五期!DJ57*第十五期!DJ51+第十五期!DJ65*第十五期!AB89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第十五期!DG58*第十五期!DG52+第十五期!DG66*第十五期!Y90</f>
        <v>0</v>
      </c>
      <c r="CD40" s="108">
        <f>第十五期!DH58*第十五期!DH52+第十五期!DH66*第十五期!Z90</f>
        <v>0</v>
      </c>
      <c r="CE40" s="108">
        <f>第十五期!DI58*第十五期!DI52+第十五期!DI66*第十五期!AA90</f>
        <v>0</v>
      </c>
      <c r="CF40" s="108">
        <f>第十五期!DJ58*第十五期!DJ52+第十五期!DJ66*第十五期!AB90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第十五期!DG59*第十五期!DG53+第十五期!DG67*第十五期!Y91</f>
        <v>0</v>
      </c>
      <c r="CD41" s="108">
        <f>第十五期!DH59*第十五期!DH53+第十五期!DH67*第十五期!Z91</f>
        <v>0</v>
      </c>
      <c r="CE41" s="108">
        <f>第十五期!DI59*第十五期!DI53+第十五期!DI67*第十五期!AA91</f>
        <v>0</v>
      </c>
      <c r="CF41" s="108">
        <f>第十五期!DJ59*第十五期!DJ53+第十五期!DJ67*第十五期!AB91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第十五期!Y9*第十五期!CQ62*比赛参数!D65</f>
        <v>0</v>
      </c>
      <c r="CR50" s="65">
        <f>第十五期!Z9*第十五期!CR62*比赛参数!E65</f>
        <v>0</v>
      </c>
      <c r="CS50" s="65">
        <f>第十五期!AA9*第十五期!CS62*比赛参数!F65</f>
        <v>0</v>
      </c>
      <c r="CT50" s="65">
        <f>第十五期!AB9*第十五期!CT62*比赛参数!G65</f>
        <v>0</v>
      </c>
      <c r="CU50" s="65">
        <f>IF(第十五期!AC9&gt;0,SUM(CQ50:CT50)/第十五期!AC9,0)</f>
        <v>0</v>
      </c>
      <c r="CW50" s="11" t="s">
        <v>38</v>
      </c>
      <c r="CX50" s="242">
        <f>IF(第十五期!$CU$50*第十五期!CQ93&gt;0,第十五期!$CU$50+第十五期!CQ68+第十五期!CQ93+第十五期!CQ74,0)</f>
        <v>0</v>
      </c>
      <c r="CY50" s="242">
        <f>IF(第十五期!$CU$50*第十五期!CR93&gt;0,第十五期!$CU$50+第十五期!CR68+第十五期!CR93+第十五期!CR74,0)</f>
        <v>0</v>
      </c>
      <c r="CZ50" s="242">
        <f>IF(第十五期!$CU$50*第十五期!CS93&gt;0,第十五期!$CU$50+第十五期!CS68+第十五期!CS93+第十五期!CS74,0)</f>
        <v>0</v>
      </c>
      <c r="DA50" s="242">
        <f>IF(第十五期!$CU$50*第十五期!CT93&gt;0,第十五期!$CU$50+第十五期!CT68+第十五期!CT93+第十五期!CT74,0)</f>
        <v>0</v>
      </c>
      <c r="DB50" s="242">
        <f>AVERAGE(CX50:DA50)</f>
        <v>0</v>
      </c>
      <c r="DF50" s="65" t="s">
        <v>55</v>
      </c>
      <c r="DG50" s="245">
        <f>IF(第十五期!Y88&gt;0,1,0)</f>
        <v>0</v>
      </c>
      <c r="DH50" s="245">
        <f>IF(第十五期!Z88&gt;0,1,0)</f>
        <v>0</v>
      </c>
      <c r="DI50" s="245">
        <f>IF(第十五期!AA88&gt;0,1,0)</f>
        <v>0</v>
      </c>
      <c r="DJ50" s="245">
        <f>IF(第十五期!AB88&gt;0,1,0)</f>
        <v>0</v>
      </c>
      <c r="DL50" s="245" t="s">
        <v>21</v>
      </c>
      <c r="DM50" s="248">
        <f>IF(第十五期!Y9+第十五期!Z9&gt;0,1,0)</f>
        <v>0</v>
      </c>
      <c r="DN50" s="248">
        <f>IF(第十五期!AA9+第十五期!AB9&gt;0,1,0)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第十五期!Y10*第十五期!CQ63*比赛参数!D65</f>
        <v>0</v>
      </c>
      <c r="CR51" s="65">
        <f>第十五期!Z10*第十五期!CR63*比赛参数!E65</f>
        <v>0</v>
      </c>
      <c r="CS51" s="65">
        <f>第十五期!AA10*第十五期!CS63*比赛参数!F65</f>
        <v>0</v>
      </c>
      <c r="CT51" s="65">
        <f>第十五期!AB10*第十五期!CT63*比赛参数!G65</f>
        <v>0</v>
      </c>
      <c r="CU51" s="65">
        <f>IF(第十五期!AC10&gt;0,SUM(CQ51:CT51)/第十五期!AC10,0)</f>
        <v>0</v>
      </c>
      <c r="CW51" s="11" t="s">
        <v>39</v>
      </c>
      <c r="CX51" s="242">
        <f>IF(第十五期!$CU$51*第十五期!CQ94&gt;0,第十五期!$CU$51+第十五期!CQ69+第十五期!CQ94+第十五期!CQ75,0)</f>
        <v>0</v>
      </c>
      <c r="CY51" s="242">
        <f>IF(第十五期!$CU$51*第十五期!CR94&gt;0,第十五期!$CU$51+第十五期!CR69+第十五期!CR94+第十五期!CR75,0)</f>
        <v>0</v>
      </c>
      <c r="CZ51" s="242">
        <f>IF(第十五期!$CU$51*第十五期!CS94&gt;0,第十五期!$CU$51+第十五期!CS69+第十五期!CS94+第十五期!CS75,0)</f>
        <v>0</v>
      </c>
      <c r="DA51" s="242">
        <f>IF(第十五期!$CU$51*第十五期!CT94&gt;0,第十五期!$CU$51+第十五期!CT69+第十五期!CT94+第十五期!CT75,0)</f>
        <v>0</v>
      </c>
      <c r="DB51" s="242">
        <f>AVERAGE(CX51:DA51)</f>
        <v>0</v>
      </c>
      <c r="DF51" s="65" t="s">
        <v>56</v>
      </c>
      <c r="DG51" s="245">
        <f>IF(第十五期!Y89&gt;0,1,0)</f>
        <v>0</v>
      </c>
      <c r="DH51" s="245">
        <f>IF(第十五期!Z89&gt;0,1,0)</f>
        <v>0</v>
      </c>
      <c r="DI51" s="245">
        <f>IF(第十五期!AA89&gt;0,1,0)</f>
        <v>0</v>
      </c>
      <c r="DJ51" s="245">
        <f>IF(第十五期!AB89&gt;0,1,0)</f>
        <v>0</v>
      </c>
      <c r="DL51" s="245" t="s">
        <v>22</v>
      </c>
      <c r="DM51" s="248">
        <f>IF(第十五期!Y10+第十五期!Z10&gt;0,1,0)</f>
        <v>0</v>
      </c>
      <c r="DN51" s="248">
        <f>IF(第十五期!AA10+第十五期!AB10&gt;0,1,0)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第十五期!Y11*第十五期!CQ64*比赛参数!D65</f>
        <v>0</v>
      </c>
      <c r="CR52" s="65">
        <f>第十五期!Z11*第十五期!CR64*比赛参数!E65</f>
        <v>0</v>
      </c>
      <c r="CS52" s="65">
        <f>第十五期!AA11*第十五期!CS64*比赛参数!F65</f>
        <v>0</v>
      </c>
      <c r="CT52" s="65">
        <f>第十五期!AB11*第十五期!CT64*比赛参数!G65</f>
        <v>0</v>
      </c>
      <c r="CU52" s="65">
        <f>IF(第十五期!AC11&gt;0,SUM(CQ52:CT52)/第十五期!AC11,0)</f>
        <v>0</v>
      </c>
      <c r="CW52" s="11" t="s">
        <v>40</v>
      </c>
      <c r="CX52" s="242">
        <f>IF(第十五期!$CU$52*第十五期!CQ95&gt;0,第十五期!$CU$52+第十五期!CQ70+第十五期!CQ95+第十五期!CQ76,0)</f>
        <v>0</v>
      </c>
      <c r="CY52" s="242">
        <f>IF(第十五期!$CU$52*第十五期!CR95&gt;0,第十五期!$CU$52+第十五期!CR70+第十五期!CR95+第十五期!CR76,0)</f>
        <v>0</v>
      </c>
      <c r="CZ52" s="242">
        <f>IF(第十五期!$CU$52*第十五期!CS95&gt;0,第十五期!$CU$52+第十五期!CS70+第十五期!CS95+第十五期!CS76,0)</f>
        <v>0</v>
      </c>
      <c r="DA52" s="242">
        <f>IF(第十五期!$CU$52*第十五期!CT95&gt;0,第十五期!$CU$52+第十五期!CT70+第十五期!CT95+第十五期!CT76,0)</f>
        <v>0</v>
      </c>
      <c r="DB52" s="242">
        <f>AVERAGE(CX52:DA52)</f>
        <v>0</v>
      </c>
      <c r="DF52" s="65" t="s">
        <v>57</v>
      </c>
      <c r="DG52" s="245">
        <f>IF(第十五期!Y90&gt;0,1,0)</f>
        <v>0</v>
      </c>
      <c r="DH52" s="245">
        <f>IF(第十五期!Z90&gt;0,1,0)</f>
        <v>0</v>
      </c>
      <c r="DI52" s="245">
        <f>IF(第十五期!AA90&gt;0,1,0)</f>
        <v>0</v>
      </c>
      <c r="DJ52" s="245">
        <f>IF(第十五期!AB90&gt;0,1,0)</f>
        <v>0</v>
      </c>
      <c r="DL52" s="245" t="s">
        <v>23</v>
      </c>
      <c r="DM52" s="248">
        <f>IF(第十五期!Y11+第十五期!Z11&gt;0,1,0)</f>
        <v>0</v>
      </c>
      <c r="DN52" s="248">
        <f>IF(第十五期!AA11+第十五期!AB11&gt;0,1,0)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第十五期!Y12*第十五期!CQ65*比赛参数!D65</f>
        <v>0</v>
      </c>
      <c r="CR53" s="65">
        <f>第十五期!Z12*第十五期!CR65*比赛参数!E65</f>
        <v>0</v>
      </c>
      <c r="CS53" s="65">
        <f>第十五期!AA12*第十五期!CS65*比赛参数!F65</f>
        <v>0</v>
      </c>
      <c r="CT53" s="65">
        <f>第十五期!AB12*第十五期!CT65*比赛参数!G65</f>
        <v>0</v>
      </c>
      <c r="CU53" s="65">
        <f>IF(第十五期!AC12&gt;0,SUM(CQ53:CT53)/第十五期!AC12,0)</f>
        <v>0</v>
      </c>
      <c r="CW53" s="11" t="s">
        <v>41</v>
      </c>
      <c r="CX53" s="242">
        <f>IF(第十五期!$CU$53*第十五期!CQ96&gt;0,第十五期!$CU$53+第十五期!CQ71+第十五期!CQ96+第十五期!CQ77,0)</f>
        <v>0</v>
      </c>
      <c r="CY53" s="242">
        <f>IF(第十五期!$CU$53*第十五期!CR96&gt;0,第十五期!$CU$53+第十五期!CR71+第十五期!CR96+第十五期!CR77,0)</f>
        <v>0</v>
      </c>
      <c r="CZ53" s="242">
        <f>IF(第十五期!$CU$53*第十五期!CS96&gt;0,第十五期!$CU$53+第十五期!CS71+第十五期!CS96+第十五期!CS77,0)</f>
        <v>0</v>
      </c>
      <c r="DA53" s="242">
        <f>IF(第十五期!$CU$53*第十五期!CT96&gt;0,第十五期!$CU$53+第十五期!CT71+第十五期!CT96+第十五期!CT77,0)</f>
        <v>0</v>
      </c>
      <c r="DB53" s="242">
        <f>AVERAGE(CX53:DA53)</f>
        <v>0</v>
      </c>
      <c r="DF53" s="65" t="s">
        <v>58</v>
      </c>
      <c r="DG53" s="245">
        <f>IF(第十五期!Y91&gt;0,1,0)</f>
        <v>0</v>
      </c>
      <c r="DH53" s="245">
        <f>IF(第十五期!Z91&gt;0,1,0)</f>
        <v>0</v>
      </c>
      <c r="DI53" s="245">
        <f>IF(第十五期!AA91&gt;0,1,0)</f>
        <v>0</v>
      </c>
      <c r="DJ53" s="245">
        <f>IF(第十五期!AB91&gt;0,1,0)</f>
        <v>0</v>
      </c>
      <c r="DL53" s="245" t="s">
        <v>24</v>
      </c>
      <c r="DM53" s="248">
        <f>IF(第十五期!Y12+第十五期!Z12&gt;0,1,0)</f>
        <v>0</v>
      </c>
      <c r="DN53" s="248">
        <f>IF(第十五期!AA12+第十五期!AB12&gt;0,1,0)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第十五期!K11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第十五期!AH14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第十五期!DU26</f>
        <v>0</v>
      </c>
      <c r="CD56" s="108">
        <f>第十五期!DU27</f>
        <v>0</v>
      </c>
      <c r="CE56" s="108">
        <f>第十五期!DU28</f>
        <v>0</v>
      </c>
      <c r="CF56" s="108">
        <f>第十五期!DU29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第十五期!BS7-第十五期!CX50</f>
        <v>0</v>
      </c>
      <c r="CY56" s="242">
        <f>第十五期!BT7-第十五期!CY50</f>
        <v>0</v>
      </c>
      <c r="CZ56" s="242">
        <f>第十五期!BU7-第十五期!CZ50</f>
        <v>0</v>
      </c>
      <c r="DA56" s="242">
        <f>第十五期!BV7-第十五期!DA50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第十五期!DX6</f>
        <v>0</v>
      </c>
      <c r="Z57" s="127">
        <f>第十五期!DX10</f>
        <v>0</v>
      </c>
      <c r="AA57" s="127">
        <f>第十五期!DX14</f>
        <v>0</v>
      </c>
      <c r="AB57" s="127">
        <f>第十五期!DX18</f>
        <v>0</v>
      </c>
      <c r="AC57" s="128"/>
      <c r="AE57" s="64" t="s">
        <v>55</v>
      </c>
      <c r="AF57" s="127">
        <f>第十五期!DW6</f>
        <v>0</v>
      </c>
      <c r="AG57" s="127">
        <f>第十五期!DW10</f>
        <v>0</v>
      </c>
      <c r="AH57" s="127">
        <f>第十五期!DW14</f>
        <v>0</v>
      </c>
      <c r="AI57" s="127">
        <f>第十五期!DW18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第十五期!AH15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第十五期!BS8-第十五期!CX51</f>
        <v>0</v>
      </c>
      <c r="CY57" s="242">
        <f>第十五期!BT8-第十五期!CY51</f>
        <v>0</v>
      </c>
      <c r="CZ57" s="242">
        <f>第十五期!BU8-第十五期!CZ51</f>
        <v>0</v>
      </c>
      <c r="DA57" s="242">
        <f>第十五期!BV8-第十五期!DA51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第十五期!DX7</f>
        <v>0</v>
      </c>
      <c r="Z58" s="127">
        <f>第十五期!DX11</f>
        <v>0</v>
      </c>
      <c r="AA58" s="127">
        <f>第十五期!DX15</f>
        <v>0</v>
      </c>
      <c r="AB58" s="127">
        <f>第十五期!DX19</f>
        <v>0</v>
      </c>
      <c r="AC58" s="128"/>
      <c r="AE58" s="11" t="s">
        <v>56</v>
      </c>
      <c r="AF58" s="127">
        <f>第十五期!DW7</f>
        <v>0</v>
      </c>
      <c r="AG58" s="127">
        <f>第十五期!DW11</f>
        <v>0</v>
      </c>
      <c r="AH58" s="127">
        <f>第十五期!DW15</f>
        <v>0</v>
      </c>
      <c r="AI58" s="127">
        <f>第十五期!DW19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第十五期!H5+第十五期!H4*比赛参数!F71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第十五期!BS9-第十五期!CX52</f>
        <v>0</v>
      </c>
      <c r="CY58" s="242">
        <f>第十五期!BT9-第十五期!CY52</f>
        <v>0</v>
      </c>
      <c r="CZ58" s="242">
        <f>第十五期!BU9-第十五期!CZ52</f>
        <v>0</v>
      </c>
      <c r="DA58" s="242">
        <f>第十五期!BV9-第十五期!DA52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第十五期!DX8</f>
        <v>0</v>
      </c>
      <c r="Z59" s="127">
        <f>第十五期!DX12</f>
        <v>0</v>
      </c>
      <c r="AA59" s="127">
        <f>第十五期!DX16</f>
        <v>0</v>
      </c>
      <c r="AB59" s="127">
        <f>第十五期!DX20</f>
        <v>0</v>
      </c>
      <c r="AC59" s="129"/>
      <c r="AE59" s="11" t="s">
        <v>57</v>
      </c>
      <c r="AF59" s="127">
        <f>第十五期!DW8</f>
        <v>0</v>
      </c>
      <c r="AG59" s="127">
        <f>第十五期!DW12</f>
        <v>0</v>
      </c>
      <c r="AH59" s="127">
        <f>第十五期!DW16</f>
        <v>0</v>
      </c>
      <c r="AI59" s="127">
        <f>第十五期!DW20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第十五期!K14*比赛参数!D71/4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第十五期!BS10-第十五期!CX53</f>
        <v>0</v>
      </c>
      <c r="CY59" s="242">
        <f>第十五期!BT10-第十五期!CY53</f>
        <v>0</v>
      </c>
      <c r="CZ59" s="242">
        <f>第十五期!BU10-第十五期!CZ53</f>
        <v>0</v>
      </c>
      <c r="DA59" s="242">
        <f>第十五期!BV10-第十五期!DA53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第十五期!DX9</f>
        <v>0</v>
      </c>
      <c r="Z60" s="127">
        <f>第十五期!DX13</f>
        <v>0</v>
      </c>
      <c r="AA60" s="127">
        <f>第十五期!DX17</f>
        <v>0</v>
      </c>
      <c r="AB60" s="127">
        <f>第十五期!DX21</f>
        <v>0</v>
      </c>
      <c r="AC60" s="108" t="s">
        <v>314</v>
      </c>
      <c r="AE60" s="11" t="s">
        <v>58</v>
      </c>
      <c r="AF60" s="127">
        <f>第十五期!DW9</f>
        <v>0</v>
      </c>
      <c r="AG60" s="127">
        <f>第十五期!DW13</f>
        <v>0</v>
      </c>
      <c r="AH60" s="127">
        <f>第十五期!DW17</f>
        <v>0</v>
      </c>
      <c r="AI60" s="127">
        <f>第十五期!DW21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第十五期!Y18*比赛参数!D58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第十五期!AA18*比赛参数!D62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((第十五期!K8-第十五期!AA18)*比赛参数!D65+第十五期!Y18*比赛参数!D59*比赛参数!D65)*第十五期!AH18*520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CX56/第十五期!CQ56</f>
        <v>#DIV/0!</v>
      </c>
      <c r="CY62" s="242" t="e">
        <f>CY56/第十五期!CR56</f>
        <v>#DIV/0!</v>
      </c>
      <c r="CZ62" s="242" t="e">
        <f>CZ56/第十五期!CS56</f>
        <v>#DIV/0!</v>
      </c>
      <c r="DA62" s="242" t="e">
        <f>DA56/第十五期!CT56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第十五期!K9*比赛参数!D49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CX57/第十五期!CQ57</f>
        <v>#DIV/0!</v>
      </c>
      <c r="CY63" s="242" t="e">
        <f>CY57/第十五期!CR57</f>
        <v>#DIV/0!</v>
      </c>
      <c r="CZ63" s="242" t="e">
        <f>CZ57/第十五期!CS57</f>
        <v>#DIV/0!</v>
      </c>
      <c r="DA63" s="242" t="e">
        <f>DA57/第十五期!CT57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第十五期!AL37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CX58/第十五期!CQ58</f>
        <v>#DIV/0!</v>
      </c>
      <c r="CY64" s="242" t="e">
        <f>CY58/第十五期!CR58</f>
        <v>#DIV/0!</v>
      </c>
      <c r="CZ64" s="242" t="e">
        <f>CZ58/第十五期!CS58</f>
        <v>#DIV/0!</v>
      </c>
      <c r="DA64" s="242" t="e">
        <f>DA58/第十五期!CT58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0.5*第十五期!AL37+0.5*第十五期!DV23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CX59/第十五期!CQ59</f>
        <v>#DIV/0!</v>
      </c>
      <c r="CY65" s="242" t="e">
        <f>CY59/第十五期!CR59</f>
        <v>#DIV/0!</v>
      </c>
      <c r="CZ65" s="242" t="e">
        <f>CZ59/第十五期!CS59</f>
        <v>#DIV/0!</v>
      </c>
      <c r="DA65" s="242" t="e">
        <f>DA59/第十五期!CT59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第十五期!AC18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五期!AC18&gt;=比赛参数!D33,(1-比赛参数!E33)*第十五期!AC18,0)+IF(AND(第十五期!AC18&gt;=比赛参数!D34,第十五期!AC18&lt;比赛参数!D33),(1-比赛参数!E34)*第十五期!AC18,0)+IF(AND(第十五期!AC18&gt;=比赛参数!D35,第十五期!AC18&lt;比赛参数!D34),(1-比赛参数!E35)*第十五期!AC18,0)+IF(AND(第十五期!AC18&gt;=比赛参数!D36,第十五期!AC18&lt;比赛参数!D35),(1-比赛参数!E36)*第十五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第十五期!DV6</f>
        <v>0</v>
      </c>
      <c r="AG70" s="131">
        <f>第十五期!DV10</f>
        <v>0</v>
      </c>
      <c r="AH70" s="131">
        <f>第十五期!DV14</f>
        <v>0</v>
      </c>
      <c r="AI70" s="131">
        <f>第十五期!DV18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IF(第十五期!AC18&gt;0,第十五期!AC18*比赛参数!E40+比赛参数!E39,0)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第十五期!DV7</f>
        <v>0</v>
      </c>
      <c r="AG71" s="131">
        <f>第十五期!DV11</f>
        <v>0</v>
      </c>
      <c r="AH71" s="131">
        <f>第十五期!DV15</f>
        <v>0</v>
      </c>
      <c r="AI71" s="131">
        <f>第十五期!DV19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(第十五期!Z13*比赛参数!E65*260+第十五期!AA13*(比赛参数!F65-比赛参数!D65)*520+第十五期!AB13*比赛参数!G65*260)*第十五期!AH18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第十五期!DV8</f>
        <v>0</v>
      </c>
      <c r="AG72" s="131">
        <f>第十五期!DV12</f>
        <v>0</v>
      </c>
      <c r="AH72" s="131">
        <f>第十五期!DV16</f>
        <v>0</v>
      </c>
      <c r="AI72" s="131">
        <f>第十五期!DV20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第十五期!DM60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第十五期!DV9</f>
        <v>0</v>
      </c>
      <c r="AG73" s="131">
        <f>第十五期!DV13</f>
        <v>0</v>
      </c>
      <c r="AH73" s="131">
        <f>第十五期!DV17</f>
        <v>0</v>
      </c>
      <c r="AI73" s="131">
        <f>第十五期!DV21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第十五期!AC21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第十五期!CG42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SUM(第十五期!AF80:AI80)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SUM(第十五期!AJ76:AJ79)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第十五期!CG53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第十五期!CN53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第十五期!K9*比赛参数!D30*比赛参数!F30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第十五期!CG65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第十五期!Y9*第十五期!CQ56</f>
        <v>0</v>
      </c>
      <c r="CR80" s="65">
        <f>第十五期!Z9*第十五期!CR56</f>
        <v>0</v>
      </c>
      <c r="CS80" s="65">
        <f>第十五期!AA9*第十五期!CS56</f>
        <v>0</v>
      </c>
      <c r="CT80" s="65">
        <f>第十五期!AB9*第十五期!CT56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(第十五期!K10+(第十五期!AC18+第十五期!K10-第十五期!AC21))/2*比赛参数!D16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第十五期!Y10*第十五期!CQ57</f>
        <v>0</v>
      </c>
      <c r="CR81" s="65">
        <f>第十五期!Z10*第十五期!CR57</f>
        <v>0</v>
      </c>
      <c r="CS81" s="65">
        <f>第十五期!AA10*第十五期!CS57</f>
        <v>0</v>
      </c>
      <c r="CT81" s="65">
        <f>第十五期!AB10*第十五期!CT57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第十五期!CG67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第十五期!Y11*第十五期!CQ58</f>
        <v>0</v>
      </c>
      <c r="CR82" s="65">
        <f>第十五期!Z11*第十五期!CR58</f>
        <v>0</v>
      </c>
      <c r="CS82" s="65">
        <f>第十五期!AA11*第十五期!CS58</f>
        <v>0</v>
      </c>
      <c r="CT82" s="65">
        <f>第十五期!AB11*第十五期!CT58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第十五期!K13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第十五期!Y12*第十五期!CQ59</f>
        <v>0</v>
      </c>
      <c r="CR83" s="65">
        <f>第十五期!Z12*第十五期!CR59</f>
        <v>0</v>
      </c>
      <c r="CS83" s="65">
        <f>第十五期!AA12*第十五期!CS59</f>
        <v>0</v>
      </c>
      <c r="CT83" s="65">
        <f>第十五期!AB12*第十五期!CT59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第十五期!K13*比赛参数!D70/4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第十五期!AH14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第十五期!DS33</f>
        <v>0</v>
      </c>
      <c r="AG86" s="131">
        <f>第十五期!DW33</f>
        <v>0</v>
      </c>
      <c r="AH86" s="131">
        <f>第十五期!EA33</f>
        <v>0</v>
      </c>
      <c r="AI86" s="131">
        <f>第十五期!EE33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第十五期!AH14*比赛参数!D69/4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第十五期!DT33</f>
        <v>0</v>
      </c>
      <c r="AG87" s="131">
        <f>第十五期!DX33</f>
        <v>0</v>
      </c>
      <c r="AH87" s="131">
        <f>第十五期!EB33</f>
        <v>0</v>
      </c>
      <c r="AI87" s="131">
        <f>第十五期!EF33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IF(第十五期!BW92&gt;0,IF((第十五期!K15+第十五期!BW92*比赛参数!D72)&gt;0,第十五期!K15+第十五期!BW92*比赛参数!D72,0))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第十五期!DU33</f>
        <v>0</v>
      </c>
      <c r="AG88" s="131">
        <f>第十五期!DY33</f>
        <v>0</v>
      </c>
      <c r="AH88" s="131">
        <f>第十五期!EC33</f>
        <v>0</v>
      </c>
      <c r="AI88" s="131">
        <f>第十五期!EG33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第十五期!AF18*比赛参数!D30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第十五期!DV33</f>
        <v>0</v>
      </c>
      <c r="AG89" s="131">
        <f>第十五期!DZ33</f>
        <v>0</v>
      </c>
      <c r="AH89" s="131">
        <f>第十五期!ED33</f>
        <v>0</v>
      </c>
      <c r="AI89" s="131">
        <f>第十五期!EH33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第十五期!AJ18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第十五期!AF20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第十五期!BT84</f>
        <v>0</v>
      </c>
      <c r="BT92" s="330" t="s">
        <v>181</v>
      </c>
      <c r="BU92" s="130">
        <f>第十五期!BU86</f>
        <v>0</v>
      </c>
      <c r="BV92" s="332" t="s">
        <v>104</v>
      </c>
      <c r="BW92" s="333">
        <f>第十五期!BT84-第十五期!BU86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AC9*比赛参数!D6+第十五期!DU26</f>
        <v>0</v>
      </c>
      <c r="Z93" s="37">
        <f>AC10*比赛参数!D6+第十五期!DU27</f>
        <v>0</v>
      </c>
      <c r="AA93" s="37">
        <f>AC11*比赛参数!D6+第十五期!DU28</f>
        <v>0</v>
      </c>
      <c r="AB93" s="37">
        <f>AC12*比赛参数!D6+第十五期!DU29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IF(第十五期!$AC$9&gt;0,第十五期!$K$9*比赛参数!$D$30*比赛参数!$F$30*$CU$87/第十五期!$AC$9,0)</f>
        <v>0</v>
      </c>
      <c r="CR93" s="65">
        <f>IF(第十五期!$AC$9&gt;0,第十五期!$K$9*比赛参数!$D$30*比赛参数!$F$30*$CU$87/第十五期!$AC$9,0)</f>
        <v>0</v>
      </c>
      <c r="CS93" s="65">
        <f>IF(第十五期!$AC$9&gt;0,第十五期!$K$9*比赛参数!$D$30*比赛参数!$F$30*$CU$87/第十五期!$AC$9,0)</f>
        <v>0</v>
      </c>
      <c r="CT93" s="65">
        <f>IF(第十五期!$AC$9&gt;0,第十五期!$K$9*比赛参数!$D$30*比赛参数!$F$30*$CU$87/第十五期!$AC$9,0)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IF(第十五期!$AC$10&gt;0,第十五期!$K$9*比赛参数!$D$30*比赛参数!$F$30*$CU$88/第十五期!$AC$10,0)</f>
        <v>0</v>
      </c>
      <c r="CR94" s="65">
        <f>IF(第十五期!$AC$10&gt;0,第十五期!$K$9*比赛参数!$D$30*比赛参数!$F$30*$CU$88/第十五期!$AC$10,0)</f>
        <v>0</v>
      </c>
      <c r="CS94" s="65">
        <f>IF(第十五期!$AC$10&gt;0,第十五期!$K$9*比赛参数!$D$30*比赛参数!$F$30*$CU$88/第十五期!$AC$10,0)</f>
        <v>0</v>
      </c>
      <c r="CT94" s="65">
        <f>IF(第十五期!$AC$10&gt;0,第十五期!$K$9*比赛参数!$D$30*比赛参数!$F$30*$CU$88/第十五期!$AC$10,0)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IF(第十五期!$AC$11&gt;0,第十五期!$K$9*比赛参数!$D$30*比赛参数!$F$30*$CU$89/第十五期!$AC$11,0)</f>
        <v>0</v>
      </c>
      <c r="CR95" s="65">
        <f>IF(第十五期!$AC$11&gt;0,第十五期!$K$9*比赛参数!$D$30*比赛参数!$F$30*$CU$89/第十五期!$AC$11,0)</f>
        <v>0</v>
      </c>
      <c r="CS95" s="65">
        <f>IF(第十五期!$AC$11&gt;0,第十五期!$K$9*比赛参数!$D$30*比赛参数!$F$30*$CU$89/第十五期!$AC$11,0)</f>
        <v>0</v>
      </c>
      <c r="CT95" s="65">
        <f>IF(第十五期!$AC$11&gt;0,第十五期!$K$9*比赛参数!$D$30*比赛参数!$F$30*$CU$89/第十五期!$AC$11,0)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第十五期!CX62</f>
        <v>#DIV/0!</v>
      </c>
      <c r="Z96" s="94" t="e">
        <f>第十五期!CX63</f>
        <v>#DIV/0!</v>
      </c>
      <c r="AA96" s="94" t="e">
        <f>第十五期!CX64</f>
        <v>#DIV/0!</v>
      </c>
      <c r="AB96" s="94" t="e">
        <f>第十五期!CX65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IF(第十五期!$AC$12&gt;0,第十五期!$K$9*比赛参数!$D$30*比赛参数!$F$30*$CU$90/第十五期!$AC$12,0)</f>
        <v>0</v>
      </c>
      <c r="CR96" s="65">
        <f>IF(第十五期!$AC$12&gt;0,第十五期!$K$9*比赛参数!$D$30*比赛参数!$F$30*$CU$90/第十五期!$AC$12,0)</f>
        <v>0</v>
      </c>
      <c r="CS96" s="65">
        <f>IF(第十五期!$AC$12&gt;0,第十五期!$K$9*比赛参数!$D$30*比赛参数!$F$30*$CU$90/第十五期!$AC$12,0)</f>
        <v>0</v>
      </c>
      <c r="CT96" s="65">
        <f>IF(第十五期!$AC$12&gt;0,第十五期!$K$9*比赛参数!$D$30*比赛参数!$F$30*$CU$90/第十五期!$AC$12,0)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第十五期!CY62</f>
        <v>#DIV/0!</v>
      </c>
      <c r="Z97" s="94" t="e">
        <f>第十五期!CY63</f>
        <v>#DIV/0!</v>
      </c>
      <c r="AA97" s="94" t="e">
        <f>第十五期!CY64</f>
        <v>#DIV/0!</v>
      </c>
      <c r="AB97" s="94" t="e">
        <f>第十五期!CY65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第十五期!CZ62</f>
        <v>#DIV/0!</v>
      </c>
      <c r="Z98" s="94" t="e">
        <f>第十五期!CZ63</f>
        <v>#DIV/0!</v>
      </c>
      <c r="AA98" s="94" t="e">
        <f>第十五期!CZ64</f>
        <v>#DIV/0!</v>
      </c>
      <c r="AB98" s="94" t="e">
        <f>第十五期!CZ65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第十五期!DA62</f>
        <v>#DIV/0!</v>
      </c>
      <c r="Z99" s="94" t="e">
        <f>第十五期!DA63</f>
        <v>#DIV/0!</v>
      </c>
      <c r="AA99" s="94" t="e">
        <f>第十五期!DA64</f>
        <v>#DIV/0!</v>
      </c>
      <c r="AB99" s="94" t="e">
        <f>第十五期!DA65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(第十五期!#REF!-$BE$54)&lt;0</formula>
    </cfRule>
  </conditionalFormatting>
  <conditionalFormatting sqref="BF132:BF133">
    <cfRule type="expression" dxfId="6" priority="26" stopIfTrue="1">
      <formula>(第十五期!#REF!-$BF$54)&lt;0</formula>
    </cfRule>
  </conditionalFormatting>
  <conditionalFormatting sqref="BG132:BG133">
    <cfRule type="expression" dxfId="6" priority="25" stopIfTrue="1">
      <formula>(第十五期!#REF!-$BG$54)&lt;0</formula>
    </cfRule>
  </conditionalFormatting>
  <conditionalFormatting sqref="BH132:BH133">
    <cfRule type="expression" dxfId="6" priority="24" stopIfTrue="1">
      <formula>(第十五期!#REF!-$BH$54)&lt;0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O1" workbookViewId="0">
      <selection activeCell="AA24" sqref="AA24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第十六期!AF76</f>
        <v>0</v>
      </c>
      <c r="BT7" s="198">
        <f>第十六期!AF77</f>
        <v>0</v>
      </c>
      <c r="BU7" s="198">
        <f>第十六期!AF78</f>
        <v>0</v>
      </c>
      <c r="BV7" s="198">
        <f>第十六期!AF79</f>
        <v>0</v>
      </c>
      <c r="BW7" s="200">
        <f>第十六期!$AF$80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第十六期!$AG$76</f>
        <v>0</v>
      </c>
      <c r="BT8" s="198">
        <f>第十六期!$AG$77</f>
        <v>0</v>
      </c>
      <c r="BU8" s="198">
        <f>第十六期!$AG$78</f>
        <v>0</v>
      </c>
      <c r="BV8" s="198">
        <f>第十六期!$AG$79</f>
        <v>0</v>
      </c>
      <c r="BW8" s="200">
        <f>第十六期!$AG$80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第十六期!DB56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第十六期!$AH$76</f>
        <v>0</v>
      </c>
      <c r="BT9" s="198">
        <f>第十六期!$AH$77</f>
        <v>0</v>
      </c>
      <c r="BU9" s="198">
        <f>第十六期!$AH$78</f>
        <v>0</v>
      </c>
      <c r="BV9" s="198">
        <f>第十六期!$AH$79</f>
        <v>0</v>
      </c>
      <c r="BW9" s="200">
        <f>第十六期!$AH$80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第十六期!DB57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第十六期!$AI$76</f>
        <v>0</v>
      </c>
      <c r="BT10" s="198">
        <f>第十六期!$AI$77</f>
        <v>0</v>
      </c>
      <c r="BU10" s="198">
        <f>第十六期!$AI$78</f>
        <v>0</v>
      </c>
      <c r="BV10" s="198">
        <f>第十六期!$AI$79</f>
        <v>0</v>
      </c>
      <c r="BW10" s="200">
        <f>第十六期!$AI$80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第十六期!DB58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第十六期!$AJ$76</f>
        <v>0</v>
      </c>
      <c r="BT11" s="200">
        <f>第十六期!$AJ$77</f>
        <v>0</v>
      </c>
      <c r="BU11" s="200">
        <f>第十六期!$AJ$78</f>
        <v>0</v>
      </c>
      <c r="BV11" s="200">
        <f>第十六期!$AJ$79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第十六期!DB59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第十六期!BU86</f>
        <v>0</v>
      </c>
      <c r="AG13" s="135" t="s">
        <v>208</v>
      </c>
      <c r="AH13" s="136">
        <f>第十六期!BV76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第十六期!BW92</f>
        <v>0</v>
      </c>
      <c r="AG14" s="73" t="s">
        <v>214</v>
      </c>
      <c r="AH14" s="138"/>
      <c r="AI14" s="42" t="s">
        <v>97</v>
      </c>
      <c r="AJ14" s="139">
        <f>第十六期!K12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第十六期!Y88</f>
        <v>0</v>
      </c>
      <c r="BT14" s="198">
        <f>第十六期!Y89</f>
        <v>0</v>
      </c>
      <c r="BU14" s="198">
        <f>第十六期!Y90</f>
        <v>0</v>
      </c>
      <c r="BV14" s="198">
        <f>第十六期!Y91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AF14/(Y18+第十六期!K8-AA18)</f>
        <v>#DIV/0!</v>
      </c>
      <c r="AG15" s="73" t="s">
        <v>220</v>
      </c>
      <c r="AH15" s="138"/>
      <c r="AI15" s="42" t="s">
        <v>221</v>
      </c>
      <c r="AJ15" s="139">
        <f>第十六期!K16*0.5-第十六期!K14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第十六期!Z88</f>
        <v>0</v>
      </c>
      <c r="BT15" s="198">
        <f>第十六期!Z89</f>
        <v>0</v>
      </c>
      <c r="BU15" s="198">
        <f>第十六期!Z90</f>
        <v>0</v>
      </c>
      <c r="BV15" s="198">
        <f>第十六期!Z91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第十六期!DM60</f>
        <v>0</v>
      </c>
      <c r="Z16" s="92" t="s">
        <v>224</v>
      </c>
      <c r="AA16" s="93">
        <f>AH20+Y16+第十六期!K9*比赛参数!D30*比赛参数!F30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第十六期!AA88</f>
        <v>0</v>
      </c>
      <c r="BT16" s="198">
        <f>第十六期!AA89</f>
        <v>0</v>
      </c>
      <c r="BU16" s="198">
        <f>第十六期!AA90</f>
        <v>0</v>
      </c>
      <c r="BV16" s="198">
        <f>第十六期!AA91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第十六期!AB88</f>
        <v>0</v>
      </c>
      <c r="BT17" s="198">
        <f>第十六期!AB89</f>
        <v>0</v>
      </c>
      <c r="BU17" s="198">
        <f>第十六期!AB90</f>
        <v>0</v>
      </c>
      <c r="BV17" s="198">
        <f>第十六期!AB91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第十六期!K8*比赛参数!D57</f>
        <v>0</v>
      </c>
      <c r="Z19" s="104" t="s">
        <v>250</v>
      </c>
      <c r="AA19" s="99">
        <f>第十六期!K8*比赛参数!D60</f>
        <v>0</v>
      </c>
      <c r="AB19" s="104" t="s">
        <v>250</v>
      </c>
      <c r="AC19" s="105" t="e">
        <f>IF((AC21-第十六期!K10)/比赛参数!D41&gt;0,(AC21-第十六期!K10)/比赛参数!D41,0)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IF((第十六期!BW92-第十六期!BS87)&gt;0,第十六期!BW92-第十六期!BS87,0)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第十六期!$CX$68</f>
        <v>0</v>
      </c>
      <c r="CD19" s="110">
        <f>第十六期!$CX$69</f>
        <v>0</v>
      </c>
      <c r="CE19" s="110">
        <f>第十六期!$CX$70</f>
        <v>0</v>
      </c>
      <c r="CF19" s="110">
        <f>第十六期!$CX$71</f>
        <v>0</v>
      </c>
      <c r="CG19" s="219"/>
      <c r="CH19" s="225"/>
      <c r="CI19" s="226" t="s">
        <v>55</v>
      </c>
      <c r="CJ19" s="110">
        <f>第十六期!$CX$50</f>
        <v>0</v>
      </c>
      <c r="CK19" s="110">
        <f>第十六期!$CX$51</f>
        <v>0</v>
      </c>
      <c r="CL19" s="110">
        <f>第十六期!$CX$52</f>
        <v>0</v>
      </c>
      <c r="CM19" s="110">
        <f>第十六期!$CX$53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第十六期!K8+第十六期!Y18*比赛参数!D59-第十六期!AA18</f>
        <v>0</v>
      </c>
      <c r="Z20" s="42" t="s">
        <v>245</v>
      </c>
      <c r="AA20" s="108">
        <f>第十六期!K9</f>
        <v>0</v>
      </c>
      <c r="AB20" s="42" t="s">
        <v>257</v>
      </c>
      <c r="AC20" s="109">
        <f>AC18*比赛参数!D41+第十六期!K10</f>
        <v>0</v>
      </c>
      <c r="AE20" s="11" t="s">
        <v>258</v>
      </c>
      <c r="AF20" s="101"/>
      <c r="AG20" s="42" t="s">
        <v>91</v>
      </c>
      <c r="AH20" s="147">
        <f>第十六期!BS62+第十六期!BS71</f>
        <v>0</v>
      </c>
      <c r="AI20" s="73" t="s">
        <v>259</v>
      </c>
      <c r="AJ20" s="111">
        <f>第十六期!BV90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第十六期!Y9</f>
        <v>0</v>
      </c>
      <c r="BT20" s="198">
        <f>第十六期!Z9</f>
        <v>0</v>
      </c>
      <c r="BU20" s="198">
        <f>第十六期!AA9</f>
        <v>0</v>
      </c>
      <c r="BV20" s="198">
        <f>第十六期!AB9</f>
        <v>0</v>
      </c>
      <c r="BW20" s="200">
        <f>第十六期!AJ34</f>
        <v>0</v>
      </c>
      <c r="BX20" s="215"/>
      <c r="CA20" s="213"/>
      <c r="CB20" s="196" t="s">
        <v>56</v>
      </c>
      <c r="CC20" s="110">
        <f>第十六期!$CY$68</f>
        <v>0</v>
      </c>
      <c r="CD20" s="110">
        <f>第十六期!$CY$69</f>
        <v>0</v>
      </c>
      <c r="CE20" s="110">
        <f>第十六期!$CY$70</f>
        <v>0</v>
      </c>
      <c r="CF20" s="110">
        <f>第十六期!$CY$71</f>
        <v>0</v>
      </c>
      <c r="CG20" s="219"/>
      <c r="CH20" s="225"/>
      <c r="CI20" s="227" t="s">
        <v>56</v>
      </c>
      <c r="CJ20" s="110">
        <f>第十六期!$CY$50</f>
        <v>0</v>
      </c>
      <c r="CK20" s="110">
        <f>第十六期!$CY$51</f>
        <v>0</v>
      </c>
      <c r="CL20" s="110">
        <f>第十六期!$CY$52</f>
        <v>0</v>
      </c>
      <c r="CM20" s="110">
        <f>第十六期!$CY$53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第十六期!Y10</f>
        <v>0</v>
      </c>
      <c r="BT21" s="198">
        <f>第十六期!Z10</f>
        <v>0</v>
      </c>
      <c r="BU21" s="198">
        <f>第十六期!AA10</f>
        <v>0</v>
      </c>
      <c r="BV21" s="198">
        <f>第十六期!AB10</f>
        <v>0</v>
      </c>
      <c r="BW21" s="200">
        <f>第十六期!AJ35</f>
        <v>0</v>
      </c>
      <c r="BX21" s="215"/>
      <c r="CA21" s="213"/>
      <c r="CB21" s="196" t="s">
        <v>57</v>
      </c>
      <c r="CC21" s="110">
        <f>第十六期!$CZ$68</f>
        <v>0</v>
      </c>
      <c r="CD21" s="110">
        <f>第十六期!$CZ$69</f>
        <v>0</v>
      </c>
      <c r="CE21" s="110">
        <f>第十六期!$CZ$70</f>
        <v>0</v>
      </c>
      <c r="CF21" s="110">
        <f>第十六期!$CZ$71</f>
        <v>0</v>
      </c>
      <c r="CG21" s="219"/>
      <c r="CH21" s="225"/>
      <c r="CI21" s="227" t="s">
        <v>57</v>
      </c>
      <c r="CJ21" s="110">
        <f>第十六期!$CZ$50</f>
        <v>0</v>
      </c>
      <c r="CK21" s="110">
        <f>第十六期!$CZ$51</f>
        <v>0</v>
      </c>
      <c r="CL21" s="110">
        <f>第十六期!$CZ$52</f>
        <v>0</v>
      </c>
      <c r="CM21" s="110">
        <f>第十六期!$CZ$53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第十六期!Y11</f>
        <v>0</v>
      </c>
      <c r="BT22" s="198">
        <f>第十六期!Z11</f>
        <v>0</v>
      </c>
      <c r="BU22" s="198">
        <f>第十六期!AA11</f>
        <v>0</v>
      </c>
      <c r="BV22" s="198">
        <f>第十六期!AB11</f>
        <v>0</v>
      </c>
      <c r="BW22" s="200">
        <f>第十六期!AJ36</f>
        <v>0</v>
      </c>
      <c r="BX22" s="215"/>
      <c r="CA22" s="213"/>
      <c r="CB22" s="196" t="s">
        <v>58</v>
      </c>
      <c r="CC22" s="110">
        <f>第十六期!$DA$68</f>
        <v>0</v>
      </c>
      <c r="CD22" s="110">
        <f>第十六期!$DA$69</f>
        <v>0</v>
      </c>
      <c r="CE22" s="110">
        <f>第十六期!$DA$70</f>
        <v>0</v>
      </c>
      <c r="CF22" s="110">
        <f>第十六期!$DA$71</f>
        <v>0</v>
      </c>
      <c r="CG22" s="219"/>
      <c r="CH22" s="225"/>
      <c r="CI22" s="227" t="s">
        <v>58</v>
      </c>
      <c r="CJ22" s="110">
        <f>第十六期!$DA$50</f>
        <v>0</v>
      </c>
      <c r="CK22" s="110">
        <f>第十六期!$DA$51</f>
        <v>0</v>
      </c>
      <c r="CL22" s="110">
        <f>第十六期!$DA$52</f>
        <v>0</v>
      </c>
      <c r="CM22" s="110">
        <f>第十六期!$DA$53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第十六期!Y12</f>
        <v>0</v>
      </c>
      <c r="BT23" s="198">
        <f>第十六期!Z12</f>
        <v>0</v>
      </c>
      <c r="BU23" s="198">
        <f>第十六期!AA12</f>
        <v>0</v>
      </c>
      <c r="BV23" s="198">
        <f>第十六期!AB12</f>
        <v>0</v>
      </c>
      <c r="BW23" s="200">
        <f>第十六期!AJ37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第十六期!BV57-第十六期!BV76</f>
        <v>0</v>
      </c>
      <c r="AJ26" s="65">
        <f>第十六期!K9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第十六期!DB50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第十六期!Y18</f>
        <v>0</v>
      </c>
      <c r="BT26" s="198">
        <f>第十六期!AA18</f>
        <v>0</v>
      </c>
      <c r="BU26" s="198">
        <f>第十六期!AF18</f>
        <v>0</v>
      </c>
      <c r="BV26" s="204">
        <f>第十六期!AC18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第十六期!DB51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第十六期!DB52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第十六期!DB53</f>
        <v>0</v>
      </c>
      <c r="BQ29" s="177"/>
      <c r="BR29" s="201"/>
      <c r="BS29" s="204">
        <f>第十六期!AH14</f>
        <v>0</v>
      </c>
      <c r="BT29" s="204">
        <f>第十六期!AH15</f>
        <v>0</v>
      </c>
      <c r="BU29" s="198">
        <f>第十六期!AF20</f>
        <v>0</v>
      </c>
      <c r="BV29" s="204">
        <f>第十六期!AJ18</f>
        <v>0</v>
      </c>
      <c r="BW29" s="218">
        <f>第十六期!AH18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INT(第十六期!DV26)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INT(第十六期!DV27)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INT(第十六期!DV28)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INT(第十六期!DV29)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第十六期!DG56*第十六期!DG50+第十六期!DG64*第十六期!Y88</f>
        <v>0</v>
      </c>
      <c r="CD38" s="108">
        <f>第十六期!DH56*第十六期!DH50+第十六期!DH64*第十六期!Z88</f>
        <v>0</v>
      </c>
      <c r="CE38" s="108">
        <f>第十六期!DI56*第十六期!DI50+第十六期!DI64*第十六期!AA88</f>
        <v>0</v>
      </c>
      <c r="CF38" s="108">
        <f>第十六期!DJ56*第十六期!DJ50+第十六期!DJ64*第十六期!AB88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第十六期!DG57*第十六期!DG51+第十六期!DG65*第十六期!Y89</f>
        <v>0</v>
      </c>
      <c r="CD39" s="108">
        <f>第十六期!DH57*第十六期!DH51+第十六期!DH65*第十六期!Z89</f>
        <v>0</v>
      </c>
      <c r="CE39" s="108">
        <f>第十六期!DI57*第十六期!DI51+第十六期!DI65*第十六期!AA89</f>
        <v>0</v>
      </c>
      <c r="CF39" s="108">
        <f>第十六期!DJ57*第十六期!DJ51+第十六期!DJ65*第十六期!AB89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第十六期!DG58*第十六期!DG52+第十六期!DG66*第十六期!Y90</f>
        <v>0</v>
      </c>
      <c r="CD40" s="108">
        <f>第十六期!DH58*第十六期!DH52+第十六期!DH66*第十六期!Z90</f>
        <v>0</v>
      </c>
      <c r="CE40" s="108">
        <f>第十六期!DI58*第十六期!DI52+第十六期!DI66*第十六期!AA90</f>
        <v>0</v>
      </c>
      <c r="CF40" s="108">
        <f>第十六期!DJ58*第十六期!DJ52+第十六期!DJ66*第十六期!AB90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第十六期!DG59*第十六期!DG53+第十六期!DG67*第十六期!Y91</f>
        <v>0</v>
      </c>
      <c r="CD41" s="108">
        <f>第十六期!DH59*第十六期!DH53+第十六期!DH67*第十六期!Z91</f>
        <v>0</v>
      </c>
      <c r="CE41" s="108">
        <f>第十六期!DI59*第十六期!DI53+第十六期!DI67*第十六期!AA91</f>
        <v>0</v>
      </c>
      <c r="CF41" s="108">
        <f>第十六期!DJ59*第十六期!DJ53+第十六期!DJ67*第十六期!AB91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第十六期!Y9*第十六期!CQ62*比赛参数!D65</f>
        <v>0</v>
      </c>
      <c r="CR50" s="65">
        <f>第十六期!Z9*第十六期!CR62*比赛参数!E65</f>
        <v>0</v>
      </c>
      <c r="CS50" s="65">
        <f>第十六期!AA9*第十六期!CS62*比赛参数!F65</f>
        <v>0</v>
      </c>
      <c r="CT50" s="65">
        <f>第十六期!AB9*第十六期!CT62*比赛参数!G65</f>
        <v>0</v>
      </c>
      <c r="CU50" s="65">
        <f>IF(第十六期!AC9&gt;0,SUM(CQ50:CT50)/第十六期!AC9,0)</f>
        <v>0</v>
      </c>
      <c r="CW50" s="11" t="s">
        <v>38</v>
      </c>
      <c r="CX50" s="242">
        <f>IF(第十六期!$CU$50*第十六期!CQ93&gt;0,第十六期!$CU$50+第十六期!CQ68+第十六期!CQ93+第十六期!CQ74,0)</f>
        <v>0</v>
      </c>
      <c r="CY50" s="242">
        <f>IF(第十六期!$CU$50*第十六期!CR93&gt;0,第十六期!$CU$50+第十六期!CR68+第十六期!CR93+第十六期!CR74,0)</f>
        <v>0</v>
      </c>
      <c r="CZ50" s="242">
        <f>IF(第十六期!$CU$50*第十六期!CS93&gt;0,第十六期!$CU$50+第十六期!CS68+第十六期!CS93+第十六期!CS74,0)</f>
        <v>0</v>
      </c>
      <c r="DA50" s="242">
        <f>IF(第十六期!$CU$50*第十六期!CT93&gt;0,第十六期!$CU$50+第十六期!CT68+第十六期!CT93+第十六期!CT74,0)</f>
        <v>0</v>
      </c>
      <c r="DB50" s="242">
        <f>AVERAGE(CX50:DA50)</f>
        <v>0</v>
      </c>
      <c r="DF50" s="65" t="s">
        <v>55</v>
      </c>
      <c r="DG50" s="245">
        <f>IF(第十六期!Y88&gt;0,1,0)</f>
        <v>0</v>
      </c>
      <c r="DH50" s="245">
        <f>IF(第十六期!Z88&gt;0,1,0)</f>
        <v>0</v>
      </c>
      <c r="DI50" s="245">
        <f>IF(第十六期!AA88&gt;0,1,0)</f>
        <v>0</v>
      </c>
      <c r="DJ50" s="245">
        <f>IF(第十六期!AB88&gt;0,1,0)</f>
        <v>0</v>
      </c>
      <c r="DL50" s="245" t="s">
        <v>21</v>
      </c>
      <c r="DM50" s="248">
        <f>IF(第十六期!Y9+第十六期!Z9&gt;0,1,0)</f>
        <v>0</v>
      </c>
      <c r="DN50" s="248">
        <f>IF(第十六期!AA9+第十六期!AB9&gt;0,1,0)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第十六期!Y10*第十六期!CQ63*比赛参数!D65</f>
        <v>0</v>
      </c>
      <c r="CR51" s="65">
        <f>第十六期!Z10*第十六期!CR63*比赛参数!E65</f>
        <v>0</v>
      </c>
      <c r="CS51" s="65">
        <f>第十六期!AA10*第十六期!CS63*比赛参数!F65</f>
        <v>0</v>
      </c>
      <c r="CT51" s="65">
        <f>第十六期!AB10*第十六期!CT63*比赛参数!G65</f>
        <v>0</v>
      </c>
      <c r="CU51" s="65">
        <f>IF(第十六期!AC10&gt;0,SUM(CQ51:CT51)/第十六期!AC10,0)</f>
        <v>0</v>
      </c>
      <c r="CW51" s="11" t="s">
        <v>39</v>
      </c>
      <c r="CX51" s="242">
        <f>IF(第十六期!$CU$51*第十六期!CQ94&gt;0,第十六期!$CU$51+第十六期!CQ69+第十六期!CQ94+第十六期!CQ75,0)</f>
        <v>0</v>
      </c>
      <c r="CY51" s="242">
        <f>IF(第十六期!$CU$51*第十六期!CR94&gt;0,第十六期!$CU$51+第十六期!CR69+第十六期!CR94+第十六期!CR75,0)</f>
        <v>0</v>
      </c>
      <c r="CZ51" s="242">
        <f>IF(第十六期!$CU$51*第十六期!CS94&gt;0,第十六期!$CU$51+第十六期!CS69+第十六期!CS94+第十六期!CS75,0)</f>
        <v>0</v>
      </c>
      <c r="DA51" s="242">
        <f>IF(第十六期!$CU$51*第十六期!CT94&gt;0,第十六期!$CU$51+第十六期!CT69+第十六期!CT94+第十六期!CT75,0)</f>
        <v>0</v>
      </c>
      <c r="DB51" s="242">
        <f>AVERAGE(CX51:DA51)</f>
        <v>0</v>
      </c>
      <c r="DF51" s="65" t="s">
        <v>56</v>
      </c>
      <c r="DG51" s="245">
        <f>IF(第十六期!Y89&gt;0,1,0)</f>
        <v>0</v>
      </c>
      <c r="DH51" s="245">
        <f>IF(第十六期!Z89&gt;0,1,0)</f>
        <v>0</v>
      </c>
      <c r="DI51" s="245">
        <f>IF(第十六期!AA89&gt;0,1,0)</f>
        <v>0</v>
      </c>
      <c r="DJ51" s="245">
        <f>IF(第十六期!AB89&gt;0,1,0)</f>
        <v>0</v>
      </c>
      <c r="DL51" s="245" t="s">
        <v>22</v>
      </c>
      <c r="DM51" s="248">
        <f>IF(第十六期!Y10+第十六期!Z10&gt;0,1,0)</f>
        <v>0</v>
      </c>
      <c r="DN51" s="248">
        <f>IF(第十六期!AA10+第十六期!AB10&gt;0,1,0)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第十六期!Y11*第十六期!CQ64*比赛参数!D65</f>
        <v>0</v>
      </c>
      <c r="CR52" s="65">
        <f>第十六期!Z11*第十六期!CR64*比赛参数!E65</f>
        <v>0</v>
      </c>
      <c r="CS52" s="65">
        <f>第十六期!AA11*第十六期!CS64*比赛参数!F65</f>
        <v>0</v>
      </c>
      <c r="CT52" s="65">
        <f>第十六期!AB11*第十六期!CT64*比赛参数!G65</f>
        <v>0</v>
      </c>
      <c r="CU52" s="65">
        <f>IF(第十六期!AC11&gt;0,SUM(CQ52:CT52)/第十六期!AC11,0)</f>
        <v>0</v>
      </c>
      <c r="CW52" s="11" t="s">
        <v>40</v>
      </c>
      <c r="CX52" s="242">
        <f>IF(第十六期!$CU$52*第十六期!CQ95&gt;0,第十六期!$CU$52+第十六期!CQ70+第十六期!CQ95+第十六期!CQ76,0)</f>
        <v>0</v>
      </c>
      <c r="CY52" s="242">
        <f>IF(第十六期!$CU$52*第十六期!CR95&gt;0,第十六期!$CU$52+第十六期!CR70+第十六期!CR95+第十六期!CR76,0)</f>
        <v>0</v>
      </c>
      <c r="CZ52" s="242">
        <f>IF(第十六期!$CU$52*第十六期!CS95&gt;0,第十六期!$CU$52+第十六期!CS70+第十六期!CS95+第十六期!CS76,0)</f>
        <v>0</v>
      </c>
      <c r="DA52" s="242">
        <f>IF(第十六期!$CU$52*第十六期!CT95&gt;0,第十六期!$CU$52+第十六期!CT70+第十六期!CT95+第十六期!CT76,0)</f>
        <v>0</v>
      </c>
      <c r="DB52" s="242">
        <f>AVERAGE(CX52:DA52)</f>
        <v>0</v>
      </c>
      <c r="DF52" s="65" t="s">
        <v>57</v>
      </c>
      <c r="DG52" s="245">
        <f>IF(第十六期!Y90&gt;0,1,0)</f>
        <v>0</v>
      </c>
      <c r="DH52" s="245">
        <f>IF(第十六期!Z90&gt;0,1,0)</f>
        <v>0</v>
      </c>
      <c r="DI52" s="245">
        <f>IF(第十六期!AA90&gt;0,1,0)</f>
        <v>0</v>
      </c>
      <c r="DJ52" s="245">
        <f>IF(第十六期!AB90&gt;0,1,0)</f>
        <v>0</v>
      </c>
      <c r="DL52" s="245" t="s">
        <v>23</v>
      </c>
      <c r="DM52" s="248">
        <f>IF(第十六期!Y11+第十六期!Z11&gt;0,1,0)</f>
        <v>0</v>
      </c>
      <c r="DN52" s="248">
        <f>IF(第十六期!AA11+第十六期!AB11&gt;0,1,0)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第十六期!Y12*第十六期!CQ65*比赛参数!D65</f>
        <v>0</v>
      </c>
      <c r="CR53" s="65">
        <f>第十六期!Z12*第十六期!CR65*比赛参数!E65</f>
        <v>0</v>
      </c>
      <c r="CS53" s="65">
        <f>第十六期!AA12*第十六期!CS65*比赛参数!F65</f>
        <v>0</v>
      </c>
      <c r="CT53" s="65">
        <f>第十六期!AB12*第十六期!CT65*比赛参数!G65</f>
        <v>0</v>
      </c>
      <c r="CU53" s="65">
        <f>IF(第十六期!AC12&gt;0,SUM(CQ53:CT53)/第十六期!AC12,0)</f>
        <v>0</v>
      </c>
      <c r="CW53" s="11" t="s">
        <v>41</v>
      </c>
      <c r="CX53" s="242">
        <f>IF(第十六期!$CU$53*第十六期!CQ96&gt;0,第十六期!$CU$53+第十六期!CQ71+第十六期!CQ96+第十六期!CQ77,0)</f>
        <v>0</v>
      </c>
      <c r="CY53" s="242">
        <f>IF(第十六期!$CU$53*第十六期!CR96&gt;0,第十六期!$CU$53+第十六期!CR71+第十六期!CR96+第十六期!CR77,0)</f>
        <v>0</v>
      </c>
      <c r="CZ53" s="242">
        <f>IF(第十六期!$CU$53*第十六期!CS96&gt;0,第十六期!$CU$53+第十六期!CS71+第十六期!CS96+第十六期!CS77,0)</f>
        <v>0</v>
      </c>
      <c r="DA53" s="242">
        <f>IF(第十六期!$CU$53*第十六期!CT96&gt;0,第十六期!$CU$53+第十六期!CT71+第十六期!CT96+第十六期!CT77,0)</f>
        <v>0</v>
      </c>
      <c r="DB53" s="242">
        <f>AVERAGE(CX53:DA53)</f>
        <v>0</v>
      </c>
      <c r="DF53" s="65" t="s">
        <v>58</v>
      </c>
      <c r="DG53" s="245">
        <f>IF(第十六期!Y91&gt;0,1,0)</f>
        <v>0</v>
      </c>
      <c r="DH53" s="245">
        <f>IF(第十六期!Z91&gt;0,1,0)</f>
        <v>0</v>
      </c>
      <c r="DI53" s="245">
        <f>IF(第十六期!AA91&gt;0,1,0)</f>
        <v>0</v>
      </c>
      <c r="DJ53" s="245">
        <f>IF(第十六期!AB91&gt;0,1,0)</f>
        <v>0</v>
      </c>
      <c r="DL53" s="245" t="s">
        <v>24</v>
      </c>
      <c r="DM53" s="248">
        <f>IF(第十六期!Y12+第十六期!Z12&gt;0,1,0)</f>
        <v>0</v>
      </c>
      <c r="DN53" s="248">
        <f>IF(第十六期!AA12+第十六期!AB12&gt;0,1,0)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第十六期!K11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第十六期!AH14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第十六期!DU26</f>
        <v>0</v>
      </c>
      <c r="CD56" s="108">
        <f>第十六期!DU27</f>
        <v>0</v>
      </c>
      <c r="CE56" s="108">
        <f>第十六期!DU28</f>
        <v>0</v>
      </c>
      <c r="CF56" s="108">
        <f>第十六期!DU29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第十六期!BS7-第十六期!CX50</f>
        <v>0</v>
      </c>
      <c r="CY56" s="242">
        <f>第十六期!BT7-第十六期!CY50</f>
        <v>0</v>
      </c>
      <c r="CZ56" s="242">
        <f>第十六期!BU7-第十六期!CZ50</f>
        <v>0</v>
      </c>
      <c r="DA56" s="242">
        <f>第十六期!BV7-第十六期!DA50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第十六期!DX6</f>
        <v>0</v>
      </c>
      <c r="Z57" s="127">
        <f>第十六期!DX10</f>
        <v>0</v>
      </c>
      <c r="AA57" s="127">
        <f>第十六期!DX14</f>
        <v>0</v>
      </c>
      <c r="AB57" s="127">
        <f>第十六期!DX18</f>
        <v>0</v>
      </c>
      <c r="AC57" s="128"/>
      <c r="AE57" s="64" t="s">
        <v>55</v>
      </c>
      <c r="AF57" s="127">
        <f>第十六期!DW6</f>
        <v>0</v>
      </c>
      <c r="AG57" s="127">
        <f>第十六期!DW10</f>
        <v>0</v>
      </c>
      <c r="AH57" s="127">
        <f>第十六期!DW14</f>
        <v>0</v>
      </c>
      <c r="AI57" s="127">
        <f>第十六期!DW18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第十六期!AH15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第十六期!BS8-第十六期!CX51</f>
        <v>0</v>
      </c>
      <c r="CY57" s="242">
        <f>第十六期!BT8-第十六期!CY51</f>
        <v>0</v>
      </c>
      <c r="CZ57" s="242">
        <f>第十六期!BU8-第十六期!CZ51</f>
        <v>0</v>
      </c>
      <c r="DA57" s="242">
        <f>第十六期!BV8-第十六期!DA51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第十六期!DX7</f>
        <v>0</v>
      </c>
      <c r="Z58" s="127">
        <f>第十六期!DX11</f>
        <v>0</v>
      </c>
      <c r="AA58" s="127">
        <f>第十六期!DX15</f>
        <v>0</v>
      </c>
      <c r="AB58" s="127">
        <f>第十六期!DX19</f>
        <v>0</v>
      </c>
      <c r="AC58" s="128"/>
      <c r="AE58" s="11" t="s">
        <v>56</v>
      </c>
      <c r="AF58" s="127">
        <f>第十六期!DW7</f>
        <v>0</v>
      </c>
      <c r="AG58" s="127">
        <f>第十六期!DW11</f>
        <v>0</v>
      </c>
      <c r="AH58" s="127">
        <f>第十六期!DW15</f>
        <v>0</v>
      </c>
      <c r="AI58" s="127">
        <f>第十六期!DW19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第十六期!H5+第十六期!H4*比赛参数!F71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第十六期!BS9-第十六期!CX52</f>
        <v>0</v>
      </c>
      <c r="CY58" s="242">
        <f>第十六期!BT9-第十六期!CY52</f>
        <v>0</v>
      </c>
      <c r="CZ58" s="242">
        <f>第十六期!BU9-第十六期!CZ52</f>
        <v>0</v>
      </c>
      <c r="DA58" s="242">
        <f>第十六期!BV9-第十六期!DA52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第十六期!DX8</f>
        <v>0</v>
      </c>
      <c r="Z59" s="127">
        <f>第十六期!DX12</f>
        <v>0</v>
      </c>
      <c r="AA59" s="127">
        <f>第十六期!DX16</f>
        <v>0</v>
      </c>
      <c r="AB59" s="127">
        <f>第十六期!DX20</f>
        <v>0</v>
      </c>
      <c r="AC59" s="129"/>
      <c r="AE59" s="11" t="s">
        <v>57</v>
      </c>
      <c r="AF59" s="127">
        <f>第十六期!DW8</f>
        <v>0</v>
      </c>
      <c r="AG59" s="127">
        <f>第十六期!DW12</f>
        <v>0</v>
      </c>
      <c r="AH59" s="127">
        <f>第十六期!DW16</f>
        <v>0</v>
      </c>
      <c r="AI59" s="127">
        <f>第十六期!DW20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第十六期!K14*比赛参数!D71/4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第十六期!BS10-第十六期!CX53</f>
        <v>0</v>
      </c>
      <c r="CY59" s="242">
        <f>第十六期!BT10-第十六期!CY53</f>
        <v>0</v>
      </c>
      <c r="CZ59" s="242">
        <f>第十六期!BU10-第十六期!CZ53</f>
        <v>0</v>
      </c>
      <c r="DA59" s="242">
        <f>第十六期!BV10-第十六期!DA53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第十六期!DX9</f>
        <v>0</v>
      </c>
      <c r="Z60" s="127">
        <f>第十六期!DX13</f>
        <v>0</v>
      </c>
      <c r="AA60" s="127">
        <f>第十六期!DX17</f>
        <v>0</v>
      </c>
      <c r="AB60" s="127">
        <f>第十六期!DX21</f>
        <v>0</v>
      </c>
      <c r="AC60" s="108" t="s">
        <v>314</v>
      </c>
      <c r="AE60" s="11" t="s">
        <v>58</v>
      </c>
      <c r="AF60" s="127">
        <f>第十六期!DW9</f>
        <v>0</v>
      </c>
      <c r="AG60" s="127">
        <f>第十六期!DW13</f>
        <v>0</v>
      </c>
      <c r="AH60" s="127">
        <f>第十六期!DW17</f>
        <v>0</v>
      </c>
      <c r="AI60" s="127">
        <f>第十六期!DW21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第十六期!Y18*比赛参数!D58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第十六期!AA18*比赛参数!D62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((第十六期!K8-第十六期!AA18)*比赛参数!D65+第十六期!Y18*比赛参数!D59*比赛参数!D65)*第十六期!AH18*520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CX56/第十六期!CQ56</f>
        <v>#DIV/0!</v>
      </c>
      <c r="CY62" s="242" t="e">
        <f>CY56/第十六期!CR56</f>
        <v>#DIV/0!</v>
      </c>
      <c r="CZ62" s="242" t="e">
        <f>CZ56/第十六期!CS56</f>
        <v>#DIV/0!</v>
      </c>
      <c r="DA62" s="242" t="e">
        <f>DA56/第十六期!CT56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第十六期!K9*比赛参数!D49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CX57/第十六期!CQ57</f>
        <v>#DIV/0!</v>
      </c>
      <c r="CY63" s="242" t="e">
        <f>CY57/第十六期!CR57</f>
        <v>#DIV/0!</v>
      </c>
      <c r="CZ63" s="242" t="e">
        <f>CZ57/第十六期!CS57</f>
        <v>#DIV/0!</v>
      </c>
      <c r="DA63" s="242" t="e">
        <f>DA57/第十六期!CT57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第十六期!AL37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CX58/第十六期!CQ58</f>
        <v>#DIV/0!</v>
      </c>
      <c r="CY64" s="242" t="e">
        <f>CY58/第十六期!CR58</f>
        <v>#DIV/0!</v>
      </c>
      <c r="CZ64" s="242" t="e">
        <f>CZ58/第十六期!CS58</f>
        <v>#DIV/0!</v>
      </c>
      <c r="DA64" s="242" t="e">
        <f>DA58/第十六期!CT58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0.5*第十六期!AL37+0.5*第十六期!DV23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CX59/第十六期!CQ59</f>
        <v>#DIV/0!</v>
      </c>
      <c r="CY65" s="242" t="e">
        <f>CY59/第十六期!CR59</f>
        <v>#DIV/0!</v>
      </c>
      <c r="CZ65" s="242" t="e">
        <f>CZ59/第十六期!CS59</f>
        <v>#DIV/0!</v>
      </c>
      <c r="DA65" s="242" t="e">
        <f>DA59/第十六期!CT59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第十六期!AC18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六期!AC18&gt;=比赛参数!D33,(1-比赛参数!E33)*第十六期!AC18,0)+IF(AND(第十六期!AC18&gt;=比赛参数!D34,第十六期!AC18&lt;比赛参数!D33),(1-比赛参数!E34)*第十六期!AC18,0)+IF(AND(第十六期!AC18&gt;=比赛参数!D35,第十六期!AC18&lt;比赛参数!D34),(1-比赛参数!E35)*第十六期!AC18,0)+IF(AND(第十六期!AC18&gt;=比赛参数!D36,第十六期!AC18&lt;比赛参数!D35),(1-比赛参数!E36)*第十六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第十六期!DV6</f>
        <v>0</v>
      </c>
      <c r="AG70" s="131">
        <f>第十六期!DV10</f>
        <v>0</v>
      </c>
      <c r="AH70" s="131">
        <f>第十六期!DV14</f>
        <v>0</v>
      </c>
      <c r="AI70" s="131">
        <f>第十六期!DV18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IF(第十六期!AC18&gt;0,第十六期!AC18*比赛参数!E40+比赛参数!E39,0)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第十六期!DV7</f>
        <v>0</v>
      </c>
      <c r="AG71" s="131">
        <f>第十六期!DV11</f>
        <v>0</v>
      </c>
      <c r="AH71" s="131">
        <f>第十六期!DV15</f>
        <v>0</v>
      </c>
      <c r="AI71" s="131">
        <f>第十六期!DV19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(第十六期!Z13*比赛参数!E65*260+第十六期!AA13*(比赛参数!F65-比赛参数!D65)*520+第十六期!AB13*比赛参数!G65*260)*第十六期!AH18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第十六期!DV8</f>
        <v>0</v>
      </c>
      <c r="AG72" s="131">
        <f>第十六期!DV12</f>
        <v>0</v>
      </c>
      <c r="AH72" s="131">
        <f>第十六期!DV16</f>
        <v>0</v>
      </c>
      <c r="AI72" s="131">
        <f>第十六期!DV20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第十六期!DM60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第十六期!DV9</f>
        <v>0</v>
      </c>
      <c r="AG73" s="131">
        <f>第十六期!DV13</f>
        <v>0</v>
      </c>
      <c r="AH73" s="131">
        <f>第十六期!DV17</f>
        <v>0</v>
      </c>
      <c r="AI73" s="131">
        <f>第十六期!DV21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第十六期!AC21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第十六期!CG42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SUM(第十六期!AF80:AI80)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SUM(第十六期!AJ76:AJ79)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第十六期!CG53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第十六期!CN53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第十六期!K9*比赛参数!D30*比赛参数!F30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第十六期!CG65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第十六期!Y9*第十六期!CQ56</f>
        <v>0</v>
      </c>
      <c r="CR80" s="65">
        <f>第十六期!Z9*第十六期!CR56</f>
        <v>0</v>
      </c>
      <c r="CS80" s="65">
        <f>第十六期!AA9*第十六期!CS56</f>
        <v>0</v>
      </c>
      <c r="CT80" s="65">
        <f>第十六期!AB9*第十六期!CT56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(第十六期!K10+(第十六期!AC18+第十六期!K10-第十六期!AC21))/2*比赛参数!D16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第十六期!Y10*第十六期!CQ57</f>
        <v>0</v>
      </c>
      <c r="CR81" s="65">
        <f>第十六期!Z10*第十六期!CR57</f>
        <v>0</v>
      </c>
      <c r="CS81" s="65">
        <f>第十六期!AA10*第十六期!CS57</f>
        <v>0</v>
      </c>
      <c r="CT81" s="65">
        <f>第十六期!AB10*第十六期!CT57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第十六期!CG67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第十六期!Y11*第十六期!CQ58</f>
        <v>0</v>
      </c>
      <c r="CR82" s="65">
        <f>第十六期!Z11*第十六期!CR58</f>
        <v>0</v>
      </c>
      <c r="CS82" s="65">
        <f>第十六期!AA11*第十六期!CS58</f>
        <v>0</v>
      </c>
      <c r="CT82" s="65">
        <f>第十六期!AB11*第十六期!CT58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第十六期!K13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第十六期!Y12*第十六期!CQ59</f>
        <v>0</v>
      </c>
      <c r="CR83" s="65">
        <f>第十六期!Z12*第十六期!CR59</f>
        <v>0</v>
      </c>
      <c r="CS83" s="65">
        <f>第十六期!AA12*第十六期!CS59</f>
        <v>0</v>
      </c>
      <c r="CT83" s="65">
        <f>第十六期!AB12*第十六期!CT59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第十六期!K13*比赛参数!D70/4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第十六期!AH14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第十六期!DS33</f>
        <v>0</v>
      </c>
      <c r="AG86" s="131">
        <f>第十六期!DW33</f>
        <v>0</v>
      </c>
      <c r="AH86" s="131">
        <f>第十六期!EA33</f>
        <v>0</v>
      </c>
      <c r="AI86" s="131">
        <f>第十六期!EE33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第十六期!AH14*比赛参数!D69/4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第十六期!DT33</f>
        <v>0</v>
      </c>
      <c r="AG87" s="131">
        <f>第十六期!DX33</f>
        <v>0</v>
      </c>
      <c r="AH87" s="131">
        <f>第十六期!EB33</f>
        <v>0</v>
      </c>
      <c r="AI87" s="131">
        <f>第十六期!EF33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IF(第十六期!BW92&gt;0,IF((第十六期!K15+第十六期!BW92*比赛参数!D72)&gt;0,第十六期!K15+第十六期!BW92*比赛参数!D72,0))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第十六期!DU33</f>
        <v>0</v>
      </c>
      <c r="AG88" s="131">
        <f>第十六期!DY33</f>
        <v>0</v>
      </c>
      <c r="AH88" s="131">
        <f>第十六期!EC33</f>
        <v>0</v>
      </c>
      <c r="AI88" s="131">
        <f>第十六期!EG33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第十六期!AF18*比赛参数!D30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第十六期!DV33</f>
        <v>0</v>
      </c>
      <c r="AG89" s="131">
        <f>第十六期!DZ33</f>
        <v>0</v>
      </c>
      <c r="AH89" s="131">
        <f>第十六期!ED33</f>
        <v>0</v>
      </c>
      <c r="AI89" s="131">
        <f>第十六期!EH33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第十六期!AJ18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第十六期!AF20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第十六期!BT84</f>
        <v>0</v>
      </c>
      <c r="BT92" s="330" t="s">
        <v>181</v>
      </c>
      <c r="BU92" s="130">
        <f>第十六期!BU86</f>
        <v>0</v>
      </c>
      <c r="BV92" s="332" t="s">
        <v>104</v>
      </c>
      <c r="BW92" s="333">
        <f>第十六期!BT84-第十六期!BU86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AC9*比赛参数!D6+第十六期!DU26</f>
        <v>0</v>
      </c>
      <c r="Z93" s="37">
        <f>AC10*比赛参数!D6+第十六期!DU27</f>
        <v>0</v>
      </c>
      <c r="AA93" s="37">
        <f>AC11*比赛参数!D6+第十六期!DU28</f>
        <v>0</v>
      </c>
      <c r="AB93" s="37">
        <f>AC12*比赛参数!D6+第十六期!DU29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IF(第十六期!$AC$9&gt;0,第十六期!$K$9*比赛参数!$D$30*比赛参数!$F$30*$CU$87/第十六期!$AC$9,0)</f>
        <v>0</v>
      </c>
      <c r="CR93" s="65">
        <f>IF(第十六期!$AC$9&gt;0,第十六期!$K$9*比赛参数!$D$30*比赛参数!$F$30*$CU$87/第十六期!$AC$9,0)</f>
        <v>0</v>
      </c>
      <c r="CS93" s="65">
        <f>IF(第十六期!$AC$9&gt;0,第十六期!$K$9*比赛参数!$D$30*比赛参数!$F$30*$CU$87/第十六期!$AC$9,0)</f>
        <v>0</v>
      </c>
      <c r="CT93" s="65">
        <f>IF(第十六期!$AC$9&gt;0,第十六期!$K$9*比赛参数!$D$30*比赛参数!$F$30*$CU$87/第十六期!$AC$9,0)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IF(第十六期!$AC$10&gt;0,第十六期!$K$9*比赛参数!$D$30*比赛参数!$F$30*$CU$88/第十六期!$AC$10,0)</f>
        <v>0</v>
      </c>
      <c r="CR94" s="65">
        <f>IF(第十六期!$AC$10&gt;0,第十六期!$K$9*比赛参数!$D$30*比赛参数!$F$30*$CU$88/第十六期!$AC$10,0)</f>
        <v>0</v>
      </c>
      <c r="CS94" s="65">
        <f>IF(第十六期!$AC$10&gt;0,第十六期!$K$9*比赛参数!$D$30*比赛参数!$F$30*$CU$88/第十六期!$AC$10,0)</f>
        <v>0</v>
      </c>
      <c r="CT94" s="65">
        <f>IF(第十六期!$AC$10&gt;0,第十六期!$K$9*比赛参数!$D$30*比赛参数!$F$30*$CU$88/第十六期!$AC$10,0)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IF(第十六期!$AC$11&gt;0,第十六期!$K$9*比赛参数!$D$30*比赛参数!$F$30*$CU$89/第十六期!$AC$11,0)</f>
        <v>0</v>
      </c>
      <c r="CR95" s="65">
        <f>IF(第十六期!$AC$11&gt;0,第十六期!$K$9*比赛参数!$D$30*比赛参数!$F$30*$CU$89/第十六期!$AC$11,0)</f>
        <v>0</v>
      </c>
      <c r="CS95" s="65">
        <f>IF(第十六期!$AC$11&gt;0,第十六期!$K$9*比赛参数!$D$30*比赛参数!$F$30*$CU$89/第十六期!$AC$11,0)</f>
        <v>0</v>
      </c>
      <c r="CT95" s="65">
        <f>IF(第十六期!$AC$11&gt;0,第十六期!$K$9*比赛参数!$D$30*比赛参数!$F$30*$CU$89/第十六期!$AC$11,0)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第十六期!CX62</f>
        <v>#DIV/0!</v>
      </c>
      <c r="Z96" s="94" t="e">
        <f>第十六期!CX63</f>
        <v>#DIV/0!</v>
      </c>
      <c r="AA96" s="94" t="e">
        <f>第十六期!CX64</f>
        <v>#DIV/0!</v>
      </c>
      <c r="AB96" s="94" t="e">
        <f>第十六期!CX65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IF(第十六期!$AC$12&gt;0,第十六期!$K$9*比赛参数!$D$30*比赛参数!$F$30*$CU$90/第十六期!$AC$12,0)</f>
        <v>0</v>
      </c>
      <c r="CR96" s="65">
        <f>IF(第十六期!$AC$12&gt;0,第十六期!$K$9*比赛参数!$D$30*比赛参数!$F$30*$CU$90/第十六期!$AC$12,0)</f>
        <v>0</v>
      </c>
      <c r="CS96" s="65">
        <f>IF(第十六期!$AC$12&gt;0,第十六期!$K$9*比赛参数!$D$30*比赛参数!$F$30*$CU$90/第十六期!$AC$12,0)</f>
        <v>0</v>
      </c>
      <c r="CT96" s="65">
        <f>IF(第十六期!$AC$12&gt;0,第十六期!$K$9*比赛参数!$D$30*比赛参数!$F$30*$CU$90/第十六期!$AC$12,0)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第十六期!CY62</f>
        <v>#DIV/0!</v>
      </c>
      <c r="Z97" s="94" t="e">
        <f>第十六期!CY63</f>
        <v>#DIV/0!</v>
      </c>
      <c r="AA97" s="94" t="e">
        <f>第十六期!CY64</f>
        <v>#DIV/0!</v>
      </c>
      <c r="AB97" s="94" t="e">
        <f>第十六期!CY65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第十六期!CZ62</f>
        <v>#DIV/0!</v>
      </c>
      <c r="Z98" s="94" t="e">
        <f>第十六期!CZ63</f>
        <v>#DIV/0!</v>
      </c>
      <c r="AA98" s="94" t="e">
        <f>第十六期!CZ64</f>
        <v>#DIV/0!</v>
      </c>
      <c r="AB98" s="94" t="e">
        <f>第十六期!CZ65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第十六期!DA62</f>
        <v>#DIV/0!</v>
      </c>
      <c r="Z99" s="94" t="e">
        <f>第十六期!DA63</f>
        <v>#DIV/0!</v>
      </c>
      <c r="AA99" s="94" t="e">
        <f>第十六期!DA64</f>
        <v>#DIV/0!</v>
      </c>
      <c r="AB99" s="94" t="e">
        <f>第十六期!DA65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(第十六期!#REF!-$BE$54)&lt;0</formula>
    </cfRule>
  </conditionalFormatting>
  <conditionalFormatting sqref="BF132:BF133">
    <cfRule type="expression" dxfId="6" priority="26" stopIfTrue="1">
      <formula>(第十六期!#REF!-$BF$54)&lt;0</formula>
    </cfRule>
  </conditionalFormatting>
  <conditionalFormatting sqref="BG132:BG133">
    <cfRule type="expression" dxfId="6" priority="25" stopIfTrue="1">
      <formula>(第十六期!#REF!-$BG$54)&lt;0</formula>
    </cfRule>
  </conditionalFormatting>
  <conditionalFormatting sqref="BH132:BH133">
    <cfRule type="expression" dxfId="6" priority="24" stopIfTrue="1">
      <formula>(第十六期!#REF!-$BH$54)&lt;0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3"/>
  </sheetPr>
  <dimension ref="B1:L82"/>
  <sheetViews>
    <sheetView zoomScale="85" zoomScaleNormal="85" topLeftCell="C12" workbookViewId="0">
      <selection activeCell="G32" sqref="G32"/>
    </sheetView>
  </sheetViews>
  <sheetFormatPr defaultColWidth="9" defaultRowHeight="15.6"/>
  <cols>
    <col min="1" max="1" width="2.5" style="360" customWidth="1"/>
    <col min="2" max="2" width="1" style="360" customWidth="1"/>
    <col min="3" max="3" width="20.1" style="360" customWidth="1"/>
    <col min="4" max="7" width="12.1" style="360"/>
    <col min="8" max="8" width="14.5" style="360"/>
    <col min="9" max="9" width="11.7" style="360" customWidth="1"/>
    <col min="10" max="11" width="12" style="360" customWidth="1"/>
    <col min="12" max="12" width="1" style="360" customWidth="1"/>
    <col min="13" max="13" width="9.6" style="360"/>
    <col min="14" max="16384" width="9" style="360"/>
  </cols>
  <sheetData>
    <row r="1" s="360" customFormat="1" ht="11.25" customHeight="1"/>
    <row r="2" ht="18.75" customHeight="1" spans="2:12">
      <c r="B2" s="361" t="s">
        <v>50</v>
      </c>
      <c r="C2" s="362"/>
      <c r="D2" s="362"/>
      <c r="E2" s="362"/>
      <c r="F2" s="362"/>
      <c r="G2" s="362"/>
      <c r="H2" s="362"/>
      <c r="I2" s="362"/>
      <c r="J2" s="362"/>
      <c r="K2" s="362"/>
      <c r="L2" s="381"/>
    </row>
    <row r="3" ht="6" customHeight="1" spans="2:12">
      <c r="B3" s="363"/>
      <c r="C3" s="364"/>
      <c r="D3" s="364"/>
      <c r="E3" s="364"/>
      <c r="F3" s="364"/>
      <c r="G3" s="364"/>
      <c r="H3" s="269"/>
      <c r="I3" s="269"/>
      <c r="J3" s="269"/>
      <c r="K3" s="269"/>
      <c r="L3" s="382"/>
    </row>
    <row r="4" spans="2:12">
      <c r="B4" s="363"/>
      <c r="C4" s="196" t="s">
        <v>51</v>
      </c>
      <c r="D4" s="365"/>
      <c r="F4" s="196" t="s">
        <v>52</v>
      </c>
      <c r="G4" s="365"/>
      <c r="H4" s="269"/>
      <c r="I4" s="269"/>
      <c r="J4" s="269"/>
      <c r="K4" s="269"/>
      <c r="L4" s="382"/>
    </row>
    <row r="5" ht="6" customHeight="1" spans="2:12">
      <c r="B5" s="363"/>
      <c r="E5" s="269"/>
      <c r="F5" s="269"/>
      <c r="G5" s="269"/>
      <c r="H5" s="269"/>
      <c r="I5" s="269"/>
      <c r="J5" s="269"/>
      <c r="K5" s="269"/>
      <c r="L5" s="382"/>
    </row>
    <row r="6" spans="2:12">
      <c r="B6" s="363"/>
      <c r="C6" s="196" t="s">
        <v>53</v>
      </c>
      <c r="D6" s="366"/>
      <c r="E6" s="269"/>
      <c r="F6" s="269"/>
      <c r="G6" s="269"/>
      <c r="H6" s="269"/>
      <c r="I6" s="269"/>
      <c r="J6" s="269"/>
      <c r="K6" s="269"/>
      <c r="L6" s="382"/>
    </row>
    <row r="7" ht="6" customHeight="1" spans="2:12">
      <c r="B7" s="363"/>
      <c r="C7" s="269"/>
      <c r="D7" s="269"/>
      <c r="E7" s="269"/>
      <c r="F7" s="269"/>
      <c r="G7" s="269"/>
      <c r="H7" s="269"/>
      <c r="I7" s="269"/>
      <c r="J7" s="269"/>
      <c r="K7" s="269"/>
      <c r="L7" s="382"/>
    </row>
    <row r="8" spans="2:12">
      <c r="B8" s="363"/>
      <c r="C8" s="196" t="s">
        <v>54</v>
      </c>
      <c r="D8" s="367" t="s">
        <v>55</v>
      </c>
      <c r="E8" s="250" t="s">
        <v>56</v>
      </c>
      <c r="F8" s="250" t="s">
        <v>57</v>
      </c>
      <c r="G8" s="250" t="s">
        <v>58</v>
      </c>
      <c r="H8" s="367" t="s">
        <v>55</v>
      </c>
      <c r="I8" s="250" t="s">
        <v>56</v>
      </c>
      <c r="J8" s="250" t="s">
        <v>57</v>
      </c>
      <c r="K8" s="250" t="s">
        <v>58</v>
      </c>
      <c r="L8" s="382"/>
    </row>
    <row r="9" spans="2:12">
      <c r="B9" s="363"/>
      <c r="C9" s="250" t="s">
        <v>59</v>
      </c>
      <c r="D9" s="368"/>
      <c r="E9" s="369"/>
      <c r="F9" s="369"/>
      <c r="G9" s="369"/>
      <c r="H9" s="368"/>
      <c r="I9" s="369"/>
      <c r="J9" s="369"/>
      <c r="K9" s="369"/>
      <c r="L9" s="382"/>
    </row>
    <row r="10" spans="2:12">
      <c r="B10" s="363"/>
      <c r="C10" s="250" t="s">
        <v>60</v>
      </c>
      <c r="D10" s="368"/>
      <c r="E10" s="369"/>
      <c r="F10" s="369"/>
      <c r="G10" s="369"/>
      <c r="H10" s="368"/>
      <c r="I10" s="369"/>
      <c r="J10" s="369"/>
      <c r="K10" s="369"/>
      <c r="L10" s="382"/>
    </row>
    <row r="11" ht="6" customHeight="1" spans="2:12">
      <c r="B11" s="363"/>
      <c r="C11" s="269"/>
      <c r="D11" s="269"/>
      <c r="E11" s="269"/>
      <c r="F11" s="269"/>
      <c r="G11" s="269"/>
      <c r="H11" s="269"/>
      <c r="I11" s="269"/>
      <c r="J11" s="269"/>
      <c r="K11" s="269"/>
      <c r="L11" s="382"/>
    </row>
    <row r="12" spans="2:12">
      <c r="B12" s="363"/>
      <c r="C12" s="196" t="s">
        <v>61</v>
      </c>
      <c r="D12" s="367" t="s">
        <v>55</v>
      </c>
      <c r="E12" s="250" t="s">
        <v>56</v>
      </c>
      <c r="F12" s="250" t="s">
        <v>57</v>
      </c>
      <c r="G12" s="250" t="s">
        <v>58</v>
      </c>
      <c r="H12" s="367" t="s">
        <v>55</v>
      </c>
      <c r="I12" s="250" t="s">
        <v>56</v>
      </c>
      <c r="J12" s="250" t="s">
        <v>57</v>
      </c>
      <c r="K12" s="250" t="s">
        <v>58</v>
      </c>
      <c r="L12" s="382"/>
    </row>
    <row r="13" spans="2:12">
      <c r="B13" s="363"/>
      <c r="C13" s="250" t="s">
        <v>59</v>
      </c>
      <c r="D13" s="370"/>
      <c r="E13" s="371"/>
      <c r="F13" s="371"/>
      <c r="G13" s="371"/>
      <c r="H13" s="370"/>
      <c r="I13" s="371"/>
      <c r="J13" s="371"/>
      <c r="K13" s="371"/>
      <c r="L13" s="382"/>
    </row>
    <row r="14" spans="2:12">
      <c r="B14" s="363"/>
      <c r="C14" s="250" t="s">
        <v>60</v>
      </c>
      <c r="D14" s="370"/>
      <c r="E14" s="371"/>
      <c r="F14" s="371"/>
      <c r="G14" s="371"/>
      <c r="H14" s="370"/>
      <c r="I14" s="371"/>
      <c r="J14" s="369"/>
      <c r="K14" s="369"/>
      <c r="L14" s="382"/>
    </row>
    <row r="15" ht="6" customHeight="1" spans="2:12">
      <c r="B15" s="363"/>
      <c r="C15" s="269"/>
      <c r="D15" s="269"/>
      <c r="E15" s="269"/>
      <c r="F15" s="269"/>
      <c r="G15" s="269"/>
      <c r="H15" s="269"/>
      <c r="I15" s="269"/>
      <c r="J15" s="269"/>
      <c r="K15" s="269"/>
      <c r="L15" s="382"/>
    </row>
    <row r="16" spans="2:12">
      <c r="B16" s="363"/>
      <c r="C16" s="196" t="s">
        <v>62</v>
      </c>
      <c r="D16" s="370"/>
      <c r="E16" s="269"/>
      <c r="F16" s="269"/>
      <c r="G16" s="269"/>
      <c r="H16" s="269"/>
      <c r="I16" s="269"/>
      <c r="J16" s="269"/>
      <c r="K16" s="269"/>
      <c r="L16" s="382"/>
    </row>
    <row r="17" ht="6" customHeight="1" spans="2:12">
      <c r="B17" s="363"/>
      <c r="C17" s="269"/>
      <c r="D17" s="269"/>
      <c r="E17" s="269"/>
      <c r="F17" s="269"/>
      <c r="G17" s="269"/>
      <c r="H17" s="269"/>
      <c r="I17" s="269"/>
      <c r="J17" s="269"/>
      <c r="K17" s="269"/>
      <c r="L17" s="382"/>
    </row>
    <row r="18" spans="2:12">
      <c r="B18" s="363"/>
      <c r="C18" s="196" t="s">
        <v>63</v>
      </c>
      <c r="D18" s="269"/>
      <c r="E18" s="269"/>
      <c r="F18" s="269"/>
      <c r="G18" s="269"/>
      <c r="H18" s="269"/>
      <c r="I18" s="269"/>
      <c r="J18" s="269"/>
      <c r="K18" s="269"/>
      <c r="L18" s="382"/>
    </row>
    <row r="19" spans="2:12">
      <c r="B19" s="363"/>
      <c r="C19" s="250" t="s">
        <v>21</v>
      </c>
      <c r="D19" s="370"/>
      <c r="E19" s="269"/>
      <c r="F19" s="269"/>
      <c r="G19" s="269"/>
      <c r="H19" s="269"/>
      <c r="I19" s="269"/>
      <c r="J19" s="269"/>
      <c r="K19" s="269"/>
      <c r="L19" s="382"/>
    </row>
    <row r="20" spans="2:12">
      <c r="B20" s="363"/>
      <c r="C20" s="250" t="s">
        <v>22</v>
      </c>
      <c r="D20" s="370"/>
      <c r="E20" s="269"/>
      <c r="F20" s="269"/>
      <c r="G20" s="269"/>
      <c r="H20" s="269"/>
      <c r="I20" s="269"/>
      <c r="J20" s="269"/>
      <c r="K20" s="269"/>
      <c r="L20" s="382"/>
    </row>
    <row r="21" spans="2:12">
      <c r="B21" s="363"/>
      <c r="C21" s="250" t="s">
        <v>23</v>
      </c>
      <c r="D21" s="370"/>
      <c r="E21" s="269"/>
      <c r="F21" s="269"/>
      <c r="G21" s="269"/>
      <c r="H21" s="269"/>
      <c r="I21" s="269"/>
      <c r="J21" s="269"/>
      <c r="K21" s="269"/>
      <c r="L21" s="382"/>
    </row>
    <row r="22" spans="2:12">
      <c r="B22" s="363"/>
      <c r="C22" s="250" t="s">
        <v>24</v>
      </c>
      <c r="D22" s="370"/>
      <c r="E22" s="269"/>
      <c r="F22" s="269"/>
      <c r="G22" s="269"/>
      <c r="H22" s="269"/>
      <c r="I22" s="269"/>
      <c r="J22" s="269"/>
      <c r="K22" s="269"/>
      <c r="L22" s="382"/>
    </row>
    <row r="23" ht="6" customHeight="1" spans="2:12">
      <c r="B23" s="363"/>
      <c r="C23" s="269"/>
      <c r="D23" s="269"/>
      <c r="E23" s="269"/>
      <c r="F23" s="269"/>
      <c r="G23" s="269"/>
      <c r="H23" s="269"/>
      <c r="I23" s="269"/>
      <c r="J23" s="269"/>
      <c r="K23" s="269"/>
      <c r="L23" s="382"/>
    </row>
    <row r="24" ht="6" customHeight="1" spans="2:12">
      <c r="B24" s="363"/>
      <c r="C24" s="269"/>
      <c r="D24" s="269"/>
      <c r="E24" s="269"/>
      <c r="F24" s="269"/>
      <c r="G24" s="269"/>
      <c r="H24" s="269"/>
      <c r="I24" s="269"/>
      <c r="J24" s="269"/>
      <c r="K24" s="269"/>
      <c r="L24" s="382"/>
    </row>
    <row r="25" spans="2:12">
      <c r="B25" s="363"/>
      <c r="C25" s="196" t="s">
        <v>64</v>
      </c>
      <c r="D25" s="367" t="s">
        <v>21</v>
      </c>
      <c r="E25" s="250" t="s">
        <v>22</v>
      </c>
      <c r="F25" s="250" t="s">
        <v>23</v>
      </c>
      <c r="G25" s="250" t="s">
        <v>24</v>
      </c>
      <c r="H25" s="269"/>
      <c r="I25" s="269"/>
      <c r="J25" s="269"/>
      <c r="K25" s="269"/>
      <c r="L25" s="382"/>
    </row>
    <row r="26" spans="2:12">
      <c r="B26" s="363"/>
      <c r="C26" s="250" t="s">
        <v>65</v>
      </c>
      <c r="D26" s="370"/>
      <c r="E26" s="371"/>
      <c r="F26" s="371"/>
      <c r="G26" s="371"/>
      <c r="H26" s="269"/>
      <c r="I26" s="269"/>
      <c r="J26" s="269"/>
      <c r="K26" s="269"/>
      <c r="L26" s="382"/>
    </row>
    <row r="27" spans="2:12">
      <c r="B27" s="363"/>
      <c r="C27" s="250" t="s">
        <v>66</v>
      </c>
      <c r="D27" s="370"/>
      <c r="E27" s="371"/>
      <c r="F27" s="371"/>
      <c r="G27" s="371"/>
      <c r="H27" s="269"/>
      <c r="I27" s="269"/>
      <c r="J27" s="269"/>
      <c r="K27" s="269"/>
      <c r="L27" s="382"/>
    </row>
    <row r="28" spans="2:12">
      <c r="B28" s="363"/>
      <c r="C28" s="250" t="s">
        <v>67</v>
      </c>
      <c r="D28" s="370"/>
      <c r="E28" s="371"/>
      <c r="F28" s="371"/>
      <c r="G28" s="371"/>
      <c r="H28" s="269"/>
      <c r="I28" s="269"/>
      <c r="J28" s="269"/>
      <c r="K28" s="269"/>
      <c r="L28" s="382"/>
    </row>
    <row r="29" ht="6" customHeight="1" spans="2:12">
      <c r="B29" s="363"/>
      <c r="C29" s="269"/>
      <c r="D29" s="269"/>
      <c r="E29" s="269"/>
      <c r="F29" s="269"/>
      <c r="G29" s="269"/>
      <c r="H29" s="269"/>
      <c r="I29" s="269"/>
      <c r="J29" s="269"/>
      <c r="K29" s="269"/>
      <c r="L29" s="382"/>
    </row>
    <row r="30" spans="2:12">
      <c r="B30" s="363"/>
      <c r="C30" s="196" t="s">
        <v>68</v>
      </c>
      <c r="D30" s="370"/>
      <c r="E30" s="196" t="s">
        <v>69</v>
      </c>
      <c r="F30" s="366">
        <v>0.05</v>
      </c>
      <c r="G30" s="269"/>
      <c r="H30" s="269"/>
      <c r="I30" s="269"/>
      <c r="J30" s="269"/>
      <c r="K30" s="269"/>
      <c r="L30" s="382"/>
    </row>
    <row r="31" ht="6" customHeight="1" spans="2:12">
      <c r="B31" s="363"/>
      <c r="C31" s="269"/>
      <c r="D31" s="269"/>
      <c r="E31" s="269"/>
      <c r="F31" s="269"/>
      <c r="G31" s="269"/>
      <c r="H31" s="269"/>
      <c r="I31" s="269"/>
      <c r="J31" s="269"/>
      <c r="K31" s="269"/>
      <c r="L31" s="382"/>
    </row>
    <row r="32" spans="2:12">
      <c r="B32" s="363"/>
      <c r="C32" s="196" t="s">
        <v>70</v>
      </c>
      <c r="D32" s="250" t="s">
        <v>71</v>
      </c>
      <c r="E32" s="250" t="s">
        <v>72</v>
      </c>
      <c r="F32" s="269"/>
      <c r="G32" s="269"/>
      <c r="H32" s="269"/>
      <c r="I32" s="269"/>
      <c r="J32" s="269"/>
      <c r="K32" s="269"/>
      <c r="L32" s="382"/>
    </row>
    <row r="33" spans="2:12">
      <c r="B33" s="363"/>
      <c r="C33" s="269"/>
      <c r="D33" s="371">
        <v>9.99999999999999e+22</v>
      </c>
      <c r="E33" s="371">
        <v>0.9</v>
      </c>
      <c r="H33" s="269"/>
      <c r="I33" s="269"/>
      <c r="K33" s="269">
        <f>D37*(1-E37)</f>
        <v>0</v>
      </c>
      <c r="L33" s="382"/>
    </row>
    <row r="34" spans="2:12">
      <c r="B34" s="363"/>
      <c r="C34" s="269"/>
      <c r="D34" s="371"/>
      <c r="E34" s="371"/>
      <c r="H34" s="269"/>
      <c r="I34" s="269"/>
      <c r="K34" s="269">
        <f>D36*(1-E36)</f>
        <v>0</v>
      </c>
      <c r="L34" s="382"/>
    </row>
    <row r="35" spans="2:12">
      <c r="B35" s="363"/>
      <c r="C35" s="269"/>
      <c r="D35" s="371"/>
      <c r="E35" s="371"/>
      <c r="H35" s="269"/>
      <c r="I35" s="269"/>
      <c r="K35" s="269">
        <f>D35*(1-E35)</f>
        <v>0</v>
      </c>
      <c r="L35" s="382"/>
    </row>
    <row r="36" spans="2:12">
      <c r="B36" s="363"/>
      <c r="C36" s="269"/>
      <c r="D36" s="371"/>
      <c r="E36" s="371"/>
      <c r="H36" s="269"/>
      <c r="I36" s="269"/>
      <c r="K36" s="269">
        <f>D34*(1-E34)</f>
        <v>0</v>
      </c>
      <c r="L36" s="382"/>
    </row>
    <row r="37" spans="2:12">
      <c r="B37" s="363"/>
      <c r="C37" s="269"/>
      <c r="D37" s="371"/>
      <c r="E37" s="371"/>
      <c r="H37" s="269"/>
      <c r="I37" s="269"/>
      <c r="K37" s="269"/>
      <c r="L37" s="382"/>
    </row>
    <row r="38" ht="6" customHeight="1" spans="2:12">
      <c r="B38" s="363"/>
      <c r="C38" s="269"/>
      <c r="D38" s="269"/>
      <c r="E38" s="269"/>
      <c r="F38" s="269"/>
      <c r="G38" s="269"/>
      <c r="H38" s="269"/>
      <c r="I38" s="269"/>
      <c r="J38" s="269"/>
      <c r="K38" s="269"/>
      <c r="L38" s="382"/>
    </row>
    <row r="39" spans="2:12">
      <c r="B39" s="363"/>
      <c r="C39" s="196" t="s">
        <v>73</v>
      </c>
      <c r="D39" s="250" t="s">
        <v>74</v>
      </c>
      <c r="E39" s="372"/>
      <c r="F39" s="269"/>
      <c r="G39" s="269"/>
      <c r="H39" s="269"/>
      <c r="I39" s="269"/>
      <c r="J39" s="269"/>
      <c r="K39" s="269"/>
      <c r="L39" s="382"/>
    </row>
    <row r="40" spans="2:12">
      <c r="B40" s="363"/>
      <c r="C40" s="269"/>
      <c r="D40" s="254" t="s">
        <v>75</v>
      </c>
      <c r="E40" s="373"/>
      <c r="F40" s="269"/>
      <c r="G40" s="269"/>
      <c r="H40" s="269"/>
      <c r="I40" s="269"/>
      <c r="J40" s="269"/>
      <c r="K40" s="269"/>
      <c r="L40" s="382"/>
    </row>
    <row r="41" spans="2:12">
      <c r="B41" s="363"/>
      <c r="C41" s="196" t="s">
        <v>76</v>
      </c>
      <c r="D41" s="374"/>
      <c r="E41" s="269"/>
      <c r="F41" s="269"/>
      <c r="G41" s="269"/>
      <c r="H41" s="269"/>
      <c r="I41" s="269"/>
      <c r="J41" s="269"/>
      <c r="K41" s="269"/>
      <c r="L41" s="382"/>
    </row>
    <row r="42" ht="6" customHeight="1" spans="2:12">
      <c r="B42" s="363"/>
      <c r="C42" s="269"/>
      <c r="D42" s="269"/>
      <c r="E42" s="269"/>
      <c r="F42" s="269"/>
      <c r="G42" s="269"/>
      <c r="H42" s="269"/>
      <c r="I42" s="269"/>
      <c r="J42" s="269"/>
      <c r="K42" s="269"/>
      <c r="L42" s="382"/>
    </row>
    <row r="43" spans="2:12">
      <c r="B43" s="363"/>
      <c r="C43" s="196" t="s">
        <v>77</v>
      </c>
      <c r="D43" s="250" t="s">
        <v>78</v>
      </c>
      <c r="E43" s="250" t="s">
        <v>79</v>
      </c>
      <c r="F43" s="269"/>
      <c r="G43" s="269"/>
      <c r="H43" s="269"/>
      <c r="I43" s="269"/>
      <c r="J43" s="269"/>
      <c r="K43" s="269"/>
      <c r="L43" s="382"/>
    </row>
    <row r="44" spans="2:12">
      <c r="B44" s="363"/>
      <c r="C44" s="250" t="s">
        <v>21</v>
      </c>
      <c r="D44" s="372"/>
      <c r="E44" s="372"/>
      <c r="F44" s="269"/>
      <c r="G44" s="269"/>
      <c r="H44" s="269"/>
      <c r="I44" s="269"/>
      <c r="J44" s="269"/>
      <c r="K44" s="269"/>
      <c r="L44" s="382"/>
    </row>
    <row r="45" spans="2:12">
      <c r="B45" s="363"/>
      <c r="C45" s="250" t="s">
        <v>22</v>
      </c>
      <c r="D45" s="372"/>
      <c r="E45" s="372"/>
      <c r="F45" s="269"/>
      <c r="G45" s="269"/>
      <c r="H45" s="269"/>
      <c r="I45" s="269"/>
      <c r="J45" s="269"/>
      <c r="K45" s="269"/>
      <c r="L45" s="382"/>
    </row>
    <row r="46" spans="2:12">
      <c r="B46" s="363"/>
      <c r="C46" s="250" t="s">
        <v>23</v>
      </c>
      <c r="D46" s="372"/>
      <c r="E46" s="375"/>
      <c r="F46" s="269"/>
      <c r="G46" s="269"/>
      <c r="H46" s="269"/>
      <c r="I46" s="269"/>
      <c r="J46" s="269"/>
      <c r="K46" s="269"/>
      <c r="L46" s="382"/>
    </row>
    <row r="47" spans="2:12">
      <c r="B47" s="363"/>
      <c r="C47" s="250" t="s">
        <v>24</v>
      </c>
      <c r="D47" s="372"/>
      <c r="E47" s="375"/>
      <c r="F47" s="269"/>
      <c r="G47" s="269"/>
      <c r="H47" s="269"/>
      <c r="I47" s="269"/>
      <c r="J47" s="269"/>
      <c r="K47" s="269"/>
      <c r="L47" s="382"/>
    </row>
    <row r="48" ht="6" customHeight="1" spans="2:12">
      <c r="B48" s="363"/>
      <c r="C48" s="269"/>
      <c r="D48" s="269"/>
      <c r="E48" s="269"/>
      <c r="F48" s="269"/>
      <c r="G48" s="269"/>
      <c r="H48" s="269"/>
      <c r="I48" s="269"/>
      <c r="J48" s="269"/>
      <c r="K48" s="269"/>
      <c r="L48" s="382"/>
    </row>
    <row r="49" spans="2:12">
      <c r="B49" s="363"/>
      <c r="C49" s="196" t="s">
        <v>80</v>
      </c>
      <c r="D49" s="372"/>
      <c r="E49" s="269"/>
      <c r="F49" s="269"/>
      <c r="G49" s="269"/>
      <c r="H49" s="269"/>
      <c r="I49" s="269"/>
      <c r="J49" s="269"/>
      <c r="K49" s="269"/>
      <c r="L49" s="382"/>
    </row>
    <row r="50" ht="6" customHeight="1" spans="2:12">
      <c r="B50" s="363"/>
      <c r="C50" s="269"/>
      <c r="D50" s="269"/>
      <c r="E50" s="269"/>
      <c r="F50" s="269"/>
      <c r="G50" s="269"/>
      <c r="H50" s="269"/>
      <c r="I50" s="269"/>
      <c r="J50" s="269"/>
      <c r="K50" s="269"/>
      <c r="L50" s="382"/>
    </row>
    <row r="51" spans="2:12">
      <c r="B51" s="363"/>
      <c r="C51" s="196" t="s">
        <v>44</v>
      </c>
      <c r="D51" s="250" t="s">
        <v>45</v>
      </c>
      <c r="E51" s="250" t="s">
        <v>46</v>
      </c>
      <c r="F51" s="250" t="s">
        <v>47</v>
      </c>
      <c r="G51" s="250" t="s">
        <v>48</v>
      </c>
      <c r="H51" s="250" t="s">
        <v>49</v>
      </c>
      <c r="I51" s="269"/>
      <c r="J51" s="269"/>
      <c r="K51" s="269"/>
      <c r="L51" s="382"/>
    </row>
    <row r="52" spans="2:12">
      <c r="B52" s="363"/>
      <c r="C52" s="376" t="s">
        <v>81</v>
      </c>
      <c r="D52" s="377"/>
      <c r="E52" s="377"/>
      <c r="F52" s="377"/>
      <c r="G52" s="377"/>
      <c r="H52" s="378"/>
      <c r="I52" s="269"/>
      <c r="J52" s="269"/>
      <c r="K52" s="269"/>
      <c r="L52" s="382"/>
    </row>
    <row r="53" spans="2:12">
      <c r="B53" s="363"/>
      <c r="C53" s="376" t="s">
        <v>82</v>
      </c>
      <c r="D53" s="377"/>
      <c r="E53" s="377"/>
      <c r="F53" s="377"/>
      <c r="G53" s="377"/>
      <c r="H53" s="378"/>
      <c r="I53" s="269"/>
      <c r="J53" s="269"/>
      <c r="K53" s="269"/>
      <c r="L53" s="382"/>
    </row>
    <row r="54" spans="2:12">
      <c r="B54" s="363"/>
      <c r="C54" s="376" t="s">
        <v>83</v>
      </c>
      <c r="D54" s="377"/>
      <c r="E54" s="377"/>
      <c r="F54" s="377"/>
      <c r="G54" s="377"/>
      <c r="H54" s="378"/>
      <c r="I54" s="269"/>
      <c r="J54" s="269"/>
      <c r="K54" s="269"/>
      <c r="L54" s="382"/>
    </row>
    <row r="55" spans="2:12">
      <c r="B55" s="363"/>
      <c r="C55" s="376" t="s">
        <v>84</v>
      </c>
      <c r="D55" s="377"/>
      <c r="E55" s="377"/>
      <c r="F55" s="377"/>
      <c r="G55" s="377"/>
      <c r="H55" s="378"/>
      <c r="I55" s="269"/>
      <c r="J55" s="269"/>
      <c r="K55" s="269"/>
      <c r="L55" s="382"/>
    </row>
    <row r="56" ht="6" customHeight="1" spans="2:12">
      <c r="B56" s="363"/>
      <c r="C56" s="269"/>
      <c r="D56" s="269"/>
      <c r="E56" s="269"/>
      <c r="F56" s="269"/>
      <c r="G56" s="269"/>
      <c r="H56" s="269"/>
      <c r="I56" s="269"/>
      <c r="J56" s="269"/>
      <c r="K56" s="269"/>
      <c r="L56" s="382"/>
    </row>
    <row r="57" spans="2:12">
      <c r="B57" s="363"/>
      <c r="C57" s="196" t="s">
        <v>85</v>
      </c>
      <c r="D57" s="379">
        <v>0.5</v>
      </c>
      <c r="E57" s="269"/>
      <c r="F57" s="269"/>
      <c r="G57" s="269"/>
      <c r="H57" s="269"/>
      <c r="I57" s="269"/>
      <c r="J57" s="269"/>
      <c r="K57" s="269"/>
      <c r="L57" s="382"/>
    </row>
    <row r="58" spans="2:12">
      <c r="B58" s="363"/>
      <c r="C58" s="196" t="s">
        <v>86</v>
      </c>
      <c r="D58" s="372"/>
      <c r="E58" s="269"/>
      <c r="F58" s="269"/>
      <c r="G58" s="269"/>
      <c r="H58" s="269"/>
      <c r="I58" s="269"/>
      <c r="J58" s="269"/>
      <c r="K58" s="269"/>
      <c r="L58" s="382"/>
    </row>
    <row r="59" spans="2:12">
      <c r="B59" s="363"/>
      <c r="C59" s="196" t="s">
        <v>87</v>
      </c>
      <c r="D59" s="380">
        <v>0.25</v>
      </c>
      <c r="E59" s="269"/>
      <c r="F59" s="269"/>
      <c r="G59" s="269"/>
      <c r="H59" s="269"/>
      <c r="I59" s="269"/>
      <c r="J59" s="269"/>
      <c r="K59" s="269"/>
      <c r="L59" s="382"/>
    </row>
    <row r="60" spans="2:12">
      <c r="B60" s="363"/>
      <c r="C60" s="196" t="s">
        <v>88</v>
      </c>
      <c r="D60" s="380">
        <v>0.03</v>
      </c>
      <c r="E60" s="269"/>
      <c r="F60" s="269"/>
      <c r="G60" s="269"/>
      <c r="H60" s="269"/>
      <c r="I60" s="269"/>
      <c r="J60" s="269"/>
      <c r="K60" s="269"/>
      <c r="L60" s="382"/>
    </row>
    <row r="61" spans="2:12">
      <c r="B61" s="363"/>
      <c r="C61" s="196" t="s">
        <v>89</v>
      </c>
      <c r="D61" s="380">
        <v>0.1</v>
      </c>
      <c r="E61" s="269"/>
      <c r="F61" s="269"/>
      <c r="G61" s="269"/>
      <c r="H61" s="269"/>
      <c r="I61" s="269"/>
      <c r="J61" s="269"/>
      <c r="K61" s="269"/>
      <c r="L61" s="382"/>
    </row>
    <row r="62" spans="2:12">
      <c r="B62" s="363"/>
      <c r="C62" s="196" t="s">
        <v>90</v>
      </c>
      <c r="D62" s="372"/>
      <c r="E62" s="269"/>
      <c r="F62" s="269"/>
      <c r="G62" s="269"/>
      <c r="H62" s="269"/>
      <c r="I62" s="269"/>
      <c r="J62" s="269"/>
      <c r="K62" s="269"/>
      <c r="L62" s="382"/>
    </row>
    <row r="63" ht="6" customHeight="1" spans="2:12">
      <c r="B63" s="363"/>
      <c r="C63" s="269"/>
      <c r="D63" s="269"/>
      <c r="E63" s="269"/>
      <c r="F63" s="269"/>
      <c r="G63" s="269"/>
      <c r="H63" s="269"/>
      <c r="I63" s="269"/>
      <c r="J63" s="269"/>
      <c r="K63" s="269"/>
      <c r="L63" s="382"/>
    </row>
    <row r="64" spans="2:12">
      <c r="B64" s="363"/>
      <c r="C64" s="196" t="s">
        <v>91</v>
      </c>
      <c r="D64" s="250" t="s">
        <v>92</v>
      </c>
      <c r="E64" s="250" t="s">
        <v>93</v>
      </c>
      <c r="F64" s="250" t="s">
        <v>94</v>
      </c>
      <c r="G64" s="250" t="s">
        <v>95</v>
      </c>
      <c r="H64" s="269"/>
      <c r="I64" s="269"/>
      <c r="J64" s="269"/>
      <c r="K64" s="269"/>
      <c r="L64" s="382"/>
    </row>
    <row r="65" spans="2:12">
      <c r="B65" s="363"/>
      <c r="C65" s="269"/>
      <c r="D65" s="372"/>
      <c r="E65" s="372"/>
      <c r="F65" s="372"/>
      <c r="G65" s="372"/>
      <c r="H65" s="269"/>
      <c r="I65" s="269"/>
      <c r="J65" s="269"/>
      <c r="K65" s="269"/>
      <c r="L65" s="382"/>
    </row>
    <row r="66" ht="6" customHeight="1" spans="2:12">
      <c r="B66" s="363"/>
      <c r="C66" s="269"/>
      <c r="D66" s="269"/>
      <c r="E66" s="269"/>
      <c r="F66" s="269"/>
      <c r="G66" s="269"/>
      <c r="H66" s="269"/>
      <c r="I66" s="269"/>
      <c r="J66" s="269"/>
      <c r="K66" s="269"/>
      <c r="L66" s="382"/>
    </row>
    <row r="67" spans="2:12">
      <c r="B67" s="363"/>
      <c r="C67" s="196" t="s">
        <v>96</v>
      </c>
      <c r="D67" s="372"/>
      <c r="E67" s="269"/>
      <c r="F67" s="269"/>
      <c r="G67" s="269"/>
      <c r="H67" s="269"/>
      <c r="I67" s="269"/>
      <c r="J67" s="269"/>
      <c r="K67" s="269"/>
      <c r="L67" s="382"/>
    </row>
    <row r="68" spans="2:12">
      <c r="B68" s="363"/>
      <c r="C68" s="196" t="s">
        <v>97</v>
      </c>
      <c r="D68" s="372"/>
      <c r="E68" s="269"/>
      <c r="F68" s="269"/>
      <c r="G68" s="269"/>
      <c r="H68" s="269"/>
      <c r="I68" s="269"/>
      <c r="J68" s="269"/>
      <c r="K68" s="269"/>
      <c r="L68" s="382"/>
    </row>
    <row r="69" spans="2:12">
      <c r="B69" s="363"/>
      <c r="C69" s="196" t="s">
        <v>98</v>
      </c>
      <c r="D69" s="379"/>
      <c r="E69" s="269"/>
      <c r="F69" s="269"/>
      <c r="G69" s="269"/>
      <c r="H69" s="269"/>
      <c r="I69" s="269"/>
      <c r="J69" s="269"/>
      <c r="K69" s="269"/>
      <c r="L69" s="382"/>
    </row>
    <row r="70" spans="2:12">
      <c r="B70" s="363"/>
      <c r="C70" s="196" t="s">
        <v>99</v>
      </c>
      <c r="D70" s="379">
        <v>0.06</v>
      </c>
      <c r="E70" s="269"/>
      <c r="F70" s="269"/>
      <c r="G70" s="269"/>
      <c r="H70" s="269"/>
      <c r="I70" s="269"/>
      <c r="J70" s="269"/>
      <c r="K70" s="269"/>
      <c r="L70" s="382"/>
    </row>
    <row r="71" spans="2:12">
      <c r="B71" s="363"/>
      <c r="C71" s="196" t="s">
        <v>100</v>
      </c>
      <c r="D71" s="383"/>
      <c r="E71" s="196" t="s">
        <v>101</v>
      </c>
      <c r="F71" s="374">
        <v>0.05</v>
      </c>
      <c r="G71" s="269"/>
      <c r="H71" s="269"/>
      <c r="I71" s="269"/>
      <c r="J71" s="269"/>
      <c r="K71" s="269"/>
      <c r="L71" s="382"/>
    </row>
    <row r="72" spans="2:12">
      <c r="B72" s="363"/>
      <c r="C72" s="196" t="s">
        <v>102</v>
      </c>
      <c r="D72" s="374">
        <v>0.3</v>
      </c>
      <c r="E72" s="269"/>
      <c r="F72" s="269"/>
      <c r="G72" s="269"/>
      <c r="H72" s="269"/>
      <c r="I72" s="269"/>
      <c r="J72" s="269"/>
      <c r="K72" s="269"/>
      <c r="L72" s="382"/>
    </row>
    <row r="73" ht="6" customHeight="1" spans="2:12">
      <c r="B73" s="363"/>
      <c r="C73" s="269"/>
      <c r="D73" s="269"/>
      <c r="E73" s="269"/>
      <c r="F73" s="269"/>
      <c r="G73" s="269"/>
      <c r="H73" s="269"/>
      <c r="I73" s="269"/>
      <c r="J73" s="269"/>
      <c r="K73" s="269"/>
      <c r="L73" s="382"/>
    </row>
    <row r="74" spans="2:12">
      <c r="B74" s="363"/>
      <c r="C74" s="196" t="s">
        <v>103</v>
      </c>
      <c r="D74" s="252" t="s">
        <v>104</v>
      </c>
      <c r="E74" s="252" t="s">
        <v>105</v>
      </c>
      <c r="F74" s="252" t="s">
        <v>106</v>
      </c>
      <c r="G74" s="252" t="s">
        <v>107</v>
      </c>
      <c r="H74" s="252" t="s">
        <v>108</v>
      </c>
      <c r="I74" s="252" t="s">
        <v>109</v>
      </c>
      <c r="J74" s="387" t="s">
        <v>110</v>
      </c>
      <c r="K74" s="388"/>
      <c r="L74" s="382"/>
    </row>
    <row r="75" spans="2:12">
      <c r="B75" s="363"/>
      <c r="C75" s="127" t="s">
        <v>111</v>
      </c>
      <c r="D75" s="12"/>
      <c r="E75" s="384"/>
      <c r="F75" s="384"/>
      <c r="G75" s="384"/>
      <c r="H75" s="384"/>
      <c r="I75" s="384"/>
      <c r="J75" s="384"/>
      <c r="K75" s="388">
        <f>SUM(D75:J75)</f>
        <v>0</v>
      </c>
      <c r="L75" s="382"/>
    </row>
    <row r="76" ht="6" customHeight="1" spans="2:12">
      <c r="B76" s="385"/>
      <c r="C76" s="386"/>
      <c r="D76" s="386"/>
      <c r="E76" s="386"/>
      <c r="F76" s="386"/>
      <c r="G76" s="386"/>
      <c r="H76" s="386"/>
      <c r="I76" s="386"/>
      <c r="J76" s="386"/>
      <c r="K76" s="386"/>
      <c r="L76" s="389"/>
    </row>
    <row r="77" ht="16.35"/>
    <row r="82" spans="12:12">
      <c r="L82" s="360">
        <v>0.16</v>
      </c>
    </row>
  </sheetData>
  <protectedRanges>
    <protectedRange sqref="C8:K14" name="比赛参数_1"/>
    <protectedRange sqref="C18:G30" name="比赛参数_2"/>
    <protectedRange sqref="C39:E47" name="比赛参数_3"/>
    <protectedRange sqref="D34:E37" name="比赛参数_4"/>
    <protectedRange sqref="D52:H55" name="比赛参数_5"/>
    <protectedRange sqref="D57:D62" name="比赛参数_6"/>
    <protectedRange sqref="D65:G65" name="比赛参数_7"/>
    <protectedRange sqref="D67:D72" name="比赛参数_8"/>
  </protectedRanges>
  <mergeCells count="1">
    <mergeCell ref="B2:L2"/>
  </mergeCells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2"/>
  <sheetViews>
    <sheetView workbookViewId="0">
      <selection activeCell="H10" sqref="H10"/>
    </sheetView>
  </sheetViews>
  <sheetFormatPr defaultColWidth="8.8" defaultRowHeight="15.6"/>
  <cols>
    <col min="1" max="1" width="4.6" customWidth="1"/>
    <col min="2" max="2" width="11.1" customWidth="1"/>
    <col min="3" max="3" width="9.6"/>
  </cols>
  <sheetData>
    <row r="2" spans="2:3">
      <c r="B2" s="353" t="s">
        <v>112</v>
      </c>
      <c r="C2" s="354"/>
    </row>
    <row r="3" ht="16.35" spans="2:6">
      <c r="B3" s="353" t="s">
        <v>113</v>
      </c>
      <c r="C3" s="355"/>
      <c r="D3" s="355"/>
      <c r="E3" s="355"/>
      <c r="F3" s="355"/>
    </row>
    <row r="4" ht="17.1" spans="2:6">
      <c r="B4" s="63" t="s">
        <v>114</v>
      </c>
      <c r="C4" s="298" t="s">
        <v>38</v>
      </c>
      <c r="D4" s="298" t="s">
        <v>39</v>
      </c>
      <c r="E4" s="298" t="s">
        <v>40</v>
      </c>
      <c r="F4" s="298" t="s">
        <v>41</v>
      </c>
    </row>
    <row r="5" ht="16.35" spans="2:11">
      <c r="B5" s="282" t="s">
        <v>115</v>
      </c>
      <c r="C5" s="299">
        <f>IF(1-(($C$2-1)*C8/10+0.95+(C3-0.95)*C7)&gt;0,1-(($C$2-1)*C8/10+0.95+(C3-0.95)*C7),0)</f>
        <v>1.0005</v>
      </c>
      <c r="D5" s="299">
        <f>IF(1-(($C$2-1)*D8/10+0.95+(D3-0.95)*D7)&gt;0,1-(($C$2-1)*D8/10+0.95+(D3-0.95)*D7),0)</f>
        <v>1.0005</v>
      </c>
      <c r="E5" s="299">
        <f>IF(1-(($C$2-1)*E8/10+0.95+(E3-0.95)*E7)&gt;0,1-(($C$2-1)*E8/10+0.95+(E3-0.95)*E7),0)</f>
        <v>1.0005</v>
      </c>
      <c r="F5" s="299">
        <f>IF(1-(($C$2-1)*F8/10+0.95+(F3-0.95)*F7)&gt;0,1-(($C$2-1)*F8/10+0.95+(F3-0.95)*F7),0)</f>
        <v>1.0005</v>
      </c>
      <c r="G5" s="353" t="s">
        <v>116</v>
      </c>
      <c r="H5" s="355"/>
      <c r="I5" s="355"/>
      <c r="J5" s="355"/>
      <c r="K5" s="355"/>
    </row>
    <row r="6" spans="2:11">
      <c r="B6" s="282" t="s">
        <v>117</v>
      </c>
      <c r="C6" s="299">
        <f>1-C5</f>
        <v>-0.000499999999999945</v>
      </c>
      <c r="D6" s="299">
        <f>1-D5</f>
        <v>-0.000499999999999945</v>
      </c>
      <c r="E6" s="299">
        <f>1-E5</f>
        <v>-0.000499999999999945</v>
      </c>
      <c r="F6" s="299">
        <f>1-F5</f>
        <v>-0.000499999999999945</v>
      </c>
      <c r="H6">
        <f>H5-0.0005</f>
        <v>-0.0005</v>
      </c>
      <c r="I6">
        <f>I5-0.0005</f>
        <v>-0.0005</v>
      </c>
      <c r="J6">
        <f>J5-0.0005</f>
        <v>-0.0005</v>
      </c>
      <c r="K6">
        <f>K5-0.0005</f>
        <v>-0.0005</v>
      </c>
    </row>
    <row r="7" spans="2:11">
      <c r="B7" s="282" t="s">
        <v>118</v>
      </c>
      <c r="C7" s="101">
        <v>0.3</v>
      </c>
      <c r="D7" s="101">
        <v>0.3</v>
      </c>
      <c r="E7" s="101">
        <v>0.3</v>
      </c>
      <c r="F7" s="101">
        <v>0.3</v>
      </c>
      <c r="H7">
        <f>H5+0.0005</f>
        <v>0.0005</v>
      </c>
      <c r="I7">
        <f>I5+0.0005</f>
        <v>0.0005</v>
      </c>
      <c r="J7">
        <f>J5+0.0005</f>
        <v>0.0005</v>
      </c>
      <c r="K7">
        <f>K5+0.0005</f>
        <v>0.0005</v>
      </c>
    </row>
    <row r="8" spans="2:6">
      <c r="B8" s="282" t="s">
        <v>118</v>
      </c>
      <c r="C8" s="356">
        <f>(H6-(C3-0.95)*C7-0.95)*10/($C$2-1)</f>
        <v>6.655</v>
      </c>
      <c r="D8" s="356">
        <f>(I6-(D3-0.95)*D7-0.95)*10/($C$2-1)</f>
        <v>6.655</v>
      </c>
      <c r="E8" s="356">
        <f>(J6-(E3-0.95)*E7-0.95)*10/($C$2-1)</f>
        <v>6.655</v>
      </c>
      <c r="F8" s="356">
        <f>(K6-(F3-0.95)*F7-0.95)*10/($C$2-1)</f>
        <v>6.655</v>
      </c>
    </row>
    <row r="14" spans="2:6">
      <c r="B14" s="282" t="s">
        <v>119</v>
      </c>
      <c r="C14" s="357">
        <f>MAX(C15:C32)</f>
        <v>0</v>
      </c>
      <c r="D14" s="357">
        <f>MAX(D15:D32)</f>
        <v>0</v>
      </c>
      <c r="E14" s="357">
        <f>MAX(E15:E32)</f>
        <v>0</v>
      </c>
      <c r="F14" s="357">
        <f>MAX(F15:F32)</f>
        <v>0</v>
      </c>
    </row>
    <row r="15" spans="2:6">
      <c r="B15" s="358" t="s">
        <v>120</v>
      </c>
      <c r="C15" s="359"/>
      <c r="D15" s="359"/>
      <c r="E15" s="359"/>
      <c r="F15" s="359"/>
    </row>
    <row r="16" spans="2:6">
      <c r="B16" s="358" t="s">
        <v>121</v>
      </c>
      <c r="C16" s="359"/>
      <c r="D16" s="359"/>
      <c r="E16" s="359"/>
      <c r="F16" s="359"/>
    </row>
    <row r="17" spans="2:6">
      <c r="B17" s="358" t="s">
        <v>122</v>
      </c>
      <c r="C17" s="359"/>
      <c r="D17" s="359"/>
      <c r="E17" s="359"/>
      <c r="F17" s="359"/>
    </row>
    <row r="18" spans="2:6">
      <c r="B18" s="358" t="s">
        <v>123</v>
      </c>
      <c r="C18" s="359"/>
      <c r="D18" s="359"/>
      <c r="E18" s="359"/>
      <c r="F18" s="359"/>
    </row>
    <row r="19" spans="2:6">
      <c r="B19" s="358" t="s">
        <v>124</v>
      </c>
      <c r="C19" s="359"/>
      <c r="D19" s="359"/>
      <c r="E19" s="359"/>
      <c r="F19" s="359"/>
    </row>
    <row r="20" spans="2:6">
      <c r="B20" s="358" t="s">
        <v>125</v>
      </c>
      <c r="C20" s="359"/>
      <c r="D20" s="359"/>
      <c r="E20" s="359"/>
      <c r="F20" s="359"/>
    </row>
    <row r="21" spans="2:6">
      <c r="B21" s="358" t="s">
        <v>126</v>
      </c>
      <c r="C21" s="359"/>
      <c r="D21" s="359"/>
      <c r="E21" s="359"/>
      <c r="F21" s="359"/>
    </row>
    <row r="22" spans="2:6">
      <c r="B22" s="358" t="s">
        <v>127</v>
      </c>
      <c r="C22" s="359"/>
      <c r="D22" s="359"/>
      <c r="E22" s="359"/>
      <c r="F22" s="359"/>
    </row>
    <row r="23" spans="2:6">
      <c r="B23" s="358" t="s">
        <v>128</v>
      </c>
      <c r="C23" s="359"/>
      <c r="D23" s="359"/>
      <c r="E23" s="359"/>
      <c r="F23" s="359"/>
    </row>
    <row r="24" spans="2:6">
      <c r="B24" s="358" t="s">
        <v>129</v>
      </c>
      <c r="C24" s="359"/>
      <c r="D24" s="359"/>
      <c r="E24" s="359"/>
      <c r="F24" s="359"/>
    </row>
    <row r="25" spans="2:6">
      <c r="B25" s="358" t="s">
        <v>130</v>
      </c>
      <c r="C25" s="359"/>
      <c r="D25" s="359"/>
      <c r="E25" s="359"/>
      <c r="F25" s="359"/>
    </row>
    <row r="26" spans="2:6">
      <c r="B26" s="358" t="s">
        <v>131</v>
      </c>
      <c r="C26" s="359"/>
      <c r="D26" s="359"/>
      <c r="E26" s="359"/>
      <c r="F26" s="359"/>
    </row>
    <row r="27" spans="2:6">
      <c r="B27" s="358" t="s">
        <v>132</v>
      </c>
      <c r="C27" s="359"/>
      <c r="D27" s="359"/>
      <c r="E27" s="359"/>
      <c r="F27" s="359"/>
    </row>
    <row r="28" spans="2:6">
      <c r="B28" s="358" t="s">
        <v>133</v>
      </c>
      <c r="C28" s="359"/>
      <c r="D28" s="359"/>
      <c r="E28" s="359"/>
      <c r="F28" s="359"/>
    </row>
    <row r="29" spans="2:6">
      <c r="B29" s="358" t="s">
        <v>134</v>
      </c>
      <c r="C29" s="359"/>
      <c r="D29" s="359"/>
      <c r="E29" s="359"/>
      <c r="F29" s="359"/>
    </row>
    <row r="30" spans="2:6">
      <c r="B30" s="358" t="s">
        <v>135</v>
      </c>
      <c r="C30" s="359"/>
      <c r="D30" s="359"/>
      <c r="E30" s="359"/>
      <c r="F30" s="359"/>
    </row>
    <row r="31" spans="2:6">
      <c r="B31" s="358" t="s">
        <v>136</v>
      </c>
      <c r="C31" s="359"/>
      <c r="D31" s="359"/>
      <c r="E31" s="359"/>
      <c r="F31" s="359"/>
    </row>
    <row r="32" spans="2:6">
      <c r="B32" s="358" t="s">
        <v>137</v>
      </c>
      <c r="C32" s="359"/>
      <c r="D32" s="359"/>
      <c r="E32" s="359"/>
      <c r="F32" s="359"/>
    </row>
  </sheetData>
  <protectedRanges>
    <protectedRange sqref="B14:F32" name="区域2"/>
    <protectedRange sqref="C2 C7:F8 C3:F3 H5:K5" name="区域1"/>
  </protectedRange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N9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第九期!AF76</f>
        <v>0</v>
      </c>
      <c r="BT7" s="198">
        <f>第九期!AF77</f>
        <v>0</v>
      </c>
      <c r="BU7" s="198">
        <f>第九期!AF78</f>
        <v>0</v>
      </c>
      <c r="BV7" s="198">
        <f>第九期!AF79</f>
        <v>0</v>
      </c>
      <c r="BW7" s="200">
        <f>第九期!$AF$80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第九期!$AG$76</f>
        <v>0</v>
      </c>
      <c r="BT8" s="198">
        <f>第九期!$AG$77</f>
        <v>0</v>
      </c>
      <c r="BU8" s="198">
        <f>第九期!$AG$78</f>
        <v>0</v>
      </c>
      <c r="BV8" s="198">
        <f>第九期!$AG$79</f>
        <v>0</v>
      </c>
      <c r="BW8" s="200">
        <f>第九期!$AG$80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第九期!DB56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第九期!$AH$76</f>
        <v>0</v>
      </c>
      <c r="BT9" s="198">
        <f>第九期!$AH$77</f>
        <v>0</v>
      </c>
      <c r="BU9" s="198">
        <f>第九期!$AH$78</f>
        <v>0</v>
      </c>
      <c r="BV9" s="198">
        <f>第九期!$AH$79</f>
        <v>0</v>
      </c>
      <c r="BW9" s="200">
        <f>第九期!$AH$80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第九期!DB57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第九期!$AI$76</f>
        <v>0</v>
      </c>
      <c r="BT10" s="198">
        <f>第九期!$AI$77</f>
        <v>0</v>
      </c>
      <c r="BU10" s="198">
        <f>第九期!$AI$78</f>
        <v>0</v>
      </c>
      <c r="BV10" s="198">
        <f>第九期!$AI$79</f>
        <v>0</v>
      </c>
      <c r="BW10" s="200">
        <f>第九期!$AI$80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第九期!DB58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第九期!$AJ$76</f>
        <v>0</v>
      </c>
      <c r="BT11" s="200">
        <f>第九期!$AJ$77</f>
        <v>0</v>
      </c>
      <c r="BU11" s="200">
        <f>第九期!$AJ$78</f>
        <v>0</v>
      </c>
      <c r="BV11" s="200">
        <f>第九期!$AJ$79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第九期!DB59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第九期!BU86</f>
        <v>0</v>
      </c>
      <c r="AG13" s="135" t="s">
        <v>208</v>
      </c>
      <c r="AH13" s="136">
        <f>第九期!BV76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第九期!BW92</f>
        <v>0</v>
      </c>
      <c r="AG14" s="73" t="s">
        <v>214</v>
      </c>
      <c r="AH14" s="138"/>
      <c r="AI14" s="42" t="s">
        <v>97</v>
      </c>
      <c r="AJ14" s="139">
        <f>第九期!K12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第九期!Y88</f>
        <v>0</v>
      </c>
      <c r="BT14" s="198">
        <f>第九期!Y89</f>
        <v>0</v>
      </c>
      <c r="BU14" s="198">
        <f>第九期!Y90</f>
        <v>0</v>
      </c>
      <c r="BV14" s="198">
        <f>第九期!Y91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AF14/(Y18+第九期!K8-AA18)</f>
        <v>#DIV/0!</v>
      </c>
      <c r="AG15" s="73" t="s">
        <v>220</v>
      </c>
      <c r="AH15" s="138"/>
      <c r="AI15" s="42" t="s">
        <v>221</v>
      </c>
      <c r="AJ15" s="139">
        <f>第九期!K16*0.5-第九期!K14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第九期!Z88</f>
        <v>0</v>
      </c>
      <c r="BT15" s="198">
        <f>第九期!Z89</f>
        <v>0</v>
      </c>
      <c r="BU15" s="198">
        <f>第九期!Z90</f>
        <v>0</v>
      </c>
      <c r="BV15" s="198">
        <f>第九期!Z91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第九期!DM60</f>
        <v>0</v>
      </c>
      <c r="Z16" s="92" t="s">
        <v>224</v>
      </c>
      <c r="AA16" s="93">
        <f>AH20+Y16+第九期!K9*比赛参数!D30*比赛参数!F30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第九期!AA88</f>
        <v>0</v>
      </c>
      <c r="BT16" s="198">
        <f>第九期!AA89</f>
        <v>0</v>
      </c>
      <c r="BU16" s="198">
        <f>第九期!AA90</f>
        <v>0</v>
      </c>
      <c r="BV16" s="198">
        <f>第九期!AA91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第九期!AB88</f>
        <v>0</v>
      </c>
      <c r="BT17" s="198">
        <f>第九期!AB89</f>
        <v>0</v>
      </c>
      <c r="BU17" s="198">
        <f>第九期!AB90</f>
        <v>0</v>
      </c>
      <c r="BV17" s="198">
        <f>第九期!AB91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第九期!K8*比赛参数!D57</f>
        <v>0</v>
      </c>
      <c r="Z19" s="104" t="s">
        <v>250</v>
      </c>
      <c r="AA19" s="99">
        <f>第九期!K8*比赛参数!D60</f>
        <v>0</v>
      </c>
      <c r="AB19" s="104" t="s">
        <v>250</v>
      </c>
      <c r="AC19" s="105" t="e">
        <f>IF((AC21-第九期!K10)/比赛参数!D41&gt;0,(AC21-第九期!K10)/比赛参数!D41,0)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IF((第九期!BW92-第九期!BS87)&gt;0,第九期!BW92-第九期!BS87,0)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第九期!$CX$68</f>
        <v>0</v>
      </c>
      <c r="CD19" s="110">
        <f>第九期!$CX$69</f>
        <v>0</v>
      </c>
      <c r="CE19" s="110">
        <f>第九期!$CX$70</f>
        <v>0</v>
      </c>
      <c r="CF19" s="110">
        <f>第九期!$CX$71</f>
        <v>0</v>
      </c>
      <c r="CG19" s="219"/>
      <c r="CH19" s="225"/>
      <c r="CI19" s="226" t="s">
        <v>55</v>
      </c>
      <c r="CJ19" s="110">
        <f>第九期!$CX$50</f>
        <v>0</v>
      </c>
      <c r="CK19" s="110">
        <f>第九期!$CX$51</f>
        <v>0</v>
      </c>
      <c r="CL19" s="110">
        <f>第九期!$CX$52</f>
        <v>0</v>
      </c>
      <c r="CM19" s="110">
        <f>第九期!$CX$53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第九期!K8+第九期!Y18*比赛参数!D59-第九期!AA18</f>
        <v>0</v>
      </c>
      <c r="Z20" s="42" t="s">
        <v>245</v>
      </c>
      <c r="AA20" s="108">
        <f>第九期!K9</f>
        <v>0</v>
      </c>
      <c r="AB20" s="42" t="s">
        <v>257</v>
      </c>
      <c r="AC20" s="109">
        <f>AC18*比赛参数!D41+第九期!K10</f>
        <v>0</v>
      </c>
      <c r="AE20" s="11" t="s">
        <v>258</v>
      </c>
      <c r="AF20" s="101"/>
      <c r="AG20" s="42" t="s">
        <v>91</v>
      </c>
      <c r="AH20" s="147">
        <f>第九期!BS62+第九期!BS71</f>
        <v>0</v>
      </c>
      <c r="AI20" s="73" t="s">
        <v>259</v>
      </c>
      <c r="AJ20" s="111">
        <f>第九期!BV90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第九期!Y9</f>
        <v>0</v>
      </c>
      <c r="BT20" s="198">
        <f>第九期!Z9</f>
        <v>0</v>
      </c>
      <c r="BU20" s="198">
        <f>第九期!AA9</f>
        <v>0</v>
      </c>
      <c r="BV20" s="198">
        <f>第九期!AB9</f>
        <v>0</v>
      </c>
      <c r="BW20" s="200">
        <f>第九期!AJ34</f>
        <v>0</v>
      </c>
      <c r="BX20" s="215"/>
      <c r="CA20" s="213"/>
      <c r="CB20" s="196" t="s">
        <v>56</v>
      </c>
      <c r="CC20" s="110">
        <f>第九期!$CY$68</f>
        <v>0</v>
      </c>
      <c r="CD20" s="110">
        <f>第九期!$CY$69</f>
        <v>0</v>
      </c>
      <c r="CE20" s="110">
        <f>第九期!$CY$70</f>
        <v>0</v>
      </c>
      <c r="CF20" s="110">
        <f>第九期!$CY$71</f>
        <v>0</v>
      </c>
      <c r="CG20" s="219"/>
      <c r="CH20" s="225"/>
      <c r="CI20" s="227" t="s">
        <v>56</v>
      </c>
      <c r="CJ20" s="110">
        <f>第九期!$CY$50</f>
        <v>0</v>
      </c>
      <c r="CK20" s="110">
        <f>第九期!$CY$51</f>
        <v>0</v>
      </c>
      <c r="CL20" s="110">
        <f>第九期!$CY$52</f>
        <v>0</v>
      </c>
      <c r="CM20" s="110">
        <f>第九期!$CY$53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第九期!Y10</f>
        <v>0</v>
      </c>
      <c r="BT21" s="198">
        <f>第九期!Z10</f>
        <v>0</v>
      </c>
      <c r="BU21" s="198">
        <f>第九期!AA10</f>
        <v>0</v>
      </c>
      <c r="BV21" s="198">
        <f>第九期!AB10</f>
        <v>0</v>
      </c>
      <c r="BW21" s="200">
        <f>第九期!AJ35</f>
        <v>0</v>
      </c>
      <c r="BX21" s="215"/>
      <c r="CA21" s="213"/>
      <c r="CB21" s="196" t="s">
        <v>57</v>
      </c>
      <c r="CC21" s="110">
        <f>第九期!$CZ$68</f>
        <v>0</v>
      </c>
      <c r="CD21" s="110">
        <f>第九期!$CZ$69</f>
        <v>0</v>
      </c>
      <c r="CE21" s="110">
        <f>第九期!$CZ$70</f>
        <v>0</v>
      </c>
      <c r="CF21" s="110">
        <f>第九期!$CZ$71</f>
        <v>0</v>
      </c>
      <c r="CG21" s="219"/>
      <c r="CH21" s="225"/>
      <c r="CI21" s="227" t="s">
        <v>57</v>
      </c>
      <c r="CJ21" s="110">
        <f>第九期!$CZ$50</f>
        <v>0</v>
      </c>
      <c r="CK21" s="110">
        <f>第九期!$CZ$51</f>
        <v>0</v>
      </c>
      <c r="CL21" s="110">
        <f>第九期!$CZ$52</f>
        <v>0</v>
      </c>
      <c r="CM21" s="110">
        <f>第九期!$CZ$53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第九期!Y11</f>
        <v>0</v>
      </c>
      <c r="BT22" s="198">
        <f>第九期!Z11</f>
        <v>0</v>
      </c>
      <c r="BU22" s="198">
        <f>第九期!AA11</f>
        <v>0</v>
      </c>
      <c r="BV22" s="198">
        <f>第九期!AB11</f>
        <v>0</v>
      </c>
      <c r="BW22" s="200">
        <f>第九期!AJ36</f>
        <v>0</v>
      </c>
      <c r="BX22" s="215"/>
      <c r="CA22" s="213"/>
      <c r="CB22" s="196" t="s">
        <v>58</v>
      </c>
      <c r="CC22" s="110">
        <f>第九期!$DA$68</f>
        <v>0</v>
      </c>
      <c r="CD22" s="110">
        <f>第九期!$DA$69</f>
        <v>0</v>
      </c>
      <c r="CE22" s="110">
        <f>第九期!$DA$70</f>
        <v>0</v>
      </c>
      <c r="CF22" s="110">
        <f>第九期!$DA$71</f>
        <v>0</v>
      </c>
      <c r="CG22" s="219"/>
      <c r="CH22" s="225"/>
      <c r="CI22" s="227" t="s">
        <v>58</v>
      </c>
      <c r="CJ22" s="110">
        <f>第九期!$DA$50</f>
        <v>0</v>
      </c>
      <c r="CK22" s="110">
        <f>第九期!$DA$51</f>
        <v>0</v>
      </c>
      <c r="CL22" s="110">
        <f>第九期!$DA$52</f>
        <v>0</v>
      </c>
      <c r="CM22" s="110">
        <f>第九期!$DA$53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H23" s="2" t="e">
        <f>(AJ20+AJ15-AJ21)/比赛参数!D30</f>
        <v>#DIV/0!</v>
      </c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第九期!Y12</f>
        <v>0</v>
      </c>
      <c r="BT23" s="198">
        <f>第九期!Z12</f>
        <v>0</v>
      </c>
      <c r="BU23" s="198">
        <f>第九期!AA12</f>
        <v>0</v>
      </c>
      <c r="BV23" s="198">
        <f>第九期!AB12</f>
        <v>0</v>
      </c>
      <c r="BW23" s="200">
        <f>第九期!AJ37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第九期!BV57-第九期!BV76</f>
        <v>0</v>
      </c>
      <c r="AJ26" s="65">
        <f>第九期!K9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第九期!DB50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第九期!Y18</f>
        <v>0</v>
      </c>
      <c r="BT26" s="198">
        <f>第九期!AA18</f>
        <v>0</v>
      </c>
      <c r="BU26" s="198">
        <f>第九期!AF18</f>
        <v>0</v>
      </c>
      <c r="BV26" s="204">
        <f>第九期!AC18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第九期!DB51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第九期!DB52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第九期!DB53</f>
        <v>0</v>
      </c>
      <c r="BQ29" s="177"/>
      <c r="BR29" s="201"/>
      <c r="BS29" s="204">
        <f>第九期!AH14</f>
        <v>0</v>
      </c>
      <c r="BT29" s="204">
        <f>第九期!AH15</f>
        <v>0</v>
      </c>
      <c r="BU29" s="198">
        <f>第九期!AF20</f>
        <v>0</v>
      </c>
      <c r="BV29" s="204">
        <f>第九期!AJ18</f>
        <v>0</v>
      </c>
      <c r="BW29" s="218">
        <f>第九期!AH18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AS52" si="28">IF(D73="","",D73)</f>
        <v/>
      </c>
      <c r="AT33" s="187" t="str">
        <f t="shared" ref="AT33:BH48" si="29">IF(E73="","",E73)</f>
        <v/>
      </c>
      <c r="AU33" s="187" t="str">
        <f t="shared" si="29"/>
        <v/>
      </c>
      <c r="AV33" s="188" t="str">
        <f t="shared" si="29"/>
        <v/>
      </c>
      <c r="AW33" s="186" t="str">
        <f t="shared" si="29"/>
        <v/>
      </c>
      <c r="AX33" s="187" t="str">
        <f t="shared" si="29"/>
        <v/>
      </c>
      <c r="AY33" s="187" t="str">
        <f t="shared" si="29"/>
        <v/>
      </c>
      <c r="AZ33" s="188" t="str">
        <f t="shared" si="29"/>
        <v/>
      </c>
      <c r="BA33" s="186" t="str">
        <f t="shared" si="29"/>
        <v/>
      </c>
      <c r="BB33" s="187" t="str">
        <f t="shared" si="29"/>
        <v/>
      </c>
      <c r="BC33" s="187" t="str">
        <f t="shared" si="29"/>
        <v/>
      </c>
      <c r="BD33" s="188" t="str">
        <f t="shared" si="29"/>
        <v/>
      </c>
      <c r="BE33" s="186" t="str">
        <f t="shared" si="29"/>
        <v/>
      </c>
      <c r="BF33" s="187" t="str">
        <f t="shared" si="29"/>
        <v/>
      </c>
      <c r="BG33" s="187" t="str">
        <f t="shared" si="29"/>
        <v/>
      </c>
      <c r="BH33" s="188" t="str">
        <f t="shared" si="29"/>
        <v/>
      </c>
      <c r="BX33" s="215"/>
      <c r="CA33" s="213"/>
      <c r="CB33" s="196" t="s">
        <v>310</v>
      </c>
      <c r="CC33" s="230">
        <f t="shared" ref="CC33:CF35" si="30">CC70</f>
        <v>0</v>
      </c>
      <c r="CD33" s="230">
        <f t="shared" si="30"/>
        <v>0</v>
      </c>
      <c r="CE33" s="230">
        <f t="shared" si="30"/>
        <v>0</v>
      </c>
      <c r="CF33" s="230">
        <f t="shared" si="30"/>
        <v>0</v>
      </c>
      <c r="CG33" s="225"/>
      <c r="CH33" s="225"/>
      <c r="CI33" s="197" t="s">
        <v>55</v>
      </c>
      <c r="CJ33" s="231">
        <f t="shared" ref="CJ33:CM36" si="31">IF(CJ27&gt;0,(AF76-CJ27)/CJ27,0)</f>
        <v>0</v>
      </c>
      <c r="CK33" s="231">
        <f t="shared" si="31"/>
        <v>0</v>
      </c>
      <c r="CL33" s="231">
        <f t="shared" si="31"/>
        <v>0</v>
      </c>
      <c r="CM33" s="231">
        <f t="shared" si="31"/>
        <v>0</v>
      </c>
      <c r="CN33" s="48"/>
      <c r="CO33" s="239"/>
      <c r="DS33" s="37">
        <f t="shared" ref="DS33:EH33" si="32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2"/>
        <v>0</v>
      </c>
      <c r="DU33" s="37">
        <f t="shared" si="32"/>
        <v>0</v>
      </c>
      <c r="DV33" s="37">
        <f t="shared" si="32"/>
        <v>0</v>
      </c>
      <c r="DW33" s="37">
        <f t="shared" si="32"/>
        <v>0</v>
      </c>
      <c r="DX33" s="37">
        <f t="shared" si="32"/>
        <v>0</v>
      </c>
      <c r="DY33" s="37">
        <f t="shared" si="32"/>
        <v>0</v>
      </c>
      <c r="DZ33" s="37">
        <f t="shared" si="32"/>
        <v>0</v>
      </c>
      <c r="EA33" s="37">
        <f t="shared" si="32"/>
        <v>0</v>
      </c>
      <c r="EB33" s="37">
        <f t="shared" si="32"/>
        <v>0</v>
      </c>
      <c r="EC33" s="37">
        <f t="shared" si="32"/>
        <v>0</v>
      </c>
      <c r="ED33" s="37">
        <f t="shared" si="32"/>
        <v>0</v>
      </c>
      <c r="EE33" s="37">
        <f t="shared" si="32"/>
        <v>0</v>
      </c>
      <c r="EF33" s="37">
        <f t="shared" si="32"/>
        <v>0</v>
      </c>
      <c r="EG33" s="37">
        <f t="shared" si="32"/>
        <v>0</v>
      </c>
      <c r="EH33" s="37">
        <f t="shared" si="32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INT(第九期!DV26)</f>
        <v>0</v>
      </c>
      <c r="AN34" s="126"/>
      <c r="AR34" s="185">
        <v>2</v>
      </c>
      <c r="AS34" s="186" t="str">
        <f t="shared" si="28"/>
        <v/>
      </c>
      <c r="AT34" s="187" t="str">
        <f t="shared" si="29"/>
        <v/>
      </c>
      <c r="AU34" s="187" t="str">
        <f t="shared" si="29"/>
        <v/>
      </c>
      <c r="AV34" s="188" t="str">
        <f t="shared" si="29"/>
        <v/>
      </c>
      <c r="AW34" s="186" t="str">
        <f t="shared" si="29"/>
        <v/>
      </c>
      <c r="AX34" s="187" t="str">
        <f t="shared" si="29"/>
        <v/>
      </c>
      <c r="AY34" s="187" t="str">
        <f t="shared" si="29"/>
        <v/>
      </c>
      <c r="AZ34" s="188" t="str">
        <f t="shared" si="29"/>
        <v/>
      </c>
      <c r="BA34" s="186" t="str">
        <f t="shared" si="29"/>
        <v/>
      </c>
      <c r="BB34" s="187" t="str">
        <f t="shared" si="29"/>
        <v/>
      </c>
      <c r="BC34" s="187" t="str">
        <f t="shared" si="29"/>
        <v/>
      </c>
      <c r="BD34" s="188" t="str">
        <f t="shared" si="29"/>
        <v/>
      </c>
      <c r="BE34" s="186" t="str">
        <f t="shared" si="29"/>
        <v/>
      </c>
      <c r="BF34" s="187" t="str">
        <f t="shared" si="29"/>
        <v/>
      </c>
      <c r="BG34" s="187" t="str">
        <f t="shared" si="29"/>
        <v/>
      </c>
      <c r="BH34" s="188" t="str">
        <f t="shared" si="29"/>
        <v/>
      </c>
      <c r="BX34" s="215"/>
      <c r="CA34" s="213"/>
      <c r="CB34" s="196" t="s">
        <v>311</v>
      </c>
      <c r="CC34" s="230" t="e">
        <f t="shared" si="30"/>
        <v>#DIV/0!</v>
      </c>
      <c r="CD34" s="230" t="e">
        <f t="shared" si="30"/>
        <v>#DIV/0!</v>
      </c>
      <c r="CE34" s="230" t="e">
        <f t="shared" si="30"/>
        <v>#DIV/0!</v>
      </c>
      <c r="CF34" s="230" t="e">
        <f t="shared" si="30"/>
        <v>#DIV/0!</v>
      </c>
      <c r="CG34" s="232"/>
      <c r="CH34" s="225"/>
      <c r="CI34" s="196" t="s">
        <v>56</v>
      </c>
      <c r="CJ34" s="231">
        <f t="shared" si="31"/>
        <v>0</v>
      </c>
      <c r="CK34" s="231">
        <f t="shared" si="31"/>
        <v>0</v>
      </c>
      <c r="CL34" s="231">
        <f t="shared" si="31"/>
        <v>0</v>
      </c>
      <c r="CM34" s="231">
        <f t="shared" si="31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INT(第九期!DV27)</f>
        <v>0</v>
      </c>
      <c r="AN35" s="126"/>
      <c r="AR35" s="185">
        <v>3</v>
      </c>
      <c r="AS35" s="186" t="str">
        <f t="shared" si="28"/>
        <v/>
      </c>
      <c r="AT35" s="187" t="str">
        <f t="shared" si="29"/>
        <v/>
      </c>
      <c r="AU35" s="187" t="str">
        <f t="shared" si="29"/>
        <v/>
      </c>
      <c r="AV35" s="188" t="str">
        <f t="shared" si="29"/>
        <v/>
      </c>
      <c r="AW35" s="186" t="str">
        <f t="shared" si="29"/>
        <v/>
      </c>
      <c r="AX35" s="187" t="str">
        <f t="shared" si="29"/>
        <v/>
      </c>
      <c r="AY35" s="187" t="str">
        <f t="shared" si="29"/>
        <v/>
      </c>
      <c r="AZ35" s="188" t="str">
        <f t="shared" si="29"/>
        <v/>
      </c>
      <c r="BA35" s="186" t="str">
        <f t="shared" si="29"/>
        <v/>
      </c>
      <c r="BB35" s="187" t="str">
        <f t="shared" si="29"/>
        <v/>
      </c>
      <c r="BC35" s="187" t="str">
        <f t="shared" si="29"/>
        <v/>
      </c>
      <c r="BD35" s="188" t="str">
        <f t="shared" si="29"/>
        <v/>
      </c>
      <c r="BE35" s="186" t="str">
        <f t="shared" si="29"/>
        <v/>
      </c>
      <c r="BF35" s="187" t="str">
        <f t="shared" si="29"/>
        <v/>
      </c>
      <c r="BG35" s="187" t="str">
        <f t="shared" si="29"/>
        <v/>
      </c>
      <c r="BH35" s="188" t="str">
        <f t="shared" si="29"/>
        <v/>
      </c>
      <c r="CA35" s="213"/>
      <c r="CB35" s="196" t="s">
        <v>313</v>
      </c>
      <c r="CC35" s="230">
        <f t="shared" si="30"/>
        <v>0</v>
      </c>
      <c r="CD35" s="230">
        <f t="shared" si="30"/>
        <v>0</v>
      </c>
      <c r="CE35" s="230">
        <f t="shared" si="30"/>
        <v>0</v>
      </c>
      <c r="CF35" s="230">
        <f t="shared" si="30"/>
        <v>0</v>
      </c>
      <c r="CG35" s="232"/>
      <c r="CH35" s="225"/>
      <c r="CI35" s="196" t="s">
        <v>57</v>
      </c>
      <c r="CJ35" s="231">
        <f t="shared" si="31"/>
        <v>0</v>
      </c>
      <c r="CK35" s="231">
        <f t="shared" si="31"/>
        <v>0</v>
      </c>
      <c r="CL35" s="231">
        <f t="shared" si="31"/>
        <v>0</v>
      </c>
      <c r="CM35" s="231">
        <f t="shared" si="31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3">CZ23/CZ17</f>
        <v>#DIV/0!</v>
      </c>
      <c r="DA35" s="2" t="e">
        <f t="shared" si="33"/>
        <v>#DIV/0!</v>
      </c>
      <c r="DB35" s="2" t="e">
        <f t="shared" si="33"/>
        <v>#DIV/0!</v>
      </c>
      <c r="DC35" s="2" t="e">
        <f t="shared" si="33"/>
        <v>#DIV/0!</v>
      </c>
      <c r="DD35" s="2" t="e">
        <f>SUMPRODUCT(CZ35:DC35,BS14:BV14)/SUM(BS14:BV14)</f>
        <v>#DIV/0!</v>
      </c>
      <c r="DG35" s="2" t="e">
        <f t="shared" ref="DG35:DJ38" si="34">DG23/DG17</f>
        <v>#DIV/0!</v>
      </c>
      <c r="DH35" s="2" t="e">
        <f t="shared" si="34"/>
        <v>#DIV/0!</v>
      </c>
      <c r="DI35" s="2" t="e">
        <f t="shared" si="34"/>
        <v>#DIV/0!</v>
      </c>
      <c r="DJ35" s="2" t="e">
        <f t="shared" si="34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INT(第九期!DV28)</f>
        <v>0</v>
      </c>
      <c r="AN36" s="126"/>
      <c r="AR36" s="185">
        <v>4</v>
      </c>
      <c r="AS36" s="186" t="str">
        <f t="shared" si="28"/>
        <v/>
      </c>
      <c r="AT36" s="187" t="str">
        <f t="shared" si="29"/>
        <v/>
      </c>
      <c r="AU36" s="187" t="str">
        <f t="shared" si="29"/>
        <v/>
      </c>
      <c r="AV36" s="188" t="str">
        <f t="shared" si="29"/>
        <v/>
      </c>
      <c r="AW36" s="186" t="str">
        <f t="shared" si="29"/>
        <v/>
      </c>
      <c r="AX36" s="187" t="str">
        <f t="shared" si="29"/>
        <v/>
      </c>
      <c r="AY36" s="187" t="str">
        <f t="shared" si="29"/>
        <v/>
      </c>
      <c r="AZ36" s="188" t="str">
        <f t="shared" si="29"/>
        <v/>
      </c>
      <c r="BA36" s="186" t="str">
        <f t="shared" si="29"/>
        <v/>
      </c>
      <c r="BB36" s="187" t="str">
        <f t="shared" si="29"/>
        <v/>
      </c>
      <c r="BC36" s="187" t="str">
        <f t="shared" si="29"/>
        <v/>
      </c>
      <c r="BD36" s="188" t="str">
        <f t="shared" si="29"/>
        <v/>
      </c>
      <c r="BE36" s="186" t="str">
        <f t="shared" si="29"/>
        <v/>
      </c>
      <c r="BF36" s="187" t="str">
        <f t="shared" si="29"/>
        <v/>
      </c>
      <c r="BG36" s="187" t="str">
        <f t="shared" si="29"/>
        <v/>
      </c>
      <c r="BH36" s="188" t="str">
        <f t="shared" si="29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1"/>
        <v>0</v>
      </c>
      <c r="CK36" s="231">
        <f t="shared" si="31"/>
        <v>0</v>
      </c>
      <c r="CL36" s="231">
        <f t="shared" si="31"/>
        <v>0</v>
      </c>
      <c r="CM36" s="231">
        <f t="shared" si="31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3"/>
        <v>#DIV/0!</v>
      </c>
      <c r="DA36" s="2" t="e">
        <f t="shared" si="33"/>
        <v>#DIV/0!</v>
      </c>
      <c r="DB36" s="2" t="e">
        <f t="shared" si="33"/>
        <v>#DIV/0!</v>
      </c>
      <c r="DC36" s="2" t="e">
        <f t="shared" si="33"/>
        <v>#DIV/0!</v>
      </c>
      <c r="DD36" s="2" t="e">
        <f>SUMPRODUCT(CZ36:DC36,BS15:BV15)/SUM(BS15:BV15)</f>
        <v>#DIV/0!</v>
      </c>
      <c r="DG36" s="2" t="e">
        <f t="shared" si="34"/>
        <v>#DIV/0!</v>
      </c>
      <c r="DH36" s="2" t="e">
        <f t="shared" si="34"/>
        <v>#DIV/0!</v>
      </c>
      <c r="DI36" s="2" t="e">
        <f t="shared" si="34"/>
        <v>#DIV/0!</v>
      </c>
      <c r="DJ36" s="2" t="e">
        <f t="shared" si="34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INT(第九期!DV29)</f>
        <v>0</v>
      </c>
      <c r="AN37" s="126"/>
      <c r="AR37" s="185">
        <v>5</v>
      </c>
      <c r="AS37" s="186" t="str">
        <f t="shared" si="28"/>
        <v/>
      </c>
      <c r="AT37" s="187" t="str">
        <f t="shared" si="29"/>
        <v/>
      </c>
      <c r="AU37" s="187" t="str">
        <f t="shared" si="29"/>
        <v/>
      </c>
      <c r="AV37" s="188" t="str">
        <f t="shared" si="29"/>
        <v/>
      </c>
      <c r="AW37" s="186" t="str">
        <f t="shared" si="29"/>
        <v/>
      </c>
      <c r="AX37" s="187" t="str">
        <f t="shared" si="29"/>
        <v/>
      </c>
      <c r="AY37" s="187" t="str">
        <f t="shared" si="29"/>
        <v/>
      </c>
      <c r="AZ37" s="188" t="str">
        <f t="shared" si="29"/>
        <v/>
      </c>
      <c r="BA37" s="186" t="str">
        <f t="shared" si="29"/>
        <v/>
      </c>
      <c r="BB37" s="187" t="str">
        <f t="shared" si="29"/>
        <v/>
      </c>
      <c r="BC37" s="187" t="str">
        <f t="shared" si="29"/>
        <v/>
      </c>
      <c r="BD37" s="188" t="str">
        <f t="shared" si="29"/>
        <v/>
      </c>
      <c r="BE37" s="186" t="str">
        <f t="shared" si="29"/>
        <v/>
      </c>
      <c r="BF37" s="187" t="str">
        <f t="shared" si="29"/>
        <v/>
      </c>
      <c r="BG37" s="187" t="str">
        <f t="shared" si="29"/>
        <v/>
      </c>
      <c r="BH37" s="188" t="str">
        <f t="shared" si="29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3"/>
        <v>#DIV/0!</v>
      </c>
      <c r="DA37" s="2" t="e">
        <f t="shared" si="33"/>
        <v>#DIV/0!</v>
      </c>
      <c r="DB37" s="2" t="e">
        <f t="shared" si="33"/>
        <v>#DIV/0!</v>
      </c>
      <c r="DC37" s="2" t="e">
        <f t="shared" si="33"/>
        <v>#DIV/0!</v>
      </c>
      <c r="DD37" s="2" t="e">
        <f>SUMPRODUCT(CZ37:DC37,BS16:BV16)/SUM(BS16:BV16)</f>
        <v>#DIV/0!</v>
      </c>
      <c r="DG37" s="2" t="e">
        <f t="shared" si="34"/>
        <v>#DIV/0!</v>
      </c>
      <c r="DH37" s="2" t="e">
        <f t="shared" si="34"/>
        <v>#DIV/0!</v>
      </c>
      <c r="DI37" s="2" t="e">
        <f t="shared" si="34"/>
        <v>#DIV/0!</v>
      </c>
      <c r="DJ37" s="2" t="e">
        <f t="shared" si="34"/>
        <v>#DIV/0!</v>
      </c>
      <c r="DK37" s="2" t="e">
        <f>SUMPRODUCT(DG37:DJ37,BS16:BV16)/SUM(BS16:BV16)</f>
        <v>#DIV/0!</v>
      </c>
      <c r="DS37" s="37">
        <f t="shared" ref="DS37:EH37" si="35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5"/>
        <v>0</v>
      </c>
      <c r="DU37" s="37">
        <f t="shared" si="35"/>
        <v>0</v>
      </c>
      <c r="DV37" s="37">
        <f t="shared" si="35"/>
        <v>0</v>
      </c>
      <c r="DW37" s="37">
        <f t="shared" si="35"/>
        <v>0</v>
      </c>
      <c r="DX37" s="37">
        <f t="shared" si="35"/>
        <v>0</v>
      </c>
      <c r="DY37" s="37">
        <f t="shared" si="35"/>
        <v>0</v>
      </c>
      <c r="DZ37" s="37">
        <f t="shared" si="35"/>
        <v>0</v>
      </c>
      <c r="EA37" s="37">
        <f t="shared" si="35"/>
        <v>0</v>
      </c>
      <c r="EB37" s="37">
        <f t="shared" si="35"/>
        <v>0</v>
      </c>
      <c r="EC37" s="37">
        <f t="shared" si="35"/>
        <v>0</v>
      </c>
      <c r="ED37" s="37">
        <f t="shared" si="35"/>
        <v>0</v>
      </c>
      <c r="EE37" s="37">
        <f t="shared" si="35"/>
        <v>0</v>
      </c>
      <c r="EF37" s="37">
        <f t="shared" si="35"/>
        <v>0</v>
      </c>
      <c r="EG37" s="37">
        <f t="shared" si="35"/>
        <v>0</v>
      </c>
      <c r="EH37" s="37">
        <f t="shared" si="35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9"/>
        <v/>
      </c>
      <c r="AU38" s="187" t="str">
        <f t="shared" si="29"/>
        <v/>
      </c>
      <c r="AV38" s="188" t="str">
        <f t="shared" si="29"/>
        <v/>
      </c>
      <c r="AW38" s="186" t="str">
        <f t="shared" si="29"/>
        <v/>
      </c>
      <c r="AX38" s="187" t="str">
        <f t="shared" si="29"/>
        <v/>
      </c>
      <c r="AY38" s="187" t="str">
        <f t="shared" si="29"/>
        <v/>
      </c>
      <c r="AZ38" s="188" t="str">
        <f t="shared" si="29"/>
        <v/>
      </c>
      <c r="BA38" s="186" t="str">
        <f t="shared" si="29"/>
        <v/>
      </c>
      <c r="BB38" s="187" t="str">
        <f t="shared" si="29"/>
        <v/>
      </c>
      <c r="BC38" s="187" t="str">
        <f t="shared" si="29"/>
        <v/>
      </c>
      <c r="BD38" s="188" t="str">
        <f t="shared" si="29"/>
        <v/>
      </c>
      <c r="BE38" s="186" t="str">
        <f t="shared" si="29"/>
        <v/>
      </c>
      <c r="BF38" s="187" t="str">
        <f t="shared" si="29"/>
        <v/>
      </c>
      <c r="BG38" s="187" t="str">
        <f t="shared" si="29"/>
        <v/>
      </c>
      <c r="BH38" s="188" t="str">
        <f t="shared" si="29"/>
        <v/>
      </c>
      <c r="CA38" s="213"/>
      <c r="CB38" s="197" t="s">
        <v>55</v>
      </c>
      <c r="CC38" s="108">
        <f>第九期!DG56*第九期!DG50+第九期!DG64*第九期!Y88</f>
        <v>0</v>
      </c>
      <c r="CD38" s="108">
        <f>第九期!DH56*第九期!DH50+第九期!DH64*第九期!Z88</f>
        <v>0</v>
      </c>
      <c r="CE38" s="108">
        <f>第九期!DI56*第九期!DI50+第九期!DI64*第九期!AA88</f>
        <v>0</v>
      </c>
      <c r="CF38" s="108">
        <f>第九期!DJ56*第九期!DJ50+第九期!DJ64*第九期!AB88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3"/>
        <v>#DIV/0!</v>
      </c>
      <c r="DA38" s="2" t="e">
        <f t="shared" si="33"/>
        <v>#DIV/0!</v>
      </c>
      <c r="DB38" s="2" t="e">
        <f t="shared" si="33"/>
        <v>#DIV/0!</v>
      </c>
      <c r="DC38" s="2" t="e">
        <f t="shared" si="33"/>
        <v>#DIV/0!</v>
      </c>
      <c r="DD38" s="2" t="e">
        <f>SUMPRODUCT(CZ38:DC38,BS17:BV17)/SUM(BS17:BV17)</f>
        <v>#DIV/0!</v>
      </c>
      <c r="DG38" s="2" t="e">
        <f t="shared" si="34"/>
        <v>#DIV/0!</v>
      </c>
      <c r="DH38" s="2" t="e">
        <f t="shared" si="34"/>
        <v>#DIV/0!</v>
      </c>
      <c r="DI38" s="2" t="e">
        <f t="shared" si="34"/>
        <v>#DIV/0!</v>
      </c>
      <c r="DJ38" s="2" t="e">
        <f t="shared" si="34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9"/>
        <v/>
      </c>
      <c r="AU39" s="187" t="str">
        <f t="shared" si="29"/>
        <v/>
      </c>
      <c r="AV39" s="188" t="str">
        <f t="shared" si="29"/>
        <v/>
      </c>
      <c r="AW39" s="186" t="str">
        <f t="shared" si="29"/>
        <v/>
      </c>
      <c r="AX39" s="187" t="str">
        <f t="shared" si="29"/>
        <v/>
      </c>
      <c r="AY39" s="187" t="str">
        <f t="shared" si="29"/>
        <v/>
      </c>
      <c r="AZ39" s="188" t="str">
        <f t="shared" si="29"/>
        <v/>
      </c>
      <c r="BA39" s="186" t="str">
        <f t="shared" si="29"/>
        <v/>
      </c>
      <c r="BB39" s="187" t="str">
        <f t="shared" si="29"/>
        <v/>
      </c>
      <c r="BC39" s="187" t="str">
        <f t="shared" si="29"/>
        <v/>
      </c>
      <c r="BD39" s="188" t="str">
        <f t="shared" si="29"/>
        <v/>
      </c>
      <c r="BE39" s="186" t="str">
        <f t="shared" si="29"/>
        <v/>
      </c>
      <c r="BF39" s="187" t="str">
        <f t="shared" si="29"/>
        <v/>
      </c>
      <c r="BG39" s="187" t="str">
        <f t="shared" si="29"/>
        <v/>
      </c>
      <c r="BH39" s="188" t="str">
        <f t="shared" si="29"/>
        <v/>
      </c>
      <c r="CA39" s="213"/>
      <c r="CB39" s="196" t="s">
        <v>56</v>
      </c>
      <c r="CC39" s="108">
        <f>第九期!DG57*第九期!DG51+第九期!DG65*第九期!Y89</f>
        <v>0</v>
      </c>
      <c r="CD39" s="108">
        <f>第九期!DH57*第九期!DH51+第九期!DH65*第九期!Z89</f>
        <v>0</v>
      </c>
      <c r="CE39" s="108">
        <f>第九期!DI57*第九期!DI51+第九期!DI65*第九期!AA89</f>
        <v>0</v>
      </c>
      <c r="CF39" s="108">
        <f>第九期!DJ57*第九期!DJ51+第九期!DJ65*第九期!AB89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9"/>
        <v/>
      </c>
      <c r="AU40" s="187" t="str">
        <f t="shared" si="29"/>
        <v/>
      </c>
      <c r="AV40" s="188" t="str">
        <f t="shared" si="29"/>
        <v/>
      </c>
      <c r="AW40" s="186" t="str">
        <f t="shared" si="29"/>
        <v/>
      </c>
      <c r="AX40" s="187" t="str">
        <f t="shared" si="29"/>
        <v/>
      </c>
      <c r="AY40" s="187" t="str">
        <f t="shared" si="29"/>
        <v/>
      </c>
      <c r="AZ40" s="188" t="str">
        <f t="shared" si="29"/>
        <v/>
      </c>
      <c r="BA40" s="186" t="str">
        <f t="shared" si="29"/>
        <v/>
      </c>
      <c r="BB40" s="187" t="str">
        <f t="shared" si="29"/>
        <v/>
      </c>
      <c r="BC40" s="187" t="str">
        <f t="shared" si="29"/>
        <v/>
      </c>
      <c r="BD40" s="188" t="str">
        <f t="shared" si="29"/>
        <v/>
      </c>
      <c r="BE40" s="186" t="str">
        <f t="shared" si="29"/>
        <v/>
      </c>
      <c r="BF40" s="187" t="str">
        <f t="shared" si="29"/>
        <v/>
      </c>
      <c r="BG40" s="187" t="str">
        <f t="shared" si="29"/>
        <v/>
      </c>
      <c r="BH40" s="188" t="str">
        <f t="shared" si="29"/>
        <v/>
      </c>
      <c r="CA40" s="213"/>
      <c r="CB40" s="196" t="s">
        <v>57</v>
      </c>
      <c r="CC40" s="108">
        <f>第九期!DG58*第九期!DG52+第九期!DG66*第九期!Y90</f>
        <v>0</v>
      </c>
      <c r="CD40" s="108">
        <f>第九期!DH58*第九期!DH52+第九期!DH66*第九期!Z90</f>
        <v>0</v>
      </c>
      <c r="CE40" s="108">
        <f>第九期!DI58*第九期!DI52+第九期!DI66*第九期!AA90</f>
        <v>0</v>
      </c>
      <c r="CF40" s="108">
        <f>第九期!DJ58*第九期!DJ52+第九期!DJ66*第九期!AB90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9"/>
        <v/>
      </c>
      <c r="AU41" s="187" t="str">
        <f t="shared" si="29"/>
        <v/>
      </c>
      <c r="AV41" s="188" t="str">
        <f t="shared" si="29"/>
        <v/>
      </c>
      <c r="AW41" s="186" t="str">
        <f t="shared" si="29"/>
        <v/>
      </c>
      <c r="AX41" s="187" t="str">
        <f t="shared" si="29"/>
        <v/>
      </c>
      <c r="AY41" s="187" t="str">
        <f t="shared" si="29"/>
        <v/>
      </c>
      <c r="AZ41" s="188" t="str">
        <f t="shared" si="29"/>
        <v/>
      </c>
      <c r="BA41" s="186" t="str">
        <f t="shared" si="29"/>
        <v/>
      </c>
      <c r="BB41" s="187" t="str">
        <f t="shared" si="29"/>
        <v/>
      </c>
      <c r="BC41" s="187" t="str">
        <f t="shared" si="29"/>
        <v/>
      </c>
      <c r="BD41" s="188" t="str">
        <f t="shared" si="29"/>
        <v/>
      </c>
      <c r="BE41" s="186" t="str">
        <f t="shared" si="29"/>
        <v/>
      </c>
      <c r="BF41" s="187" t="str">
        <f t="shared" si="29"/>
        <v/>
      </c>
      <c r="BG41" s="187" t="str">
        <f t="shared" si="29"/>
        <v/>
      </c>
      <c r="BH41" s="188" t="str">
        <f t="shared" si="29"/>
        <v/>
      </c>
      <c r="CA41" s="213"/>
      <c r="CB41" s="196" t="s">
        <v>58</v>
      </c>
      <c r="CC41" s="108">
        <f>第九期!DG59*第九期!DG53+第九期!DG67*第九期!Y91</f>
        <v>0</v>
      </c>
      <c r="CD41" s="108">
        <f>第九期!DH59*第九期!DH53+第九期!DH67*第九期!Z91</f>
        <v>0</v>
      </c>
      <c r="CE41" s="108">
        <f>第九期!DI59*第九期!DI53+第九期!DI67*第九期!AA91</f>
        <v>0</v>
      </c>
      <c r="CF41" s="108">
        <f>第九期!DJ59*第九期!DJ53+第九期!DJ67*第九期!AB91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6">DG17/CS23</f>
        <v>#DIV/0!</v>
      </c>
      <c r="DH41" s="2" t="e">
        <f t="shared" si="36"/>
        <v>#DIV/0!</v>
      </c>
      <c r="DI41" s="2" t="e">
        <f t="shared" si="36"/>
        <v>#DIV/0!</v>
      </c>
      <c r="DJ41" s="2" t="e">
        <f t="shared" si="36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9"/>
        <v/>
      </c>
      <c r="AU42" s="187" t="str">
        <f t="shared" si="29"/>
        <v/>
      </c>
      <c r="AV42" s="188" t="str">
        <f t="shared" si="29"/>
        <v/>
      </c>
      <c r="AW42" s="186" t="str">
        <f t="shared" si="29"/>
        <v/>
      </c>
      <c r="AX42" s="187" t="str">
        <f t="shared" si="29"/>
        <v/>
      </c>
      <c r="AY42" s="187" t="str">
        <f t="shared" si="29"/>
        <v/>
      </c>
      <c r="AZ42" s="188" t="str">
        <f t="shared" si="29"/>
        <v/>
      </c>
      <c r="BA42" s="186" t="str">
        <f t="shared" si="29"/>
        <v/>
      </c>
      <c r="BB42" s="187" t="str">
        <f t="shared" si="29"/>
        <v/>
      </c>
      <c r="BC42" s="187" t="str">
        <f t="shared" si="29"/>
        <v/>
      </c>
      <c r="BD42" s="188" t="str">
        <f t="shared" si="29"/>
        <v/>
      </c>
      <c r="BE42" s="186" t="str">
        <f t="shared" si="29"/>
        <v/>
      </c>
      <c r="BF42" s="187" t="str">
        <f t="shared" si="29"/>
        <v/>
      </c>
      <c r="BG42" s="187" t="str">
        <f t="shared" si="29"/>
        <v/>
      </c>
      <c r="BH42" s="188" t="str">
        <f t="shared" si="29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6"/>
        <v>#DIV/0!</v>
      </c>
      <c r="DH42" s="2" t="e">
        <f t="shared" si="36"/>
        <v>#DIV/0!</v>
      </c>
      <c r="DI42" s="2" t="e">
        <f t="shared" si="36"/>
        <v>#DIV/0!</v>
      </c>
      <c r="DJ42" s="2" t="e">
        <f t="shared" si="36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9"/>
        <v/>
      </c>
      <c r="AU43" s="187" t="str">
        <f t="shared" si="29"/>
        <v/>
      </c>
      <c r="AV43" s="188" t="str">
        <f t="shared" si="29"/>
        <v/>
      </c>
      <c r="AW43" s="186" t="str">
        <f t="shared" si="29"/>
        <v/>
      </c>
      <c r="AX43" s="187" t="str">
        <f t="shared" si="29"/>
        <v/>
      </c>
      <c r="AY43" s="187" t="str">
        <f t="shared" si="29"/>
        <v/>
      </c>
      <c r="AZ43" s="188" t="str">
        <f t="shared" si="29"/>
        <v/>
      </c>
      <c r="BA43" s="186" t="str">
        <f t="shared" si="29"/>
        <v/>
      </c>
      <c r="BB43" s="187" t="str">
        <f t="shared" si="29"/>
        <v/>
      </c>
      <c r="BC43" s="187" t="str">
        <f t="shared" si="29"/>
        <v/>
      </c>
      <c r="BD43" s="188" t="str">
        <f t="shared" si="29"/>
        <v/>
      </c>
      <c r="BE43" s="186" t="str">
        <f t="shared" si="29"/>
        <v/>
      </c>
      <c r="BF43" s="187" t="str">
        <f t="shared" si="29"/>
        <v/>
      </c>
      <c r="BG43" s="187" t="str">
        <f t="shared" si="29"/>
        <v/>
      </c>
      <c r="BH43" s="188" t="str">
        <f t="shared" si="29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6"/>
        <v>#DIV/0!</v>
      </c>
      <c r="DH43" s="2" t="e">
        <f t="shared" si="36"/>
        <v>#DIV/0!</v>
      </c>
      <c r="DI43" s="2" t="e">
        <f t="shared" si="36"/>
        <v>#DIV/0!</v>
      </c>
      <c r="DJ43" s="2" t="e">
        <f t="shared" si="36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9"/>
        <v/>
      </c>
      <c r="AU44" s="187" t="str">
        <f t="shared" si="29"/>
        <v/>
      </c>
      <c r="AV44" s="188" t="str">
        <f t="shared" si="29"/>
        <v/>
      </c>
      <c r="AW44" s="186" t="str">
        <f t="shared" si="29"/>
        <v/>
      </c>
      <c r="AX44" s="187" t="str">
        <f t="shared" si="29"/>
        <v/>
      </c>
      <c r="AY44" s="187" t="str">
        <f t="shared" si="29"/>
        <v/>
      </c>
      <c r="AZ44" s="188" t="str">
        <f t="shared" si="29"/>
        <v/>
      </c>
      <c r="BA44" s="186" t="str">
        <f t="shared" si="29"/>
        <v/>
      </c>
      <c r="BB44" s="187" t="str">
        <f t="shared" si="29"/>
        <v/>
      </c>
      <c r="BC44" s="187" t="str">
        <f t="shared" si="29"/>
        <v/>
      </c>
      <c r="BD44" s="188" t="str">
        <f t="shared" si="29"/>
        <v/>
      </c>
      <c r="BE44" s="186" t="str">
        <f t="shared" si="29"/>
        <v/>
      </c>
      <c r="BF44" s="187" t="str">
        <f t="shared" si="29"/>
        <v/>
      </c>
      <c r="BG44" s="187" t="str">
        <f t="shared" si="29"/>
        <v/>
      </c>
      <c r="BH44" s="188" t="str">
        <f t="shared" si="29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6"/>
        <v>#DIV/0!</v>
      </c>
      <c r="DH44" s="2" t="e">
        <f t="shared" si="36"/>
        <v>#DIV/0!</v>
      </c>
      <c r="DI44" s="2" t="e">
        <f t="shared" si="36"/>
        <v>#DIV/0!</v>
      </c>
      <c r="DJ44" s="2" t="e">
        <f t="shared" si="36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9"/>
        <v/>
      </c>
      <c r="AU45" s="187" t="str">
        <f t="shared" si="29"/>
        <v/>
      </c>
      <c r="AV45" s="188" t="str">
        <f t="shared" si="29"/>
        <v/>
      </c>
      <c r="AW45" s="186" t="str">
        <f t="shared" si="29"/>
        <v/>
      </c>
      <c r="AX45" s="187" t="str">
        <f t="shared" si="29"/>
        <v/>
      </c>
      <c r="AY45" s="187" t="str">
        <f t="shared" si="29"/>
        <v/>
      </c>
      <c r="AZ45" s="188" t="str">
        <f t="shared" si="29"/>
        <v/>
      </c>
      <c r="BA45" s="186" t="str">
        <f t="shared" si="29"/>
        <v/>
      </c>
      <c r="BB45" s="187" t="str">
        <f t="shared" si="29"/>
        <v/>
      </c>
      <c r="BC45" s="187" t="str">
        <f t="shared" si="29"/>
        <v/>
      </c>
      <c r="BD45" s="188" t="str">
        <f t="shared" si="29"/>
        <v/>
      </c>
      <c r="BE45" s="186" t="str">
        <f t="shared" si="29"/>
        <v/>
      </c>
      <c r="BF45" s="187" t="str">
        <f t="shared" si="29"/>
        <v/>
      </c>
      <c r="BG45" s="187" t="str">
        <f t="shared" si="29"/>
        <v/>
      </c>
      <c r="BH45" s="188" t="str">
        <f t="shared" si="29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9"/>
        <v/>
      </c>
      <c r="AU46" s="187" t="str">
        <f t="shared" si="29"/>
        <v/>
      </c>
      <c r="AV46" s="188" t="str">
        <f t="shared" si="29"/>
        <v/>
      </c>
      <c r="AW46" s="186" t="str">
        <f t="shared" si="29"/>
        <v/>
      </c>
      <c r="AX46" s="187" t="str">
        <f t="shared" si="29"/>
        <v/>
      </c>
      <c r="AY46" s="187" t="str">
        <f t="shared" si="29"/>
        <v/>
      </c>
      <c r="AZ46" s="188" t="str">
        <f t="shared" si="29"/>
        <v/>
      </c>
      <c r="BA46" s="186" t="str">
        <f t="shared" si="29"/>
        <v/>
      </c>
      <c r="BB46" s="187" t="str">
        <f t="shared" si="29"/>
        <v/>
      </c>
      <c r="BC46" s="187" t="str">
        <f t="shared" si="29"/>
        <v/>
      </c>
      <c r="BD46" s="188" t="str">
        <f t="shared" si="29"/>
        <v/>
      </c>
      <c r="BE46" s="186" t="str">
        <f t="shared" si="29"/>
        <v/>
      </c>
      <c r="BF46" s="187" t="str">
        <f t="shared" si="29"/>
        <v/>
      </c>
      <c r="BG46" s="187" t="str">
        <f t="shared" si="29"/>
        <v/>
      </c>
      <c r="BH46" s="188" t="str">
        <f t="shared" si="29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9"/>
        <v/>
      </c>
      <c r="AU47" s="187" t="str">
        <f t="shared" si="29"/>
        <v/>
      </c>
      <c r="AV47" s="188" t="str">
        <f t="shared" si="29"/>
        <v/>
      </c>
      <c r="AW47" s="186" t="str">
        <f t="shared" si="29"/>
        <v/>
      </c>
      <c r="AX47" s="187" t="str">
        <f t="shared" si="29"/>
        <v/>
      </c>
      <c r="AY47" s="187" t="str">
        <f t="shared" si="29"/>
        <v/>
      </c>
      <c r="AZ47" s="188" t="str">
        <f t="shared" si="29"/>
        <v/>
      </c>
      <c r="BA47" s="186" t="str">
        <f t="shared" si="29"/>
        <v/>
      </c>
      <c r="BB47" s="187" t="str">
        <f t="shared" si="29"/>
        <v/>
      </c>
      <c r="BC47" s="187" t="str">
        <f t="shared" si="29"/>
        <v/>
      </c>
      <c r="BD47" s="188" t="str">
        <f t="shared" si="29"/>
        <v/>
      </c>
      <c r="BE47" s="186" t="str">
        <f t="shared" si="29"/>
        <v/>
      </c>
      <c r="BF47" s="187" t="str">
        <f t="shared" si="29"/>
        <v/>
      </c>
      <c r="BG47" s="187" t="str">
        <f t="shared" si="29"/>
        <v/>
      </c>
      <c r="BH47" s="188" t="str">
        <f t="shared" si="29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9"/>
        <v/>
      </c>
      <c r="AU48" s="187" t="str">
        <f t="shared" si="29"/>
        <v/>
      </c>
      <c r="AV48" s="188" t="str">
        <f t="shared" si="29"/>
        <v/>
      </c>
      <c r="AW48" s="186" t="str">
        <f t="shared" si="29"/>
        <v/>
      </c>
      <c r="AX48" s="187" t="str">
        <f t="shared" si="29"/>
        <v/>
      </c>
      <c r="AY48" s="187" t="str">
        <f t="shared" si="29"/>
        <v/>
      </c>
      <c r="AZ48" s="188" t="str">
        <f t="shared" si="29"/>
        <v/>
      </c>
      <c r="BA48" s="186" t="str">
        <f t="shared" si="29"/>
        <v/>
      </c>
      <c r="BB48" s="187" t="str">
        <f t="shared" si="29"/>
        <v/>
      </c>
      <c r="BC48" s="187" t="str">
        <f t="shared" si="29"/>
        <v/>
      </c>
      <c r="BD48" s="188" t="str">
        <f t="shared" si="29"/>
        <v/>
      </c>
      <c r="BE48" s="186" t="str">
        <f t="shared" si="29"/>
        <v/>
      </c>
      <c r="BF48" s="187" t="str">
        <f t="shared" si="29"/>
        <v/>
      </c>
      <c r="BG48" s="187" t="str">
        <f t="shared" si="29"/>
        <v/>
      </c>
      <c r="BH48" s="188" t="str">
        <f t="shared" si="29"/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si="28"/>
        <v/>
      </c>
      <c r="AT49" s="187" t="str">
        <f t="shared" ref="AT49:BH52" si="37">IF(E89="","",E89)</f>
        <v/>
      </c>
      <c r="AU49" s="187" t="str">
        <f t="shared" si="37"/>
        <v/>
      </c>
      <c r="AV49" s="188" t="str">
        <f t="shared" si="37"/>
        <v/>
      </c>
      <c r="AW49" s="186" t="str">
        <f t="shared" si="37"/>
        <v/>
      </c>
      <c r="AX49" s="187" t="str">
        <f t="shared" si="37"/>
        <v/>
      </c>
      <c r="AY49" s="187" t="str">
        <f t="shared" si="37"/>
        <v/>
      </c>
      <c r="AZ49" s="188" t="str">
        <f t="shared" si="37"/>
        <v/>
      </c>
      <c r="BA49" s="186" t="str">
        <f t="shared" si="37"/>
        <v/>
      </c>
      <c r="BB49" s="187" t="str">
        <f t="shared" si="37"/>
        <v/>
      </c>
      <c r="BC49" s="187" t="str">
        <f t="shared" si="37"/>
        <v/>
      </c>
      <c r="BD49" s="188" t="str">
        <f t="shared" si="37"/>
        <v/>
      </c>
      <c r="BE49" s="186" t="str">
        <f t="shared" si="37"/>
        <v/>
      </c>
      <c r="BF49" s="187" t="str">
        <f t="shared" si="37"/>
        <v/>
      </c>
      <c r="BG49" s="187" t="str">
        <f t="shared" si="37"/>
        <v/>
      </c>
      <c r="BH49" s="188" t="str">
        <f t="shared" si="37"/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28"/>
        <v/>
      </c>
      <c r="AT50" s="187" t="str">
        <f t="shared" si="37"/>
        <v/>
      </c>
      <c r="AU50" s="187" t="str">
        <f t="shared" si="37"/>
        <v/>
      </c>
      <c r="AV50" s="188" t="str">
        <f t="shared" si="37"/>
        <v/>
      </c>
      <c r="AW50" s="186" t="str">
        <f t="shared" si="37"/>
        <v/>
      </c>
      <c r="AX50" s="187" t="str">
        <f t="shared" si="37"/>
        <v/>
      </c>
      <c r="AY50" s="187" t="str">
        <f t="shared" si="37"/>
        <v/>
      </c>
      <c r="AZ50" s="188" t="str">
        <f t="shared" si="37"/>
        <v/>
      </c>
      <c r="BA50" s="186" t="str">
        <f t="shared" si="37"/>
        <v/>
      </c>
      <c r="BB50" s="187" t="str">
        <f t="shared" si="37"/>
        <v/>
      </c>
      <c r="BC50" s="187" t="str">
        <f t="shared" si="37"/>
        <v/>
      </c>
      <c r="BD50" s="188" t="str">
        <f t="shared" si="37"/>
        <v/>
      </c>
      <c r="BE50" s="186" t="str">
        <f t="shared" si="37"/>
        <v/>
      </c>
      <c r="BF50" s="187" t="str">
        <f t="shared" si="37"/>
        <v/>
      </c>
      <c r="BG50" s="187" t="str">
        <f t="shared" si="37"/>
        <v/>
      </c>
      <c r="BH50" s="188" t="str">
        <f t="shared" si="37"/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8">IF(AF76&gt;AF86,IF((Y88-Y108+Y57)&gt;AF57,(AF64-AF104)*AF76+AF57*AF86,(Y88-Y108+Y57)*AF86),IF((Y88-Y108+Y57)&gt;AF57,(AF64-AF104)*AF76+AF57*AF76,(Y88-Y108+Y57)*AF76))</f>
        <v>0</v>
      </c>
      <c r="CD50" s="108">
        <f t="shared" si="38"/>
        <v>0</v>
      </c>
      <c r="CE50" s="108">
        <f t="shared" si="38"/>
        <v>0</v>
      </c>
      <c r="CF50" s="108">
        <f t="shared" si="38"/>
        <v>0</v>
      </c>
      <c r="CG50" s="219"/>
      <c r="CH50" s="219"/>
      <c r="CI50" s="197" t="s">
        <v>55</v>
      </c>
      <c r="CJ50" s="108">
        <f t="shared" ref="CJ50:CM53" si="39">Y108*AF76*0.4</f>
        <v>0</v>
      </c>
      <c r="CK50" s="108">
        <f t="shared" si="39"/>
        <v>0</v>
      </c>
      <c r="CL50" s="108">
        <f t="shared" si="39"/>
        <v>0</v>
      </c>
      <c r="CM50" s="108">
        <f t="shared" si="39"/>
        <v>0</v>
      </c>
      <c r="CN50" s="219"/>
      <c r="CO50" s="219"/>
      <c r="CP50" s="65" t="s">
        <v>38</v>
      </c>
      <c r="CQ50" s="65">
        <f>第九期!Y9*第九期!CQ62*比赛参数!D65</f>
        <v>0</v>
      </c>
      <c r="CR50" s="65">
        <f>第九期!Z9*第九期!CR62*比赛参数!E65</f>
        <v>0</v>
      </c>
      <c r="CS50" s="65">
        <f>第九期!AA9*第九期!CS62*比赛参数!F65</f>
        <v>0</v>
      </c>
      <c r="CT50" s="65">
        <f>第九期!AB9*第九期!CT62*比赛参数!G65</f>
        <v>0</v>
      </c>
      <c r="CU50" s="65">
        <f>IF(第九期!AC9&gt;0,SUM(CQ50:CT50)/第九期!AC9,0)</f>
        <v>0</v>
      </c>
      <c r="CW50" s="11" t="s">
        <v>38</v>
      </c>
      <c r="CX50" s="242">
        <f>IF(第九期!$CU$50*第九期!CQ93&gt;0,第九期!$CU$50+第九期!CQ68+第九期!CQ93+第九期!CQ74,0)</f>
        <v>0</v>
      </c>
      <c r="CY50" s="242">
        <f>IF(第九期!$CU$50*第九期!CR93&gt;0,第九期!$CU$50+第九期!CR68+第九期!CR93+第九期!CR74,0)</f>
        <v>0</v>
      </c>
      <c r="CZ50" s="242">
        <f>IF(第九期!$CU$50*第九期!CS93&gt;0,第九期!$CU$50+第九期!CS68+第九期!CS93+第九期!CS74,0)</f>
        <v>0</v>
      </c>
      <c r="DA50" s="242">
        <f>IF(第九期!$CU$50*第九期!CT93&gt;0,第九期!$CU$50+第九期!CT68+第九期!CT93+第九期!CT74,0)</f>
        <v>0</v>
      </c>
      <c r="DB50" s="242">
        <f>AVERAGE(CX50:DA50)</f>
        <v>0</v>
      </c>
      <c r="DF50" s="65" t="s">
        <v>55</v>
      </c>
      <c r="DG50" s="245">
        <f>IF(第九期!Y88&gt;0,1,0)</f>
        <v>0</v>
      </c>
      <c r="DH50" s="245">
        <f>IF(第九期!Z88&gt;0,1,0)</f>
        <v>0</v>
      </c>
      <c r="DI50" s="245">
        <f>IF(第九期!AA88&gt;0,1,0)</f>
        <v>0</v>
      </c>
      <c r="DJ50" s="245">
        <f>IF(第九期!AB88&gt;0,1,0)</f>
        <v>0</v>
      </c>
      <c r="DL50" s="245" t="s">
        <v>21</v>
      </c>
      <c r="DM50" s="248">
        <f>IF(第九期!Y9+第九期!Z9&gt;0,1,0)</f>
        <v>0</v>
      </c>
      <c r="DN50" s="248">
        <f>IF(第九期!AA9+第九期!AB9&gt;0,1,0)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28"/>
        <v/>
      </c>
      <c r="AT51" s="187" t="str">
        <f t="shared" si="37"/>
        <v/>
      </c>
      <c r="AU51" s="187" t="str">
        <f t="shared" si="37"/>
        <v/>
      </c>
      <c r="AV51" s="188" t="str">
        <f t="shared" si="37"/>
        <v/>
      </c>
      <c r="AW51" s="186" t="str">
        <f t="shared" si="37"/>
        <v/>
      </c>
      <c r="AX51" s="187" t="str">
        <f t="shared" si="37"/>
        <v/>
      </c>
      <c r="AY51" s="187" t="str">
        <f t="shared" si="37"/>
        <v/>
      </c>
      <c r="AZ51" s="188" t="str">
        <f t="shared" si="37"/>
        <v/>
      </c>
      <c r="BA51" s="186" t="str">
        <f t="shared" si="37"/>
        <v/>
      </c>
      <c r="BB51" s="187" t="str">
        <f t="shared" si="37"/>
        <v/>
      </c>
      <c r="BC51" s="187" t="str">
        <f t="shared" si="37"/>
        <v/>
      </c>
      <c r="BD51" s="188" t="str">
        <f t="shared" si="37"/>
        <v/>
      </c>
      <c r="BE51" s="186" t="str">
        <f t="shared" si="37"/>
        <v/>
      </c>
      <c r="BF51" s="187" t="str">
        <f t="shared" si="37"/>
        <v/>
      </c>
      <c r="BG51" s="187" t="str">
        <f t="shared" si="37"/>
        <v/>
      </c>
      <c r="BH51" s="188" t="str">
        <f t="shared" si="37"/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8"/>
        <v>0</v>
      </c>
      <c r="CD51" s="108">
        <f t="shared" si="38"/>
        <v>0</v>
      </c>
      <c r="CE51" s="108">
        <f t="shared" si="38"/>
        <v>0</v>
      </c>
      <c r="CF51" s="108">
        <f t="shared" si="38"/>
        <v>0</v>
      </c>
      <c r="CG51" s="219"/>
      <c r="CH51" s="219"/>
      <c r="CI51" s="196" t="s">
        <v>56</v>
      </c>
      <c r="CJ51" s="108">
        <f t="shared" si="39"/>
        <v>0</v>
      </c>
      <c r="CK51" s="108">
        <f t="shared" si="39"/>
        <v>0</v>
      </c>
      <c r="CL51" s="108">
        <f t="shared" si="39"/>
        <v>0</v>
      </c>
      <c r="CM51" s="108">
        <f t="shared" si="39"/>
        <v>0</v>
      </c>
      <c r="CN51" s="219"/>
      <c r="CO51" s="219"/>
      <c r="CP51" s="65" t="s">
        <v>39</v>
      </c>
      <c r="CQ51" s="65">
        <f>第九期!Y10*第九期!CQ63*比赛参数!D65</f>
        <v>0</v>
      </c>
      <c r="CR51" s="65">
        <f>第九期!Z10*第九期!CR63*比赛参数!E65</f>
        <v>0</v>
      </c>
      <c r="CS51" s="65">
        <f>第九期!AA10*第九期!CS63*比赛参数!F65</f>
        <v>0</v>
      </c>
      <c r="CT51" s="65">
        <f>第九期!AB10*第九期!CT63*比赛参数!G65</f>
        <v>0</v>
      </c>
      <c r="CU51" s="65">
        <f>IF(第九期!AC10&gt;0,SUM(CQ51:CT51)/第九期!AC10,0)</f>
        <v>0</v>
      </c>
      <c r="CW51" s="11" t="s">
        <v>39</v>
      </c>
      <c r="CX51" s="242">
        <f>IF(第九期!$CU$51*第九期!CQ94&gt;0,第九期!$CU$51+第九期!CQ69+第九期!CQ94+第九期!CQ75,0)</f>
        <v>0</v>
      </c>
      <c r="CY51" s="242">
        <f>IF(第九期!$CU$51*第九期!CR94&gt;0,第九期!$CU$51+第九期!CR69+第九期!CR94+第九期!CR75,0)</f>
        <v>0</v>
      </c>
      <c r="CZ51" s="242">
        <f>IF(第九期!$CU$51*第九期!CS94&gt;0,第九期!$CU$51+第九期!CS69+第九期!CS94+第九期!CS75,0)</f>
        <v>0</v>
      </c>
      <c r="DA51" s="242">
        <f>IF(第九期!$CU$51*第九期!CT94&gt;0,第九期!$CU$51+第九期!CT69+第九期!CT94+第九期!CT75,0)</f>
        <v>0</v>
      </c>
      <c r="DB51" s="242">
        <f>AVERAGE(CX51:DA51)</f>
        <v>0</v>
      </c>
      <c r="DF51" s="65" t="s">
        <v>56</v>
      </c>
      <c r="DG51" s="245">
        <f>IF(第九期!Y89&gt;0,1,0)</f>
        <v>0</v>
      </c>
      <c r="DH51" s="245">
        <f>IF(第九期!Z89&gt;0,1,0)</f>
        <v>0</v>
      </c>
      <c r="DI51" s="245">
        <f>IF(第九期!AA89&gt;0,1,0)</f>
        <v>0</v>
      </c>
      <c r="DJ51" s="245">
        <f>IF(第九期!AB89&gt;0,1,0)</f>
        <v>0</v>
      </c>
      <c r="DL51" s="245" t="s">
        <v>22</v>
      </c>
      <c r="DM51" s="248">
        <f>IF(第九期!Y10+第九期!Z10&gt;0,1,0)</f>
        <v>0</v>
      </c>
      <c r="DN51" s="248">
        <f>IF(第九期!AA10+第九期!AB10&gt;0,1,0)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28"/>
        <v/>
      </c>
      <c r="AT52" s="187" t="str">
        <f t="shared" si="37"/>
        <v/>
      </c>
      <c r="AU52" s="187" t="str">
        <f t="shared" si="37"/>
        <v/>
      </c>
      <c r="AV52" s="188" t="str">
        <f t="shared" si="37"/>
        <v/>
      </c>
      <c r="AW52" s="186" t="str">
        <f t="shared" si="37"/>
        <v/>
      </c>
      <c r="AX52" s="187" t="str">
        <f t="shared" si="37"/>
        <v/>
      </c>
      <c r="AY52" s="187" t="str">
        <f t="shared" si="37"/>
        <v/>
      </c>
      <c r="AZ52" s="188" t="str">
        <f t="shared" si="37"/>
        <v/>
      </c>
      <c r="BA52" s="186" t="str">
        <f t="shared" si="37"/>
        <v/>
      </c>
      <c r="BB52" s="187" t="str">
        <f t="shared" si="37"/>
        <v/>
      </c>
      <c r="BC52" s="187" t="str">
        <f t="shared" si="37"/>
        <v/>
      </c>
      <c r="BD52" s="188" t="str">
        <f t="shared" si="37"/>
        <v/>
      </c>
      <c r="BE52" s="186" t="str">
        <f t="shared" si="37"/>
        <v/>
      </c>
      <c r="BF52" s="187" t="str">
        <f t="shared" si="37"/>
        <v/>
      </c>
      <c r="BG52" s="187" t="str">
        <f t="shared" si="37"/>
        <v/>
      </c>
      <c r="BH52" s="188" t="str">
        <f t="shared" si="37"/>
        <v/>
      </c>
      <c r="CB52" s="196" t="s">
        <v>57</v>
      </c>
      <c r="CC52" s="108">
        <f t="shared" si="38"/>
        <v>0</v>
      </c>
      <c r="CD52" s="108">
        <f t="shared" si="38"/>
        <v>0</v>
      </c>
      <c r="CE52" s="108">
        <f t="shared" si="38"/>
        <v>0</v>
      </c>
      <c r="CF52" s="108">
        <f t="shared" si="38"/>
        <v>0</v>
      </c>
      <c r="CG52" s="108" t="s">
        <v>314</v>
      </c>
      <c r="CH52" s="219"/>
      <c r="CI52" s="196" t="s">
        <v>57</v>
      </c>
      <c r="CJ52" s="108">
        <f t="shared" si="39"/>
        <v>0</v>
      </c>
      <c r="CK52" s="108">
        <f t="shared" si="39"/>
        <v>0</v>
      </c>
      <c r="CL52" s="108">
        <f t="shared" si="39"/>
        <v>0</v>
      </c>
      <c r="CM52" s="108">
        <f t="shared" si="39"/>
        <v>0</v>
      </c>
      <c r="CN52" s="108" t="s">
        <v>314</v>
      </c>
      <c r="CO52" s="219"/>
      <c r="CP52" s="65" t="s">
        <v>40</v>
      </c>
      <c r="CQ52" s="65">
        <f>第九期!Y11*第九期!CQ64*比赛参数!D65</f>
        <v>0</v>
      </c>
      <c r="CR52" s="65">
        <f>第九期!Z11*第九期!CR64*比赛参数!E65</f>
        <v>0</v>
      </c>
      <c r="CS52" s="65">
        <f>第九期!AA11*第九期!CS64*比赛参数!F65</f>
        <v>0</v>
      </c>
      <c r="CT52" s="65">
        <f>第九期!AB11*第九期!CT64*比赛参数!G65</f>
        <v>0</v>
      </c>
      <c r="CU52" s="65">
        <f>IF(第九期!AC11&gt;0,SUM(CQ52:CT52)/第九期!AC11,0)</f>
        <v>0</v>
      </c>
      <c r="CW52" s="11" t="s">
        <v>40</v>
      </c>
      <c r="CX52" s="242">
        <f>IF(第九期!$CU$52*第九期!CQ95&gt;0,第九期!$CU$52+第九期!CQ70+第九期!CQ95+第九期!CQ76,0)</f>
        <v>0</v>
      </c>
      <c r="CY52" s="242">
        <f>IF(第九期!$CU$52*第九期!CR95&gt;0,第九期!$CU$52+第九期!CR70+第九期!CR95+第九期!CR76,0)</f>
        <v>0</v>
      </c>
      <c r="CZ52" s="242">
        <f>IF(第九期!$CU$52*第九期!CS95&gt;0,第九期!$CU$52+第九期!CS70+第九期!CS95+第九期!CS76,0)</f>
        <v>0</v>
      </c>
      <c r="DA52" s="242">
        <f>IF(第九期!$CU$52*第九期!CT95&gt;0,第九期!$CU$52+第九期!CT70+第九期!CT95+第九期!CT76,0)</f>
        <v>0</v>
      </c>
      <c r="DB52" s="242">
        <f>AVERAGE(CX52:DA52)</f>
        <v>0</v>
      </c>
      <c r="DF52" s="65" t="s">
        <v>57</v>
      </c>
      <c r="DG52" s="245">
        <f>IF(第九期!Y90&gt;0,1,0)</f>
        <v>0</v>
      </c>
      <c r="DH52" s="245">
        <f>IF(第九期!Z90&gt;0,1,0)</f>
        <v>0</v>
      </c>
      <c r="DI52" s="245">
        <f>IF(第九期!AA90&gt;0,1,0)</f>
        <v>0</v>
      </c>
      <c r="DJ52" s="245">
        <f>IF(第九期!AB90&gt;0,1,0)</f>
        <v>0</v>
      </c>
      <c r="DL52" s="245" t="s">
        <v>23</v>
      </c>
      <c r="DM52" s="248">
        <f>IF(第九期!Y11+第九期!Z11&gt;0,1,0)</f>
        <v>0</v>
      </c>
      <c r="DN52" s="248">
        <f>IF(第九期!AA11+第九期!AB11&gt;0,1,0)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8"/>
        <v>0</v>
      </c>
      <c r="CD53" s="108">
        <f t="shared" si="38"/>
        <v>0</v>
      </c>
      <c r="CE53" s="108">
        <f t="shared" si="38"/>
        <v>0</v>
      </c>
      <c r="CF53" s="108">
        <f t="shared" si="38"/>
        <v>0</v>
      </c>
      <c r="CG53" s="108">
        <f>SUM(CC50:CF53)</f>
        <v>0</v>
      </c>
      <c r="CH53" s="219"/>
      <c r="CI53" s="196" t="s">
        <v>58</v>
      </c>
      <c r="CJ53" s="108">
        <f t="shared" si="39"/>
        <v>0</v>
      </c>
      <c r="CK53" s="108">
        <f t="shared" si="39"/>
        <v>0</v>
      </c>
      <c r="CL53" s="108">
        <f t="shared" si="39"/>
        <v>0</v>
      </c>
      <c r="CM53" s="108">
        <f t="shared" si="39"/>
        <v>0</v>
      </c>
      <c r="CN53" s="108">
        <f>SUM(CJ50:CM53)</f>
        <v>0</v>
      </c>
      <c r="CO53" s="219"/>
      <c r="CP53" s="65" t="s">
        <v>41</v>
      </c>
      <c r="CQ53" s="65">
        <f>第九期!Y12*第九期!CQ65*比赛参数!D65</f>
        <v>0</v>
      </c>
      <c r="CR53" s="65">
        <f>第九期!Z12*第九期!CR65*比赛参数!E65</f>
        <v>0</v>
      </c>
      <c r="CS53" s="65">
        <f>第九期!AA12*第九期!CS65*比赛参数!F65</f>
        <v>0</v>
      </c>
      <c r="CT53" s="65">
        <f>第九期!AB12*第九期!CT65*比赛参数!G65</f>
        <v>0</v>
      </c>
      <c r="CU53" s="65">
        <f>IF(第九期!AC12&gt;0,SUM(CQ53:CT53)/第九期!AC12,0)</f>
        <v>0</v>
      </c>
      <c r="CW53" s="11" t="s">
        <v>41</v>
      </c>
      <c r="CX53" s="242">
        <f>IF(第九期!$CU$53*第九期!CQ96&gt;0,第九期!$CU$53+第九期!CQ71+第九期!CQ96+第九期!CQ77,0)</f>
        <v>0</v>
      </c>
      <c r="CY53" s="242">
        <f>IF(第九期!$CU$53*第九期!CR96&gt;0,第九期!$CU$53+第九期!CR71+第九期!CR96+第九期!CR77,0)</f>
        <v>0</v>
      </c>
      <c r="CZ53" s="242">
        <f>IF(第九期!$CU$53*第九期!CS96&gt;0,第九期!$CU$53+第九期!CS71+第九期!CS96+第九期!CS77,0)</f>
        <v>0</v>
      </c>
      <c r="DA53" s="242">
        <f>IF(第九期!$CU$53*第九期!CT96&gt;0,第九期!$CU$53+第九期!CT71+第九期!CT96+第九期!CT77,0)</f>
        <v>0</v>
      </c>
      <c r="DB53" s="242">
        <f>AVERAGE(CX53:DA53)</f>
        <v>0</v>
      </c>
      <c r="DF53" s="65" t="s">
        <v>58</v>
      </c>
      <c r="DG53" s="245">
        <f>IF(第九期!Y91&gt;0,1,0)</f>
        <v>0</v>
      </c>
      <c r="DH53" s="245">
        <f>IF(第九期!Z91&gt;0,1,0)</f>
        <v>0</v>
      </c>
      <c r="DI53" s="245">
        <f>IF(第九期!AA91&gt;0,1,0)</f>
        <v>0</v>
      </c>
      <c r="DJ53" s="245">
        <f>IF(第九期!AB91&gt;0,1,0)</f>
        <v>0</v>
      </c>
      <c r="DL53" s="245" t="s">
        <v>24</v>
      </c>
      <c r="DM53" s="248">
        <f>IF(第九期!Y12+第九期!Z12&gt;0,1,0)</f>
        <v>0</v>
      </c>
      <c r="DN53" s="248">
        <f>IF(第九期!AA12+第九期!AB12&gt;0,1,0)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第九期!K11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第九期!AH14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第九期!DU26</f>
        <v>0</v>
      </c>
      <c r="CD56" s="108">
        <f>第九期!DU27</f>
        <v>0</v>
      </c>
      <c r="CE56" s="108">
        <f>第九期!DU28</f>
        <v>0</v>
      </c>
      <c r="CF56" s="108">
        <f>第九期!DU29</f>
        <v>0</v>
      </c>
      <c r="CG56" s="219"/>
      <c r="CH56" s="219"/>
      <c r="CI56" s="197" t="s">
        <v>55</v>
      </c>
      <c r="CJ56" s="108">
        <f t="shared" ref="CJ56:CM59" si="40">Y108*(CJ19+CC27)</f>
        <v>0</v>
      </c>
      <c r="CK56" s="108">
        <f t="shared" si="40"/>
        <v>0</v>
      </c>
      <c r="CL56" s="108">
        <f t="shared" si="40"/>
        <v>0</v>
      </c>
      <c r="CM56" s="108">
        <f t="shared" si="40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第九期!BS7-第九期!CX50</f>
        <v>0</v>
      </c>
      <c r="CY56" s="242">
        <f>第九期!BT7-第九期!CY50</f>
        <v>0</v>
      </c>
      <c r="CZ56" s="242">
        <f>第九期!BU7-第九期!CZ50</f>
        <v>0</v>
      </c>
      <c r="DA56" s="242">
        <f>第九期!BV7-第九期!DA50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第九期!DX6</f>
        <v>0</v>
      </c>
      <c r="Z57" s="127">
        <f>第九期!DX10</f>
        <v>0</v>
      </c>
      <c r="AA57" s="127">
        <f>第九期!DX14</f>
        <v>0</v>
      </c>
      <c r="AB57" s="127">
        <f>第九期!DX18</f>
        <v>0</v>
      </c>
      <c r="AC57" s="128"/>
      <c r="AE57" s="64" t="s">
        <v>55</v>
      </c>
      <c r="AF57" s="127">
        <f>第九期!DW6</f>
        <v>0</v>
      </c>
      <c r="AG57" s="127">
        <f>第九期!DW10</f>
        <v>0</v>
      </c>
      <c r="AH57" s="127">
        <f>第九期!DW14</f>
        <v>0</v>
      </c>
      <c r="AI57" s="127">
        <f>第九期!DW18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AS73" si="41">IF(AS33="","",(AS33-AS$54)^2)</f>
        <v/>
      </c>
      <c r="AT57" s="191" t="str">
        <f t="shared" ref="AT57:BH72" si="42">IF(AT33="","",(AT33-AT$54)^2)</f>
        <v/>
      </c>
      <c r="AU57" s="191" t="str">
        <f t="shared" si="42"/>
        <v/>
      </c>
      <c r="AV57" s="191" t="str">
        <f t="shared" si="42"/>
        <v/>
      </c>
      <c r="AW57" s="191" t="str">
        <f t="shared" si="42"/>
        <v/>
      </c>
      <c r="AX57" s="191" t="str">
        <f t="shared" si="42"/>
        <v/>
      </c>
      <c r="AY57" s="191" t="str">
        <f t="shared" si="42"/>
        <v/>
      </c>
      <c r="AZ57" s="191" t="str">
        <f t="shared" si="42"/>
        <v/>
      </c>
      <c r="BA57" s="191" t="str">
        <f t="shared" si="42"/>
        <v/>
      </c>
      <c r="BB57" s="191" t="str">
        <f t="shared" si="42"/>
        <v/>
      </c>
      <c r="BC57" s="191" t="str">
        <f t="shared" si="42"/>
        <v/>
      </c>
      <c r="BD57" s="191" t="str">
        <f t="shared" si="42"/>
        <v/>
      </c>
      <c r="BE57" s="191" t="str">
        <f t="shared" si="42"/>
        <v/>
      </c>
      <c r="BF57" s="191" t="str">
        <f t="shared" si="42"/>
        <v/>
      </c>
      <c r="BG57" s="191" t="str">
        <f t="shared" si="42"/>
        <v/>
      </c>
      <c r="BH57" s="191" t="str">
        <f t="shared" si="42"/>
        <v/>
      </c>
      <c r="BR57" s="209" t="s">
        <v>301</v>
      </c>
      <c r="BS57" s="130">
        <f>第九期!AH15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40"/>
        <v>0</v>
      </c>
      <c r="CK57" s="108">
        <f t="shared" si="40"/>
        <v>0</v>
      </c>
      <c r="CL57" s="108">
        <f t="shared" si="40"/>
        <v>0</v>
      </c>
      <c r="CM57" s="108">
        <f t="shared" si="40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第九期!BS8-第九期!CX51</f>
        <v>0</v>
      </c>
      <c r="CY57" s="242">
        <f>第九期!BT8-第九期!CY51</f>
        <v>0</v>
      </c>
      <c r="CZ57" s="242">
        <f>第九期!BU8-第九期!CZ51</f>
        <v>0</v>
      </c>
      <c r="DA57" s="242">
        <f>第九期!BV8-第九期!DA51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第九期!DX7</f>
        <v>0</v>
      </c>
      <c r="Z58" s="127">
        <f>第九期!DX11</f>
        <v>0</v>
      </c>
      <c r="AA58" s="127">
        <f>第九期!DX15</f>
        <v>0</v>
      </c>
      <c r="AB58" s="127">
        <f>第九期!DX19</f>
        <v>0</v>
      </c>
      <c r="AC58" s="128"/>
      <c r="AE58" s="11" t="s">
        <v>56</v>
      </c>
      <c r="AF58" s="127">
        <f>第九期!DW7</f>
        <v>0</v>
      </c>
      <c r="AG58" s="127">
        <f>第九期!DW11</f>
        <v>0</v>
      </c>
      <c r="AH58" s="127">
        <f>第九期!DW15</f>
        <v>0</v>
      </c>
      <c r="AI58" s="127">
        <f>第九期!DW19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1"/>
        <v/>
      </c>
      <c r="AT58" s="191" t="str">
        <f t="shared" si="42"/>
        <v/>
      </c>
      <c r="AU58" s="191" t="str">
        <f t="shared" si="42"/>
        <v/>
      </c>
      <c r="AV58" s="191" t="str">
        <f t="shared" si="42"/>
        <v/>
      </c>
      <c r="AW58" s="191" t="str">
        <f t="shared" si="42"/>
        <v/>
      </c>
      <c r="AX58" s="191" t="str">
        <f t="shared" si="42"/>
        <v/>
      </c>
      <c r="AY58" s="191" t="str">
        <f t="shared" si="42"/>
        <v/>
      </c>
      <c r="AZ58" s="191" t="str">
        <f t="shared" si="42"/>
        <v/>
      </c>
      <c r="BA58" s="191" t="str">
        <f t="shared" si="42"/>
        <v/>
      </c>
      <c r="BB58" s="191" t="str">
        <f t="shared" si="42"/>
        <v/>
      </c>
      <c r="BC58" s="191" t="str">
        <f t="shared" si="42"/>
        <v/>
      </c>
      <c r="BD58" s="191" t="str">
        <f t="shared" si="42"/>
        <v/>
      </c>
      <c r="BE58" s="191" t="str">
        <f t="shared" si="42"/>
        <v/>
      </c>
      <c r="BF58" s="191" t="str">
        <f t="shared" si="42"/>
        <v/>
      </c>
      <c r="BG58" s="191" t="str">
        <f t="shared" si="42"/>
        <v/>
      </c>
      <c r="BH58" s="191" t="str">
        <f t="shared" si="42"/>
        <v/>
      </c>
      <c r="BR58" s="209" t="s">
        <v>334</v>
      </c>
      <c r="BS58" s="130">
        <f>第九期!H5+第九期!H4*比赛参数!F71</f>
        <v>0</v>
      </c>
      <c r="BT58" s="130"/>
      <c r="BU58" s="130"/>
      <c r="BV58" s="130">
        <f t="shared" ref="BV58:BV64" si="43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40"/>
        <v>0</v>
      </c>
      <c r="CK58" s="108">
        <f t="shared" si="40"/>
        <v>0</v>
      </c>
      <c r="CL58" s="108">
        <f t="shared" si="40"/>
        <v>0</v>
      </c>
      <c r="CM58" s="108">
        <f t="shared" si="40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第九期!BS9-第九期!CX52</f>
        <v>0</v>
      </c>
      <c r="CY58" s="242">
        <f>第九期!BT9-第九期!CY52</f>
        <v>0</v>
      </c>
      <c r="CZ58" s="242">
        <f>第九期!BU9-第九期!CZ52</f>
        <v>0</v>
      </c>
      <c r="DA58" s="242">
        <f>第九期!BV9-第九期!DA52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第九期!DX8</f>
        <v>0</v>
      </c>
      <c r="Z59" s="127">
        <f>第九期!DX12</f>
        <v>0</v>
      </c>
      <c r="AA59" s="127">
        <f>第九期!DX16</f>
        <v>0</v>
      </c>
      <c r="AB59" s="127">
        <f>第九期!DX20</f>
        <v>0</v>
      </c>
      <c r="AC59" s="129"/>
      <c r="AE59" s="11" t="s">
        <v>57</v>
      </c>
      <c r="AF59" s="127">
        <f>第九期!DW8</f>
        <v>0</v>
      </c>
      <c r="AG59" s="127">
        <f>第九期!DW12</f>
        <v>0</v>
      </c>
      <c r="AH59" s="127">
        <f>第九期!DW16</f>
        <v>0</v>
      </c>
      <c r="AI59" s="127">
        <f>第九期!DW20</f>
        <v>0</v>
      </c>
      <c r="AK59" s="126"/>
      <c r="AL59" s="48"/>
      <c r="AM59" s="48"/>
      <c r="AN59" s="50"/>
      <c r="AR59" s="190">
        <v>3</v>
      </c>
      <c r="AS59" s="191" t="str">
        <f t="shared" si="41"/>
        <v/>
      </c>
      <c r="AT59" s="191" t="str">
        <f t="shared" si="42"/>
        <v/>
      </c>
      <c r="AU59" s="191" t="str">
        <f t="shared" si="42"/>
        <v/>
      </c>
      <c r="AV59" s="191" t="str">
        <f t="shared" si="42"/>
        <v/>
      </c>
      <c r="AW59" s="191" t="str">
        <f t="shared" si="42"/>
        <v/>
      </c>
      <c r="AX59" s="191" t="str">
        <f t="shared" si="42"/>
        <v/>
      </c>
      <c r="AY59" s="191" t="str">
        <f t="shared" si="42"/>
        <v/>
      </c>
      <c r="AZ59" s="191" t="str">
        <f t="shared" si="42"/>
        <v/>
      </c>
      <c r="BA59" s="191" t="str">
        <f t="shared" si="42"/>
        <v/>
      </c>
      <c r="BB59" s="191" t="str">
        <f t="shared" si="42"/>
        <v/>
      </c>
      <c r="BC59" s="191" t="str">
        <f t="shared" si="42"/>
        <v/>
      </c>
      <c r="BD59" s="191" t="str">
        <f t="shared" si="42"/>
        <v/>
      </c>
      <c r="BE59" s="191" t="str">
        <f t="shared" si="42"/>
        <v/>
      </c>
      <c r="BF59" s="191" t="str">
        <f t="shared" si="42"/>
        <v/>
      </c>
      <c r="BG59" s="191" t="str">
        <f t="shared" si="42"/>
        <v/>
      </c>
      <c r="BH59" s="191" t="str">
        <f t="shared" si="42"/>
        <v/>
      </c>
      <c r="BR59" s="209" t="s">
        <v>336</v>
      </c>
      <c r="BS59" s="130">
        <f>第九期!K14*比赛参数!D71/4</f>
        <v>0</v>
      </c>
      <c r="BT59" s="130"/>
      <c r="BU59" s="130">
        <f>BS59</f>
        <v>0</v>
      </c>
      <c r="BV59" s="130">
        <f t="shared" si="43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40"/>
        <v>0</v>
      </c>
      <c r="CK59" s="108">
        <f t="shared" si="40"/>
        <v>0</v>
      </c>
      <c r="CL59" s="108">
        <f t="shared" si="40"/>
        <v>0</v>
      </c>
      <c r="CM59" s="108">
        <f t="shared" si="40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第九期!BS10-第九期!CX53</f>
        <v>0</v>
      </c>
      <c r="CY59" s="242">
        <f>第九期!BT10-第九期!CY53</f>
        <v>0</v>
      </c>
      <c r="CZ59" s="242">
        <f>第九期!BU10-第九期!CZ53</f>
        <v>0</v>
      </c>
      <c r="DA59" s="242">
        <f>第九期!BV10-第九期!DA53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第九期!DX9</f>
        <v>0</v>
      </c>
      <c r="Z60" s="127">
        <f>第九期!DX13</f>
        <v>0</v>
      </c>
      <c r="AA60" s="127">
        <f>第九期!DX17</f>
        <v>0</v>
      </c>
      <c r="AB60" s="127">
        <f>第九期!DX21</f>
        <v>0</v>
      </c>
      <c r="AC60" s="108" t="s">
        <v>314</v>
      </c>
      <c r="AE60" s="11" t="s">
        <v>58</v>
      </c>
      <c r="AF60" s="127">
        <f>第九期!DW9</f>
        <v>0</v>
      </c>
      <c r="AG60" s="127">
        <f>第九期!DW13</f>
        <v>0</v>
      </c>
      <c r="AH60" s="127">
        <f>第九期!DW17</f>
        <v>0</v>
      </c>
      <c r="AI60" s="127">
        <f>第九期!DW21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1"/>
        <v/>
      </c>
      <c r="AT60" s="191" t="str">
        <f t="shared" si="42"/>
        <v/>
      </c>
      <c r="AU60" s="191" t="str">
        <f t="shared" si="42"/>
        <v/>
      </c>
      <c r="AV60" s="191" t="str">
        <f t="shared" si="42"/>
        <v/>
      </c>
      <c r="AW60" s="191" t="str">
        <f t="shared" si="42"/>
        <v/>
      </c>
      <c r="AX60" s="191" t="str">
        <f t="shared" si="42"/>
        <v/>
      </c>
      <c r="AY60" s="191" t="str">
        <f t="shared" si="42"/>
        <v/>
      </c>
      <c r="AZ60" s="191" t="str">
        <f t="shared" si="42"/>
        <v/>
      </c>
      <c r="BA60" s="191" t="str">
        <f t="shared" si="42"/>
        <v/>
      </c>
      <c r="BB60" s="191" t="str">
        <f t="shared" si="42"/>
        <v/>
      </c>
      <c r="BC60" s="191" t="str">
        <f t="shared" si="42"/>
        <v/>
      </c>
      <c r="BD60" s="191" t="str">
        <f t="shared" si="42"/>
        <v/>
      </c>
      <c r="BE60" s="191" t="str">
        <f t="shared" si="42"/>
        <v/>
      </c>
      <c r="BF60" s="191" t="str">
        <f t="shared" si="42"/>
        <v/>
      </c>
      <c r="BG60" s="191" t="str">
        <f t="shared" si="42"/>
        <v/>
      </c>
      <c r="BH60" s="191" t="str">
        <f t="shared" si="42"/>
        <v/>
      </c>
      <c r="BR60" s="209" t="s">
        <v>338</v>
      </c>
      <c r="BS60" s="130">
        <f>第九期!Y18*比赛参数!D58</f>
        <v>0</v>
      </c>
      <c r="BT60" s="130"/>
      <c r="BU60" s="130">
        <f>BU59+BS60</f>
        <v>0</v>
      </c>
      <c r="BV60" s="130">
        <f t="shared" si="43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1"/>
        <v/>
      </c>
      <c r="AT61" s="191" t="str">
        <f t="shared" si="42"/>
        <v/>
      </c>
      <c r="AU61" s="191" t="str">
        <f t="shared" si="42"/>
        <v/>
      </c>
      <c r="AV61" s="191" t="str">
        <f t="shared" si="42"/>
        <v/>
      </c>
      <c r="AW61" s="191" t="str">
        <f t="shared" si="42"/>
        <v/>
      </c>
      <c r="AX61" s="191" t="str">
        <f t="shared" si="42"/>
        <v/>
      </c>
      <c r="AY61" s="191" t="str">
        <f t="shared" si="42"/>
        <v/>
      </c>
      <c r="AZ61" s="191" t="str">
        <f t="shared" si="42"/>
        <v/>
      </c>
      <c r="BA61" s="191" t="str">
        <f t="shared" si="42"/>
        <v/>
      </c>
      <c r="BB61" s="191" t="str">
        <f t="shared" si="42"/>
        <v/>
      </c>
      <c r="BC61" s="191" t="str">
        <f t="shared" si="42"/>
        <v/>
      </c>
      <c r="BD61" s="191" t="str">
        <f t="shared" si="42"/>
        <v/>
      </c>
      <c r="BE61" s="191" t="str">
        <f t="shared" si="42"/>
        <v/>
      </c>
      <c r="BF61" s="191" t="str">
        <f t="shared" si="42"/>
        <v/>
      </c>
      <c r="BG61" s="191" t="str">
        <f t="shared" si="42"/>
        <v/>
      </c>
      <c r="BH61" s="191" t="str">
        <f t="shared" si="42"/>
        <v/>
      </c>
      <c r="BR61" s="209" t="s">
        <v>341</v>
      </c>
      <c r="BS61" s="130">
        <f>第九期!AA18*比赛参数!D62</f>
        <v>0</v>
      </c>
      <c r="BT61" s="130"/>
      <c r="BU61" s="130">
        <f>BU60+BS61</f>
        <v>0</v>
      </c>
      <c r="BV61" s="130">
        <f t="shared" si="43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1"/>
        <v/>
      </c>
      <c r="AT62" s="191" t="str">
        <f t="shared" si="42"/>
        <v/>
      </c>
      <c r="AU62" s="191" t="str">
        <f t="shared" si="42"/>
        <v/>
      </c>
      <c r="AV62" s="191" t="str">
        <f t="shared" si="42"/>
        <v/>
      </c>
      <c r="AW62" s="191" t="str">
        <f t="shared" si="42"/>
        <v/>
      </c>
      <c r="AX62" s="191" t="str">
        <f t="shared" si="42"/>
        <v/>
      </c>
      <c r="AY62" s="191" t="str">
        <f t="shared" si="42"/>
        <v/>
      </c>
      <c r="AZ62" s="191" t="str">
        <f t="shared" si="42"/>
        <v/>
      </c>
      <c r="BA62" s="191" t="str">
        <f t="shared" si="42"/>
        <v/>
      </c>
      <c r="BB62" s="191" t="str">
        <f t="shared" si="42"/>
        <v/>
      </c>
      <c r="BC62" s="191" t="str">
        <f t="shared" si="42"/>
        <v/>
      </c>
      <c r="BD62" s="191" t="str">
        <f t="shared" si="42"/>
        <v/>
      </c>
      <c r="BE62" s="191" t="str">
        <f t="shared" si="42"/>
        <v/>
      </c>
      <c r="BF62" s="191" t="str">
        <f t="shared" si="42"/>
        <v/>
      </c>
      <c r="BG62" s="191" t="str">
        <f t="shared" si="42"/>
        <v/>
      </c>
      <c r="BH62" s="191" t="str">
        <f t="shared" si="42"/>
        <v/>
      </c>
      <c r="BR62" s="209" t="s">
        <v>342</v>
      </c>
      <c r="BS62" s="130">
        <f>((第九期!K8-第九期!AA18)*比赛参数!D65+第九期!Y18*比赛参数!D59*比赛参数!D65)*第九期!AH18*520</f>
        <v>0</v>
      </c>
      <c r="BT62" s="130"/>
      <c r="BU62" s="130">
        <f>BU61+BS62</f>
        <v>0</v>
      </c>
      <c r="BV62" s="130">
        <f t="shared" si="43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CX56/第九期!CQ56</f>
        <v>#DIV/0!</v>
      </c>
      <c r="CY62" s="242" t="e">
        <f>CY56/第九期!CR56</f>
        <v>#DIV/0!</v>
      </c>
      <c r="CZ62" s="242" t="e">
        <f>CZ56/第九期!CS56</f>
        <v>#DIV/0!</v>
      </c>
      <c r="DA62" s="242" t="e">
        <f>DA56/第九期!CT56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1"/>
        <v/>
      </c>
      <c r="AT63" s="191" t="str">
        <f t="shared" si="42"/>
        <v/>
      </c>
      <c r="AU63" s="191" t="str">
        <f t="shared" si="42"/>
        <v/>
      </c>
      <c r="AV63" s="191" t="str">
        <f t="shared" si="42"/>
        <v/>
      </c>
      <c r="AW63" s="191" t="str">
        <f t="shared" si="42"/>
        <v/>
      </c>
      <c r="AX63" s="191" t="str">
        <f t="shared" si="42"/>
        <v/>
      </c>
      <c r="AY63" s="191" t="str">
        <f t="shared" si="42"/>
        <v/>
      </c>
      <c r="AZ63" s="191" t="str">
        <f t="shared" si="42"/>
        <v/>
      </c>
      <c r="BA63" s="191" t="str">
        <f t="shared" si="42"/>
        <v/>
      </c>
      <c r="BB63" s="191" t="str">
        <f t="shared" si="42"/>
        <v/>
      </c>
      <c r="BC63" s="191" t="str">
        <f t="shared" si="42"/>
        <v/>
      </c>
      <c r="BD63" s="191" t="str">
        <f t="shared" si="42"/>
        <v/>
      </c>
      <c r="BE63" s="191" t="str">
        <f t="shared" si="42"/>
        <v/>
      </c>
      <c r="BF63" s="191" t="str">
        <f t="shared" si="42"/>
        <v/>
      </c>
      <c r="BG63" s="191" t="str">
        <f t="shared" si="42"/>
        <v/>
      </c>
      <c r="BH63" s="191" t="str">
        <f t="shared" si="42"/>
        <v/>
      </c>
      <c r="BR63" s="209" t="s">
        <v>80</v>
      </c>
      <c r="BS63" s="130">
        <f>第九期!K9*比赛参数!D49</f>
        <v>0</v>
      </c>
      <c r="BT63" s="130"/>
      <c r="BU63" s="130">
        <f>BU62+BS63</f>
        <v>0</v>
      </c>
      <c r="BV63" s="130">
        <f t="shared" si="43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CX57/第九期!CQ57</f>
        <v>#DIV/0!</v>
      </c>
      <c r="CY63" s="242" t="e">
        <f>CY57/第九期!CR57</f>
        <v>#DIV/0!</v>
      </c>
      <c r="CZ63" s="242" t="e">
        <f>CZ57/第九期!CS57</f>
        <v>#DIV/0!</v>
      </c>
      <c r="DA63" s="242" t="e">
        <f>DA57/第九期!CT57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4">AF64-AF70</f>
        <v>0</v>
      </c>
      <c r="Z64" s="108">
        <f t="shared" si="44"/>
        <v>0</v>
      </c>
      <c r="AA64" s="108">
        <f t="shared" si="44"/>
        <v>0</v>
      </c>
      <c r="AB64" s="108">
        <f t="shared" si="44"/>
        <v>0</v>
      </c>
      <c r="AC64" s="126"/>
      <c r="AE64" s="64" t="s">
        <v>55</v>
      </c>
      <c r="AF64" s="131">
        <f t="shared" ref="AF64:AI67" si="45">IF(Y88+Y57-AF57-Y108&gt;0,Y88+Y57-AF57-Y108,0)</f>
        <v>0</v>
      </c>
      <c r="AG64" s="131">
        <f t="shared" si="45"/>
        <v>0</v>
      </c>
      <c r="AH64" s="131">
        <f t="shared" si="45"/>
        <v>0</v>
      </c>
      <c r="AI64" s="131">
        <f t="shared" si="45"/>
        <v>0</v>
      </c>
      <c r="AJ64" s="126"/>
      <c r="AL64" s="48"/>
      <c r="AN64" s="173"/>
      <c r="AO64" s="173"/>
      <c r="AR64" s="190">
        <v>8</v>
      </c>
      <c r="AS64" s="191" t="str">
        <f t="shared" si="41"/>
        <v/>
      </c>
      <c r="AT64" s="191" t="str">
        <f t="shared" si="42"/>
        <v/>
      </c>
      <c r="AU64" s="191" t="str">
        <f t="shared" si="42"/>
        <v/>
      </c>
      <c r="AV64" s="191" t="str">
        <f t="shared" si="42"/>
        <v/>
      </c>
      <c r="AW64" s="191" t="str">
        <f t="shared" si="42"/>
        <v/>
      </c>
      <c r="AX64" s="191" t="str">
        <f t="shared" si="42"/>
        <v/>
      </c>
      <c r="AY64" s="191" t="str">
        <f t="shared" si="42"/>
        <v/>
      </c>
      <c r="AZ64" s="191" t="str">
        <f t="shared" si="42"/>
        <v/>
      </c>
      <c r="BA64" s="191" t="str">
        <f t="shared" si="42"/>
        <v/>
      </c>
      <c r="BB64" s="191" t="str">
        <f t="shared" si="42"/>
        <v/>
      </c>
      <c r="BC64" s="191" t="str">
        <f t="shared" si="42"/>
        <v/>
      </c>
      <c r="BD64" s="191" t="str">
        <f t="shared" si="42"/>
        <v/>
      </c>
      <c r="BE64" s="191" t="str">
        <f t="shared" si="42"/>
        <v/>
      </c>
      <c r="BF64" s="191" t="str">
        <f t="shared" si="42"/>
        <v/>
      </c>
      <c r="BG64" s="191" t="str">
        <f t="shared" si="42"/>
        <v/>
      </c>
      <c r="BH64" s="191" t="str">
        <f t="shared" si="42"/>
        <v/>
      </c>
      <c r="BR64" s="209" t="s">
        <v>307</v>
      </c>
      <c r="BS64" s="130">
        <f>第九期!AL37</f>
        <v>0</v>
      </c>
      <c r="BT64" s="130"/>
      <c r="BU64" s="130"/>
      <c r="BV64" s="130">
        <f t="shared" si="43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CX58/第九期!CQ58</f>
        <v>#DIV/0!</v>
      </c>
      <c r="CY64" s="242" t="e">
        <f>CY58/第九期!CR58</f>
        <v>#DIV/0!</v>
      </c>
      <c r="CZ64" s="242" t="e">
        <f>CZ58/第九期!CS58</f>
        <v>#DIV/0!</v>
      </c>
      <c r="DA64" s="242" t="e">
        <f>DA58/第九期!CT58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4"/>
        <v>0</v>
      </c>
      <c r="Z65" s="108">
        <f t="shared" si="44"/>
        <v>0</v>
      </c>
      <c r="AA65" s="108">
        <f t="shared" si="44"/>
        <v>0</v>
      </c>
      <c r="AB65" s="108">
        <f t="shared" si="44"/>
        <v>0</v>
      </c>
      <c r="AC65" s="126"/>
      <c r="AE65" s="11" t="s">
        <v>56</v>
      </c>
      <c r="AF65" s="131">
        <f t="shared" si="45"/>
        <v>0</v>
      </c>
      <c r="AG65" s="131">
        <f t="shared" si="45"/>
        <v>0</v>
      </c>
      <c r="AH65" s="131">
        <f t="shared" si="45"/>
        <v>0</v>
      </c>
      <c r="AI65" s="131">
        <f t="shared" si="45"/>
        <v>0</v>
      </c>
      <c r="AJ65" s="126"/>
      <c r="AL65" s="48"/>
      <c r="AN65" s="173"/>
      <c r="AO65" s="173"/>
      <c r="AR65" s="190">
        <v>9</v>
      </c>
      <c r="AS65" s="191" t="str">
        <f t="shared" si="41"/>
        <v/>
      </c>
      <c r="AT65" s="191" t="str">
        <f t="shared" si="42"/>
        <v/>
      </c>
      <c r="AU65" s="191" t="str">
        <f t="shared" si="42"/>
        <v/>
      </c>
      <c r="AV65" s="191" t="str">
        <f t="shared" si="42"/>
        <v/>
      </c>
      <c r="AW65" s="191" t="str">
        <f t="shared" si="42"/>
        <v/>
      </c>
      <c r="AX65" s="191" t="str">
        <f t="shared" si="42"/>
        <v/>
      </c>
      <c r="AY65" s="191" t="str">
        <f t="shared" si="42"/>
        <v/>
      </c>
      <c r="AZ65" s="191" t="str">
        <f t="shared" si="42"/>
        <v/>
      </c>
      <c r="BA65" s="191" t="str">
        <f t="shared" si="42"/>
        <v/>
      </c>
      <c r="BB65" s="191" t="str">
        <f t="shared" si="42"/>
        <v/>
      </c>
      <c r="BC65" s="191" t="str">
        <f t="shared" si="42"/>
        <v/>
      </c>
      <c r="BD65" s="191" t="str">
        <f t="shared" si="42"/>
        <v/>
      </c>
      <c r="BE65" s="191" t="str">
        <f t="shared" si="42"/>
        <v/>
      </c>
      <c r="BF65" s="191" t="str">
        <f t="shared" si="42"/>
        <v/>
      </c>
      <c r="BG65" s="191" t="str">
        <f t="shared" si="42"/>
        <v/>
      </c>
      <c r="BH65" s="191" t="str">
        <f t="shared" si="42"/>
        <v/>
      </c>
      <c r="BR65" s="209" t="s">
        <v>346</v>
      </c>
      <c r="BS65" s="91">
        <f>0.5*第九期!AL37+0.5*第九期!DV23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CX59/第九期!CQ59</f>
        <v>#DIV/0!</v>
      </c>
      <c r="CY65" s="242" t="e">
        <f>CY59/第九期!CR59</f>
        <v>#DIV/0!</v>
      </c>
      <c r="CZ65" s="242" t="e">
        <f>CZ59/第九期!CS59</f>
        <v>#DIV/0!</v>
      </c>
      <c r="DA65" s="242" t="e">
        <f>DA59/第九期!CT59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4"/>
        <v>0</v>
      </c>
      <c r="Z66" s="108">
        <f t="shared" si="44"/>
        <v>0</v>
      </c>
      <c r="AA66" s="108">
        <f t="shared" si="44"/>
        <v>0</v>
      </c>
      <c r="AB66" s="108">
        <f t="shared" si="44"/>
        <v>0</v>
      </c>
      <c r="AC66" s="126"/>
      <c r="AE66" s="11" t="s">
        <v>57</v>
      </c>
      <c r="AF66" s="131">
        <f t="shared" si="45"/>
        <v>0</v>
      </c>
      <c r="AG66" s="131">
        <f t="shared" si="45"/>
        <v>0</v>
      </c>
      <c r="AH66" s="131">
        <f t="shared" si="45"/>
        <v>0</v>
      </c>
      <c r="AI66" s="131">
        <f t="shared" si="45"/>
        <v>0</v>
      </c>
      <c r="AJ66" s="126"/>
      <c r="AL66" s="48"/>
      <c r="AR66" s="190">
        <v>10</v>
      </c>
      <c r="AS66" s="191" t="str">
        <f t="shared" si="41"/>
        <v/>
      </c>
      <c r="AT66" s="191" t="str">
        <f t="shared" si="42"/>
        <v/>
      </c>
      <c r="AU66" s="191" t="str">
        <f t="shared" si="42"/>
        <v/>
      </c>
      <c r="AV66" s="191" t="str">
        <f t="shared" si="42"/>
        <v/>
      </c>
      <c r="AW66" s="191" t="str">
        <f t="shared" si="42"/>
        <v/>
      </c>
      <c r="AX66" s="191" t="str">
        <f t="shared" si="42"/>
        <v/>
      </c>
      <c r="AY66" s="191" t="str">
        <f t="shared" si="42"/>
        <v/>
      </c>
      <c r="AZ66" s="191" t="str">
        <f t="shared" si="42"/>
        <v/>
      </c>
      <c r="BA66" s="191" t="str">
        <f t="shared" si="42"/>
        <v/>
      </c>
      <c r="BB66" s="191" t="str">
        <f t="shared" si="42"/>
        <v/>
      </c>
      <c r="BC66" s="191" t="str">
        <f t="shared" si="42"/>
        <v/>
      </c>
      <c r="BD66" s="191" t="str">
        <f t="shared" si="42"/>
        <v/>
      </c>
      <c r="BE66" s="191" t="str">
        <f t="shared" si="42"/>
        <v/>
      </c>
      <c r="BF66" s="191" t="str">
        <f t="shared" si="42"/>
        <v/>
      </c>
      <c r="BG66" s="191" t="str">
        <f t="shared" si="42"/>
        <v/>
      </c>
      <c r="BH66" s="191" t="str">
        <f t="shared" si="42"/>
        <v/>
      </c>
      <c r="BR66" s="209" t="s">
        <v>242</v>
      </c>
      <c r="BS66" s="130">
        <f>第九期!AC18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4"/>
        <v>0</v>
      </c>
      <c r="Z67" s="108">
        <f t="shared" si="44"/>
        <v>0</v>
      </c>
      <c r="AA67" s="108">
        <f t="shared" si="44"/>
        <v>0</v>
      </c>
      <c r="AB67" s="108">
        <f t="shared" si="44"/>
        <v>0</v>
      </c>
      <c r="AC67" s="126"/>
      <c r="AE67" s="11" t="s">
        <v>58</v>
      </c>
      <c r="AF67" s="131">
        <f t="shared" si="45"/>
        <v>0</v>
      </c>
      <c r="AG67" s="131">
        <f t="shared" si="45"/>
        <v>0</v>
      </c>
      <c r="AH67" s="131">
        <f t="shared" si="45"/>
        <v>0</v>
      </c>
      <c r="AI67" s="131">
        <f t="shared" si="45"/>
        <v>0</v>
      </c>
      <c r="AJ67" s="126"/>
      <c r="AL67" s="48"/>
      <c r="AR67" s="190">
        <v>11</v>
      </c>
      <c r="AS67" s="191" t="str">
        <f t="shared" si="41"/>
        <v/>
      </c>
      <c r="AT67" s="191" t="str">
        <f t="shared" si="42"/>
        <v/>
      </c>
      <c r="AU67" s="191" t="str">
        <f t="shared" si="42"/>
        <v/>
      </c>
      <c r="AV67" s="191" t="str">
        <f t="shared" si="42"/>
        <v/>
      </c>
      <c r="AW67" s="191" t="str">
        <f t="shared" si="42"/>
        <v/>
      </c>
      <c r="AX67" s="191" t="str">
        <f t="shared" si="42"/>
        <v/>
      </c>
      <c r="AY67" s="191" t="str">
        <f t="shared" si="42"/>
        <v/>
      </c>
      <c r="AZ67" s="191" t="str">
        <f t="shared" si="42"/>
        <v/>
      </c>
      <c r="BA67" s="191" t="str">
        <f t="shared" si="42"/>
        <v/>
      </c>
      <c r="BB67" s="191" t="str">
        <f t="shared" si="42"/>
        <v/>
      </c>
      <c r="BC67" s="191" t="str">
        <f t="shared" si="42"/>
        <v/>
      </c>
      <c r="BD67" s="191" t="str">
        <f t="shared" si="42"/>
        <v/>
      </c>
      <c r="BE67" s="191" t="str">
        <f t="shared" si="42"/>
        <v/>
      </c>
      <c r="BF67" s="191" t="str">
        <f t="shared" si="42"/>
        <v/>
      </c>
      <c r="BG67" s="191" t="str">
        <f t="shared" si="42"/>
        <v/>
      </c>
      <c r="BH67" s="191" t="str">
        <f t="shared" si="42"/>
        <v/>
      </c>
      <c r="BR67" s="209" t="s">
        <v>348</v>
      </c>
      <c r="BS67" s="130">
        <f>IF(第九期!AC18&gt;=比赛参数!D33,(1-比赛参数!E33)*第九期!AC18,0)+IF(AND(第九期!AC18&gt;=比赛参数!D34,第九期!AC18&lt;比赛参数!D33),(1-比赛参数!E34)*第九期!AC18,0)+IF(AND(第九期!AC18&gt;=比赛参数!D35,第九期!AC18&lt;比赛参数!D34),(1-比赛参数!E35)*第九期!AC18,0)+IF(AND(第九期!AC18&gt;=比赛参数!D36,第九期!AC18&lt;比赛参数!D35),(1-比赛参数!E36)*第九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1"/>
        <v/>
      </c>
      <c r="AT68" s="191" t="str">
        <f t="shared" si="42"/>
        <v/>
      </c>
      <c r="AU68" s="191" t="str">
        <f t="shared" si="42"/>
        <v/>
      </c>
      <c r="AV68" s="191" t="str">
        <f t="shared" si="42"/>
        <v/>
      </c>
      <c r="AW68" s="191" t="str">
        <f t="shared" si="42"/>
        <v/>
      </c>
      <c r="AX68" s="191" t="str">
        <f t="shared" si="42"/>
        <v/>
      </c>
      <c r="AY68" s="191" t="str">
        <f t="shared" si="42"/>
        <v/>
      </c>
      <c r="AZ68" s="191" t="str">
        <f t="shared" si="42"/>
        <v/>
      </c>
      <c r="BA68" s="191" t="str">
        <f t="shared" si="42"/>
        <v/>
      </c>
      <c r="BB68" s="191" t="str">
        <f t="shared" si="42"/>
        <v/>
      </c>
      <c r="BC68" s="191" t="str">
        <f t="shared" si="42"/>
        <v/>
      </c>
      <c r="BD68" s="191" t="str">
        <f t="shared" si="42"/>
        <v/>
      </c>
      <c r="BE68" s="191" t="str">
        <f t="shared" si="42"/>
        <v/>
      </c>
      <c r="BF68" s="191" t="str">
        <f t="shared" si="42"/>
        <v/>
      </c>
      <c r="BG68" s="191" t="str">
        <f t="shared" si="42"/>
        <v/>
      </c>
      <c r="BH68" s="191" t="str">
        <f t="shared" si="42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6">IF(CX50&gt;0,CX56/CX50,0)</f>
        <v>0</v>
      </c>
      <c r="CY68" s="242">
        <f t="shared" si="46"/>
        <v>0</v>
      </c>
      <c r="CZ68" s="242">
        <f t="shared" si="46"/>
        <v>0</v>
      </c>
      <c r="DA68" s="242">
        <f t="shared" si="46"/>
        <v>0</v>
      </c>
      <c r="DB68" s="242">
        <f t="shared" si="46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1"/>
        <v/>
      </c>
      <c r="AT69" s="191" t="str">
        <f t="shared" si="42"/>
        <v/>
      </c>
      <c r="AU69" s="191" t="str">
        <f t="shared" si="42"/>
        <v/>
      </c>
      <c r="AV69" s="191" t="str">
        <f t="shared" si="42"/>
        <v/>
      </c>
      <c r="AW69" s="191" t="str">
        <f t="shared" si="42"/>
        <v/>
      </c>
      <c r="AX69" s="191" t="str">
        <f t="shared" si="42"/>
        <v/>
      </c>
      <c r="AY69" s="191" t="str">
        <f t="shared" si="42"/>
        <v/>
      </c>
      <c r="AZ69" s="191" t="str">
        <f t="shared" si="42"/>
        <v/>
      </c>
      <c r="BA69" s="191" t="str">
        <f t="shared" si="42"/>
        <v/>
      </c>
      <c r="BB69" s="191" t="str">
        <f t="shared" si="42"/>
        <v/>
      </c>
      <c r="BC69" s="191" t="str">
        <f t="shared" si="42"/>
        <v/>
      </c>
      <c r="BD69" s="191" t="str">
        <f t="shared" si="42"/>
        <v/>
      </c>
      <c r="BE69" s="191" t="str">
        <f t="shared" si="42"/>
        <v/>
      </c>
      <c r="BF69" s="191" t="str">
        <f t="shared" si="42"/>
        <v/>
      </c>
      <c r="BG69" s="191" t="str">
        <f t="shared" si="42"/>
        <v/>
      </c>
      <c r="BH69" s="191" t="str">
        <f t="shared" si="42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6"/>
        <v>0</v>
      </c>
      <c r="CY69" s="242">
        <f t="shared" si="46"/>
        <v>0</v>
      </c>
      <c r="CZ69" s="242">
        <f t="shared" si="46"/>
        <v>0</v>
      </c>
      <c r="DA69" s="242">
        <f t="shared" si="46"/>
        <v>0</v>
      </c>
      <c r="DB69" s="242">
        <f t="shared" si="46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第九期!DV6</f>
        <v>0</v>
      </c>
      <c r="AG70" s="131">
        <f>第九期!DV10</f>
        <v>0</v>
      </c>
      <c r="AH70" s="131">
        <f>第九期!DV14</f>
        <v>0</v>
      </c>
      <c r="AI70" s="131">
        <f>第九期!DV18</f>
        <v>0</v>
      </c>
      <c r="AJ70" s="126">
        <f>AF70-Y57+AF57</f>
        <v>0</v>
      </c>
      <c r="AK70" s="126">
        <f t="shared" ref="AK70:AM73" si="47">AG70-Z57+AG57</f>
        <v>0</v>
      </c>
      <c r="AL70" s="126">
        <f t="shared" si="47"/>
        <v>0</v>
      </c>
      <c r="AM70" s="126">
        <f t="shared" si="47"/>
        <v>0</v>
      </c>
      <c r="AR70" s="190">
        <v>14</v>
      </c>
      <c r="AS70" s="191" t="str">
        <f t="shared" si="41"/>
        <v/>
      </c>
      <c r="AT70" s="191" t="str">
        <f t="shared" si="42"/>
        <v/>
      </c>
      <c r="AU70" s="191" t="str">
        <f t="shared" si="42"/>
        <v/>
      </c>
      <c r="AV70" s="191" t="str">
        <f t="shared" si="42"/>
        <v/>
      </c>
      <c r="AW70" s="191" t="str">
        <f t="shared" si="42"/>
        <v/>
      </c>
      <c r="AX70" s="191" t="str">
        <f t="shared" si="42"/>
        <v/>
      </c>
      <c r="AY70" s="191" t="str">
        <f t="shared" si="42"/>
        <v/>
      </c>
      <c r="AZ70" s="191" t="str">
        <f t="shared" si="42"/>
        <v/>
      </c>
      <c r="BA70" s="191" t="str">
        <f t="shared" si="42"/>
        <v/>
      </c>
      <c r="BB70" s="191" t="str">
        <f t="shared" si="42"/>
        <v/>
      </c>
      <c r="BC70" s="191" t="str">
        <f t="shared" si="42"/>
        <v/>
      </c>
      <c r="BD70" s="191" t="str">
        <f t="shared" si="42"/>
        <v/>
      </c>
      <c r="BE70" s="191" t="str">
        <f t="shared" si="42"/>
        <v/>
      </c>
      <c r="BF70" s="191" t="str">
        <f t="shared" si="42"/>
        <v/>
      </c>
      <c r="BG70" s="191" t="str">
        <f t="shared" si="42"/>
        <v/>
      </c>
      <c r="BH70" s="191" t="str">
        <f t="shared" si="42"/>
        <v/>
      </c>
      <c r="BR70" s="209" t="s">
        <v>350</v>
      </c>
      <c r="BS70" s="130">
        <f>IF(第九期!AC18&gt;0,第九期!AC18*比赛参数!E40+比赛参数!E39,0)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6"/>
        <v>0</v>
      </c>
      <c r="CY70" s="242">
        <f t="shared" si="46"/>
        <v>0</v>
      </c>
      <c r="CZ70" s="242">
        <f t="shared" si="46"/>
        <v>0</v>
      </c>
      <c r="DA70" s="242">
        <f t="shared" si="46"/>
        <v>0</v>
      </c>
      <c r="DB70" s="242">
        <f t="shared" si="46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第九期!DV7</f>
        <v>0</v>
      </c>
      <c r="AG71" s="131">
        <f>第九期!DV11</f>
        <v>0</v>
      </c>
      <c r="AH71" s="131">
        <f>第九期!DV15</f>
        <v>0</v>
      </c>
      <c r="AI71" s="131">
        <f>第九期!DV19</f>
        <v>0</v>
      </c>
      <c r="AJ71" s="126">
        <f>AF71-Y58+AF58</f>
        <v>0</v>
      </c>
      <c r="AK71" s="126">
        <f t="shared" si="47"/>
        <v>0</v>
      </c>
      <c r="AL71" s="126">
        <f t="shared" si="47"/>
        <v>0</v>
      </c>
      <c r="AM71" s="126">
        <f t="shared" si="47"/>
        <v>0</v>
      </c>
      <c r="AR71" s="190">
        <v>15</v>
      </c>
      <c r="AS71" s="191" t="str">
        <f t="shared" si="41"/>
        <v/>
      </c>
      <c r="AT71" s="191" t="str">
        <f t="shared" si="42"/>
        <v/>
      </c>
      <c r="AU71" s="191" t="str">
        <f t="shared" si="42"/>
        <v/>
      </c>
      <c r="AV71" s="191" t="str">
        <f t="shared" si="42"/>
        <v/>
      </c>
      <c r="AW71" s="191" t="str">
        <f t="shared" si="42"/>
        <v/>
      </c>
      <c r="AX71" s="191" t="str">
        <f t="shared" si="42"/>
        <v/>
      </c>
      <c r="AY71" s="191" t="str">
        <f t="shared" si="42"/>
        <v/>
      </c>
      <c r="AZ71" s="191" t="str">
        <f t="shared" si="42"/>
        <v/>
      </c>
      <c r="BA71" s="191" t="str">
        <f t="shared" si="42"/>
        <v/>
      </c>
      <c r="BB71" s="191" t="str">
        <f t="shared" si="42"/>
        <v/>
      </c>
      <c r="BC71" s="191" t="str">
        <f t="shared" si="42"/>
        <v/>
      </c>
      <c r="BD71" s="191" t="str">
        <f t="shared" si="42"/>
        <v/>
      </c>
      <c r="BE71" s="191" t="str">
        <f t="shared" si="42"/>
        <v/>
      </c>
      <c r="BF71" s="191" t="str">
        <f t="shared" si="42"/>
        <v/>
      </c>
      <c r="BG71" s="191" t="str">
        <f t="shared" si="42"/>
        <v/>
      </c>
      <c r="BH71" s="191" t="str">
        <f t="shared" si="42"/>
        <v/>
      </c>
      <c r="BR71" s="209" t="s">
        <v>351</v>
      </c>
      <c r="BS71" s="130">
        <f>(第九期!Z13*比赛参数!E65*260+第九期!AA13*(比赛参数!F65-比赛参数!D65)*520+第九期!AB13*比赛参数!G65*260)*第九期!AH18</f>
        <v>0</v>
      </c>
      <c r="BT71" s="130"/>
      <c r="BU71" s="130">
        <f t="shared" ref="BU71:BU76" si="48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6"/>
        <v>0</v>
      </c>
      <c r="CY71" s="242">
        <f t="shared" si="46"/>
        <v>0</v>
      </c>
      <c r="CZ71" s="242">
        <f t="shared" si="46"/>
        <v>0</v>
      </c>
      <c r="DA71" s="242">
        <f t="shared" si="46"/>
        <v>0</v>
      </c>
      <c r="DB71" s="242">
        <f t="shared" si="46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第九期!DV8</f>
        <v>0</v>
      </c>
      <c r="AG72" s="131">
        <f>第九期!DV12</f>
        <v>0</v>
      </c>
      <c r="AH72" s="131">
        <f>第九期!DV16</f>
        <v>0</v>
      </c>
      <c r="AI72" s="131">
        <f>第九期!DV20</f>
        <v>0</v>
      </c>
      <c r="AJ72" s="126">
        <f>AF72-Y59+AF59</f>
        <v>0</v>
      </c>
      <c r="AK72" s="126">
        <f t="shared" si="47"/>
        <v>0</v>
      </c>
      <c r="AL72" s="126">
        <f t="shared" si="47"/>
        <v>0</v>
      </c>
      <c r="AM72" s="126">
        <f t="shared" si="47"/>
        <v>0</v>
      </c>
      <c r="AR72" s="190">
        <v>16</v>
      </c>
      <c r="AS72" s="191" t="str">
        <f t="shared" si="41"/>
        <v/>
      </c>
      <c r="AT72" s="191" t="str">
        <f t="shared" si="42"/>
        <v/>
      </c>
      <c r="AU72" s="191" t="str">
        <f t="shared" si="42"/>
        <v/>
      </c>
      <c r="AV72" s="191" t="str">
        <f t="shared" si="42"/>
        <v/>
      </c>
      <c r="AW72" s="191" t="str">
        <f t="shared" si="42"/>
        <v/>
      </c>
      <c r="AX72" s="191" t="str">
        <f t="shared" si="42"/>
        <v/>
      </c>
      <c r="AY72" s="191" t="str">
        <f t="shared" si="42"/>
        <v/>
      </c>
      <c r="AZ72" s="191" t="str">
        <f t="shared" si="42"/>
        <v/>
      </c>
      <c r="BA72" s="191" t="str">
        <f t="shared" si="42"/>
        <v/>
      </c>
      <c r="BB72" s="191" t="str">
        <f t="shared" si="42"/>
        <v/>
      </c>
      <c r="BC72" s="191" t="str">
        <f t="shared" si="42"/>
        <v/>
      </c>
      <c r="BD72" s="191" t="str">
        <f t="shared" si="42"/>
        <v/>
      </c>
      <c r="BE72" s="191" t="str">
        <f t="shared" si="42"/>
        <v/>
      </c>
      <c r="BF72" s="191" t="str">
        <f t="shared" si="42"/>
        <v/>
      </c>
      <c r="BG72" s="191" t="str">
        <f t="shared" si="42"/>
        <v/>
      </c>
      <c r="BH72" s="191" t="str">
        <f t="shared" si="42"/>
        <v/>
      </c>
      <c r="BR72" s="209" t="s">
        <v>77</v>
      </c>
      <c r="BS72" s="130">
        <f>第九期!DM60</f>
        <v>0</v>
      </c>
      <c r="BT72" s="130"/>
      <c r="BU72" s="130">
        <f t="shared" si="48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第九期!DV9</f>
        <v>0</v>
      </c>
      <c r="AG73" s="131">
        <f>第九期!DV13</f>
        <v>0</v>
      </c>
      <c r="AH73" s="131">
        <f>第九期!DV17</f>
        <v>0</v>
      </c>
      <c r="AI73" s="131">
        <f>第九期!DV21</f>
        <v>0</v>
      </c>
      <c r="AJ73" s="126">
        <f>AF73-Y60+AF60</f>
        <v>0</v>
      </c>
      <c r="AK73" s="126">
        <f t="shared" si="47"/>
        <v>0</v>
      </c>
      <c r="AL73" s="126">
        <f t="shared" si="47"/>
        <v>0</v>
      </c>
      <c r="AM73" s="126">
        <f t="shared" si="47"/>
        <v>0</v>
      </c>
      <c r="AR73" s="190">
        <v>17</v>
      </c>
      <c r="AS73" s="191" t="str">
        <f t="shared" si="41"/>
        <v/>
      </c>
      <c r="AT73" s="191" t="str">
        <f t="shared" ref="AT73:BH73" si="49">IF(AT49="","",(AT49-AT$54)^2)</f>
        <v/>
      </c>
      <c r="AU73" s="191" t="str">
        <f t="shared" si="49"/>
        <v/>
      </c>
      <c r="AV73" s="191" t="str">
        <f t="shared" si="49"/>
        <v/>
      </c>
      <c r="AW73" s="191" t="str">
        <f t="shared" si="49"/>
        <v/>
      </c>
      <c r="AX73" s="191" t="str">
        <f t="shared" si="49"/>
        <v/>
      </c>
      <c r="AY73" s="191" t="str">
        <f t="shared" si="49"/>
        <v/>
      </c>
      <c r="AZ73" s="191" t="str">
        <f t="shared" si="49"/>
        <v/>
      </c>
      <c r="BA73" s="191" t="str">
        <f t="shared" si="49"/>
        <v/>
      </c>
      <c r="BB73" s="191" t="str">
        <f t="shared" si="49"/>
        <v/>
      </c>
      <c r="BC73" s="191" t="str">
        <f t="shared" si="49"/>
        <v/>
      </c>
      <c r="BD73" s="191" t="str">
        <f t="shared" si="49"/>
        <v/>
      </c>
      <c r="BE73" s="191" t="str">
        <f t="shared" si="49"/>
        <v/>
      </c>
      <c r="BF73" s="191" t="str">
        <f t="shared" si="49"/>
        <v/>
      </c>
      <c r="BG73" s="191" t="str">
        <f t="shared" si="49"/>
        <v/>
      </c>
      <c r="BH73" s="191" t="str">
        <f t="shared" si="49"/>
        <v/>
      </c>
      <c r="BR73" s="209" t="s">
        <v>352</v>
      </c>
      <c r="BS73" s="130">
        <f>第九期!AC21</f>
        <v>0</v>
      </c>
      <c r="BT73" s="130"/>
      <c r="BU73" s="130">
        <f t="shared" si="48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ref="AS74:BH76" si="50">IF(AS50="","",(AS50-AS$54)^2)</f>
        <v/>
      </c>
      <c r="AT74" s="191" t="str">
        <f t="shared" si="50"/>
        <v/>
      </c>
      <c r="AU74" s="191" t="str">
        <f t="shared" si="50"/>
        <v/>
      </c>
      <c r="AV74" s="191" t="str">
        <f t="shared" si="50"/>
        <v/>
      </c>
      <c r="AW74" s="191" t="str">
        <f t="shared" si="50"/>
        <v/>
      </c>
      <c r="AX74" s="191" t="str">
        <f t="shared" si="50"/>
        <v/>
      </c>
      <c r="AY74" s="191" t="str">
        <f t="shared" si="50"/>
        <v/>
      </c>
      <c r="AZ74" s="191" t="str">
        <f t="shared" si="50"/>
        <v/>
      </c>
      <c r="BA74" s="191" t="str">
        <f t="shared" si="50"/>
        <v/>
      </c>
      <c r="BB74" s="191" t="str">
        <f t="shared" si="50"/>
        <v/>
      </c>
      <c r="BC74" s="191" t="str">
        <f t="shared" si="50"/>
        <v/>
      </c>
      <c r="BD74" s="191" t="str">
        <f t="shared" si="50"/>
        <v/>
      </c>
      <c r="BE74" s="191" t="str">
        <f t="shared" si="50"/>
        <v/>
      </c>
      <c r="BF74" s="191" t="str">
        <f t="shared" si="50"/>
        <v/>
      </c>
      <c r="BG74" s="191" t="str">
        <f t="shared" si="50"/>
        <v/>
      </c>
      <c r="BH74" s="191" t="str">
        <f t="shared" si="50"/>
        <v/>
      </c>
      <c r="BR74" s="209" t="s">
        <v>353</v>
      </c>
      <c r="BS74" s="130">
        <f>第九期!CG42</f>
        <v>0</v>
      </c>
      <c r="BT74" s="130"/>
      <c r="BU74" s="130">
        <f t="shared" si="48"/>
        <v>0</v>
      </c>
      <c r="BV74" s="130">
        <f>BV72-BS74</f>
        <v>0</v>
      </c>
      <c r="BW74" s="126"/>
      <c r="CB74" s="219"/>
      <c r="CC74" s="219">
        <f t="shared" ref="CC74:CF77" si="51">AF64*AF76</f>
        <v>0</v>
      </c>
      <c r="CD74" s="219">
        <f t="shared" si="51"/>
        <v>0</v>
      </c>
      <c r="CE74" s="219">
        <f t="shared" si="51"/>
        <v>0</v>
      </c>
      <c r="CF74" s="219">
        <f t="shared" si="51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50"/>
        <v/>
      </c>
      <c r="AT75" s="191" t="str">
        <f t="shared" si="50"/>
        <v/>
      </c>
      <c r="AU75" s="191" t="str">
        <f t="shared" si="50"/>
        <v/>
      </c>
      <c r="AV75" s="191" t="str">
        <f t="shared" si="50"/>
        <v/>
      </c>
      <c r="AW75" s="191" t="str">
        <f t="shared" si="50"/>
        <v/>
      </c>
      <c r="AX75" s="191" t="str">
        <f t="shared" si="50"/>
        <v/>
      </c>
      <c r="AY75" s="191" t="str">
        <f t="shared" si="50"/>
        <v/>
      </c>
      <c r="AZ75" s="191" t="str">
        <f t="shared" si="50"/>
        <v/>
      </c>
      <c r="BA75" s="191" t="str">
        <f t="shared" si="50"/>
        <v/>
      </c>
      <c r="BB75" s="191" t="str">
        <f t="shared" si="50"/>
        <v/>
      </c>
      <c r="BC75" s="191" t="str">
        <f t="shared" si="50"/>
        <v/>
      </c>
      <c r="BD75" s="191" t="str">
        <f t="shared" si="50"/>
        <v/>
      </c>
      <c r="BE75" s="191" t="str">
        <f t="shared" si="50"/>
        <v/>
      </c>
      <c r="BF75" s="191" t="str">
        <f t="shared" si="50"/>
        <v/>
      </c>
      <c r="BG75" s="191" t="str">
        <f t="shared" si="50"/>
        <v/>
      </c>
      <c r="BH75" s="191" t="str">
        <f t="shared" si="50"/>
        <v/>
      </c>
      <c r="BR75" s="209" t="s">
        <v>357</v>
      </c>
      <c r="BS75" s="130">
        <f>SUM(第九期!AF80:AI80)</f>
        <v>0</v>
      </c>
      <c r="BT75" s="130"/>
      <c r="BU75" s="130">
        <f t="shared" si="48"/>
        <v>0</v>
      </c>
      <c r="BV75" s="130">
        <f>BV74-BS75</f>
        <v>0</v>
      </c>
      <c r="BW75" s="126"/>
      <c r="CB75" s="219"/>
      <c r="CC75" s="219">
        <f t="shared" si="51"/>
        <v>0</v>
      </c>
      <c r="CD75" s="219">
        <f t="shared" si="51"/>
        <v>0</v>
      </c>
      <c r="CE75" s="219">
        <f t="shared" si="51"/>
        <v>0</v>
      </c>
      <c r="CF75" s="219">
        <f t="shared" si="51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50"/>
        <v/>
      </c>
      <c r="AT76" s="191" t="str">
        <f t="shared" si="50"/>
        <v/>
      </c>
      <c r="AU76" s="191" t="str">
        <f t="shared" si="50"/>
        <v/>
      </c>
      <c r="AV76" s="191" t="str">
        <f t="shared" si="50"/>
        <v/>
      </c>
      <c r="AW76" s="191" t="str">
        <f t="shared" si="50"/>
        <v/>
      </c>
      <c r="AX76" s="191" t="str">
        <f t="shared" si="50"/>
        <v/>
      </c>
      <c r="AY76" s="191" t="str">
        <f t="shared" si="50"/>
        <v/>
      </c>
      <c r="AZ76" s="191" t="str">
        <f t="shared" si="50"/>
        <v/>
      </c>
      <c r="BA76" s="191" t="str">
        <f t="shared" si="50"/>
        <v/>
      </c>
      <c r="BB76" s="191" t="str">
        <f t="shared" si="50"/>
        <v/>
      </c>
      <c r="BC76" s="191" t="str">
        <f t="shared" si="50"/>
        <v/>
      </c>
      <c r="BD76" s="191" t="str">
        <f t="shared" si="50"/>
        <v/>
      </c>
      <c r="BE76" s="191" t="str">
        <f t="shared" si="50"/>
        <v/>
      </c>
      <c r="BF76" s="191" t="str">
        <f t="shared" si="50"/>
        <v/>
      </c>
      <c r="BG76" s="191" t="str">
        <f t="shared" si="50"/>
        <v/>
      </c>
      <c r="BH76" s="191" t="str">
        <f t="shared" si="50"/>
        <v/>
      </c>
      <c r="BR76" s="326" t="s">
        <v>358</v>
      </c>
      <c r="BS76" s="327">
        <f>SUM(第九期!AJ76:AJ79)</f>
        <v>0</v>
      </c>
      <c r="BT76" s="327"/>
      <c r="BU76" s="327">
        <f t="shared" si="48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51"/>
        <v>0</v>
      </c>
      <c r="CD76" s="219">
        <f t="shared" si="51"/>
        <v>0</v>
      </c>
      <c r="CE76" s="219">
        <f t="shared" si="51"/>
        <v>0</v>
      </c>
      <c r="CF76" s="219">
        <f t="shared" si="51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第九期!CG53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51"/>
        <v>0</v>
      </c>
      <c r="CD77" s="219">
        <f t="shared" si="51"/>
        <v>0</v>
      </c>
      <c r="CE77" s="219">
        <f t="shared" si="51"/>
        <v>0</v>
      </c>
      <c r="CF77" s="219">
        <f t="shared" si="51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52">AVERAGE(AT57:AT76)^0.5</f>
        <v>#DIV/0!</v>
      </c>
      <c r="AU78" s="307" t="e">
        <f t="shared" si="52"/>
        <v>#DIV/0!</v>
      </c>
      <c r="AV78" s="307" t="e">
        <f t="shared" si="52"/>
        <v>#DIV/0!</v>
      </c>
      <c r="AW78" s="307" t="e">
        <f t="shared" si="52"/>
        <v>#DIV/0!</v>
      </c>
      <c r="AX78" s="307" t="e">
        <f t="shared" si="52"/>
        <v>#DIV/0!</v>
      </c>
      <c r="AY78" s="307" t="e">
        <f t="shared" si="52"/>
        <v>#DIV/0!</v>
      </c>
      <c r="AZ78" s="307" t="e">
        <f t="shared" si="52"/>
        <v>#DIV/0!</v>
      </c>
      <c r="BA78" s="307" t="e">
        <f t="shared" si="52"/>
        <v>#DIV/0!</v>
      </c>
      <c r="BB78" s="307" t="e">
        <f t="shared" si="52"/>
        <v>#DIV/0!</v>
      </c>
      <c r="BC78" s="307" t="e">
        <f t="shared" si="52"/>
        <v>#DIV/0!</v>
      </c>
      <c r="BD78" s="307" t="e">
        <f t="shared" si="52"/>
        <v>#DIV/0!</v>
      </c>
      <c r="BE78" s="307" t="e">
        <f t="shared" si="52"/>
        <v>#DIV/0!</v>
      </c>
      <c r="BF78" s="307" t="e">
        <f t="shared" si="52"/>
        <v>#DIV/0!</v>
      </c>
      <c r="BG78" s="307" t="e">
        <f t="shared" si="52"/>
        <v>#DIV/0!</v>
      </c>
      <c r="BH78" s="307" t="e">
        <f t="shared" si="52"/>
        <v>#DIV/0!</v>
      </c>
      <c r="BR78" s="209" t="s">
        <v>266</v>
      </c>
      <c r="BS78" s="130">
        <f>第九期!CN53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第九期!K9*比赛参数!D30*比赛参数!F30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第九期!CG65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第九期!Y9*第九期!CQ56</f>
        <v>0</v>
      </c>
      <c r="CR80" s="65">
        <f>第九期!Z9*第九期!CR56</f>
        <v>0</v>
      </c>
      <c r="CS80" s="65">
        <f>第九期!AA9*第九期!CS56</f>
        <v>0</v>
      </c>
      <c r="CT80" s="65">
        <f>第九期!AB9*第九期!CT56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(第九期!K10+(第九期!AC18+第九期!K10-第九期!AC21))/2*比赛参数!D16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3">CJ19*AF64</f>
        <v>0</v>
      </c>
      <c r="CD81" s="219">
        <f t="shared" si="53"/>
        <v>0</v>
      </c>
      <c r="CE81" s="219">
        <f t="shared" si="53"/>
        <v>0</v>
      </c>
      <c r="CF81" s="219">
        <f t="shared" si="53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第九期!Y10*第九期!CQ57</f>
        <v>0</v>
      </c>
      <c r="CR81" s="65">
        <f>第九期!Z10*第九期!CR57</f>
        <v>0</v>
      </c>
      <c r="CS81" s="65">
        <f>第九期!AA10*第九期!CS57</f>
        <v>0</v>
      </c>
      <c r="CT81" s="65">
        <f>第九期!AB10*第九期!CT57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AS98" si="54">IF(AS33="","",(AS33-AS$54)/AS$78)</f>
        <v/>
      </c>
      <c r="AT82" s="309" t="str">
        <f t="shared" ref="AT82:BH97" si="55">IF(AT33="","",(AT33-AT$54)/AT$78)</f>
        <v/>
      </c>
      <c r="AU82" s="309" t="str">
        <f t="shared" si="55"/>
        <v/>
      </c>
      <c r="AV82" s="310" t="str">
        <f t="shared" si="55"/>
        <v/>
      </c>
      <c r="AW82" s="308" t="str">
        <f t="shared" si="55"/>
        <v/>
      </c>
      <c r="AX82" s="309" t="str">
        <f t="shared" si="55"/>
        <v/>
      </c>
      <c r="AY82" s="309" t="str">
        <f t="shared" si="55"/>
        <v/>
      </c>
      <c r="AZ82" s="310" t="str">
        <f t="shared" si="55"/>
        <v/>
      </c>
      <c r="BA82" s="308" t="str">
        <f t="shared" si="55"/>
        <v/>
      </c>
      <c r="BB82" s="309" t="str">
        <f t="shared" si="55"/>
        <v/>
      </c>
      <c r="BC82" s="309" t="str">
        <f t="shared" si="55"/>
        <v/>
      </c>
      <c r="BD82" s="310" t="str">
        <f t="shared" si="55"/>
        <v/>
      </c>
      <c r="BE82" s="308" t="str">
        <f t="shared" si="55"/>
        <v/>
      </c>
      <c r="BF82" s="309" t="str">
        <f t="shared" si="55"/>
        <v/>
      </c>
      <c r="BG82" s="309" t="str">
        <f t="shared" si="55"/>
        <v/>
      </c>
      <c r="BH82" s="310" t="str">
        <f t="shared" si="55"/>
        <v/>
      </c>
      <c r="BI82" s="319" t="str">
        <f>IF(AS82="","",AVERAGE(AS82:BH82))</f>
        <v/>
      </c>
      <c r="BR82" s="209" t="s">
        <v>370</v>
      </c>
      <c r="BS82" s="130">
        <f>第九期!CG67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3"/>
        <v>0</v>
      </c>
      <c r="CD82" s="219">
        <f t="shared" si="53"/>
        <v>0</v>
      </c>
      <c r="CE82" s="219">
        <f t="shared" si="53"/>
        <v>0</v>
      </c>
      <c r="CF82" s="219">
        <f t="shared" si="53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第九期!Y11*第九期!CQ58</f>
        <v>0</v>
      </c>
      <c r="CR82" s="65">
        <f>第九期!Z11*第九期!CR58</f>
        <v>0</v>
      </c>
      <c r="CS82" s="65">
        <f>第九期!AA11*第九期!CS58</f>
        <v>0</v>
      </c>
      <c r="CT82" s="65">
        <f>第九期!AB11*第九期!CT58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4"/>
        <v/>
      </c>
      <c r="AT83" s="309" t="str">
        <f t="shared" si="55"/>
        <v/>
      </c>
      <c r="AU83" s="309" t="str">
        <f t="shared" si="55"/>
        <v/>
      </c>
      <c r="AV83" s="310" t="str">
        <f t="shared" si="55"/>
        <v/>
      </c>
      <c r="AW83" s="308" t="str">
        <f t="shared" si="55"/>
        <v/>
      </c>
      <c r="AX83" s="309" t="str">
        <f t="shared" si="55"/>
        <v/>
      </c>
      <c r="AY83" s="309" t="str">
        <f t="shared" si="55"/>
        <v/>
      </c>
      <c r="AZ83" s="310" t="str">
        <f t="shared" si="55"/>
        <v/>
      </c>
      <c r="BA83" s="308" t="str">
        <f t="shared" si="55"/>
        <v/>
      </c>
      <c r="BB83" s="309" t="str">
        <f t="shared" si="55"/>
        <v/>
      </c>
      <c r="BC83" s="309" t="str">
        <f t="shared" si="55"/>
        <v/>
      </c>
      <c r="BD83" s="310" t="str">
        <f t="shared" si="55"/>
        <v/>
      </c>
      <c r="BE83" s="308" t="str">
        <f t="shared" si="55"/>
        <v/>
      </c>
      <c r="BF83" s="309" t="str">
        <f t="shared" si="55"/>
        <v/>
      </c>
      <c r="BG83" s="309" t="str">
        <f t="shared" si="55"/>
        <v/>
      </c>
      <c r="BH83" s="310" t="str">
        <f t="shared" si="55"/>
        <v/>
      </c>
      <c r="BI83" s="319" t="str">
        <f t="shared" ref="BI83:BI101" si="56">IF(AS83="","",AVERAGE(AS83:BH83))</f>
        <v/>
      </c>
      <c r="BR83" s="209" t="s">
        <v>372</v>
      </c>
      <c r="BS83" s="130">
        <f>第九期!K13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3"/>
        <v>0</v>
      </c>
      <c r="CD83" s="219">
        <f t="shared" si="53"/>
        <v>0</v>
      </c>
      <c r="CE83" s="219">
        <f t="shared" si="53"/>
        <v>0</v>
      </c>
      <c r="CF83" s="219">
        <f t="shared" si="53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第九期!Y12*第九期!CQ59</f>
        <v>0</v>
      </c>
      <c r="CR83" s="65">
        <f>第九期!Z12*第九期!CR59</f>
        <v>0</v>
      </c>
      <c r="CS83" s="65">
        <f>第九期!AA12*第九期!CS59</f>
        <v>0</v>
      </c>
      <c r="CT83" s="65">
        <f>第九期!AB12*第九期!CT59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4"/>
        <v/>
      </c>
      <c r="AT84" s="309" t="str">
        <f t="shared" si="55"/>
        <v/>
      </c>
      <c r="AU84" s="309" t="str">
        <f t="shared" si="55"/>
        <v/>
      </c>
      <c r="AV84" s="310" t="str">
        <f t="shared" si="55"/>
        <v/>
      </c>
      <c r="AW84" s="308" t="str">
        <f t="shared" si="55"/>
        <v/>
      </c>
      <c r="AX84" s="309" t="str">
        <f t="shared" si="55"/>
        <v/>
      </c>
      <c r="AY84" s="309" t="str">
        <f t="shared" si="55"/>
        <v/>
      </c>
      <c r="AZ84" s="310" t="str">
        <f t="shared" si="55"/>
        <v/>
      </c>
      <c r="BA84" s="308" t="str">
        <f t="shared" si="55"/>
        <v/>
      </c>
      <c r="BB84" s="309" t="str">
        <f t="shared" si="55"/>
        <v/>
      </c>
      <c r="BC84" s="309" t="str">
        <f t="shared" si="55"/>
        <v/>
      </c>
      <c r="BD84" s="310" t="str">
        <f t="shared" si="55"/>
        <v/>
      </c>
      <c r="BE84" s="308" t="str">
        <f t="shared" si="55"/>
        <v/>
      </c>
      <c r="BF84" s="309" t="str">
        <f t="shared" si="55"/>
        <v/>
      </c>
      <c r="BG84" s="309" t="str">
        <f t="shared" si="55"/>
        <v/>
      </c>
      <c r="BH84" s="310" t="str">
        <f t="shared" si="55"/>
        <v/>
      </c>
      <c r="BI84" s="319" t="str">
        <f t="shared" si="56"/>
        <v/>
      </c>
      <c r="BR84" s="209" t="s">
        <v>265</v>
      </c>
      <c r="BS84" s="130">
        <f>第九期!K13*比赛参数!D70/4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3"/>
        <v>0</v>
      </c>
      <c r="CD84" s="219">
        <f t="shared" si="53"/>
        <v>0</v>
      </c>
      <c r="CE84" s="219">
        <f t="shared" si="53"/>
        <v>0</v>
      </c>
      <c r="CF84" s="219">
        <f t="shared" si="53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4"/>
        <v/>
      </c>
      <c r="AT85" s="309" t="str">
        <f t="shared" si="55"/>
        <v/>
      </c>
      <c r="AU85" s="309" t="str">
        <f t="shared" si="55"/>
        <v/>
      </c>
      <c r="AV85" s="310" t="str">
        <f t="shared" si="55"/>
        <v/>
      </c>
      <c r="AW85" s="308" t="str">
        <f t="shared" si="55"/>
        <v/>
      </c>
      <c r="AX85" s="309" t="str">
        <f t="shared" si="55"/>
        <v/>
      </c>
      <c r="AY85" s="309" t="str">
        <f t="shared" si="55"/>
        <v/>
      </c>
      <c r="AZ85" s="310" t="str">
        <f t="shared" si="55"/>
        <v/>
      </c>
      <c r="BA85" s="308" t="str">
        <f t="shared" si="55"/>
        <v/>
      </c>
      <c r="BB85" s="309" t="str">
        <f t="shared" si="55"/>
        <v/>
      </c>
      <c r="BC85" s="309" t="str">
        <f t="shared" si="55"/>
        <v/>
      </c>
      <c r="BD85" s="310" t="str">
        <f t="shared" si="55"/>
        <v/>
      </c>
      <c r="BE85" s="308" t="str">
        <f t="shared" si="55"/>
        <v/>
      </c>
      <c r="BF85" s="309" t="str">
        <f t="shared" si="55"/>
        <v/>
      </c>
      <c r="BG85" s="309" t="str">
        <f t="shared" si="55"/>
        <v/>
      </c>
      <c r="BH85" s="310" t="str">
        <f t="shared" si="55"/>
        <v/>
      </c>
      <c r="BI85" s="319" t="str">
        <f t="shared" si="56"/>
        <v/>
      </c>
      <c r="BR85" s="209" t="s">
        <v>376</v>
      </c>
      <c r="BS85" s="130">
        <f>第九期!AH14</f>
        <v>0</v>
      </c>
      <c r="BT85" s="130"/>
      <c r="BU85" s="130"/>
      <c r="BV85" s="130">
        <f t="shared" ref="BV85:BV90" si="57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第九期!DS33</f>
        <v>0</v>
      </c>
      <c r="AG86" s="131">
        <f>第九期!DW33</f>
        <v>0</v>
      </c>
      <c r="AH86" s="131">
        <f>第九期!EA33</f>
        <v>0</v>
      </c>
      <c r="AI86" s="131">
        <f>第九期!EE33</f>
        <v>0</v>
      </c>
      <c r="AJ86" s="64" t="s">
        <v>55</v>
      </c>
      <c r="AK86" s="108">
        <f t="shared" ref="AK86:AN89" si="58">AF76-AF86</f>
        <v>0</v>
      </c>
      <c r="AL86" s="108">
        <f t="shared" si="58"/>
        <v>0</v>
      </c>
      <c r="AM86" s="108">
        <f t="shared" si="58"/>
        <v>0</v>
      </c>
      <c r="AN86" s="108">
        <f t="shared" si="58"/>
        <v>0</v>
      </c>
      <c r="AR86" s="185">
        <v>5</v>
      </c>
      <c r="AS86" s="308" t="str">
        <f t="shared" si="54"/>
        <v/>
      </c>
      <c r="AT86" s="309" t="str">
        <f t="shared" si="55"/>
        <v/>
      </c>
      <c r="AU86" s="309" t="str">
        <f t="shared" si="55"/>
        <v/>
      </c>
      <c r="AV86" s="310" t="str">
        <f t="shared" si="55"/>
        <v/>
      </c>
      <c r="AW86" s="308" t="str">
        <f t="shared" si="55"/>
        <v/>
      </c>
      <c r="AX86" s="309" t="str">
        <f t="shared" si="55"/>
        <v/>
      </c>
      <c r="AY86" s="309" t="str">
        <f t="shared" si="55"/>
        <v/>
      </c>
      <c r="AZ86" s="310" t="str">
        <f t="shared" si="55"/>
        <v/>
      </c>
      <c r="BA86" s="308" t="str">
        <f t="shared" si="55"/>
        <v/>
      </c>
      <c r="BB86" s="309" t="str">
        <f t="shared" si="55"/>
        <v/>
      </c>
      <c r="BC86" s="309" t="str">
        <f t="shared" si="55"/>
        <v/>
      </c>
      <c r="BD86" s="310" t="str">
        <f t="shared" si="55"/>
        <v/>
      </c>
      <c r="BE86" s="308" t="str">
        <f t="shared" si="55"/>
        <v/>
      </c>
      <c r="BF86" s="309" t="str">
        <f t="shared" si="55"/>
        <v/>
      </c>
      <c r="BG86" s="309" t="str">
        <f t="shared" si="55"/>
        <v/>
      </c>
      <c r="BH86" s="310" t="str">
        <f t="shared" si="55"/>
        <v/>
      </c>
      <c r="BI86" s="319" t="str">
        <f t="shared" si="56"/>
        <v/>
      </c>
      <c r="BR86" s="209" t="s">
        <v>377</v>
      </c>
      <c r="BS86" s="130">
        <f>第九期!AH14*比赛参数!D69/4</f>
        <v>0</v>
      </c>
      <c r="BT86" s="130"/>
      <c r="BU86" s="329">
        <f>BU82+BS86</f>
        <v>0</v>
      </c>
      <c r="BV86" s="130">
        <f t="shared" si="57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第九期!DT33</f>
        <v>0</v>
      </c>
      <c r="AG87" s="131">
        <f>第九期!DX33</f>
        <v>0</v>
      </c>
      <c r="AH87" s="131">
        <f>第九期!EB33</f>
        <v>0</v>
      </c>
      <c r="AI87" s="131">
        <f>第九期!EF33</f>
        <v>0</v>
      </c>
      <c r="AJ87" s="11" t="s">
        <v>56</v>
      </c>
      <c r="AK87" s="108">
        <f t="shared" si="58"/>
        <v>0</v>
      </c>
      <c r="AL87" s="108">
        <f t="shared" si="58"/>
        <v>0</v>
      </c>
      <c r="AM87" s="108">
        <f t="shared" si="58"/>
        <v>0</v>
      </c>
      <c r="AN87" s="108">
        <f t="shared" si="58"/>
        <v>0</v>
      </c>
      <c r="AR87" s="185">
        <v>6</v>
      </c>
      <c r="AS87" s="308" t="str">
        <f t="shared" si="54"/>
        <v/>
      </c>
      <c r="AT87" s="309" t="str">
        <f t="shared" si="55"/>
        <v/>
      </c>
      <c r="AU87" s="309" t="str">
        <f t="shared" si="55"/>
        <v/>
      </c>
      <c r="AV87" s="310" t="str">
        <f t="shared" si="55"/>
        <v/>
      </c>
      <c r="AW87" s="308" t="str">
        <f t="shared" si="55"/>
        <v/>
      </c>
      <c r="AX87" s="309" t="str">
        <f t="shared" si="55"/>
        <v/>
      </c>
      <c r="AY87" s="309" t="str">
        <f t="shared" si="55"/>
        <v/>
      </c>
      <c r="AZ87" s="310" t="str">
        <f t="shared" si="55"/>
        <v/>
      </c>
      <c r="BA87" s="308" t="str">
        <f t="shared" si="55"/>
        <v/>
      </c>
      <c r="BB87" s="309" t="str">
        <f t="shared" si="55"/>
        <v/>
      </c>
      <c r="BC87" s="309" t="str">
        <f t="shared" si="55"/>
        <v/>
      </c>
      <c r="BD87" s="310" t="str">
        <f t="shared" si="55"/>
        <v/>
      </c>
      <c r="BE87" s="308" t="str">
        <f t="shared" si="55"/>
        <v/>
      </c>
      <c r="BF87" s="309" t="str">
        <f t="shared" si="55"/>
        <v/>
      </c>
      <c r="BG87" s="309" t="str">
        <f t="shared" si="55"/>
        <v/>
      </c>
      <c r="BH87" s="310" t="str">
        <f t="shared" si="55"/>
        <v/>
      </c>
      <c r="BI87" s="319" t="str">
        <f t="shared" si="56"/>
        <v/>
      </c>
      <c r="BR87" s="209" t="s">
        <v>382</v>
      </c>
      <c r="BS87" s="130" t="b">
        <f>IF(第九期!BW92&gt;0,IF((第九期!K15+第九期!BW92*比赛参数!D72)&gt;0,第九期!K15+第九期!BW92*比赛参数!D72,0))</f>
        <v>0</v>
      </c>
      <c r="BT87" s="130"/>
      <c r="BU87" s="130"/>
      <c r="BV87" s="130">
        <f t="shared" si="57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第九期!DU33</f>
        <v>0</v>
      </c>
      <c r="AG88" s="131">
        <f>第九期!DY33</f>
        <v>0</v>
      </c>
      <c r="AH88" s="131">
        <f>第九期!EC33</f>
        <v>0</v>
      </c>
      <c r="AI88" s="131">
        <f>第九期!EG33</f>
        <v>0</v>
      </c>
      <c r="AJ88" s="11" t="s">
        <v>57</v>
      </c>
      <c r="AK88" s="108">
        <f t="shared" si="58"/>
        <v>0</v>
      </c>
      <c r="AL88" s="108">
        <f t="shared" si="58"/>
        <v>0</v>
      </c>
      <c r="AM88" s="108">
        <f t="shared" si="58"/>
        <v>0</v>
      </c>
      <c r="AN88" s="108">
        <f t="shared" si="58"/>
        <v>0</v>
      </c>
      <c r="AR88" s="185">
        <v>7</v>
      </c>
      <c r="AS88" s="308" t="str">
        <f t="shared" si="54"/>
        <v/>
      </c>
      <c r="AT88" s="309" t="str">
        <f t="shared" si="55"/>
        <v/>
      </c>
      <c r="AU88" s="309" t="str">
        <f t="shared" si="55"/>
        <v/>
      </c>
      <c r="AV88" s="310" t="str">
        <f t="shared" si="55"/>
        <v/>
      </c>
      <c r="AW88" s="308" t="str">
        <f t="shared" si="55"/>
        <v/>
      </c>
      <c r="AX88" s="309" t="str">
        <f t="shared" si="55"/>
        <v/>
      </c>
      <c r="AY88" s="309" t="str">
        <f t="shared" si="55"/>
        <v/>
      </c>
      <c r="AZ88" s="310" t="str">
        <f t="shared" si="55"/>
        <v/>
      </c>
      <c r="BA88" s="308" t="str">
        <f t="shared" si="55"/>
        <v/>
      </c>
      <c r="BB88" s="309" t="str">
        <f t="shared" si="55"/>
        <v/>
      </c>
      <c r="BC88" s="309" t="str">
        <f t="shared" si="55"/>
        <v/>
      </c>
      <c r="BD88" s="310" t="str">
        <f t="shared" si="55"/>
        <v/>
      </c>
      <c r="BE88" s="308" t="str">
        <f t="shared" si="55"/>
        <v/>
      </c>
      <c r="BF88" s="309" t="str">
        <f t="shared" si="55"/>
        <v/>
      </c>
      <c r="BG88" s="309" t="str">
        <f t="shared" si="55"/>
        <v/>
      </c>
      <c r="BH88" s="310" t="str">
        <f t="shared" si="55"/>
        <v/>
      </c>
      <c r="BI88" s="319" t="str">
        <f t="shared" si="56"/>
        <v/>
      </c>
      <c r="BR88" s="209" t="s">
        <v>288</v>
      </c>
      <c r="BS88" s="130">
        <f>第九期!AF18*比赛参数!D30</f>
        <v>0</v>
      </c>
      <c r="BT88" s="130"/>
      <c r="BU88" s="130"/>
      <c r="BV88" s="130">
        <f t="shared" si="57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第九期!DV33</f>
        <v>0</v>
      </c>
      <c r="AG89" s="131">
        <f>第九期!DZ33</f>
        <v>0</v>
      </c>
      <c r="AH89" s="131">
        <f>第九期!ED33</f>
        <v>0</v>
      </c>
      <c r="AI89" s="131">
        <f>第九期!EH33</f>
        <v>0</v>
      </c>
      <c r="AJ89" s="11" t="s">
        <v>58</v>
      </c>
      <c r="AK89" s="108">
        <f t="shared" si="58"/>
        <v>0</v>
      </c>
      <c r="AL89" s="108">
        <f t="shared" si="58"/>
        <v>0</v>
      </c>
      <c r="AM89" s="108">
        <f t="shared" si="58"/>
        <v>0</v>
      </c>
      <c r="AN89" s="108">
        <f t="shared" si="58"/>
        <v>0</v>
      </c>
      <c r="AR89" s="185">
        <v>8</v>
      </c>
      <c r="AS89" s="308" t="str">
        <f t="shared" si="54"/>
        <v/>
      </c>
      <c r="AT89" s="309" t="str">
        <f t="shared" si="55"/>
        <v/>
      </c>
      <c r="AU89" s="309" t="str">
        <f t="shared" si="55"/>
        <v/>
      </c>
      <c r="AV89" s="310" t="str">
        <f t="shared" si="55"/>
        <v/>
      </c>
      <c r="AW89" s="308" t="str">
        <f t="shared" si="55"/>
        <v/>
      </c>
      <c r="AX89" s="309" t="str">
        <f t="shared" si="55"/>
        <v/>
      </c>
      <c r="AY89" s="309" t="str">
        <f t="shared" si="55"/>
        <v/>
      </c>
      <c r="AZ89" s="310" t="str">
        <f t="shared" si="55"/>
        <v/>
      </c>
      <c r="BA89" s="308" t="str">
        <f t="shared" si="55"/>
        <v/>
      </c>
      <c r="BB89" s="309" t="str">
        <f t="shared" si="55"/>
        <v/>
      </c>
      <c r="BC89" s="309" t="str">
        <f t="shared" si="55"/>
        <v/>
      </c>
      <c r="BD89" s="310" t="str">
        <f t="shared" si="55"/>
        <v/>
      </c>
      <c r="BE89" s="308" t="str">
        <f t="shared" si="55"/>
        <v/>
      </c>
      <c r="BF89" s="309" t="str">
        <f t="shared" si="55"/>
        <v/>
      </c>
      <c r="BG89" s="309" t="str">
        <f t="shared" si="55"/>
        <v/>
      </c>
      <c r="BH89" s="310" t="str">
        <f t="shared" si="55"/>
        <v/>
      </c>
      <c r="BI89" s="319" t="str">
        <f t="shared" si="56"/>
        <v/>
      </c>
      <c r="BR89" s="209" t="s">
        <v>244</v>
      </c>
      <c r="BS89" s="130">
        <f>第九期!AJ18</f>
        <v>0</v>
      </c>
      <c r="BT89" s="130"/>
      <c r="BU89" s="130"/>
      <c r="BV89" s="130">
        <f t="shared" si="57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4"/>
        <v/>
      </c>
      <c r="AT90" s="309" t="str">
        <f t="shared" si="55"/>
        <v/>
      </c>
      <c r="AU90" s="309" t="str">
        <f t="shared" si="55"/>
        <v/>
      </c>
      <c r="AV90" s="310" t="str">
        <f t="shared" si="55"/>
        <v/>
      </c>
      <c r="AW90" s="308" t="str">
        <f t="shared" si="55"/>
        <v/>
      </c>
      <c r="AX90" s="309" t="str">
        <f t="shared" si="55"/>
        <v/>
      </c>
      <c r="AY90" s="309" t="str">
        <f t="shared" si="55"/>
        <v/>
      </c>
      <c r="AZ90" s="310" t="str">
        <f t="shared" si="55"/>
        <v/>
      </c>
      <c r="BA90" s="308" t="str">
        <f t="shared" si="55"/>
        <v/>
      </c>
      <c r="BB90" s="309" t="str">
        <f t="shared" si="55"/>
        <v/>
      </c>
      <c r="BC90" s="309" t="str">
        <f t="shared" si="55"/>
        <v/>
      </c>
      <c r="BD90" s="310" t="str">
        <f t="shared" si="55"/>
        <v/>
      </c>
      <c r="BE90" s="308" t="str">
        <f t="shared" si="55"/>
        <v/>
      </c>
      <c r="BF90" s="309" t="str">
        <f t="shared" si="55"/>
        <v/>
      </c>
      <c r="BG90" s="309" t="str">
        <f t="shared" si="55"/>
        <v/>
      </c>
      <c r="BH90" s="310" t="str">
        <f t="shared" si="55"/>
        <v/>
      </c>
      <c r="BI90" s="319" t="str">
        <f t="shared" si="56"/>
        <v/>
      </c>
      <c r="BR90" s="209" t="s">
        <v>258</v>
      </c>
      <c r="BS90" s="130">
        <f>第九期!AF20</f>
        <v>0</v>
      </c>
      <c r="BT90" s="130"/>
      <c r="BU90" s="130"/>
      <c r="BV90" s="329">
        <f t="shared" si="57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4"/>
        <v/>
      </c>
      <c r="AT91" s="309" t="str">
        <f t="shared" si="55"/>
        <v/>
      </c>
      <c r="AU91" s="309" t="str">
        <f t="shared" si="55"/>
        <v/>
      </c>
      <c r="AV91" s="310" t="str">
        <f t="shared" si="55"/>
        <v/>
      </c>
      <c r="AW91" s="308" t="str">
        <f t="shared" si="55"/>
        <v/>
      </c>
      <c r="AX91" s="309" t="str">
        <f t="shared" si="55"/>
        <v/>
      </c>
      <c r="AY91" s="309" t="str">
        <f t="shared" si="55"/>
        <v/>
      </c>
      <c r="AZ91" s="310" t="str">
        <f t="shared" si="55"/>
        <v/>
      </c>
      <c r="BA91" s="308" t="str">
        <f t="shared" si="55"/>
        <v/>
      </c>
      <c r="BB91" s="309" t="str">
        <f t="shared" si="55"/>
        <v/>
      </c>
      <c r="BC91" s="309" t="str">
        <f t="shared" si="55"/>
        <v/>
      </c>
      <c r="BD91" s="310" t="str">
        <f t="shared" si="55"/>
        <v/>
      </c>
      <c r="BE91" s="308" t="str">
        <f t="shared" si="55"/>
        <v/>
      </c>
      <c r="BF91" s="309" t="str">
        <f t="shared" si="55"/>
        <v/>
      </c>
      <c r="BG91" s="309" t="str">
        <f t="shared" si="55"/>
        <v/>
      </c>
      <c r="BH91" s="310" t="str">
        <f t="shared" si="55"/>
        <v/>
      </c>
      <c r="BI91" s="319" t="str">
        <f t="shared" si="56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9">AF86-AF98</f>
        <v>0</v>
      </c>
      <c r="AL92" s="304">
        <f t="shared" si="59"/>
        <v>0</v>
      </c>
      <c r="AM92" s="304">
        <f t="shared" si="59"/>
        <v>0</v>
      </c>
      <c r="AN92" s="304">
        <f t="shared" si="59"/>
        <v>0</v>
      </c>
      <c r="AR92" s="185">
        <v>11</v>
      </c>
      <c r="AS92" s="308" t="str">
        <f t="shared" si="54"/>
        <v/>
      </c>
      <c r="AT92" s="309" t="str">
        <f t="shared" si="55"/>
        <v/>
      </c>
      <c r="AU92" s="309" t="str">
        <f t="shared" si="55"/>
        <v/>
      </c>
      <c r="AV92" s="310" t="str">
        <f t="shared" si="55"/>
        <v/>
      </c>
      <c r="AW92" s="308" t="str">
        <f t="shared" si="55"/>
        <v/>
      </c>
      <c r="AX92" s="309" t="str">
        <f t="shared" si="55"/>
        <v/>
      </c>
      <c r="AY92" s="309" t="str">
        <f t="shared" si="55"/>
        <v/>
      </c>
      <c r="AZ92" s="310" t="str">
        <f t="shared" si="55"/>
        <v/>
      </c>
      <c r="BA92" s="308" t="str">
        <f t="shared" si="55"/>
        <v/>
      </c>
      <c r="BB92" s="309" t="str">
        <f t="shared" si="55"/>
        <v/>
      </c>
      <c r="BC92" s="309" t="str">
        <f t="shared" si="55"/>
        <v/>
      </c>
      <c r="BD92" s="310" t="str">
        <f t="shared" si="55"/>
        <v/>
      </c>
      <c r="BE92" s="308" t="str">
        <f t="shared" si="55"/>
        <v/>
      </c>
      <c r="BF92" s="309" t="str">
        <f t="shared" si="55"/>
        <v/>
      </c>
      <c r="BG92" s="309" t="str">
        <f t="shared" si="55"/>
        <v/>
      </c>
      <c r="BH92" s="310" t="str">
        <f t="shared" si="55"/>
        <v/>
      </c>
      <c r="BI92" s="319" t="str">
        <f t="shared" si="56"/>
        <v/>
      </c>
      <c r="BR92" s="330" t="s">
        <v>328</v>
      </c>
      <c r="BS92" s="130">
        <f>第九期!BT84</f>
        <v>0</v>
      </c>
      <c r="BT92" s="330" t="s">
        <v>181</v>
      </c>
      <c r="BU92" s="130">
        <f>第九期!BU86</f>
        <v>0</v>
      </c>
      <c r="BV92" s="332" t="s">
        <v>104</v>
      </c>
      <c r="BW92" s="333">
        <f>第九期!BT84-第九期!BU86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AC9*比赛参数!D6+第九期!DU26</f>
        <v>0</v>
      </c>
      <c r="Z93" s="37">
        <f>AC10*比赛参数!D6+第九期!DU27</f>
        <v>0</v>
      </c>
      <c r="AA93" s="37">
        <f>AC11*比赛参数!D6+第九期!DU28</f>
        <v>0</v>
      </c>
      <c r="AB93" s="37">
        <f>AC12*比赛参数!D6+第九期!DU29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9"/>
        <v>0</v>
      </c>
      <c r="AL93" s="304">
        <f t="shared" si="59"/>
        <v>0</v>
      </c>
      <c r="AM93" s="304">
        <f t="shared" si="59"/>
        <v>0</v>
      </c>
      <c r="AN93" s="304">
        <f t="shared" si="59"/>
        <v>0</v>
      </c>
      <c r="AR93" s="185">
        <v>12</v>
      </c>
      <c r="AS93" s="308" t="str">
        <f t="shared" si="54"/>
        <v/>
      </c>
      <c r="AT93" s="309" t="str">
        <f t="shared" si="55"/>
        <v/>
      </c>
      <c r="AU93" s="309" t="str">
        <f t="shared" si="55"/>
        <v/>
      </c>
      <c r="AV93" s="310" t="str">
        <f t="shared" si="55"/>
        <v/>
      </c>
      <c r="AW93" s="308" t="str">
        <f t="shared" si="55"/>
        <v/>
      </c>
      <c r="AX93" s="309" t="str">
        <f t="shared" si="55"/>
        <v/>
      </c>
      <c r="AY93" s="309" t="str">
        <f t="shared" si="55"/>
        <v/>
      </c>
      <c r="AZ93" s="310" t="str">
        <f t="shared" si="55"/>
        <v/>
      </c>
      <c r="BA93" s="308" t="str">
        <f t="shared" si="55"/>
        <v/>
      </c>
      <c r="BB93" s="309" t="str">
        <f t="shared" si="55"/>
        <v/>
      </c>
      <c r="BC93" s="309" t="str">
        <f t="shared" si="55"/>
        <v/>
      </c>
      <c r="BD93" s="310" t="str">
        <f t="shared" si="55"/>
        <v/>
      </c>
      <c r="BE93" s="308" t="str">
        <f t="shared" si="55"/>
        <v/>
      </c>
      <c r="BF93" s="309" t="str">
        <f t="shared" si="55"/>
        <v/>
      </c>
      <c r="BG93" s="309" t="str">
        <f t="shared" si="55"/>
        <v/>
      </c>
      <c r="BH93" s="310" t="str">
        <f t="shared" si="55"/>
        <v/>
      </c>
      <c r="BI93" s="319" t="str">
        <f t="shared" si="56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IF(第九期!$AC$9&gt;0,第九期!$K$9*比赛参数!$D$30*比赛参数!$F$30*$CU$87/第九期!$AC$9,0)</f>
        <v>0</v>
      </c>
      <c r="CR93" s="65">
        <f>IF(第九期!$AC$9&gt;0,第九期!$K$9*比赛参数!$D$30*比赛参数!$F$30*$CU$87/第九期!$AC$9,0)</f>
        <v>0</v>
      </c>
      <c r="CS93" s="65">
        <f>IF(第九期!$AC$9&gt;0,第九期!$K$9*比赛参数!$D$30*比赛参数!$F$30*$CU$87/第九期!$AC$9,0)</f>
        <v>0</v>
      </c>
      <c r="CT93" s="65">
        <f>IF(第九期!$AC$9&gt;0,第九期!$K$9*比赛参数!$D$30*比赛参数!$F$30*$CU$87/第九期!$AC$9,0)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9"/>
        <v>0</v>
      </c>
      <c r="AL94" s="304">
        <f t="shared" si="59"/>
        <v>0</v>
      </c>
      <c r="AM94" s="304">
        <f t="shared" si="59"/>
        <v>0</v>
      </c>
      <c r="AN94" s="304">
        <f t="shared" si="59"/>
        <v>0</v>
      </c>
      <c r="AR94" s="185">
        <v>13</v>
      </c>
      <c r="AS94" s="308" t="str">
        <f t="shared" si="54"/>
        <v/>
      </c>
      <c r="AT94" s="309" t="str">
        <f t="shared" si="55"/>
        <v/>
      </c>
      <c r="AU94" s="309" t="str">
        <f t="shared" si="55"/>
        <v/>
      </c>
      <c r="AV94" s="310" t="str">
        <f t="shared" si="55"/>
        <v/>
      </c>
      <c r="AW94" s="308" t="str">
        <f t="shared" si="55"/>
        <v/>
      </c>
      <c r="AX94" s="309" t="str">
        <f t="shared" si="55"/>
        <v/>
      </c>
      <c r="AY94" s="309" t="str">
        <f t="shared" si="55"/>
        <v/>
      </c>
      <c r="AZ94" s="310" t="str">
        <f t="shared" si="55"/>
        <v/>
      </c>
      <c r="BA94" s="308" t="str">
        <f t="shared" si="55"/>
        <v/>
      </c>
      <c r="BB94" s="309" t="str">
        <f t="shared" si="55"/>
        <v/>
      </c>
      <c r="BC94" s="309" t="str">
        <f t="shared" si="55"/>
        <v/>
      </c>
      <c r="BD94" s="310" t="str">
        <f t="shared" si="55"/>
        <v/>
      </c>
      <c r="BE94" s="308" t="str">
        <f t="shared" si="55"/>
        <v/>
      </c>
      <c r="BF94" s="309" t="str">
        <f t="shared" si="55"/>
        <v/>
      </c>
      <c r="BG94" s="309" t="str">
        <f t="shared" si="55"/>
        <v/>
      </c>
      <c r="BH94" s="310" t="str">
        <f t="shared" si="55"/>
        <v/>
      </c>
      <c r="BI94" s="319" t="str">
        <f t="shared" si="56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IF(第九期!$AC$10&gt;0,第九期!$K$9*比赛参数!$D$30*比赛参数!$F$30*$CU$88/第九期!$AC$10,0)</f>
        <v>0</v>
      </c>
      <c r="CR94" s="65">
        <f>IF(第九期!$AC$10&gt;0,第九期!$K$9*比赛参数!$D$30*比赛参数!$F$30*$CU$88/第九期!$AC$10,0)</f>
        <v>0</v>
      </c>
      <c r="CS94" s="65">
        <f>IF(第九期!$AC$10&gt;0,第九期!$K$9*比赛参数!$D$30*比赛参数!$F$30*$CU$88/第九期!$AC$10,0)</f>
        <v>0</v>
      </c>
      <c r="CT94" s="65">
        <f>IF(第九期!$AC$10&gt;0,第九期!$K$9*比赛参数!$D$30*比赛参数!$F$30*$CU$88/第九期!$AC$10,0)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9"/>
        <v>0</v>
      </c>
      <c r="AL95" s="304">
        <f t="shared" si="59"/>
        <v>0</v>
      </c>
      <c r="AM95" s="304">
        <f t="shared" si="59"/>
        <v>0</v>
      </c>
      <c r="AN95" s="304">
        <f t="shared" si="59"/>
        <v>0</v>
      </c>
      <c r="AR95" s="185">
        <v>14</v>
      </c>
      <c r="AS95" s="308" t="str">
        <f t="shared" si="54"/>
        <v/>
      </c>
      <c r="AT95" s="309" t="str">
        <f t="shared" si="55"/>
        <v/>
      </c>
      <c r="AU95" s="309" t="str">
        <f t="shared" si="55"/>
        <v/>
      </c>
      <c r="AV95" s="310" t="str">
        <f t="shared" si="55"/>
        <v/>
      </c>
      <c r="AW95" s="308" t="str">
        <f t="shared" si="55"/>
        <v/>
      </c>
      <c r="AX95" s="309" t="str">
        <f t="shared" si="55"/>
        <v/>
      </c>
      <c r="AY95" s="309" t="str">
        <f t="shared" si="55"/>
        <v/>
      </c>
      <c r="AZ95" s="310" t="str">
        <f t="shared" si="55"/>
        <v/>
      </c>
      <c r="BA95" s="308" t="str">
        <f t="shared" si="55"/>
        <v/>
      </c>
      <c r="BB95" s="309" t="str">
        <f t="shared" si="55"/>
        <v/>
      </c>
      <c r="BC95" s="309" t="str">
        <f t="shared" si="55"/>
        <v/>
      </c>
      <c r="BD95" s="310" t="str">
        <f t="shared" si="55"/>
        <v/>
      </c>
      <c r="BE95" s="308" t="str">
        <f t="shared" si="55"/>
        <v/>
      </c>
      <c r="BF95" s="309" t="str">
        <f t="shared" si="55"/>
        <v/>
      </c>
      <c r="BG95" s="309" t="str">
        <f t="shared" si="55"/>
        <v/>
      </c>
      <c r="BH95" s="310" t="str">
        <f t="shared" si="55"/>
        <v/>
      </c>
      <c r="BI95" s="319" t="str">
        <f t="shared" si="56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IF(第九期!$AC$11&gt;0,第九期!$K$9*比赛参数!$D$30*比赛参数!$F$30*$CU$89/第九期!$AC$11,0)</f>
        <v>0</v>
      </c>
      <c r="CR95" s="65">
        <f>IF(第九期!$AC$11&gt;0,第九期!$K$9*比赛参数!$D$30*比赛参数!$F$30*$CU$89/第九期!$AC$11,0)</f>
        <v>0</v>
      </c>
      <c r="CS95" s="65">
        <f>IF(第九期!$AC$11&gt;0,第九期!$K$9*比赛参数!$D$30*比赛参数!$F$30*$CU$89/第九期!$AC$11,0)</f>
        <v>0</v>
      </c>
      <c r="CT95" s="65">
        <f>IF(第九期!$AC$11&gt;0,第九期!$K$9*比赛参数!$D$30*比赛参数!$F$30*$CU$89/第九期!$AC$11,0)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第九期!CX62</f>
        <v>#DIV/0!</v>
      </c>
      <c r="Z96" s="94" t="e">
        <f>第九期!CX63</f>
        <v>#DIV/0!</v>
      </c>
      <c r="AA96" s="94" t="e">
        <f>第九期!CX64</f>
        <v>#DIV/0!</v>
      </c>
      <c r="AB96" s="94" t="e">
        <f>第九期!CX65</f>
        <v>#DIV/0!</v>
      </c>
      <c r="AC96" s="48"/>
      <c r="AR96" s="185">
        <v>15</v>
      </c>
      <c r="AS96" s="308" t="str">
        <f t="shared" si="54"/>
        <v/>
      </c>
      <c r="AT96" s="309" t="str">
        <f t="shared" si="55"/>
        <v/>
      </c>
      <c r="AU96" s="309" t="str">
        <f t="shared" si="55"/>
        <v/>
      </c>
      <c r="AV96" s="310" t="str">
        <f t="shared" si="55"/>
        <v/>
      </c>
      <c r="AW96" s="308" t="str">
        <f t="shared" si="55"/>
        <v/>
      </c>
      <c r="AX96" s="309" t="str">
        <f t="shared" si="55"/>
        <v/>
      </c>
      <c r="AY96" s="309" t="str">
        <f t="shared" si="55"/>
        <v/>
      </c>
      <c r="AZ96" s="310" t="str">
        <f t="shared" si="55"/>
        <v/>
      </c>
      <c r="BA96" s="308" t="str">
        <f t="shared" si="55"/>
        <v/>
      </c>
      <c r="BB96" s="309" t="str">
        <f t="shared" si="55"/>
        <v/>
      </c>
      <c r="BC96" s="309" t="str">
        <f t="shared" si="55"/>
        <v/>
      </c>
      <c r="BD96" s="310" t="str">
        <f t="shared" si="55"/>
        <v/>
      </c>
      <c r="BE96" s="308" t="str">
        <f t="shared" si="55"/>
        <v/>
      </c>
      <c r="BF96" s="309" t="str">
        <f t="shared" si="55"/>
        <v/>
      </c>
      <c r="BG96" s="309" t="str">
        <f t="shared" si="55"/>
        <v/>
      </c>
      <c r="BH96" s="310" t="str">
        <f t="shared" si="55"/>
        <v/>
      </c>
      <c r="BI96" s="319" t="str">
        <f t="shared" si="56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IF(第九期!$AC$12&gt;0,第九期!$K$9*比赛参数!$D$30*比赛参数!$F$30*$CU$90/第九期!$AC$12,0)</f>
        <v>0</v>
      </c>
      <c r="CR96" s="65">
        <f>IF(第九期!$AC$12&gt;0,第九期!$K$9*比赛参数!$D$30*比赛参数!$F$30*$CU$90/第九期!$AC$12,0)</f>
        <v>0</v>
      </c>
      <c r="CS96" s="65">
        <f>IF(第九期!$AC$12&gt;0,第九期!$K$9*比赛参数!$D$30*比赛参数!$F$30*$CU$90/第九期!$AC$12,0)</f>
        <v>0</v>
      </c>
      <c r="CT96" s="65">
        <f>IF(第九期!$AC$12&gt;0,第九期!$K$9*比赛参数!$D$30*比赛参数!$F$30*$CU$90/第九期!$AC$12,0)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第九期!CY62</f>
        <v>#DIV/0!</v>
      </c>
      <c r="Z97" s="94" t="e">
        <f>第九期!CY63</f>
        <v>#DIV/0!</v>
      </c>
      <c r="AA97" s="94" t="e">
        <f>第九期!CY64</f>
        <v>#DIV/0!</v>
      </c>
      <c r="AB97" s="94" t="e">
        <f>第九期!CY65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4"/>
        <v/>
      </c>
      <c r="AT97" s="309" t="str">
        <f t="shared" si="55"/>
        <v/>
      </c>
      <c r="AU97" s="309" t="str">
        <f t="shared" si="55"/>
        <v/>
      </c>
      <c r="AV97" s="310" t="str">
        <f t="shared" si="55"/>
        <v/>
      </c>
      <c r="AW97" s="308" t="str">
        <f t="shared" si="55"/>
        <v/>
      </c>
      <c r="AX97" s="309" t="str">
        <f t="shared" si="55"/>
        <v/>
      </c>
      <c r="AY97" s="309" t="str">
        <f t="shared" si="55"/>
        <v/>
      </c>
      <c r="AZ97" s="310" t="str">
        <f t="shared" si="55"/>
        <v/>
      </c>
      <c r="BA97" s="308" t="str">
        <f t="shared" si="55"/>
        <v/>
      </c>
      <c r="BB97" s="309" t="str">
        <f t="shared" si="55"/>
        <v/>
      </c>
      <c r="BC97" s="309" t="str">
        <f t="shared" si="55"/>
        <v/>
      </c>
      <c r="BD97" s="310" t="str">
        <f t="shared" si="55"/>
        <v/>
      </c>
      <c r="BE97" s="308" t="str">
        <f t="shared" si="55"/>
        <v/>
      </c>
      <c r="BF97" s="309" t="str">
        <f t="shared" si="55"/>
        <v/>
      </c>
      <c r="BG97" s="309" t="str">
        <f t="shared" si="55"/>
        <v/>
      </c>
      <c r="BH97" s="310" t="str">
        <f t="shared" si="55"/>
        <v/>
      </c>
      <c r="BI97" s="319" t="str">
        <f t="shared" si="56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第九期!CZ62</f>
        <v>#DIV/0!</v>
      </c>
      <c r="Z98" s="94" t="e">
        <f>第九期!CZ63</f>
        <v>#DIV/0!</v>
      </c>
      <c r="AA98" s="94" t="e">
        <f>第九期!CZ64</f>
        <v>#DIV/0!</v>
      </c>
      <c r="AB98" s="94" t="e">
        <f>第九期!CZ65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60">AF76-AF98</f>
        <v>0</v>
      </c>
      <c r="AL98" s="304">
        <f t="shared" si="60"/>
        <v>0</v>
      </c>
      <c r="AM98" s="304">
        <f t="shared" si="60"/>
        <v>0</v>
      </c>
      <c r="AN98" s="304">
        <f t="shared" si="60"/>
        <v>0</v>
      </c>
      <c r="AR98" s="185">
        <v>17</v>
      </c>
      <c r="AS98" s="308" t="str">
        <f t="shared" si="54"/>
        <v/>
      </c>
      <c r="AT98" s="309" t="str">
        <f t="shared" ref="AT98:BH98" si="61">IF(AT49="","",(AT49-AT$54)/AT$78)</f>
        <v/>
      </c>
      <c r="AU98" s="309" t="str">
        <f t="shared" si="61"/>
        <v/>
      </c>
      <c r="AV98" s="310" t="str">
        <f t="shared" si="61"/>
        <v/>
      </c>
      <c r="AW98" s="308" t="str">
        <f t="shared" si="61"/>
        <v/>
      </c>
      <c r="AX98" s="309" t="str">
        <f t="shared" si="61"/>
        <v/>
      </c>
      <c r="AY98" s="309" t="str">
        <f t="shared" si="61"/>
        <v/>
      </c>
      <c r="AZ98" s="310" t="str">
        <f t="shared" si="61"/>
        <v/>
      </c>
      <c r="BA98" s="308" t="str">
        <f t="shared" si="61"/>
        <v/>
      </c>
      <c r="BB98" s="309" t="str">
        <f t="shared" si="61"/>
        <v/>
      </c>
      <c r="BC98" s="309" t="str">
        <f t="shared" si="61"/>
        <v/>
      </c>
      <c r="BD98" s="310" t="str">
        <f t="shared" si="61"/>
        <v/>
      </c>
      <c r="BE98" s="308" t="str">
        <f t="shared" si="61"/>
        <v/>
      </c>
      <c r="BF98" s="309" t="str">
        <f t="shared" si="61"/>
        <v/>
      </c>
      <c r="BG98" s="309" t="str">
        <f t="shared" si="61"/>
        <v/>
      </c>
      <c r="BH98" s="310" t="str">
        <f t="shared" si="61"/>
        <v/>
      </c>
      <c r="BI98" s="319" t="str">
        <f t="shared" si="56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第九期!DA62</f>
        <v>#DIV/0!</v>
      </c>
      <c r="Z99" s="94" t="e">
        <f>第九期!DA63</f>
        <v>#DIV/0!</v>
      </c>
      <c r="AA99" s="94" t="e">
        <f>第九期!DA64</f>
        <v>#DIV/0!</v>
      </c>
      <c r="AB99" s="94" t="e">
        <f>第九期!DA65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60"/>
        <v>0</v>
      </c>
      <c r="AL99" s="304">
        <f t="shared" si="60"/>
        <v>0</v>
      </c>
      <c r="AM99" s="304">
        <f t="shared" si="60"/>
        <v>0</v>
      </c>
      <c r="AN99" s="304">
        <f t="shared" si="60"/>
        <v>0</v>
      </c>
      <c r="AR99" s="185">
        <v>18</v>
      </c>
      <c r="AS99" s="308" t="str">
        <f t="shared" ref="AS99:BH101" si="62">IF(AS50="","",(AS50-AS$54)/AS$78)</f>
        <v/>
      </c>
      <c r="AT99" s="309" t="str">
        <f t="shared" si="62"/>
        <v/>
      </c>
      <c r="AU99" s="309" t="str">
        <f t="shared" si="62"/>
        <v/>
      </c>
      <c r="AV99" s="310" t="str">
        <f t="shared" si="62"/>
        <v/>
      </c>
      <c r="AW99" s="308" t="str">
        <f t="shared" si="62"/>
        <v/>
      </c>
      <c r="AX99" s="309" t="str">
        <f t="shared" si="62"/>
        <v/>
      </c>
      <c r="AY99" s="309" t="str">
        <f t="shared" si="62"/>
        <v/>
      </c>
      <c r="AZ99" s="310" t="str">
        <f t="shared" si="62"/>
        <v/>
      </c>
      <c r="BA99" s="308" t="str">
        <f t="shared" si="62"/>
        <v/>
      </c>
      <c r="BB99" s="309" t="str">
        <f t="shared" si="62"/>
        <v/>
      </c>
      <c r="BC99" s="309" t="str">
        <f t="shared" si="62"/>
        <v/>
      </c>
      <c r="BD99" s="310" t="str">
        <f t="shared" si="62"/>
        <v/>
      </c>
      <c r="BE99" s="308" t="str">
        <f t="shared" si="62"/>
        <v/>
      </c>
      <c r="BF99" s="309" t="str">
        <f t="shared" si="62"/>
        <v/>
      </c>
      <c r="BG99" s="309" t="str">
        <f t="shared" si="62"/>
        <v/>
      </c>
      <c r="BH99" s="310" t="str">
        <f t="shared" si="62"/>
        <v/>
      </c>
      <c r="BI99" s="319" t="str">
        <f t="shared" si="56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60"/>
        <v>0</v>
      </c>
      <c r="AL100" s="304">
        <f t="shared" si="60"/>
        <v>0</v>
      </c>
      <c r="AM100" s="304">
        <f t="shared" si="60"/>
        <v>0</v>
      </c>
      <c r="AN100" s="304">
        <f t="shared" si="60"/>
        <v>0</v>
      </c>
      <c r="AR100" s="185">
        <v>19</v>
      </c>
      <c r="AS100" s="308" t="str">
        <f t="shared" si="62"/>
        <v/>
      </c>
      <c r="AT100" s="309" t="str">
        <f t="shared" si="62"/>
        <v/>
      </c>
      <c r="AU100" s="309" t="str">
        <f t="shared" si="62"/>
        <v/>
      </c>
      <c r="AV100" s="310" t="str">
        <f t="shared" si="62"/>
        <v/>
      </c>
      <c r="AW100" s="308" t="str">
        <f t="shared" si="62"/>
        <v/>
      </c>
      <c r="AX100" s="309" t="str">
        <f t="shared" si="62"/>
        <v/>
      </c>
      <c r="AY100" s="309" t="str">
        <f t="shared" si="62"/>
        <v/>
      </c>
      <c r="AZ100" s="310" t="str">
        <f t="shared" si="62"/>
        <v/>
      </c>
      <c r="BA100" s="308" t="str">
        <f t="shared" si="62"/>
        <v/>
      </c>
      <c r="BB100" s="309" t="str">
        <f t="shared" si="62"/>
        <v/>
      </c>
      <c r="BC100" s="309" t="str">
        <f t="shared" si="62"/>
        <v/>
      </c>
      <c r="BD100" s="310" t="str">
        <f t="shared" si="62"/>
        <v/>
      </c>
      <c r="BE100" s="308" t="str">
        <f t="shared" si="62"/>
        <v/>
      </c>
      <c r="BF100" s="309" t="str">
        <f t="shared" si="62"/>
        <v/>
      </c>
      <c r="BG100" s="309" t="str">
        <f t="shared" si="62"/>
        <v/>
      </c>
      <c r="BH100" s="310" t="str">
        <f t="shared" si="62"/>
        <v/>
      </c>
      <c r="BI100" s="319" t="str">
        <f t="shared" si="56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60"/>
        <v>0</v>
      </c>
      <c r="AL101" s="304">
        <f t="shared" si="60"/>
        <v>0</v>
      </c>
      <c r="AM101" s="304">
        <f t="shared" si="60"/>
        <v>0</v>
      </c>
      <c r="AN101" s="304">
        <f t="shared" si="60"/>
        <v>0</v>
      </c>
      <c r="AR101" s="185">
        <v>20</v>
      </c>
      <c r="AS101" s="308" t="str">
        <f t="shared" si="62"/>
        <v/>
      </c>
      <c r="AT101" s="309" t="str">
        <f t="shared" si="62"/>
        <v/>
      </c>
      <c r="AU101" s="309" t="str">
        <f t="shared" si="62"/>
        <v/>
      </c>
      <c r="AV101" s="310" t="str">
        <f t="shared" si="62"/>
        <v/>
      </c>
      <c r="AW101" s="308" t="str">
        <f t="shared" si="62"/>
        <v/>
      </c>
      <c r="AX101" s="309" t="str">
        <f t="shared" si="62"/>
        <v/>
      </c>
      <c r="AY101" s="309" t="str">
        <f t="shared" si="62"/>
        <v/>
      </c>
      <c r="AZ101" s="310" t="str">
        <f t="shared" si="62"/>
        <v/>
      </c>
      <c r="BA101" s="308" t="str">
        <f t="shared" si="62"/>
        <v/>
      </c>
      <c r="BB101" s="309" t="str">
        <f t="shared" si="62"/>
        <v/>
      </c>
      <c r="BC101" s="309" t="str">
        <f t="shared" si="62"/>
        <v/>
      </c>
      <c r="BD101" s="310" t="str">
        <f t="shared" si="62"/>
        <v/>
      </c>
      <c r="BE101" s="308" t="str">
        <f t="shared" si="62"/>
        <v/>
      </c>
      <c r="BF101" s="309" t="str">
        <f t="shared" si="62"/>
        <v/>
      </c>
      <c r="BG101" s="309" t="str">
        <f t="shared" si="62"/>
        <v/>
      </c>
      <c r="BH101" s="310" t="str">
        <f t="shared" si="62"/>
        <v/>
      </c>
      <c r="BI101" s="319" t="str">
        <f t="shared" si="56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63">(AF76-CJ19)/AF76</f>
        <v>#DIV/0!</v>
      </c>
      <c r="Z102" s="94" t="e">
        <f t="shared" si="63"/>
        <v>#DIV/0!</v>
      </c>
      <c r="AA102" s="94" t="e">
        <f t="shared" si="63"/>
        <v>#DIV/0!</v>
      </c>
      <c r="AB102" s="94" t="e">
        <f t="shared" si="63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63"/>
        <v>#DIV/0!</v>
      </c>
      <c r="Z103" s="94" t="e">
        <f t="shared" si="63"/>
        <v>#DIV/0!</v>
      </c>
      <c r="AA103" s="94" t="e">
        <f t="shared" si="63"/>
        <v>#DIV/0!</v>
      </c>
      <c r="AB103" s="94" t="e">
        <f t="shared" si="63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63"/>
        <v>#DIV/0!</v>
      </c>
      <c r="Z104" s="94" t="e">
        <f t="shared" si="63"/>
        <v>#DIV/0!</v>
      </c>
      <c r="AA104" s="94" t="e">
        <f t="shared" si="63"/>
        <v>#DIV/0!</v>
      </c>
      <c r="AB104" s="94" t="e">
        <f t="shared" si="63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63"/>
        <v>#DIV/0!</v>
      </c>
      <c r="Z105" s="94" t="e">
        <f t="shared" si="63"/>
        <v>#DIV/0!</v>
      </c>
      <c r="AA105" s="94" t="e">
        <f t="shared" si="63"/>
        <v>#DIV/0!</v>
      </c>
      <c r="AB105" s="94" t="e">
        <f t="shared" si="63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64">AS183</f>
        <v/>
      </c>
      <c r="BA107" s="314" t="str">
        <f t="shared" si="64"/>
        <v/>
      </c>
      <c r="BB107" s="314" t="str">
        <f t="shared" si="64"/>
        <v/>
      </c>
      <c r="BC107" s="314" t="str">
        <f t="shared" si="64"/>
        <v/>
      </c>
      <c r="BD107" s="318"/>
      <c r="BE107" s="318"/>
      <c r="BF107" s="314">
        <f t="shared" ref="BF107:BF126" si="65">(BJ107-BL107-BI107)/0.607</f>
        <v>0</v>
      </c>
      <c r="BG107" s="314">
        <f t="shared" ref="BG107:BG126" si="66">SUM(AY107:BC107)</f>
        <v>0</v>
      </c>
      <c r="BH107" s="101"/>
      <c r="BI107" s="314">
        <f t="shared" ref="BI107:BI126" si="67">(BG107+0.5*BH107)*0.607</f>
        <v>0</v>
      </c>
      <c r="BJ107" s="323">
        <f t="shared" ref="BJ107:BJ126" si="68">K95</f>
        <v>0</v>
      </c>
      <c r="BK107" s="324"/>
      <c r="BL107" s="2">
        <f t="shared" ref="BL107:BL126" si="69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70">IF(AS83="","",AVERAGE(AS83:AV83)*$AR$130)</f>
        <v/>
      </c>
      <c r="AU108" s="314" t="str">
        <f t="shared" ref="AU108:AU126" si="71">IF(AW83="","",AVERAGE(AW83:AZ83)*$AR$130)</f>
        <v/>
      </c>
      <c r="AV108" s="314" t="str">
        <f t="shared" ref="AV108:AV126" si="72">IF(BA83="","",AVERAGE(BA83:BD83)*$AR$130)</f>
        <v/>
      </c>
      <c r="AW108" s="314" t="str">
        <f t="shared" ref="AW108:AW126" si="73">IF(BE83="","",AVERAGE(BE83:BH83)*$AR$130)</f>
        <v/>
      </c>
      <c r="AX108" s="190">
        <v>2</v>
      </c>
      <c r="AY108" s="314" t="str">
        <f t="shared" ref="AY108:AY126" si="74">IF(BI83="","",BI83*$AR$130)</f>
        <v/>
      </c>
      <c r="AZ108" s="314" t="str">
        <f t="shared" si="64"/>
        <v/>
      </c>
      <c r="BA108" s="314" t="str">
        <f t="shared" si="64"/>
        <v/>
      </c>
      <c r="BB108" s="314" t="str">
        <f t="shared" si="64"/>
        <v/>
      </c>
      <c r="BC108" s="314" t="str">
        <f t="shared" si="64"/>
        <v/>
      </c>
      <c r="BD108" s="318"/>
      <c r="BE108" s="318"/>
      <c r="BF108" s="314">
        <f t="shared" si="65"/>
        <v>0</v>
      </c>
      <c r="BG108" s="314">
        <f t="shared" si="66"/>
        <v>0</v>
      </c>
      <c r="BH108" s="101"/>
      <c r="BI108" s="314">
        <f t="shared" si="67"/>
        <v>0</v>
      </c>
      <c r="BJ108" s="323">
        <f t="shared" si="68"/>
        <v>0</v>
      </c>
      <c r="BK108" s="324"/>
      <c r="BL108" s="2">
        <f t="shared" si="69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70"/>
        <v/>
      </c>
      <c r="AU109" s="314" t="str">
        <f t="shared" si="71"/>
        <v/>
      </c>
      <c r="AV109" s="314" t="str">
        <f t="shared" si="72"/>
        <v/>
      </c>
      <c r="AW109" s="314" t="str">
        <f t="shared" si="73"/>
        <v/>
      </c>
      <c r="AX109" s="190">
        <v>3</v>
      </c>
      <c r="AY109" s="314" t="str">
        <f t="shared" si="74"/>
        <v/>
      </c>
      <c r="AZ109" s="314" t="str">
        <f t="shared" si="64"/>
        <v/>
      </c>
      <c r="BA109" s="314" t="str">
        <f t="shared" si="64"/>
        <v/>
      </c>
      <c r="BB109" s="314" t="str">
        <f t="shared" si="64"/>
        <v/>
      </c>
      <c r="BC109" s="314" t="str">
        <f t="shared" si="64"/>
        <v/>
      </c>
      <c r="BD109" s="318"/>
      <c r="BE109" s="318"/>
      <c r="BF109" s="314">
        <f t="shared" si="65"/>
        <v>0</v>
      </c>
      <c r="BG109" s="314">
        <f t="shared" si="66"/>
        <v>0</v>
      </c>
      <c r="BH109" s="101"/>
      <c r="BI109" s="314">
        <f t="shared" si="67"/>
        <v>0</v>
      </c>
      <c r="BJ109" s="323">
        <f t="shared" si="68"/>
        <v>0</v>
      </c>
      <c r="BK109" s="324"/>
      <c r="BL109" s="2">
        <f t="shared" si="69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70"/>
        <v/>
      </c>
      <c r="AU110" s="314" t="str">
        <f t="shared" si="71"/>
        <v/>
      </c>
      <c r="AV110" s="314" t="str">
        <f t="shared" si="72"/>
        <v/>
      </c>
      <c r="AW110" s="314" t="str">
        <f t="shared" si="73"/>
        <v/>
      </c>
      <c r="AX110" s="190">
        <v>4</v>
      </c>
      <c r="AY110" s="314" t="str">
        <f t="shared" si="74"/>
        <v/>
      </c>
      <c r="AZ110" s="314" t="str">
        <f t="shared" si="64"/>
        <v/>
      </c>
      <c r="BA110" s="314" t="str">
        <f t="shared" si="64"/>
        <v/>
      </c>
      <c r="BB110" s="314" t="str">
        <f t="shared" si="64"/>
        <v/>
      </c>
      <c r="BC110" s="314" t="str">
        <f t="shared" si="64"/>
        <v/>
      </c>
      <c r="BD110" s="318"/>
      <c r="BE110" s="318"/>
      <c r="BF110" s="314">
        <f t="shared" si="65"/>
        <v>0</v>
      </c>
      <c r="BG110" s="314">
        <f t="shared" si="66"/>
        <v>0</v>
      </c>
      <c r="BH110" s="101"/>
      <c r="BI110" s="314">
        <f t="shared" si="67"/>
        <v>0</v>
      </c>
      <c r="BJ110" s="323">
        <f t="shared" si="68"/>
        <v>0</v>
      </c>
      <c r="BK110" s="324"/>
      <c r="BL110" s="2">
        <f t="shared" si="69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70"/>
        <v/>
      </c>
      <c r="AU111" s="314" t="str">
        <f t="shared" si="71"/>
        <v/>
      </c>
      <c r="AV111" s="314" t="str">
        <f t="shared" si="72"/>
        <v/>
      </c>
      <c r="AW111" s="314" t="str">
        <f t="shared" si="73"/>
        <v/>
      </c>
      <c r="AX111" s="190">
        <v>5</v>
      </c>
      <c r="AY111" s="314" t="str">
        <f t="shared" si="74"/>
        <v/>
      </c>
      <c r="AZ111" s="314" t="str">
        <f t="shared" si="64"/>
        <v/>
      </c>
      <c r="BA111" s="314" t="str">
        <f t="shared" si="64"/>
        <v/>
      </c>
      <c r="BB111" s="314" t="str">
        <f t="shared" si="64"/>
        <v/>
      </c>
      <c r="BC111" s="314" t="str">
        <f t="shared" si="64"/>
        <v/>
      </c>
      <c r="BD111" s="318"/>
      <c r="BE111" s="318"/>
      <c r="BF111" s="314">
        <f t="shared" si="65"/>
        <v>0</v>
      </c>
      <c r="BG111" s="314">
        <f t="shared" si="66"/>
        <v>0</v>
      </c>
      <c r="BH111" s="101"/>
      <c r="BI111" s="314">
        <f t="shared" si="67"/>
        <v>0</v>
      </c>
      <c r="BJ111" s="323">
        <f t="shared" si="68"/>
        <v>0</v>
      </c>
      <c r="BK111" s="324"/>
      <c r="BL111" s="2">
        <f t="shared" si="69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70"/>
        <v/>
      </c>
      <c r="AU112" s="314" t="str">
        <f t="shared" si="71"/>
        <v/>
      </c>
      <c r="AV112" s="314" t="str">
        <f t="shared" si="72"/>
        <v/>
      </c>
      <c r="AW112" s="314" t="str">
        <f t="shared" si="73"/>
        <v/>
      </c>
      <c r="AX112" s="190">
        <v>6</v>
      </c>
      <c r="AY112" s="314" t="str">
        <f t="shared" si="74"/>
        <v/>
      </c>
      <c r="AZ112" s="314" t="str">
        <f t="shared" si="64"/>
        <v/>
      </c>
      <c r="BA112" s="314" t="str">
        <f t="shared" si="64"/>
        <v/>
      </c>
      <c r="BB112" s="314" t="str">
        <f t="shared" si="64"/>
        <v/>
      </c>
      <c r="BC112" s="314" t="str">
        <f t="shared" si="64"/>
        <v/>
      </c>
      <c r="BD112" s="318"/>
      <c r="BE112" s="318"/>
      <c r="BF112" s="314">
        <f t="shared" si="65"/>
        <v>0</v>
      </c>
      <c r="BG112" s="314">
        <f t="shared" si="66"/>
        <v>0</v>
      </c>
      <c r="BH112" s="101"/>
      <c r="BI112" s="314">
        <f t="shared" si="67"/>
        <v>0</v>
      </c>
      <c r="BJ112" s="323">
        <f t="shared" si="68"/>
        <v>0</v>
      </c>
      <c r="BK112" s="324"/>
      <c r="BL112" s="2">
        <f t="shared" si="69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70"/>
        <v/>
      </c>
      <c r="AU113" s="314" t="str">
        <f t="shared" si="71"/>
        <v/>
      </c>
      <c r="AV113" s="314" t="str">
        <f t="shared" si="72"/>
        <v/>
      </c>
      <c r="AW113" s="314" t="str">
        <f t="shared" si="73"/>
        <v/>
      </c>
      <c r="AX113" s="190">
        <v>7</v>
      </c>
      <c r="AY113" s="314" t="str">
        <f t="shared" si="74"/>
        <v/>
      </c>
      <c r="AZ113" s="314" t="str">
        <f t="shared" si="64"/>
        <v/>
      </c>
      <c r="BA113" s="314" t="str">
        <f t="shared" si="64"/>
        <v/>
      </c>
      <c r="BB113" s="314" t="str">
        <f t="shared" si="64"/>
        <v/>
      </c>
      <c r="BC113" s="314" t="str">
        <f t="shared" si="64"/>
        <v/>
      </c>
      <c r="BD113" s="318"/>
      <c r="BE113" s="318"/>
      <c r="BF113" s="314">
        <f t="shared" si="65"/>
        <v>0</v>
      </c>
      <c r="BG113" s="314">
        <f t="shared" si="66"/>
        <v>0</v>
      </c>
      <c r="BH113" s="101"/>
      <c r="BI113" s="314">
        <f t="shared" si="67"/>
        <v>0</v>
      </c>
      <c r="BJ113" s="323">
        <f t="shared" si="68"/>
        <v>0</v>
      </c>
      <c r="BK113" s="324"/>
      <c r="BL113" s="2">
        <f t="shared" si="69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70"/>
        <v/>
      </c>
      <c r="AU114" s="314" t="str">
        <f t="shared" si="71"/>
        <v/>
      </c>
      <c r="AV114" s="314" t="str">
        <f t="shared" si="72"/>
        <v/>
      </c>
      <c r="AW114" s="314" t="str">
        <f t="shared" si="73"/>
        <v/>
      </c>
      <c r="AX114" s="190">
        <v>8</v>
      </c>
      <c r="AY114" s="314" t="str">
        <f t="shared" si="74"/>
        <v/>
      </c>
      <c r="AZ114" s="314" t="str">
        <f t="shared" si="64"/>
        <v/>
      </c>
      <c r="BA114" s="314" t="str">
        <f t="shared" si="64"/>
        <v/>
      </c>
      <c r="BB114" s="314" t="str">
        <f t="shared" si="64"/>
        <v/>
      </c>
      <c r="BC114" s="314" t="str">
        <f t="shared" si="64"/>
        <v/>
      </c>
      <c r="BD114" s="318"/>
      <c r="BE114" s="318"/>
      <c r="BF114" s="314">
        <f t="shared" si="65"/>
        <v>0</v>
      </c>
      <c r="BG114" s="314">
        <f t="shared" si="66"/>
        <v>0</v>
      </c>
      <c r="BH114" s="101"/>
      <c r="BI114" s="314">
        <f t="shared" si="67"/>
        <v>0</v>
      </c>
      <c r="BJ114" s="323">
        <f t="shared" si="68"/>
        <v>0</v>
      </c>
      <c r="BK114" s="324"/>
      <c r="BL114" s="2">
        <f t="shared" si="69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70"/>
        <v/>
      </c>
      <c r="AU115" s="314" t="str">
        <f t="shared" si="71"/>
        <v/>
      </c>
      <c r="AV115" s="314" t="str">
        <f t="shared" si="72"/>
        <v/>
      </c>
      <c r="AW115" s="314" t="str">
        <f t="shared" si="73"/>
        <v/>
      </c>
      <c r="AX115" s="190">
        <v>9</v>
      </c>
      <c r="AY115" s="314" t="str">
        <f t="shared" si="74"/>
        <v/>
      </c>
      <c r="AZ115" s="314" t="str">
        <f t="shared" si="64"/>
        <v/>
      </c>
      <c r="BA115" s="314" t="str">
        <f t="shared" si="64"/>
        <v/>
      </c>
      <c r="BB115" s="314" t="str">
        <f t="shared" si="64"/>
        <v/>
      </c>
      <c r="BC115" s="314" t="str">
        <f t="shared" si="64"/>
        <v/>
      </c>
      <c r="BD115" s="318"/>
      <c r="BE115" s="318"/>
      <c r="BF115" s="314">
        <f t="shared" si="65"/>
        <v>0</v>
      </c>
      <c r="BG115" s="314">
        <f t="shared" si="66"/>
        <v>0</v>
      </c>
      <c r="BH115" s="101"/>
      <c r="BI115" s="314">
        <f t="shared" si="67"/>
        <v>0</v>
      </c>
      <c r="BJ115" s="323">
        <f t="shared" si="68"/>
        <v>0</v>
      </c>
      <c r="BK115" s="324"/>
      <c r="BL115" s="2">
        <f t="shared" si="69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70"/>
        <v/>
      </c>
      <c r="AU116" s="314" t="str">
        <f t="shared" si="71"/>
        <v/>
      </c>
      <c r="AV116" s="314" t="str">
        <f t="shared" si="72"/>
        <v/>
      </c>
      <c r="AW116" s="314" t="str">
        <f t="shared" si="73"/>
        <v/>
      </c>
      <c r="AX116" s="190">
        <v>10</v>
      </c>
      <c r="AY116" s="314" t="str">
        <f t="shared" si="74"/>
        <v/>
      </c>
      <c r="AZ116" s="314" t="str">
        <f t="shared" si="64"/>
        <v/>
      </c>
      <c r="BA116" s="314" t="str">
        <f t="shared" si="64"/>
        <v/>
      </c>
      <c r="BB116" s="314" t="str">
        <f t="shared" si="64"/>
        <v/>
      </c>
      <c r="BC116" s="314" t="str">
        <f t="shared" si="64"/>
        <v/>
      </c>
      <c r="BD116" s="318"/>
      <c r="BE116" s="318"/>
      <c r="BF116" s="314">
        <f t="shared" si="65"/>
        <v>0</v>
      </c>
      <c r="BG116" s="314">
        <f t="shared" si="66"/>
        <v>0</v>
      </c>
      <c r="BH116" s="101"/>
      <c r="BI116" s="314">
        <f t="shared" si="67"/>
        <v>0</v>
      </c>
      <c r="BJ116" s="323">
        <f t="shared" si="68"/>
        <v>0</v>
      </c>
      <c r="BK116" s="324"/>
      <c r="BL116" s="2">
        <f t="shared" si="69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70"/>
        <v/>
      </c>
      <c r="AU117" s="314" t="str">
        <f t="shared" si="71"/>
        <v/>
      </c>
      <c r="AV117" s="314" t="str">
        <f t="shared" si="72"/>
        <v/>
      </c>
      <c r="AW117" s="314" t="str">
        <f t="shared" si="73"/>
        <v/>
      </c>
      <c r="AX117" s="190">
        <v>11</v>
      </c>
      <c r="AY117" s="314" t="str">
        <f t="shared" si="74"/>
        <v/>
      </c>
      <c r="AZ117" s="314" t="str">
        <f t="shared" si="64"/>
        <v/>
      </c>
      <c r="BA117" s="314" t="str">
        <f t="shared" si="64"/>
        <v/>
      </c>
      <c r="BB117" s="314" t="str">
        <f t="shared" si="64"/>
        <v/>
      </c>
      <c r="BC117" s="314" t="str">
        <f t="shared" si="64"/>
        <v/>
      </c>
      <c r="BD117" s="318"/>
      <c r="BE117" s="318"/>
      <c r="BF117" s="314">
        <f t="shared" si="65"/>
        <v>0</v>
      </c>
      <c r="BG117" s="314">
        <f t="shared" si="66"/>
        <v>0</v>
      </c>
      <c r="BH117" s="101"/>
      <c r="BI117" s="314">
        <f t="shared" si="67"/>
        <v>0</v>
      </c>
      <c r="BJ117" s="323">
        <f t="shared" si="68"/>
        <v>0</v>
      </c>
      <c r="BK117" s="324"/>
      <c r="BL117" s="2">
        <f t="shared" si="69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70"/>
        <v/>
      </c>
      <c r="AU118" s="314" t="str">
        <f t="shared" si="71"/>
        <v/>
      </c>
      <c r="AV118" s="314" t="str">
        <f t="shared" si="72"/>
        <v/>
      </c>
      <c r="AW118" s="314" t="str">
        <f t="shared" si="73"/>
        <v/>
      </c>
      <c r="AX118" s="190">
        <v>12</v>
      </c>
      <c r="AY118" s="314" t="str">
        <f t="shared" si="74"/>
        <v/>
      </c>
      <c r="AZ118" s="314" t="str">
        <f t="shared" si="64"/>
        <v/>
      </c>
      <c r="BA118" s="314" t="str">
        <f t="shared" si="64"/>
        <v/>
      </c>
      <c r="BB118" s="314" t="str">
        <f t="shared" si="64"/>
        <v/>
      </c>
      <c r="BC118" s="314" t="str">
        <f t="shared" si="64"/>
        <v/>
      </c>
      <c r="BD118" s="318"/>
      <c r="BE118" s="318"/>
      <c r="BF118" s="314">
        <f t="shared" si="65"/>
        <v>0</v>
      </c>
      <c r="BG118" s="314">
        <f t="shared" si="66"/>
        <v>0</v>
      </c>
      <c r="BH118" s="101"/>
      <c r="BI118" s="314">
        <f t="shared" si="67"/>
        <v>0</v>
      </c>
      <c r="BJ118" s="323">
        <f t="shared" si="68"/>
        <v>0</v>
      </c>
      <c r="BK118" s="324"/>
      <c r="BL118" s="2">
        <f t="shared" si="69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70"/>
        <v/>
      </c>
      <c r="AU119" s="314" t="str">
        <f t="shared" si="71"/>
        <v/>
      </c>
      <c r="AV119" s="314" t="str">
        <f t="shared" si="72"/>
        <v/>
      </c>
      <c r="AW119" s="314" t="str">
        <f t="shared" si="73"/>
        <v/>
      </c>
      <c r="AX119" s="190">
        <v>13</v>
      </c>
      <c r="AY119" s="314" t="str">
        <f t="shared" si="74"/>
        <v/>
      </c>
      <c r="AZ119" s="314" t="str">
        <f t="shared" si="64"/>
        <v/>
      </c>
      <c r="BA119" s="314" t="str">
        <f t="shared" si="64"/>
        <v/>
      </c>
      <c r="BB119" s="314" t="str">
        <f t="shared" si="64"/>
        <v/>
      </c>
      <c r="BC119" s="314" t="str">
        <f t="shared" si="64"/>
        <v/>
      </c>
      <c r="BD119" s="318"/>
      <c r="BE119" s="318"/>
      <c r="BF119" s="314">
        <f t="shared" si="65"/>
        <v>0</v>
      </c>
      <c r="BG119" s="314">
        <f t="shared" si="66"/>
        <v>0</v>
      </c>
      <c r="BH119" s="101"/>
      <c r="BI119" s="314">
        <f t="shared" si="67"/>
        <v>0</v>
      </c>
      <c r="BJ119" s="323">
        <f t="shared" si="68"/>
        <v>0</v>
      </c>
      <c r="BK119" s="324"/>
      <c r="BL119" s="2">
        <f t="shared" si="69"/>
        <v>0</v>
      </c>
    </row>
    <row r="120" ht="20.1" customHeight="1" spans="44:64">
      <c r="AR120" s="313"/>
      <c r="AS120" s="190">
        <v>14</v>
      </c>
      <c r="AT120" s="314" t="str">
        <f t="shared" si="70"/>
        <v/>
      </c>
      <c r="AU120" s="314" t="str">
        <f t="shared" si="71"/>
        <v/>
      </c>
      <c r="AV120" s="314" t="str">
        <f t="shared" si="72"/>
        <v/>
      </c>
      <c r="AW120" s="314" t="str">
        <f t="shared" si="73"/>
        <v/>
      </c>
      <c r="AX120" s="190">
        <v>14</v>
      </c>
      <c r="AY120" s="314" t="str">
        <f t="shared" si="74"/>
        <v/>
      </c>
      <c r="AZ120" s="314" t="str">
        <f t="shared" si="64"/>
        <v/>
      </c>
      <c r="BA120" s="314" t="str">
        <f t="shared" si="64"/>
        <v/>
      </c>
      <c r="BB120" s="314" t="str">
        <f t="shared" si="64"/>
        <v/>
      </c>
      <c r="BC120" s="314" t="str">
        <f t="shared" si="64"/>
        <v/>
      </c>
      <c r="BD120" s="318"/>
      <c r="BE120" s="318"/>
      <c r="BF120" s="314">
        <f t="shared" si="65"/>
        <v>0</v>
      </c>
      <c r="BG120" s="314">
        <f t="shared" si="66"/>
        <v>0</v>
      </c>
      <c r="BH120" s="101"/>
      <c r="BI120" s="314">
        <f t="shared" si="67"/>
        <v>0</v>
      </c>
      <c r="BJ120" s="323">
        <f t="shared" si="68"/>
        <v>0</v>
      </c>
      <c r="BK120" s="324"/>
      <c r="BL120" s="2">
        <f t="shared" si="69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70"/>
        <v/>
      </c>
      <c r="AU121" s="314" t="str">
        <f t="shared" si="71"/>
        <v/>
      </c>
      <c r="AV121" s="314" t="str">
        <f t="shared" si="72"/>
        <v/>
      </c>
      <c r="AW121" s="314" t="str">
        <f t="shared" si="73"/>
        <v/>
      </c>
      <c r="AX121" s="190">
        <v>15</v>
      </c>
      <c r="AY121" s="314" t="str">
        <f t="shared" si="74"/>
        <v/>
      </c>
      <c r="AZ121" s="314" t="str">
        <f t="shared" si="64"/>
        <v/>
      </c>
      <c r="BA121" s="314" t="str">
        <f t="shared" si="64"/>
        <v/>
      </c>
      <c r="BB121" s="314" t="str">
        <f t="shared" si="64"/>
        <v/>
      </c>
      <c r="BC121" s="314" t="str">
        <f t="shared" si="64"/>
        <v/>
      </c>
      <c r="BD121" s="318"/>
      <c r="BE121" s="318"/>
      <c r="BF121" s="314">
        <f t="shared" si="65"/>
        <v>0</v>
      </c>
      <c r="BG121" s="314">
        <f t="shared" si="66"/>
        <v>0</v>
      </c>
      <c r="BH121" s="101"/>
      <c r="BI121" s="314">
        <f t="shared" si="67"/>
        <v>0</v>
      </c>
      <c r="BJ121" s="323">
        <f t="shared" si="68"/>
        <v>0</v>
      </c>
      <c r="BK121" s="324"/>
      <c r="BL121" s="2">
        <f t="shared" si="69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70"/>
        <v/>
      </c>
      <c r="AU122" s="314" t="str">
        <f t="shared" si="71"/>
        <v/>
      </c>
      <c r="AV122" s="314" t="str">
        <f t="shared" si="72"/>
        <v/>
      </c>
      <c r="AW122" s="314" t="str">
        <f t="shared" si="73"/>
        <v/>
      </c>
      <c r="AX122" s="190">
        <v>16</v>
      </c>
      <c r="AY122" s="314" t="str">
        <f t="shared" si="74"/>
        <v/>
      </c>
      <c r="AZ122" s="314" t="str">
        <f t="shared" si="64"/>
        <v/>
      </c>
      <c r="BA122" s="314" t="str">
        <f t="shared" si="64"/>
        <v/>
      </c>
      <c r="BB122" s="314" t="str">
        <f t="shared" si="64"/>
        <v/>
      </c>
      <c r="BC122" s="314" t="str">
        <f t="shared" si="64"/>
        <v/>
      </c>
      <c r="BD122" s="318"/>
      <c r="BE122" s="318"/>
      <c r="BF122" s="314">
        <f t="shared" si="65"/>
        <v>0</v>
      </c>
      <c r="BG122" s="314">
        <f t="shared" si="66"/>
        <v>0</v>
      </c>
      <c r="BH122" s="101"/>
      <c r="BI122" s="314">
        <f t="shared" si="67"/>
        <v>0</v>
      </c>
      <c r="BJ122" s="323">
        <f t="shared" si="68"/>
        <v>0</v>
      </c>
      <c r="BK122" s="324"/>
      <c r="BL122" s="2">
        <f t="shared" si="69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70"/>
        <v/>
      </c>
      <c r="AU123" s="314" t="str">
        <f t="shared" si="71"/>
        <v/>
      </c>
      <c r="AV123" s="314" t="str">
        <f t="shared" si="72"/>
        <v/>
      </c>
      <c r="AW123" s="314" t="str">
        <f t="shared" si="73"/>
        <v/>
      </c>
      <c r="AX123" s="190">
        <v>17</v>
      </c>
      <c r="AY123" s="314" t="str">
        <f t="shared" si="74"/>
        <v/>
      </c>
      <c r="AZ123" s="314" t="str">
        <f t="shared" si="64"/>
        <v/>
      </c>
      <c r="BA123" s="314" t="str">
        <f t="shared" si="64"/>
        <v/>
      </c>
      <c r="BB123" s="314" t="str">
        <f t="shared" si="64"/>
        <v/>
      </c>
      <c r="BC123" s="314" t="str">
        <f t="shared" si="64"/>
        <v/>
      </c>
      <c r="BD123" s="318"/>
      <c r="BE123" s="318"/>
      <c r="BF123" s="314">
        <f t="shared" si="65"/>
        <v>0</v>
      </c>
      <c r="BG123" s="314">
        <f t="shared" si="66"/>
        <v>0</v>
      </c>
      <c r="BH123" s="101"/>
      <c r="BI123" s="314">
        <f t="shared" si="67"/>
        <v>0</v>
      </c>
      <c r="BJ123" s="323">
        <f t="shared" si="68"/>
        <v>0</v>
      </c>
      <c r="BK123" s="324"/>
      <c r="BL123" s="2">
        <f t="shared" si="69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70"/>
        <v/>
      </c>
      <c r="AU124" s="314" t="str">
        <f t="shared" si="71"/>
        <v/>
      </c>
      <c r="AV124" s="314" t="str">
        <f t="shared" si="72"/>
        <v/>
      </c>
      <c r="AW124" s="314" t="str">
        <f t="shared" si="73"/>
        <v/>
      </c>
      <c r="AX124" s="190">
        <v>18</v>
      </c>
      <c r="AY124" s="314" t="str">
        <f t="shared" si="74"/>
        <v/>
      </c>
      <c r="AZ124" s="314" t="str">
        <f t="shared" si="64"/>
        <v/>
      </c>
      <c r="BA124" s="314" t="str">
        <f t="shared" si="64"/>
        <v/>
      </c>
      <c r="BB124" s="314" t="str">
        <f t="shared" si="64"/>
        <v/>
      </c>
      <c r="BC124" s="314" t="str">
        <f t="shared" si="64"/>
        <v/>
      </c>
      <c r="BD124" s="318"/>
      <c r="BE124" s="318"/>
      <c r="BF124" s="314">
        <f t="shared" si="65"/>
        <v>0</v>
      </c>
      <c r="BG124" s="314">
        <f t="shared" si="66"/>
        <v>0</v>
      </c>
      <c r="BH124" s="101"/>
      <c r="BI124" s="314">
        <f t="shared" si="67"/>
        <v>0</v>
      </c>
      <c r="BJ124" s="323">
        <f t="shared" si="68"/>
        <v>0</v>
      </c>
      <c r="BK124" s="324"/>
      <c r="BL124" s="2">
        <f t="shared" si="69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70"/>
        <v/>
      </c>
      <c r="AU125" s="314" t="str">
        <f t="shared" si="71"/>
        <v/>
      </c>
      <c r="AV125" s="314" t="str">
        <f t="shared" si="72"/>
        <v/>
      </c>
      <c r="AW125" s="314" t="str">
        <f t="shared" si="73"/>
        <v/>
      </c>
      <c r="AX125" s="190">
        <v>19</v>
      </c>
      <c r="AY125" s="314" t="str">
        <f t="shared" si="74"/>
        <v/>
      </c>
      <c r="AZ125" s="314" t="str">
        <f t="shared" si="64"/>
        <v/>
      </c>
      <c r="BA125" s="314" t="str">
        <f t="shared" si="64"/>
        <v/>
      </c>
      <c r="BB125" s="314" t="str">
        <f t="shared" si="64"/>
        <v/>
      </c>
      <c r="BC125" s="314" t="str">
        <f t="shared" si="64"/>
        <v/>
      </c>
      <c r="BD125" s="318"/>
      <c r="BE125" s="318"/>
      <c r="BF125" s="314">
        <f t="shared" si="65"/>
        <v>0</v>
      </c>
      <c r="BG125" s="314">
        <f t="shared" si="66"/>
        <v>0</v>
      </c>
      <c r="BH125" s="101"/>
      <c r="BI125" s="314">
        <f t="shared" si="67"/>
        <v>0</v>
      </c>
      <c r="BJ125" s="323">
        <f t="shared" si="68"/>
        <v>0</v>
      </c>
      <c r="BK125" s="324"/>
      <c r="BL125" s="2">
        <f t="shared" si="69"/>
        <v>0</v>
      </c>
    </row>
    <row r="126" ht="20.1" customHeight="1" spans="44:64">
      <c r="AR126" s="313"/>
      <c r="AS126" s="190">
        <v>20</v>
      </c>
      <c r="AT126" s="314" t="str">
        <f t="shared" si="70"/>
        <v/>
      </c>
      <c r="AU126" s="314" t="str">
        <f t="shared" si="71"/>
        <v/>
      </c>
      <c r="AV126" s="314" t="str">
        <f t="shared" si="72"/>
        <v/>
      </c>
      <c r="AW126" s="314" t="str">
        <f t="shared" si="73"/>
        <v/>
      </c>
      <c r="AX126" s="190">
        <v>20</v>
      </c>
      <c r="AY126" s="314" t="str">
        <f t="shared" si="74"/>
        <v/>
      </c>
      <c r="AZ126" s="314" t="str">
        <f t="shared" si="64"/>
        <v/>
      </c>
      <c r="BA126" s="314" t="str">
        <f t="shared" si="64"/>
        <v/>
      </c>
      <c r="BB126" s="314" t="str">
        <f t="shared" si="64"/>
        <v/>
      </c>
      <c r="BC126" s="314" t="str">
        <f t="shared" si="64"/>
        <v/>
      </c>
      <c r="BD126" s="318"/>
      <c r="BE126" s="318"/>
      <c r="BF126" s="314">
        <f t="shared" si="65"/>
        <v>0</v>
      </c>
      <c r="BG126" s="314">
        <f t="shared" si="66"/>
        <v>0</v>
      </c>
      <c r="BH126" s="101"/>
      <c r="BI126" s="314">
        <f t="shared" si="67"/>
        <v>0</v>
      </c>
      <c r="BJ126" s="323">
        <f t="shared" si="68"/>
        <v>0</v>
      </c>
      <c r="BK126" s="324"/>
      <c r="BL126" s="2">
        <f t="shared" si="69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5">D50</f>
        <v>0</v>
      </c>
      <c r="Y131" s="335">
        <f t="shared" si="75"/>
        <v>0</v>
      </c>
      <c r="Z131" s="335">
        <f t="shared" si="75"/>
        <v>0</v>
      </c>
      <c r="AA131" s="335">
        <f t="shared" si="75"/>
        <v>0</v>
      </c>
      <c r="AB131" s="339" t="e">
        <f t="shared" ref="AB131:AE150" si="76">INT(Y$232*D73+0.5)</f>
        <v>#DIV/0!</v>
      </c>
      <c r="AC131" s="339" t="e">
        <f t="shared" si="76"/>
        <v>#DIV/0!</v>
      </c>
      <c r="AD131" s="339" t="e">
        <f t="shared" si="76"/>
        <v>#DIV/0!</v>
      </c>
      <c r="AE131" s="339" t="e">
        <f t="shared" si="76"/>
        <v>#DIV/0!</v>
      </c>
      <c r="AF131" s="334" t="s">
        <v>409</v>
      </c>
      <c r="AG131" s="11">
        <v>1</v>
      </c>
      <c r="AH131" s="340">
        <f t="shared" ref="AH131:AK150" si="77">H50</f>
        <v>0</v>
      </c>
      <c r="AI131" s="340">
        <f t="shared" si="77"/>
        <v>0</v>
      </c>
      <c r="AJ131" s="340">
        <f t="shared" si="77"/>
        <v>0</v>
      </c>
      <c r="AK131" s="340">
        <f t="shared" si="77"/>
        <v>0</v>
      </c>
      <c r="AL131" s="341" t="e">
        <f t="shared" ref="AL131:AO150" si="78">INT(AC$232*H73+0.5)</f>
        <v>#DIV/0!</v>
      </c>
      <c r="AM131" s="341" t="e">
        <f t="shared" si="78"/>
        <v>#DIV/0!</v>
      </c>
      <c r="AN131" s="341" t="e">
        <f t="shared" si="78"/>
        <v>#DIV/0!</v>
      </c>
      <c r="AO131" s="341" t="e">
        <f t="shared" si="78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5"/>
        <v>0</v>
      </c>
      <c r="Y132" s="335">
        <f t="shared" si="75"/>
        <v>0</v>
      </c>
      <c r="Z132" s="335">
        <f t="shared" si="75"/>
        <v>0</v>
      </c>
      <c r="AA132" s="335">
        <f t="shared" si="75"/>
        <v>0</v>
      </c>
      <c r="AB132" s="339" t="e">
        <f t="shared" si="76"/>
        <v>#DIV/0!</v>
      </c>
      <c r="AC132" s="339" t="e">
        <f t="shared" si="76"/>
        <v>#DIV/0!</v>
      </c>
      <c r="AD132" s="339" t="e">
        <f t="shared" si="76"/>
        <v>#DIV/0!</v>
      </c>
      <c r="AE132" s="339" t="e">
        <f t="shared" si="76"/>
        <v>#DIV/0!</v>
      </c>
      <c r="AF132" s="336"/>
      <c r="AG132" s="11">
        <v>2</v>
      </c>
      <c r="AH132" s="340">
        <f t="shared" si="77"/>
        <v>0</v>
      </c>
      <c r="AI132" s="340">
        <f t="shared" si="77"/>
        <v>0</v>
      </c>
      <c r="AJ132" s="340">
        <f t="shared" si="77"/>
        <v>0</v>
      </c>
      <c r="AK132" s="340">
        <f t="shared" si="77"/>
        <v>0</v>
      </c>
      <c r="AL132" s="341" t="e">
        <f t="shared" si="78"/>
        <v>#DIV/0!</v>
      </c>
      <c r="AM132" s="341" t="e">
        <f t="shared" si="78"/>
        <v>#DIV/0!</v>
      </c>
      <c r="AN132" s="341" t="e">
        <f t="shared" si="78"/>
        <v>#DIV/0!</v>
      </c>
      <c r="AO132" s="341" t="e">
        <f t="shared" si="78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9">(AY132-AY$153)/AY$178*BB$130</f>
        <v>#VALUE!</v>
      </c>
      <c r="BC132" s="318" t="e">
        <f t="shared" si="79"/>
        <v>#VALUE!</v>
      </c>
      <c r="BD132" s="352" t="e">
        <f t="shared" ref="BD132:BD151" si="80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5"/>
        <v>0</v>
      </c>
      <c r="Y133" s="335">
        <f t="shared" si="75"/>
        <v>0</v>
      </c>
      <c r="Z133" s="335">
        <f t="shared" si="75"/>
        <v>0</v>
      </c>
      <c r="AA133" s="335">
        <f t="shared" si="75"/>
        <v>0</v>
      </c>
      <c r="AB133" s="339" t="e">
        <f t="shared" si="76"/>
        <v>#DIV/0!</v>
      </c>
      <c r="AC133" s="339" t="e">
        <f t="shared" si="76"/>
        <v>#DIV/0!</v>
      </c>
      <c r="AD133" s="339" t="e">
        <f t="shared" si="76"/>
        <v>#DIV/0!</v>
      </c>
      <c r="AE133" s="339" t="e">
        <f t="shared" si="76"/>
        <v>#DIV/0!</v>
      </c>
      <c r="AF133" s="336"/>
      <c r="AG133" s="11">
        <v>3</v>
      </c>
      <c r="AH133" s="340">
        <f t="shared" si="77"/>
        <v>0</v>
      </c>
      <c r="AI133" s="340">
        <f t="shared" si="77"/>
        <v>0</v>
      </c>
      <c r="AJ133" s="340">
        <f t="shared" si="77"/>
        <v>0</v>
      </c>
      <c r="AK133" s="340">
        <f t="shared" si="77"/>
        <v>0</v>
      </c>
      <c r="AL133" s="341" t="e">
        <f t="shared" si="78"/>
        <v>#DIV/0!</v>
      </c>
      <c r="AM133" s="341" t="e">
        <f t="shared" si="78"/>
        <v>#DIV/0!</v>
      </c>
      <c r="AN133" s="341" t="e">
        <f t="shared" si="78"/>
        <v>#DIV/0!</v>
      </c>
      <c r="AO133" s="341" t="e">
        <f t="shared" si="78"/>
        <v>#DIV/0!</v>
      </c>
      <c r="AR133" s="190">
        <v>2</v>
      </c>
      <c r="AS133" s="346" t="str">
        <f t="shared" ref="AS133:AU148" si="81">IF(F96="","",F96)</f>
        <v/>
      </c>
      <c r="AT133" s="346" t="str">
        <f t="shared" si="81"/>
        <v/>
      </c>
      <c r="AU133" s="346" t="str">
        <f t="shared" si="81"/>
        <v/>
      </c>
      <c r="AV133" s="346" t="str">
        <f t="shared" ref="AV133:AV151" si="82">IF(J96="","",J96)</f>
        <v/>
      </c>
      <c r="AX133" s="155"/>
      <c r="AY133" s="346" t="str">
        <f t="shared" ref="AY133:AY151" si="83">IF(AU133="","",AU133+AX133)</f>
        <v/>
      </c>
      <c r="AZ133" s="346" t="str">
        <f t="shared" ref="AZ133:AZ151" si="84">IF(AV133="","",AV133-AX133)</f>
        <v/>
      </c>
      <c r="BA133" s="190">
        <v>2</v>
      </c>
      <c r="BB133" s="351" t="e">
        <f t="shared" si="79"/>
        <v>#VALUE!</v>
      </c>
      <c r="BC133" s="318" t="e">
        <f t="shared" si="79"/>
        <v>#VALUE!</v>
      </c>
      <c r="BD133" s="352" t="e">
        <f t="shared" si="80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5"/>
        <v>0</v>
      </c>
      <c r="Y134" s="335">
        <f t="shared" si="75"/>
        <v>0</v>
      </c>
      <c r="Z134" s="335">
        <f t="shared" si="75"/>
        <v>0</v>
      </c>
      <c r="AA134" s="335">
        <f t="shared" si="75"/>
        <v>0</v>
      </c>
      <c r="AB134" s="339" t="e">
        <f t="shared" si="76"/>
        <v>#DIV/0!</v>
      </c>
      <c r="AC134" s="339" t="e">
        <f t="shared" si="76"/>
        <v>#DIV/0!</v>
      </c>
      <c r="AD134" s="339" t="e">
        <f t="shared" si="76"/>
        <v>#DIV/0!</v>
      </c>
      <c r="AE134" s="339" t="e">
        <f t="shared" si="76"/>
        <v>#DIV/0!</v>
      </c>
      <c r="AF134" s="336"/>
      <c r="AG134" s="11">
        <v>4</v>
      </c>
      <c r="AH134" s="340">
        <f t="shared" si="77"/>
        <v>0</v>
      </c>
      <c r="AI134" s="340">
        <f t="shared" si="77"/>
        <v>0</v>
      </c>
      <c r="AJ134" s="340">
        <f t="shared" si="77"/>
        <v>0</v>
      </c>
      <c r="AK134" s="340">
        <f t="shared" si="77"/>
        <v>0</v>
      </c>
      <c r="AL134" s="341" t="e">
        <f t="shared" si="78"/>
        <v>#DIV/0!</v>
      </c>
      <c r="AM134" s="341" t="e">
        <f t="shared" si="78"/>
        <v>#DIV/0!</v>
      </c>
      <c r="AN134" s="341" t="e">
        <f t="shared" si="78"/>
        <v>#DIV/0!</v>
      </c>
      <c r="AO134" s="341" t="e">
        <f t="shared" si="78"/>
        <v>#DIV/0!</v>
      </c>
      <c r="AR134" s="190">
        <v>3</v>
      </c>
      <c r="AS134" s="346" t="str">
        <f t="shared" si="81"/>
        <v/>
      </c>
      <c r="AT134" s="346" t="str">
        <f t="shared" si="81"/>
        <v/>
      </c>
      <c r="AU134" s="346" t="str">
        <f t="shared" si="81"/>
        <v/>
      </c>
      <c r="AV134" s="346" t="str">
        <f t="shared" si="82"/>
        <v/>
      </c>
      <c r="AX134" s="155"/>
      <c r="AY134" s="346" t="str">
        <f t="shared" si="83"/>
        <v/>
      </c>
      <c r="AZ134" s="346" t="str">
        <f t="shared" si="84"/>
        <v/>
      </c>
      <c r="BA134" s="190">
        <v>3</v>
      </c>
      <c r="BB134" s="351" t="e">
        <f t="shared" si="79"/>
        <v>#VALUE!</v>
      </c>
      <c r="BC134" s="318" t="e">
        <f t="shared" si="79"/>
        <v>#VALUE!</v>
      </c>
      <c r="BD134" s="352" t="e">
        <f t="shared" si="80"/>
        <v>#VALUE!</v>
      </c>
    </row>
    <row r="135" ht="20.1" customHeight="1" spans="22:56">
      <c r="V135" s="336"/>
      <c r="W135" s="11">
        <v>5</v>
      </c>
      <c r="X135" s="335">
        <f t="shared" si="75"/>
        <v>0</v>
      </c>
      <c r="Y135" s="335">
        <f t="shared" si="75"/>
        <v>0</v>
      </c>
      <c r="Z135" s="335">
        <f t="shared" si="75"/>
        <v>0</v>
      </c>
      <c r="AA135" s="335">
        <f t="shared" si="75"/>
        <v>0</v>
      </c>
      <c r="AB135" s="339" t="e">
        <f t="shared" si="76"/>
        <v>#DIV/0!</v>
      </c>
      <c r="AC135" s="339" t="e">
        <f t="shared" si="76"/>
        <v>#DIV/0!</v>
      </c>
      <c r="AD135" s="339" t="e">
        <f t="shared" si="76"/>
        <v>#DIV/0!</v>
      </c>
      <c r="AE135" s="339" t="e">
        <f t="shared" si="76"/>
        <v>#DIV/0!</v>
      </c>
      <c r="AF135" s="336"/>
      <c r="AG135" s="11">
        <v>5</v>
      </c>
      <c r="AH135" s="340">
        <f t="shared" si="77"/>
        <v>0</v>
      </c>
      <c r="AI135" s="340">
        <f t="shared" si="77"/>
        <v>0</v>
      </c>
      <c r="AJ135" s="340">
        <f t="shared" si="77"/>
        <v>0</v>
      </c>
      <c r="AK135" s="340">
        <f t="shared" si="77"/>
        <v>0</v>
      </c>
      <c r="AL135" s="341" t="e">
        <f t="shared" si="78"/>
        <v>#DIV/0!</v>
      </c>
      <c r="AM135" s="341" t="e">
        <f t="shared" si="78"/>
        <v>#DIV/0!</v>
      </c>
      <c r="AN135" s="341" t="e">
        <f t="shared" si="78"/>
        <v>#DIV/0!</v>
      </c>
      <c r="AO135" s="341" t="e">
        <f t="shared" si="78"/>
        <v>#DIV/0!</v>
      </c>
      <c r="AR135" s="190">
        <v>4</v>
      </c>
      <c r="AS135" s="346" t="str">
        <f t="shared" si="81"/>
        <v/>
      </c>
      <c r="AT135" s="346" t="str">
        <f t="shared" si="81"/>
        <v/>
      </c>
      <c r="AU135" s="346" t="str">
        <f t="shared" si="81"/>
        <v/>
      </c>
      <c r="AV135" s="346" t="str">
        <f t="shared" si="82"/>
        <v/>
      </c>
      <c r="AX135" s="155"/>
      <c r="AY135" s="346" t="str">
        <f t="shared" si="83"/>
        <v/>
      </c>
      <c r="AZ135" s="346" t="str">
        <f t="shared" si="84"/>
        <v/>
      </c>
      <c r="BA135" s="190">
        <v>4</v>
      </c>
      <c r="BB135" s="351" t="e">
        <f t="shared" si="79"/>
        <v>#VALUE!</v>
      </c>
      <c r="BC135" s="318" t="e">
        <f t="shared" si="79"/>
        <v>#VALUE!</v>
      </c>
      <c r="BD135" s="352" t="e">
        <f t="shared" si="80"/>
        <v>#VALUE!</v>
      </c>
    </row>
    <row r="136" ht="20.1" customHeight="1" spans="22:56">
      <c r="V136" s="336"/>
      <c r="W136" s="11">
        <v>6</v>
      </c>
      <c r="X136" s="335">
        <f t="shared" si="75"/>
        <v>0</v>
      </c>
      <c r="Y136" s="335">
        <f t="shared" si="75"/>
        <v>0</v>
      </c>
      <c r="Z136" s="335">
        <f t="shared" si="75"/>
        <v>0</v>
      </c>
      <c r="AA136" s="335">
        <f t="shared" si="75"/>
        <v>0</v>
      </c>
      <c r="AB136" s="339" t="e">
        <f t="shared" si="76"/>
        <v>#DIV/0!</v>
      </c>
      <c r="AC136" s="339" t="e">
        <f t="shared" si="76"/>
        <v>#DIV/0!</v>
      </c>
      <c r="AD136" s="339" t="e">
        <f t="shared" si="76"/>
        <v>#DIV/0!</v>
      </c>
      <c r="AE136" s="339" t="e">
        <f t="shared" si="76"/>
        <v>#DIV/0!</v>
      </c>
      <c r="AF136" s="336"/>
      <c r="AG136" s="11">
        <v>6</v>
      </c>
      <c r="AH136" s="340">
        <f t="shared" si="77"/>
        <v>0</v>
      </c>
      <c r="AI136" s="340">
        <f t="shared" si="77"/>
        <v>0</v>
      </c>
      <c r="AJ136" s="340">
        <f t="shared" si="77"/>
        <v>0</v>
      </c>
      <c r="AK136" s="340">
        <f t="shared" si="77"/>
        <v>0</v>
      </c>
      <c r="AL136" s="341" t="e">
        <f t="shared" si="78"/>
        <v>#DIV/0!</v>
      </c>
      <c r="AM136" s="341" t="e">
        <f t="shared" si="78"/>
        <v>#DIV/0!</v>
      </c>
      <c r="AN136" s="341" t="e">
        <f t="shared" si="78"/>
        <v>#DIV/0!</v>
      </c>
      <c r="AO136" s="341" t="e">
        <f t="shared" si="78"/>
        <v>#DIV/0!</v>
      </c>
      <c r="AR136" s="190">
        <v>5</v>
      </c>
      <c r="AS136" s="346" t="str">
        <f t="shared" si="81"/>
        <v/>
      </c>
      <c r="AT136" s="346" t="str">
        <f t="shared" si="81"/>
        <v/>
      </c>
      <c r="AU136" s="346" t="str">
        <f t="shared" si="81"/>
        <v/>
      </c>
      <c r="AV136" s="346" t="str">
        <f t="shared" si="82"/>
        <v/>
      </c>
      <c r="AX136" s="155"/>
      <c r="AY136" s="346" t="str">
        <f t="shared" si="83"/>
        <v/>
      </c>
      <c r="AZ136" s="346" t="str">
        <f t="shared" si="84"/>
        <v/>
      </c>
      <c r="BA136" s="190">
        <v>5</v>
      </c>
      <c r="BB136" s="351" t="e">
        <f t="shared" si="79"/>
        <v>#VALUE!</v>
      </c>
      <c r="BC136" s="318" t="e">
        <f t="shared" si="79"/>
        <v>#VALUE!</v>
      </c>
      <c r="BD136" s="352" t="e">
        <f t="shared" si="80"/>
        <v>#VALUE!</v>
      </c>
    </row>
    <row r="137" ht="20.1" customHeight="1" spans="22:56">
      <c r="V137" s="336"/>
      <c r="W137" s="11">
        <v>7</v>
      </c>
      <c r="X137" s="335">
        <f t="shared" si="75"/>
        <v>0</v>
      </c>
      <c r="Y137" s="335">
        <f t="shared" si="75"/>
        <v>0</v>
      </c>
      <c r="Z137" s="335">
        <f t="shared" si="75"/>
        <v>0</v>
      </c>
      <c r="AA137" s="335">
        <f t="shared" si="75"/>
        <v>0</v>
      </c>
      <c r="AB137" s="339" t="e">
        <f t="shared" si="76"/>
        <v>#DIV/0!</v>
      </c>
      <c r="AC137" s="339" t="e">
        <f t="shared" si="76"/>
        <v>#DIV/0!</v>
      </c>
      <c r="AD137" s="339" t="e">
        <f t="shared" si="76"/>
        <v>#DIV/0!</v>
      </c>
      <c r="AE137" s="339" t="e">
        <f t="shared" si="76"/>
        <v>#DIV/0!</v>
      </c>
      <c r="AF137" s="336"/>
      <c r="AG137" s="11">
        <v>7</v>
      </c>
      <c r="AH137" s="340">
        <f t="shared" si="77"/>
        <v>0</v>
      </c>
      <c r="AI137" s="340">
        <f t="shared" si="77"/>
        <v>0</v>
      </c>
      <c r="AJ137" s="340">
        <f t="shared" si="77"/>
        <v>0</v>
      </c>
      <c r="AK137" s="340">
        <f t="shared" si="77"/>
        <v>0</v>
      </c>
      <c r="AL137" s="341" t="e">
        <f t="shared" si="78"/>
        <v>#DIV/0!</v>
      </c>
      <c r="AM137" s="341" t="e">
        <f t="shared" si="78"/>
        <v>#DIV/0!</v>
      </c>
      <c r="AN137" s="341" t="e">
        <f t="shared" si="78"/>
        <v>#DIV/0!</v>
      </c>
      <c r="AO137" s="341" t="e">
        <f t="shared" si="78"/>
        <v>#DIV/0!</v>
      </c>
      <c r="AR137" s="190">
        <v>6</v>
      </c>
      <c r="AS137" s="346" t="str">
        <f t="shared" si="81"/>
        <v/>
      </c>
      <c r="AT137" s="346" t="str">
        <f t="shared" si="81"/>
        <v/>
      </c>
      <c r="AU137" s="346" t="str">
        <f t="shared" si="81"/>
        <v/>
      </c>
      <c r="AV137" s="346" t="str">
        <f t="shared" si="82"/>
        <v/>
      </c>
      <c r="AX137" s="155"/>
      <c r="AY137" s="346" t="str">
        <f t="shared" si="83"/>
        <v/>
      </c>
      <c r="AZ137" s="346" t="str">
        <f t="shared" si="84"/>
        <v/>
      </c>
      <c r="BA137" s="190">
        <v>6</v>
      </c>
      <c r="BB137" s="351" t="e">
        <f t="shared" si="79"/>
        <v>#VALUE!</v>
      </c>
      <c r="BC137" s="318" t="e">
        <f t="shared" si="79"/>
        <v>#VALUE!</v>
      </c>
      <c r="BD137" s="352" t="e">
        <f t="shared" si="80"/>
        <v>#VALUE!</v>
      </c>
    </row>
    <row r="138" ht="20.1" customHeight="1" spans="22:56">
      <c r="V138" s="336"/>
      <c r="W138" s="11">
        <v>8</v>
      </c>
      <c r="X138" s="335">
        <f t="shared" si="75"/>
        <v>0</v>
      </c>
      <c r="Y138" s="335">
        <f t="shared" si="75"/>
        <v>0</v>
      </c>
      <c r="Z138" s="335">
        <f t="shared" si="75"/>
        <v>0</v>
      </c>
      <c r="AA138" s="335">
        <f t="shared" si="75"/>
        <v>0</v>
      </c>
      <c r="AB138" s="339" t="e">
        <f t="shared" si="76"/>
        <v>#DIV/0!</v>
      </c>
      <c r="AC138" s="339" t="e">
        <f t="shared" si="76"/>
        <v>#DIV/0!</v>
      </c>
      <c r="AD138" s="339" t="e">
        <f t="shared" si="76"/>
        <v>#DIV/0!</v>
      </c>
      <c r="AE138" s="339" t="e">
        <f t="shared" si="76"/>
        <v>#DIV/0!</v>
      </c>
      <c r="AF138" s="336"/>
      <c r="AG138" s="11">
        <v>8</v>
      </c>
      <c r="AH138" s="340">
        <f t="shared" si="77"/>
        <v>0</v>
      </c>
      <c r="AI138" s="340">
        <f t="shared" si="77"/>
        <v>0</v>
      </c>
      <c r="AJ138" s="340">
        <f t="shared" si="77"/>
        <v>0</v>
      </c>
      <c r="AK138" s="340">
        <f t="shared" si="77"/>
        <v>0</v>
      </c>
      <c r="AL138" s="341" t="e">
        <f t="shared" si="78"/>
        <v>#DIV/0!</v>
      </c>
      <c r="AM138" s="341" t="e">
        <f t="shared" si="78"/>
        <v>#DIV/0!</v>
      </c>
      <c r="AN138" s="341" t="e">
        <f t="shared" si="78"/>
        <v>#DIV/0!</v>
      </c>
      <c r="AO138" s="341" t="e">
        <f t="shared" si="78"/>
        <v>#DIV/0!</v>
      </c>
      <c r="AR138" s="190">
        <v>7</v>
      </c>
      <c r="AS138" s="346" t="str">
        <f t="shared" si="81"/>
        <v/>
      </c>
      <c r="AT138" s="346" t="str">
        <f t="shared" si="81"/>
        <v/>
      </c>
      <c r="AU138" s="346" t="str">
        <f t="shared" si="81"/>
        <v/>
      </c>
      <c r="AV138" s="346" t="str">
        <f t="shared" si="82"/>
        <v/>
      </c>
      <c r="AX138" s="155"/>
      <c r="AY138" s="346" t="str">
        <f t="shared" si="83"/>
        <v/>
      </c>
      <c r="AZ138" s="346" t="str">
        <f t="shared" si="84"/>
        <v/>
      </c>
      <c r="BA138" s="190">
        <v>7</v>
      </c>
      <c r="BB138" s="351" t="e">
        <f t="shared" si="79"/>
        <v>#VALUE!</v>
      </c>
      <c r="BC138" s="318" t="e">
        <f t="shared" si="79"/>
        <v>#VALUE!</v>
      </c>
      <c r="BD138" s="352" t="e">
        <f t="shared" si="80"/>
        <v>#VALUE!</v>
      </c>
    </row>
    <row r="139" ht="20.1" customHeight="1" spans="22:56">
      <c r="V139" s="336"/>
      <c r="W139" s="11">
        <v>9</v>
      </c>
      <c r="X139" s="335">
        <f t="shared" si="75"/>
        <v>0</v>
      </c>
      <c r="Y139" s="335">
        <f t="shared" si="75"/>
        <v>0</v>
      </c>
      <c r="Z139" s="335">
        <f t="shared" si="75"/>
        <v>0</v>
      </c>
      <c r="AA139" s="335">
        <f t="shared" si="75"/>
        <v>0</v>
      </c>
      <c r="AB139" s="339" t="e">
        <f t="shared" si="76"/>
        <v>#DIV/0!</v>
      </c>
      <c r="AC139" s="339" t="e">
        <f t="shared" si="76"/>
        <v>#DIV/0!</v>
      </c>
      <c r="AD139" s="339" t="e">
        <f t="shared" si="76"/>
        <v>#DIV/0!</v>
      </c>
      <c r="AE139" s="339" t="e">
        <f t="shared" si="76"/>
        <v>#DIV/0!</v>
      </c>
      <c r="AF139" s="336"/>
      <c r="AG139" s="11">
        <v>9</v>
      </c>
      <c r="AH139" s="340">
        <f t="shared" si="77"/>
        <v>0</v>
      </c>
      <c r="AI139" s="340">
        <f t="shared" si="77"/>
        <v>0</v>
      </c>
      <c r="AJ139" s="340">
        <f t="shared" si="77"/>
        <v>0</v>
      </c>
      <c r="AK139" s="340">
        <f t="shared" si="77"/>
        <v>0</v>
      </c>
      <c r="AL139" s="341" t="e">
        <f t="shared" si="78"/>
        <v>#DIV/0!</v>
      </c>
      <c r="AM139" s="341" t="e">
        <f t="shared" si="78"/>
        <v>#DIV/0!</v>
      </c>
      <c r="AN139" s="341" t="e">
        <f t="shared" si="78"/>
        <v>#DIV/0!</v>
      </c>
      <c r="AO139" s="341" t="e">
        <f t="shared" si="78"/>
        <v>#DIV/0!</v>
      </c>
      <c r="AR139" s="190">
        <v>8</v>
      </c>
      <c r="AS139" s="346" t="str">
        <f t="shared" si="81"/>
        <v/>
      </c>
      <c r="AT139" s="346" t="str">
        <f t="shared" si="81"/>
        <v/>
      </c>
      <c r="AU139" s="346" t="str">
        <f t="shared" si="81"/>
        <v/>
      </c>
      <c r="AV139" s="346" t="str">
        <f t="shared" si="82"/>
        <v/>
      </c>
      <c r="AX139" s="155"/>
      <c r="AY139" s="346" t="str">
        <f t="shared" si="83"/>
        <v/>
      </c>
      <c r="AZ139" s="346" t="str">
        <f t="shared" si="84"/>
        <v/>
      </c>
      <c r="BA139" s="190">
        <v>8</v>
      </c>
      <c r="BB139" s="351" t="e">
        <f t="shared" si="79"/>
        <v>#VALUE!</v>
      </c>
      <c r="BC139" s="318" t="e">
        <f t="shared" si="79"/>
        <v>#VALUE!</v>
      </c>
      <c r="BD139" s="352" t="e">
        <f t="shared" si="80"/>
        <v>#VALUE!</v>
      </c>
    </row>
    <row r="140" ht="20.1" customHeight="1" spans="22:56">
      <c r="V140" s="336"/>
      <c r="W140" s="11">
        <v>10</v>
      </c>
      <c r="X140" s="335">
        <f t="shared" si="75"/>
        <v>0</v>
      </c>
      <c r="Y140" s="335">
        <f t="shared" si="75"/>
        <v>0</v>
      </c>
      <c r="Z140" s="335">
        <f t="shared" si="75"/>
        <v>0</v>
      </c>
      <c r="AA140" s="335">
        <f t="shared" si="75"/>
        <v>0</v>
      </c>
      <c r="AB140" s="339" t="e">
        <f t="shared" si="76"/>
        <v>#DIV/0!</v>
      </c>
      <c r="AC140" s="339" t="e">
        <f t="shared" si="76"/>
        <v>#DIV/0!</v>
      </c>
      <c r="AD140" s="339" t="e">
        <f t="shared" si="76"/>
        <v>#DIV/0!</v>
      </c>
      <c r="AE140" s="339" t="e">
        <f t="shared" si="76"/>
        <v>#DIV/0!</v>
      </c>
      <c r="AF140" s="336"/>
      <c r="AG140" s="11">
        <v>10</v>
      </c>
      <c r="AH140" s="340">
        <f t="shared" si="77"/>
        <v>0</v>
      </c>
      <c r="AI140" s="340">
        <f t="shared" si="77"/>
        <v>0</v>
      </c>
      <c r="AJ140" s="340">
        <f t="shared" si="77"/>
        <v>0</v>
      </c>
      <c r="AK140" s="340">
        <f t="shared" si="77"/>
        <v>0</v>
      </c>
      <c r="AL140" s="341" t="e">
        <f t="shared" si="78"/>
        <v>#DIV/0!</v>
      </c>
      <c r="AM140" s="341" t="e">
        <f t="shared" si="78"/>
        <v>#DIV/0!</v>
      </c>
      <c r="AN140" s="341" t="e">
        <f t="shared" si="78"/>
        <v>#DIV/0!</v>
      </c>
      <c r="AO140" s="341" t="e">
        <f t="shared" si="78"/>
        <v>#DIV/0!</v>
      </c>
      <c r="AR140" s="190">
        <v>9</v>
      </c>
      <c r="AS140" s="346" t="str">
        <f t="shared" si="81"/>
        <v/>
      </c>
      <c r="AT140" s="346" t="str">
        <f t="shared" si="81"/>
        <v/>
      </c>
      <c r="AU140" s="346" t="str">
        <f t="shared" si="81"/>
        <v/>
      </c>
      <c r="AV140" s="346" t="str">
        <f t="shared" si="82"/>
        <v/>
      </c>
      <c r="AX140" s="155"/>
      <c r="AY140" s="346" t="str">
        <f t="shared" si="83"/>
        <v/>
      </c>
      <c r="AZ140" s="346" t="str">
        <f t="shared" si="84"/>
        <v/>
      </c>
      <c r="BA140" s="190">
        <v>9</v>
      </c>
      <c r="BB140" s="351" t="e">
        <f t="shared" si="79"/>
        <v>#VALUE!</v>
      </c>
      <c r="BC140" s="318" t="e">
        <f t="shared" si="79"/>
        <v>#VALUE!</v>
      </c>
      <c r="BD140" s="352" t="e">
        <f t="shared" si="80"/>
        <v>#VALUE!</v>
      </c>
    </row>
    <row r="141" ht="20.1" customHeight="1" spans="22:56">
      <c r="V141" s="336"/>
      <c r="W141" s="11">
        <v>11</v>
      </c>
      <c r="X141" s="335">
        <f t="shared" si="75"/>
        <v>0</v>
      </c>
      <c r="Y141" s="335">
        <f t="shared" si="75"/>
        <v>0</v>
      </c>
      <c r="Z141" s="335">
        <f t="shared" si="75"/>
        <v>0</v>
      </c>
      <c r="AA141" s="335">
        <f t="shared" si="75"/>
        <v>0</v>
      </c>
      <c r="AB141" s="339" t="e">
        <f t="shared" si="76"/>
        <v>#DIV/0!</v>
      </c>
      <c r="AC141" s="339" t="e">
        <f t="shared" si="76"/>
        <v>#DIV/0!</v>
      </c>
      <c r="AD141" s="339" t="e">
        <f t="shared" si="76"/>
        <v>#DIV/0!</v>
      </c>
      <c r="AE141" s="339" t="e">
        <f t="shared" si="76"/>
        <v>#DIV/0!</v>
      </c>
      <c r="AF141" s="336"/>
      <c r="AG141" s="11">
        <v>11</v>
      </c>
      <c r="AH141" s="340">
        <f t="shared" si="77"/>
        <v>0</v>
      </c>
      <c r="AI141" s="340">
        <f t="shared" si="77"/>
        <v>0</v>
      </c>
      <c r="AJ141" s="340">
        <f t="shared" si="77"/>
        <v>0</v>
      </c>
      <c r="AK141" s="340">
        <f t="shared" si="77"/>
        <v>0</v>
      </c>
      <c r="AL141" s="341" t="e">
        <f t="shared" si="78"/>
        <v>#DIV/0!</v>
      </c>
      <c r="AM141" s="341" t="e">
        <f t="shared" si="78"/>
        <v>#DIV/0!</v>
      </c>
      <c r="AN141" s="341" t="e">
        <f t="shared" si="78"/>
        <v>#DIV/0!</v>
      </c>
      <c r="AO141" s="341" t="e">
        <f t="shared" si="78"/>
        <v>#DIV/0!</v>
      </c>
      <c r="AR141" s="190">
        <v>10</v>
      </c>
      <c r="AS141" s="346" t="str">
        <f t="shared" si="81"/>
        <v/>
      </c>
      <c r="AT141" s="346" t="str">
        <f t="shared" si="81"/>
        <v/>
      </c>
      <c r="AU141" s="346" t="str">
        <f t="shared" si="81"/>
        <v/>
      </c>
      <c r="AV141" s="346" t="str">
        <f t="shared" si="82"/>
        <v/>
      </c>
      <c r="AX141" s="155"/>
      <c r="AY141" s="346" t="str">
        <f t="shared" si="83"/>
        <v/>
      </c>
      <c r="AZ141" s="346" t="str">
        <f t="shared" si="84"/>
        <v/>
      </c>
      <c r="BA141" s="190">
        <v>10</v>
      </c>
      <c r="BB141" s="351" t="e">
        <f t="shared" si="79"/>
        <v>#VALUE!</v>
      </c>
      <c r="BC141" s="318" t="e">
        <f t="shared" si="79"/>
        <v>#VALUE!</v>
      </c>
      <c r="BD141" s="352" t="e">
        <f t="shared" si="80"/>
        <v>#VALUE!</v>
      </c>
    </row>
    <row r="142" ht="20.1" customHeight="1" spans="22:56">
      <c r="V142" s="336"/>
      <c r="W142" s="11">
        <v>12</v>
      </c>
      <c r="X142" s="335">
        <f t="shared" si="75"/>
        <v>0</v>
      </c>
      <c r="Y142" s="335">
        <f t="shared" si="75"/>
        <v>0</v>
      </c>
      <c r="Z142" s="335">
        <f t="shared" si="75"/>
        <v>0</v>
      </c>
      <c r="AA142" s="335">
        <f t="shared" si="75"/>
        <v>0</v>
      </c>
      <c r="AB142" s="339" t="e">
        <f t="shared" si="76"/>
        <v>#DIV/0!</v>
      </c>
      <c r="AC142" s="339" t="e">
        <f t="shared" si="76"/>
        <v>#DIV/0!</v>
      </c>
      <c r="AD142" s="339" t="e">
        <f t="shared" si="76"/>
        <v>#DIV/0!</v>
      </c>
      <c r="AE142" s="339" t="e">
        <f t="shared" si="76"/>
        <v>#DIV/0!</v>
      </c>
      <c r="AF142" s="336"/>
      <c r="AG142" s="11">
        <v>12</v>
      </c>
      <c r="AH142" s="340">
        <f t="shared" si="77"/>
        <v>0</v>
      </c>
      <c r="AI142" s="340">
        <f t="shared" si="77"/>
        <v>0</v>
      </c>
      <c r="AJ142" s="340">
        <f t="shared" si="77"/>
        <v>0</v>
      </c>
      <c r="AK142" s="340">
        <f t="shared" si="77"/>
        <v>0</v>
      </c>
      <c r="AL142" s="341" t="e">
        <f t="shared" si="78"/>
        <v>#DIV/0!</v>
      </c>
      <c r="AM142" s="341" t="e">
        <f t="shared" si="78"/>
        <v>#DIV/0!</v>
      </c>
      <c r="AN142" s="341" t="e">
        <f t="shared" si="78"/>
        <v>#DIV/0!</v>
      </c>
      <c r="AO142" s="341" t="e">
        <f t="shared" si="78"/>
        <v>#DIV/0!</v>
      </c>
      <c r="AR142" s="190">
        <v>11</v>
      </c>
      <c r="AS142" s="346" t="str">
        <f t="shared" si="81"/>
        <v/>
      </c>
      <c r="AT142" s="346" t="str">
        <f t="shared" si="81"/>
        <v/>
      </c>
      <c r="AU142" s="346" t="str">
        <f t="shared" si="81"/>
        <v/>
      </c>
      <c r="AV142" s="346" t="str">
        <f t="shared" si="82"/>
        <v/>
      </c>
      <c r="AX142" s="155"/>
      <c r="AY142" s="346" t="str">
        <f t="shared" si="83"/>
        <v/>
      </c>
      <c r="AZ142" s="346" t="str">
        <f t="shared" si="84"/>
        <v/>
      </c>
      <c r="BA142" s="190">
        <v>11</v>
      </c>
      <c r="BB142" s="351" t="e">
        <f t="shared" si="79"/>
        <v>#VALUE!</v>
      </c>
      <c r="BC142" s="318" t="e">
        <f t="shared" si="79"/>
        <v>#VALUE!</v>
      </c>
      <c r="BD142" s="352" t="e">
        <f t="shared" si="80"/>
        <v>#VALUE!</v>
      </c>
    </row>
    <row r="143" ht="20.1" customHeight="1" spans="22:56">
      <c r="V143" s="336"/>
      <c r="W143" s="11">
        <v>13</v>
      </c>
      <c r="X143" s="335">
        <f t="shared" si="75"/>
        <v>0</v>
      </c>
      <c r="Y143" s="335">
        <f t="shared" si="75"/>
        <v>0</v>
      </c>
      <c r="Z143" s="335">
        <f t="shared" si="75"/>
        <v>0</v>
      </c>
      <c r="AA143" s="335">
        <f t="shared" si="75"/>
        <v>0</v>
      </c>
      <c r="AB143" s="339" t="e">
        <f t="shared" si="76"/>
        <v>#DIV/0!</v>
      </c>
      <c r="AC143" s="339" t="e">
        <f t="shared" si="76"/>
        <v>#DIV/0!</v>
      </c>
      <c r="AD143" s="339" t="e">
        <f t="shared" si="76"/>
        <v>#DIV/0!</v>
      </c>
      <c r="AE143" s="339" t="e">
        <f t="shared" si="76"/>
        <v>#DIV/0!</v>
      </c>
      <c r="AF143" s="336"/>
      <c r="AG143" s="11">
        <v>13</v>
      </c>
      <c r="AH143" s="340">
        <f t="shared" si="77"/>
        <v>0</v>
      </c>
      <c r="AI143" s="340">
        <f t="shared" si="77"/>
        <v>0</v>
      </c>
      <c r="AJ143" s="340">
        <f t="shared" si="77"/>
        <v>0</v>
      </c>
      <c r="AK143" s="340">
        <f t="shared" si="77"/>
        <v>0</v>
      </c>
      <c r="AL143" s="341" t="e">
        <f t="shared" si="78"/>
        <v>#DIV/0!</v>
      </c>
      <c r="AM143" s="341" t="e">
        <f t="shared" si="78"/>
        <v>#DIV/0!</v>
      </c>
      <c r="AN143" s="341" t="e">
        <f t="shared" si="78"/>
        <v>#DIV/0!</v>
      </c>
      <c r="AO143" s="341" t="e">
        <f t="shared" si="78"/>
        <v>#DIV/0!</v>
      </c>
      <c r="AR143" s="190">
        <v>12</v>
      </c>
      <c r="AS143" s="346" t="str">
        <f t="shared" si="81"/>
        <v/>
      </c>
      <c r="AT143" s="346" t="str">
        <f t="shared" si="81"/>
        <v/>
      </c>
      <c r="AU143" s="346" t="str">
        <f t="shared" si="81"/>
        <v/>
      </c>
      <c r="AV143" s="346" t="str">
        <f t="shared" si="82"/>
        <v/>
      </c>
      <c r="AX143" s="155"/>
      <c r="AY143" s="346" t="str">
        <f t="shared" si="83"/>
        <v/>
      </c>
      <c r="AZ143" s="346" t="str">
        <f t="shared" si="84"/>
        <v/>
      </c>
      <c r="BA143" s="190">
        <v>12</v>
      </c>
      <c r="BB143" s="351" t="e">
        <f t="shared" si="79"/>
        <v>#VALUE!</v>
      </c>
      <c r="BC143" s="318" t="e">
        <f t="shared" si="79"/>
        <v>#VALUE!</v>
      </c>
      <c r="BD143" s="352" t="e">
        <f t="shared" si="80"/>
        <v>#VALUE!</v>
      </c>
    </row>
    <row r="144" ht="20.1" customHeight="1" spans="22:56">
      <c r="V144" s="336"/>
      <c r="W144" s="11">
        <v>14</v>
      </c>
      <c r="X144" s="335">
        <f t="shared" si="75"/>
        <v>0</v>
      </c>
      <c r="Y144" s="335">
        <f t="shared" si="75"/>
        <v>0</v>
      </c>
      <c r="Z144" s="335">
        <f t="shared" si="75"/>
        <v>0</v>
      </c>
      <c r="AA144" s="335">
        <f t="shared" si="75"/>
        <v>0</v>
      </c>
      <c r="AB144" s="339" t="e">
        <f t="shared" si="76"/>
        <v>#DIV/0!</v>
      </c>
      <c r="AC144" s="339" t="e">
        <f t="shared" si="76"/>
        <v>#DIV/0!</v>
      </c>
      <c r="AD144" s="339" t="e">
        <f t="shared" si="76"/>
        <v>#DIV/0!</v>
      </c>
      <c r="AE144" s="339" t="e">
        <f t="shared" si="76"/>
        <v>#DIV/0!</v>
      </c>
      <c r="AF144" s="336"/>
      <c r="AG144" s="11">
        <v>14</v>
      </c>
      <c r="AH144" s="340">
        <f t="shared" si="77"/>
        <v>0</v>
      </c>
      <c r="AI144" s="340">
        <f t="shared" si="77"/>
        <v>0</v>
      </c>
      <c r="AJ144" s="340">
        <f t="shared" si="77"/>
        <v>0</v>
      </c>
      <c r="AK144" s="340">
        <f t="shared" si="77"/>
        <v>0</v>
      </c>
      <c r="AL144" s="341" t="e">
        <f t="shared" si="78"/>
        <v>#DIV/0!</v>
      </c>
      <c r="AM144" s="341" t="e">
        <f t="shared" si="78"/>
        <v>#DIV/0!</v>
      </c>
      <c r="AN144" s="341" t="e">
        <f t="shared" si="78"/>
        <v>#DIV/0!</v>
      </c>
      <c r="AO144" s="341" t="e">
        <f t="shared" si="78"/>
        <v>#DIV/0!</v>
      </c>
      <c r="AR144" s="190">
        <v>13</v>
      </c>
      <c r="AS144" s="346" t="str">
        <f t="shared" si="81"/>
        <v/>
      </c>
      <c r="AT144" s="346" t="str">
        <f t="shared" si="81"/>
        <v/>
      </c>
      <c r="AU144" s="346" t="str">
        <f t="shared" si="81"/>
        <v/>
      </c>
      <c r="AV144" s="346" t="str">
        <f t="shared" si="82"/>
        <v/>
      </c>
      <c r="AX144" s="155"/>
      <c r="AY144" s="346" t="str">
        <f t="shared" si="83"/>
        <v/>
      </c>
      <c r="AZ144" s="346" t="str">
        <f t="shared" si="84"/>
        <v/>
      </c>
      <c r="BA144" s="190">
        <v>13</v>
      </c>
      <c r="BB144" s="351" t="e">
        <f t="shared" si="79"/>
        <v>#VALUE!</v>
      </c>
      <c r="BC144" s="318" t="e">
        <f t="shared" si="79"/>
        <v>#VALUE!</v>
      </c>
      <c r="BD144" s="352" t="e">
        <f t="shared" si="80"/>
        <v>#VALUE!</v>
      </c>
    </row>
    <row r="145" ht="20.1" customHeight="1" spans="22:56">
      <c r="V145" s="336"/>
      <c r="W145" s="11">
        <v>15</v>
      </c>
      <c r="X145" s="335">
        <f t="shared" si="75"/>
        <v>0</v>
      </c>
      <c r="Y145" s="335">
        <f t="shared" si="75"/>
        <v>0</v>
      </c>
      <c r="Z145" s="335">
        <f t="shared" si="75"/>
        <v>0</v>
      </c>
      <c r="AA145" s="335">
        <f t="shared" si="75"/>
        <v>0</v>
      </c>
      <c r="AB145" s="339" t="e">
        <f t="shared" si="76"/>
        <v>#DIV/0!</v>
      </c>
      <c r="AC145" s="339" t="e">
        <f t="shared" si="76"/>
        <v>#DIV/0!</v>
      </c>
      <c r="AD145" s="339" t="e">
        <f t="shared" si="76"/>
        <v>#DIV/0!</v>
      </c>
      <c r="AE145" s="339" t="e">
        <f t="shared" si="76"/>
        <v>#DIV/0!</v>
      </c>
      <c r="AF145" s="336"/>
      <c r="AG145" s="11">
        <v>15</v>
      </c>
      <c r="AH145" s="340">
        <f t="shared" si="77"/>
        <v>0</v>
      </c>
      <c r="AI145" s="340">
        <f t="shared" si="77"/>
        <v>0</v>
      </c>
      <c r="AJ145" s="340">
        <f t="shared" si="77"/>
        <v>0</v>
      </c>
      <c r="AK145" s="340">
        <f t="shared" si="77"/>
        <v>0</v>
      </c>
      <c r="AL145" s="341" t="e">
        <f t="shared" si="78"/>
        <v>#DIV/0!</v>
      </c>
      <c r="AM145" s="341" t="e">
        <f t="shared" si="78"/>
        <v>#DIV/0!</v>
      </c>
      <c r="AN145" s="341" t="e">
        <f t="shared" si="78"/>
        <v>#DIV/0!</v>
      </c>
      <c r="AO145" s="341" t="e">
        <f t="shared" si="78"/>
        <v>#DIV/0!</v>
      </c>
      <c r="AR145" s="190">
        <v>14</v>
      </c>
      <c r="AS145" s="346" t="str">
        <f t="shared" si="81"/>
        <v/>
      </c>
      <c r="AT145" s="346" t="str">
        <f t="shared" si="81"/>
        <v/>
      </c>
      <c r="AU145" s="346" t="str">
        <f t="shared" si="81"/>
        <v/>
      </c>
      <c r="AV145" s="346" t="str">
        <f t="shared" si="82"/>
        <v/>
      </c>
      <c r="AX145" s="155"/>
      <c r="AY145" s="346" t="str">
        <f t="shared" si="83"/>
        <v/>
      </c>
      <c r="AZ145" s="346" t="str">
        <f t="shared" si="84"/>
        <v/>
      </c>
      <c r="BA145" s="190">
        <v>14</v>
      </c>
      <c r="BB145" s="351" t="e">
        <f t="shared" si="79"/>
        <v>#VALUE!</v>
      </c>
      <c r="BC145" s="318" t="e">
        <f t="shared" si="79"/>
        <v>#VALUE!</v>
      </c>
      <c r="BD145" s="352" t="e">
        <f t="shared" si="80"/>
        <v>#VALUE!</v>
      </c>
    </row>
    <row r="146" ht="20.1" customHeight="1" spans="22:56">
      <c r="V146" s="336"/>
      <c r="W146" s="11">
        <v>16</v>
      </c>
      <c r="X146" s="335">
        <f t="shared" si="75"/>
        <v>0</v>
      </c>
      <c r="Y146" s="335">
        <f t="shared" si="75"/>
        <v>0</v>
      </c>
      <c r="Z146" s="335">
        <f t="shared" si="75"/>
        <v>0</v>
      </c>
      <c r="AA146" s="335">
        <f t="shared" si="75"/>
        <v>0</v>
      </c>
      <c r="AB146" s="339" t="e">
        <f t="shared" si="76"/>
        <v>#DIV/0!</v>
      </c>
      <c r="AC146" s="339" t="e">
        <f t="shared" si="76"/>
        <v>#DIV/0!</v>
      </c>
      <c r="AD146" s="339" t="e">
        <f t="shared" si="76"/>
        <v>#DIV/0!</v>
      </c>
      <c r="AE146" s="339" t="e">
        <f t="shared" si="76"/>
        <v>#DIV/0!</v>
      </c>
      <c r="AF146" s="336"/>
      <c r="AG146" s="11">
        <v>16</v>
      </c>
      <c r="AH146" s="340">
        <f t="shared" si="77"/>
        <v>0</v>
      </c>
      <c r="AI146" s="340">
        <f t="shared" si="77"/>
        <v>0</v>
      </c>
      <c r="AJ146" s="340">
        <f t="shared" si="77"/>
        <v>0</v>
      </c>
      <c r="AK146" s="340">
        <f t="shared" si="77"/>
        <v>0</v>
      </c>
      <c r="AL146" s="341" t="e">
        <f t="shared" si="78"/>
        <v>#DIV/0!</v>
      </c>
      <c r="AM146" s="341" t="e">
        <f t="shared" si="78"/>
        <v>#DIV/0!</v>
      </c>
      <c r="AN146" s="341" t="e">
        <f t="shared" si="78"/>
        <v>#DIV/0!</v>
      </c>
      <c r="AO146" s="341" t="e">
        <f t="shared" si="78"/>
        <v>#DIV/0!</v>
      </c>
      <c r="AR146" s="190">
        <v>15</v>
      </c>
      <c r="AS146" s="346" t="str">
        <f t="shared" si="81"/>
        <v/>
      </c>
      <c r="AT146" s="346" t="str">
        <f t="shared" si="81"/>
        <v/>
      </c>
      <c r="AU146" s="346" t="str">
        <f t="shared" si="81"/>
        <v/>
      </c>
      <c r="AV146" s="346" t="str">
        <f t="shared" si="82"/>
        <v/>
      </c>
      <c r="AX146" s="155"/>
      <c r="AY146" s="346" t="str">
        <f t="shared" si="83"/>
        <v/>
      </c>
      <c r="AZ146" s="346" t="str">
        <f t="shared" si="84"/>
        <v/>
      </c>
      <c r="BA146" s="190">
        <v>15</v>
      </c>
      <c r="BB146" s="351" t="e">
        <f t="shared" si="79"/>
        <v>#VALUE!</v>
      </c>
      <c r="BC146" s="318" t="e">
        <f t="shared" si="79"/>
        <v>#VALUE!</v>
      </c>
      <c r="BD146" s="352" t="e">
        <f t="shared" si="80"/>
        <v>#VALUE!</v>
      </c>
    </row>
    <row r="147" ht="20.1" customHeight="1" spans="22:56">
      <c r="V147" s="336"/>
      <c r="W147" s="11">
        <v>17</v>
      </c>
      <c r="X147" s="335">
        <f t="shared" si="75"/>
        <v>0</v>
      </c>
      <c r="Y147" s="335">
        <f t="shared" si="75"/>
        <v>0</v>
      </c>
      <c r="Z147" s="335">
        <f t="shared" si="75"/>
        <v>0</v>
      </c>
      <c r="AA147" s="335">
        <f t="shared" si="75"/>
        <v>0</v>
      </c>
      <c r="AB147" s="339" t="e">
        <f t="shared" si="76"/>
        <v>#DIV/0!</v>
      </c>
      <c r="AC147" s="339" t="e">
        <f t="shared" si="76"/>
        <v>#DIV/0!</v>
      </c>
      <c r="AD147" s="339" t="e">
        <f t="shared" si="76"/>
        <v>#DIV/0!</v>
      </c>
      <c r="AE147" s="339" t="e">
        <f t="shared" si="76"/>
        <v>#DIV/0!</v>
      </c>
      <c r="AF147" s="336"/>
      <c r="AG147" s="11">
        <v>17</v>
      </c>
      <c r="AH147" s="340">
        <f t="shared" si="77"/>
        <v>0</v>
      </c>
      <c r="AI147" s="340">
        <f t="shared" si="77"/>
        <v>0</v>
      </c>
      <c r="AJ147" s="340">
        <f t="shared" si="77"/>
        <v>0</v>
      </c>
      <c r="AK147" s="340">
        <f t="shared" si="77"/>
        <v>0</v>
      </c>
      <c r="AL147" s="341" t="e">
        <f t="shared" si="78"/>
        <v>#DIV/0!</v>
      </c>
      <c r="AM147" s="341" t="e">
        <f t="shared" si="78"/>
        <v>#DIV/0!</v>
      </c>
      <c r="AN147" s="341" t="e">
        <f t="shared" si="78"/>
        <v>#DIV/0!</v>
      </c>
      <c r="AO147" s="341" t="e">
        <f t="shared" si="78"/>
        <v>#DIV/0!</v>
      </c>
      <c r="AR147" s="190">
        <v>16</v>
      </c>
      <c r="AS147" s="346" t="str">
        <f t="shared" si="81"/>
        <v/>
      </c>
      <c r="AT147" s="346" t="str">
        <f t="shared" si="81"/>
        <v/>
      </c>
      <c r="AU147" s="346" t="str">
        <f t="shared" si="81"/>
        <v/>
      </c>
      <c r="AV147" s="346" t="str">
        <f t="shared" si="82"/>
        <v/>
      </c>
      <c r="AX147" s="155"/>
      <c r="AY147" s="346" t="str">
        <f t="shared" si="83"/>
        <v/>
      </c>
      <c r="AZ147" s="346" t="str">
        <f t="shared" si="84"/>
        <v/>
      </c>
      <c r="BA147" s="190">
        <v>16</v>
      </c>
      <c r="BB147" s="351" t="e">
        <f t="shared" si="79"/>
        <v>#VALUE!</v>
      </c>
      <c r="BC147" s="318" t="e">
        <f t="shared" si="79"/>
        <v>#VALUE!</v>
      </c>
      <c r="BD147" s="352" t="e">
        <f t="shared" si="80"/>
        <v>#VALUE!</v>
      </c>
    </row>
    <row r="148" ht="20.1" customHeight="1" spans="22:56">
      <c r="V148" s="336"/>
      <c r="W148" s="11">
        <v>18</v>
      </c>
      <c r="X148" s="335">
        <f t="shared" si="75"/>
        <v>0</v>
      </c>
      <c r="Y148" s="335">
        <f t="shared" si="75"/>
        <v>0</v>
      </c>
      <c r="Z148" s="335">
        <f t="shared" si="75"/>
        <v>0</v>
      </c>
      <c r="AA148" s="335">
        <f t="shared" si="75"/>
        <v>0</v>
      </c>
      <c r="AB148" s="339" t="e">
        <f t="shared" si="76"/>
        <v>#DIV/0!</v>
      </c>
      <c r="AC148" s="339" t="e">
        <f t="shared" si="76"/>
        <v>#DIV/0!</v>
      </c>
      <c r="AD148" s="339" t="e">
        <f t="shared" si="76"/>
        <v>#DIV/0!</v>
      </c>
      <c r="AE148" s="339" t="e">
        <f t="shared" si="76"/>
        <v>#DIV/0!</v>
      </c>
      <c r="AF148" s="336"/>
      <c r="AG148" s="11">
        <v>18</v>
      </c>
      <c r="AH148" s="340">
        <f t="shared" si="77"/>
        <v>0</v>
      </c>
      <c r="AI148" s="340">
        <f t="shared" si="77"/>
        <v>0</v>
      </c>
      <c r="AJ148" s="340">
        <f t="shared" si="77"/>
        <v>0</v>
      </c>
      <c r="AK148" s="340">
        <f t="shared" si="77"/>
        <v>0</v>
      </c>
      <c r="AL148" s="341" t="e">
        <f t="shared" si="78"/>
        <v>#DIV/0!</v>
      </c>
      <c r="AM148" s="341" t="e">
        <f t="shared" si="78"/>
        <v>#DIV/0!</v>
      </c>
      <c r="AN148" s="341" t="e">
        <f t="shared" si="78"/>
        <v>#DIV/0!</v>
      </c>
      <c r="AO148" s="341" t="e">
        <f t="shared" si="78"/>
        <v>#DIV/0!</v>
      </c>
      <c r="AR148" s="190">
        <v>17</v>
      </c>
      <c r="AS148" s="346" t="str">
        <f t="shared" si="81"/>
        <v/>
      </c>
      <c r="AT148" s="346" t="str">
        <f t="shared" si="81"/>
        <v/>
      </c>
      <c r="AU148" s="346" t="str">
        <f t="shared" si="81"/>
        <v/>
      </c>
      <c r="AV148" s="346" t="str">
        <f t="shared" si="82"/>
        <v/>
      </c>
      <c r="AX148" s="155"/>
      <c r="AY148" s="346" t="str">
        <f t="shared" si="83"/>
        <v/>
      </c>
      <c r="AZ148" s="346" t="str">
        <f t="shared" si="84"/>
        <v/>
      </c>
      <c r="BA148" s="190">
        <v>17</v>
      </c>
      <c r="BB148" s="351" t="e">
        <f t="shared" si="79"/>
        <v>#VALUE!</v>
      </c>
      <c r="BC148" s="318" t="e">
        <f t="shared" si="79"/>
        <v>#VALUE!</v>
      </c>
      <c r="BD148" s="352" t="e">
        <f t="shared" si="80"/>
        <v>#VALUE!</v>
      </c>
    </row>
    <row r="149" ht="20.1" customHeight="1" spans="22:56">
      <c r="V149" s="336"/>
      <c r="W149" s="11">
        <v>19</v>
      </c>
      <c r="X149" s="335">
        <f t="shared" si="75"/>
        <v>0</v>
      </c>
      <c r="Y149" s="335">
        <f t="shared" si="75"/>
        <v>0</v>
      </c>
      <c r="Z149" s="335">
        <f t="shared" si="75"/>
        <v>0</v>
      </c>
      <c r="AA149" s="335">
        <f t="shared" si="75"/>
        <v>0</v>
      </c>
      <c r="AB149" s="339" t="e">
        <f t="shared" si="76"/>
        <v>#DIV/0!</v>
      </c>
      <c r="AC149" s="339" t="e">
        <f t="shared" si="76"/>
        <v>#DIV/0!</v>
      </c>
      <c r="AD149" s="339" t="e">
        <f t="shared" si="76"/>
        <v>#DIV/0!</v>
      </c>
      <c r="AE149" s="339" t="e">
        <f t="shared" si="76"/>
        <v>#DIV/0!</v>
      </c>
      <c r="AF149" s="336"/>
      <c r="AG149" s="11">
        <v>19</v>
      </c>
      <c r="AH149" s="340">
        <f t="shared" si="77"/>
        <v>0</v>
      </c>
      <c r="AI149" s="340">
        <f t="shared" si="77"/>
        <v>0</v>
      </c>
      <c r="AJ149" s="340">
        <f t="shared" si="77"/>
        <v>0</v>
      </c>
      <c r="AK149" s="340">
        <f t="shared" si="77"/>
        <v>0</v>
      </c>
      <c r="AL149" s="341" t="e">
        <f t="shared" si="78"/>
        <v>#DIV/0!</v>
      </c>
      <c r="AM149" s="341" t="e">
        <f t="shared" si="78"/>
        <v>#DIV/0!</v>
      </c>
      <c r="AN149" s="341" t="e">
        <f t="shared" si="78"/>
        <v>#DIV/0!</v>
      </c>
      <c r="AO149" s="341" t="e">
        <f t="shared" si="78"/>
        <v>#DIV/0!</v>
      </c>
      <c r="AR149" s="190">
        <v>18</v>
      </c>
      <c r="AS149" s="346" t="str">
        <f t="shared" ref="AS149:AU151" si="85">IF(F112="","",F112)</f>
        <v/>
      </c>
      <c r="AT149" s="346" t="str">
        <f t="shared" si="85"/>
        <v/>
      </c>
      <c r="AU149" s="346" t="str">
        <f t="shared" si="85"/>
        <v/>
      </c>
      <c r="AV149" s="346" t="str">
        <f t="shared" si="82"/>
        <v/>
      </c>
      <c r="AX149" s="155"/>
      <c r="AY149" s="346" t="str">
        <f t="shared" si="83"/>
        <v/>
      </c>
      <c r="AZ149" s="346" t="str">
        <f t="shared" si="84"/>
        <v/>
      </c>
      <c r="BA149" s="190">
        <v>18</v>
      </c>
      <c r="BB149" s="351" t="e">
        <f t="shared" si="79"/>
        <v>#VALUE!</v>
      </c>
      <c r="BC149" s="318" t="e">
        <f t="shared" si="79"/>
        <v>#VALUE!</v>
      </c>
      <c r="BD149" s="352" t="e">
        <f t="shared" si="80"/>
        <v>#VALUE!</v>
      </c>
    </row>
    <row r="150" ht="20.1" customHeight="1" spans="22:56">
      <c r="V150" s="337"/>
      <c r="W150" s="11">
        <v>20</v>
      </c>
      <c r="X150" s="335">
        <f t="shared" si="75"/>
        <v>0</v>
      </c>
      <c r="Y150" s="335">
        <f t="shared" si="75"/>
        <v>0</v>
      </c>
      <c r="Z150" s="335">
        <f t="shared" si="75"/>
        <v>0</v>
      </c>
      <c r="AA150" s="335">
        <f t="shared" si="75"/>
        <v>0</v>
      </c>
      <c r="AB150" s="339" t="e">
        <f t="shared" si="76"/>
        <v>#DIV/0!</v>
      </c>
      <c r="AC150" s="339" t="e">
        <f t="shared" si="76"/>
        <v>#DIV/0!</v>
      </c>
      <c r="AD150" s="339" t="e">
        <f t="shared" si="76"/>
        <v>#DIV/0!</v>
      </c>
      <c r="AE150" s="339" t="e">
        <f t="shared" si="76"/>
        <v>#DIV/0!</v>
      </c>
      <c r="AF150" s="337"/>
      <c r="AG150" s="11">
        <v>20</v>
      </c>
      <c r="AH150" s="340">
        <f t="shared" si="77"/>
        <v>0</v>
      </c>
      <c r="AI150" s="340">
        <f t="shared" si="77"/>
        <v>0</v>
      </c>
      <c r="AJ150" s="340">
        <f t="shared" si="77"/>
        <v>0</v>
      </c>
      <c r="AK150" s="340">
        <f t="shared" si="77"/>
        <v>0</v>
      </c>
      <c r="AL150" s="341" t="e">
        <f t="shared" si="78"/>
        <v>#DIV/0!</v>
      </c>
      <c r="AM150" s="341" t="e">
        <f t="shared" si="78"/>
        <v>#DIV/0!</v>
      </c>
      <c r="AN150" s="341" t="e">
        <f t="shared" si="78"/>
        <v>#DIV/0!</v>
      </c>
      <c r="AO150" s="341" t="e">
        <f t="shared" si="78"/>
        <v>#DIV/0!</v>
      </c>
      <c r="AR150" s="190">
        <v>19</v>
      </c>
      <c r="AS150" s="346" t="str">
        <f t="shared" si="85"/>
        <v/>
      </c>
      <c r="AT150" s="346" t="str">
        <f t="shared" si="85"/>
        <v/>
      </c>
      <c r="AU150" s="346" t="str">
        <f t="shared" si="85"/>
        <v/>
      </c>
      <c r="AV150" s="346" t="str">
        <f t="shared" si="82"/>
        <v/>
      </c>
      <c r="AX150" s="155"/>
      <c r="AY150" s="346" t="str">
        <f t="shared" si="83"/>
        <v/>
      </c>
      <c r="AZ150" s="346" t="str">
        <f t="shared" si="84"/>
        <v/>
      </c>
      <c r="BA150" s="190">
        <v>19</v>
      </c>
      <c r="BB150" s="351" t="e">
        <f t="shared" si="79"/>
        <v>#VALUE!</v>
      </c>
      <c r="BC150" s="318" t="e">
        <f t="shared" si="79"/>
        <v>#VALUE!</v>
      </c>
      <c r="BD150" s="352" t="e">
        <f t="shared" si="80"/>
        <v>#VALUE!</v>
      </c>
    </row>
    <row r="151" ht="20.1" customHeight="1" spans="44:56">
      <c r="AR151" s="190">
        <v>20</v>
      </c>
      <c r="AS151" s="346" t="str">
        <f t="shared" si="85"/>
        <v/>
      </c>
      <c r="AT151" s="346" t="str">
        <f t="shared" si="85"/>
        <v/>
      </c>
      <c r="AU151" s="346" t="str">
        <f t="shared" si="85"/>
        <v/>
      </c>
      <c r="AV151" s="346" t="str">
        <f t="shared" si="82"/>
        <v/>
      </c>
      <c r="AX151" s="155"/>
      <c r="AY151" s="346" t="str">
        <f t="shared" si="83"/>
        <v/>
      </c>
      <c r="AZ151" s="346" t="str">
        <f t="shared" si="84"/>
        <v/>
      </c>
      <c r="BA151" s="190">
        <v>20</v>
      </c>
      <c r="BB151" s="351" t="e">
        <f t="shared" si="79"/>
        <v>#VALUE!</v>
      </c>
      <c r="BC151" s="318" t="e">
        <f t="shared" si="79"/>
        <v>#VALUE!</v>
      </c>
      <c r="BD151" s="352" t="e">
        <f t="shared" si="80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6">L50</f>
        <v>0</v>
      </c>
      <c r="Y154" s="335">
        <f t="shared" si="86"/>
        <v>0</v>
      </c>
      <c r="Z154" s="335">
        <f t="shared" si="86"/>
        <v>0</v>
      </c>
      <c r="AA154" s="335">
        <f t="shared" si="86"/>
        <v>0</v>
      </c>
      <c r="AB154" s="339">
        <f t="shared" ref="AB154:AE173" si="87">INT(AG$232*L73+0.5)</f>
        <v>0</v>
      </c>
      <c r="AC154" s="339">
        <f t="shared" si="87"/>
        <v>0</v>
      </c>
      <c r="AD154" s="339">
        <f t="shared" si="87"/>
        <v>0</v>
      </c>
      <c r="AE154" s="339">
        <f t="shared" si="87"/>
        <v>0</v>
      </c>
      <c r="AF154" s="334" t="s">
        <v>24</v>
      </c>
      <c r="AG154" s="11">
        <v>1</v>
      </c>
      <c r="AH154" s="340">
        <f t="shared" ref="AH154:AK173" si="88">P50</f>
        <v>0</v>
      </c>
      <c r="AI154" s="340">
        <f t="shared" si="88"/>
        <v>0</v>
      </c>
      <c r="AJ154" s="340">
        <f t="shared" si="88"/>
        <v>0</v>
      </c>
      <c r="AK154" s="340">
        <f t="shared" si="88"/>
        <v>0</v>
      </c>
      <c r="AL154" s="341">
        <f t="shared" ref="AL154:AO173" si="89">INT(AK$232*P73+0.5)</f>
        <v>0</v>
      </c>
      <c r="AM154" s="341">
        <f t="shared" si="89"/>
        <v>0</v>
      </c>
      <c r="AN154" s="341">
        <f t="shared" si="89"/>
        <v>0</v>
      </c>
      <c r="AO154" s="341">
        <f t="shared" si="89"/>
        <v>0</v>
      </c>
    </row>
    <row r="155" ht="20.1" customHeight="1" spans="22:41">
      <c r="V155" s="336"/>
      <c r="W155" s="11">
        <v>2</v>
      </c>
      <c r="X155" s="335">
        <f t="shared" si="86"/>
        <v>0</v>
      </c>
      <c r="Y155" s="335">
        <f t="shared" si="86"/>
        <v>0</v>
      </c>
      <c r="Z155" s="335">
        <f t="shared" si="86"/>
        <v>0</v>
      </c>
      <c r="AA155" s="335">
        <f t="shared" si="86"/>
        <v>0</v>
      </c>
      <c r="AB155" s="339">
        <f t="shared" si="87"/>
        <v>0</v>
      </c>
      <c r="AC155" s="339">
        <f t="shared" si="87"/>
        <v>0</v>
      </c>
      <c r="AD155" s="339">
        <f t="shared" si="87"/>
        <v>0</v>
      </c>
      <c r="AE155" s="339">
        <f t="shared" si="87"/>
        <v>0</v>
      </c>
      <c r="AF155" s="336"/>
      <c r="AG155" s="11">
        <v>2</v>
      </c>
      <c r="AH155" s="340">
        <f t="shared" si="88"/>
        <v>0</v>
      </c>
      <c r="AI155" s="340">
        <f t="shared" si="88"/>
        <v>0</v>
      </c>
      <c r="AJ155" s="340">
        <f t="shared" si="88"/>
        <v>0</v>
      </c>
      <c r="AK155" s="340">
        <f t="shared" si="88"/>
        <v>0</v>
      </c>
      <c r="AL155" s="341">
        <f t="shared" si="89"/>
        <v>0</v>
      </c>
      <c r="AM155" s="341">
        <f t="shared" si="89"/>
        <v>0</v>
      </c>
      <c r="AN155" s="341">
        <f t="shared" si="89"/>
        <v>0</v>
      </c>
      <c r="AO155" s="341">
        <f t="shared" si="89"/>
        <v>0</v>
      </c>
    </row>
    <row r="156" ht="20.1" customHeight="1" spans="22:44">
      <c r="V156" s="336"/>
      <c r="W156" s="11">
        <v>3</v>
      </c>
      <c r="X156" s="335">
        <f t="shared" si="86"/>
        <v>0</v>
      </c>
      <c r="Y156" s="335">
        <f t="shared" si="86"/>
        <v>0</v>
      </c>
      <c r="Z156" s="335">
        <f t="shared" si="86"/>
        <v>0</v>
      </c>
      <c r="AA156" s="335">
        <f t="shared" si="86"/>
        <v>0</v>
      </c>
      <c r="AB156" s="339">
        <f t="shared" si="87"/>
        <v>0</v>
      </c>
      <c r="AC156" s="339">
        <f t="shared" si="87"/>
        <v>0</v>
      </c>
      <c r="AD156" s="339">
        <f t="shared" si="87"/>
        <v>0</v>
      </c>
      <c r="AE156" s="339">
        <f t="shared" si="87"/>
        <v>0</v>
      </c>
      <c r="AF156" s="336"/>
      <c r="AG156" s="11">
        <v>3</v>
      </c>
      <c r="AH156" s="340">
        <f t="shared" si="88"/>
        <v>0</v>
      </c>
      <c r="AI156" s="340">
        <f t="shared" si="88"/>
        <v>0</v>
      </c>
      <c r="AJ156" s="340">
        <f t="shared" si="88"/>
        <v>0</v>
      </c>
      <c r="AK156" s="340">
        <f t="shared" si="88"/>
        <v>0</v>
      </c>
      <c r="AL156" s="341">
        <f t="shared" si="89"/>
        <v>0</v>
      </c>
      <c r="AM156" s="341">
        <f t="shared" si="89"/>
        <v>0</v>
      </c>
      <c r="AN156" s="341">
        <f t="shared" si="89"/>
        <v>0</v>
      </c>
      <c r="AO156" s="341">
        <f t="shared" si="89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6"/>
        <v>0</v>
      </c>
      <c r="Y157" s="335">
        <f t="shared" si="86"/>
        <v>0</v>
      </c>
      <c r="Z157" s="335">
        <f t="shared" si="86"/>
        <v>0</v>
      </c>
      <c r="AA157" s="335">
        <f t="shared" si="86"/>
        <v>0</v>
      </c>
      <c r="AB157" s="339">
        <f t="shared" si="87"/>
        <v>0</v>
      </c>
      <c r="AC157" s="339">
        <f t="shared" si="87"/>
        <v>0</v>
      </c>
      <c r="AD157" s="339">
        <f t="shared" si="87"/>
        <v>0</v>
      </c>
      <c r="AE157" s="339">
        <f t="shared" si="87"/>
        <v>0</v>
      </c>
      <c r="AF157" s="336"/>
      <c r="AG157" s="11">
        <v>4</v>
      </c>
      <c r="AH157" s="340">
        <f t="shared" si="88"/>
        <v>0</v>
      </c>
      <c r="AI157" s="340">
        <f t="shared" si="88"/>
        <v>0</v>
      </c>
      <c r="AJ157" s="340">
        <f t="shared" si="88"/>
        <v>0</v>
      </c>
      <c r="AK157" s="340">
        <f t="shared" si="88"/>
        <v>0</v>
      </c>
      <c r="AL157" s="341">
        <f t="shared" si="89"/>
        <v>0</v>
      </c>
      <c r="AM157" s="341">
        <f t="shared" si="89"/>
        <v>0</v>
      </c>
      <c r="AN157" s="341">
        <f t="shared" si="89"/>
        <v>0</v>
      </c>
      <c r="AO157" s="341">
        <f t="shared" si="89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6"/>
        <v>0</v>
      </c>
      <c r="Y158" s="335">
        <f t="shared" si="86"/>
        <v>0</v>
      </c>
      <c r="Z158" s="335">
        <f t="shared" si="86"/>
        <v>0</v>
      </c>
      <c r="AA158" s="335">
        <f t="shared" si="86"/>
        <v>0</v>
      </c>
      <c r="AB158" s="339">
        <f t="shared" si="87"/>
        <v>0</v>
      </c>
      <c r="AC158" s="339">
        <f t="shared" si="87"/>
        <v>0</v>
      </c>
      <c r="AD158" s="339">
        <f t="shared" si="87"/>
        <v>0</v>
      </c>
      <c r="AE158" s="339">
        <f t="shared" si="87"/>
        <v>0</v>
      </c>
      <c r="AF158" s="336"/>
      <c r="AG158" s="11">
        <v>5</v>
      </c>
      <c r="AH158" s="340">
        <f t="shared" si="88"/>
        <v>0</v>
      </c>
      <c r="AI158" s="340">
        <f t="shared" si="88"/>
        <v>0</v>
      </c>
      <c r="AJ158" s="340">
        <f t="shared" si="88"/>
        <v>0</v>
      </c>
      <c r="AK158" s="340">
        <f t="shared" si="88"/>
        <v>0</v>
      </c>
      <c r="AL158" s="341">
        <f t="shared" si="89"/>
        <v>0</v>
      </c>
      <c r="AM158" s="341">
        <f t="shared" si="89"/>
        <v>0</v>
      </c>
      <c r="AN158" s="341">
        <f t="shared" si="89"/>
        <v>0</v>
      </c>
      <c r="AO158" s="341">
        <f t="shared" si="89"/>
        <v>0</v>
      </c>
      <c r="AR158" s="2">
        <v>2</v>
      </c>
      <c r="AS158" s="2" t="str">
        <f t="shared" ref="AS158:AV173" si="90">IF(AS133="","",(AS133-AS$153)^2)</f>
        <v/>
      </c>
      <c r="AT158" s="2" t="str">
        <f t="shared" si="90"/>
        <v/>
      </c>
      <c r="AU158" s="2" t="str">
        <f t="shared" si="90"/>
        <v/>
      </c>
      <c r="AV158" s="2" t="str">
        <f t="shared" si="90"/>
        <v/>
      </c>
      <c r="AY158" s="2" t="str">
        <f t="shared" ref="AY158:AZ173" si="91">IF(AY133="","",(AY133-AY$153)^2)</f>
        <v/>
      </c>
      <c r="AZ158" s="2" t="str">
        <f t="shared" si="91"/>
        <v/>
      </c>
    </row>
    <row r="159" ht="20.1" customHeight="1" spans="22:52">
      <c r="V159" s="336"/>
      <c r="W159" s="11">
        <v>6</v>
      </c>
      <c r="X159" s="335">
        <f t="shared" si="86"/>
        <v>0</v>
      </c>
      <c r="Y159" s="335">
        <f t="shared" si="86"/>
        <v>0</v>
      </c>
      <c r="Z159" s="335">
        <f t="shared" si="86"/>
        <v>0</v>
      </c>
      <c r="AA159" s="335">
        <f t="shared" si="86"/>
        <v>0</v>
      </c>
      <c r="AB159" s="339">
        <f t="shared" si="87"/>
        <v>0</v>
      </c>
      <c r="AC159" s="339">
        <f t="shared" si="87"/>
        <v>0</v>
      </c>
      <c r="AD159" s="339">
        <f t="shared" si="87"/>
        <v>0</v>
      </c>
      <c r="AE159" s="339">
        <f t="shared" si="87"/>
        <v>0</v>
      </c>
      <c r="AF159" s="336"/>
      <c r="AG159" s="11">
        <v>6</v>
      </c>
      <c r="AH159" s="340">
        <f t="shared" si="88"/>
        <v>0</v>
      </c>
      <c r="AI159" s="340">
        <f t="shared" si="88"/>
        <v>0</v>
      </c>
      <c r="AJ159" s="340">
        <f t="shared" si="88"/>
        <v>0</v>
      </c>
      <c r="AK159" s="340">
        <f t="shared" si="88"/>
        <v>0</v>
      </c>
      <c r="AL159" s="341">
        <f t="shared" si="89"/>
        <v>0</v>
      </c>
      <c r="AM159" s="341">
        <f t="shared" si="89"/>
        <v>0</v>
      </c>
      <c r="AN159" s="341">
        <f t="shared" si="89"/>
        <v>0</v>
      </c>
      <c r="AO159" s="341">
        <f t="shared" si="89"/>
        <v>0</v>
      </c>
      <c r="AR159" s="2">
        <v>3</v>
      </c>
      <c r="AS159" s="2" t="str">
        <f t="shared" si="90"/>
        <v/>
      </c>
      <c r="AT159" s="2" t="str">
        <f t="shared" si="90"/>
        <v/>
      </c>
      <c r="AU159" s="2" t="str">
        <f t="shared" si="90"/>
        <v/>
      </c>
      <c r="AV159" s="2" t="str">
        <f t="shared" si="90"/>
        <v/>
      </c>
      <c r="AY159" s="2" t="str">
        <f t="shared" si="91"/>
        <v/>
      </c>
      <c r="AZ159" s="2" t="str">
        <f t="shared" si="91"/>
        <v/>
      </c>
    </row>
    <row r="160" ht="20.1" customHeight="1" spans="22:52">
      <c r="V160" s="336"/>
      <c r="W160" s="11">
        <v>7</v>
      </c>
      <c r="X160" s="335">
        <f t="shared" si="86"/>
        <v>0</v>
      </c>
      <c r="Y160" s="335">
        <f t="shared" si="86"/>
        <v>0</v>
      </c>
      <c r="Z160" s="335">
        <f t="shared" si="86"/>
        <v>0</v>
      </c>
      <c r="AA160" s="335">
        <f t="shared" si="86"/>
        <v>0</v>
      </c>
      <c r="AB160" s="339">
        <f t="shared" si="87"/>
        <v>0</v>
      </c>
      <c r="AC160" s="339">
        <f t="shared" si="87"/>
        <v>0</v>
      </c>
      <c r="AD160" s="339">
        <f t="shared" si="87"/>
        <v>0</v>
      </c>
      <c r="AE160" s="339">
        <f t="shared" si="87"/>
        <v>0</v>
      </c>
      <c r="AF160" s="336"/>
      <c r="AG160" s="11">
        <v>7</v>
      </c>
      <c r="AH160" s="340">
        <f t="shared" si="88"/>
        <v>0</v>
      </c>
      <c r="AI160" s="340">
        <f t="shared" si="88"/>
        <v>0</v>
      </c>
      <c r="AJ160" s="340">
        <f t="shared" si="88"/>
        <v>0</v>
      </c>
      <c r="AK160" s="340">
        <f t="shared" si="88"/>
        <v>0</v>
      </c>
      <c r="AL160" s="341">
        <f t="shared" si="89"/>
        <v>0</v>
      </c>
      <c r="AM160" s="341">
        <f t="shared" si="89"/>
        <v>0</v>
      </c>
      <c r="AN160" s="341">
        <f t="shared" si="89"/>
        <v>0</v>
      </c>
      <c r="AO160" s="341">
        <f t="shared" si="89"/>
        <v>0</v>
      </c>
      <c r="AR160" s="2">
        <v>4</v>
      </c>
      <c r="AS160" s="2" t="str">
        <f t="shared" si="90"/>
        <v/>
      </c>
      <c r="AT160" s="2" t="str">
        <f t="shared" si="90"/>
        <v/>
      </c>
      <c r="AU160" s="2" t="str">
        <f t="shared" si="90"/>
        <v/>
      </c>
      <c r="AV160" s="2" t="str">
        <f t="shared" si="90"/>
        <v/>
      </c>
      <c r="AY160" s="2" t="str">
        <f t="shared" si="91"/>
        <v/>
      </c>
      <c r="AZ160" s="2" t="str">
        <f t="shared" si="91"/>
        <v/>
      </c>
    </row>
    <row r="161" ht="20.1" customHeight="1" spans="22:52">
      <c r="V161" s="336"/>
      <c r="W161" s="11">
        <v>8</v>
      </c>
      <c r="X161" s="335">
        <f t="shared" si="86"/>
        <v>0</v>
      </c>
      <c r="Y161" s="335">
        <f t="shared" si="86"/>
        <v>0</v>
      </c>
      <c r="Z161" s="335">
        <f t="shared" si="86"/>
        <v>0</v>
      </c>
      <c r="AA161" s="335">
        <f t="shared" si="86"/>
        <v>0</v>
      </c>
      <c r="AB161" s="339">
        <f t="shared" si="87"/>
        <v>0</v>
      </c>
      <c r="AC161" s="339">
        <f t="shared" si="87"/>
        <v>0</v>
      </c>
      <c r="AD161" s="339">
        <f t="shared" si="87"/>
        <v>0</v>
      </c>
      <c r="AE161" s="339">
        <f t="shared" si="87"/>
        <v>0</v>
      </c>
      <c r="AF161" s="336"/>
      <c r="AG161" s="11">
        <v>8</v>
      </c>
      <c r="AH161" s="340">
        <f t="shared" si="88"/>
        <v>0</v>
      </c>
      <c r="AI161" s="340">
        <f t="shared" si="88"/>
        <v>0</v>
      </c>
      <c r="AJ161" s="340">
        <f t="shared" si="88"/>
        <v>0</v>
      </c>
      <c r="AK161" s="340">
        <f t="shared" si="88"/>
        <v>0</v>
      </c>
      <c r="AL161" s="341">
        <f t="shared" si="89"/>
        <v>0</v>
      </c>
      <c r="AM161" s="341">
        <f t="shared" si="89"/>
        <v>0</v>
      </c>
      <c r="AN161" s="341">
        <f t="shared" si="89"/>
        <v>0</v>
      </c>
      <c r="AO161" s="341">
        <f t="shared" si="89"/>
        <v>0</v>
      </c>
      <c r="AR161" s="2">
        <v>5</v>
      </c>
      <c r="AS161" s="2" t="str">
        <f t="shared" si="90"/>
        <v/>
      </c>
      <c r="AT161" s="2" t="str">
        <f t="shared" si="90"/>
        <v/>
      </c>
      <c r="AU161" s="2" t="str">
        <f t="shared" si="90"/>
        <v/>
      </c>
      <c r="AV161" s="2" t="str">
        <f t="shared" si="90"/>
        <v/>
      </c>
      <c r="AY161" s="2" t="str">
        <f t="shared" si="91"/>
        <v/>
      </c>
      <c r="AZ161" s="2" t="str">
        <f t="shared" si="91"/>
        <v/>
      </c>
    </row>
    <row r="162" ht="20.1" customHeight="1" spans="22:52">
      <c r="V162" s="336"/>
      <c r="W162" s="11">
        <v>9</v>
      </c>
      <c r="X162" s="335">
        <f t="shared" si="86"/>
        <v>0</v>
      </c>
      <c r="Y162" s="335">
        <f t="shared" si="86"/>
        <v>0</v>
      </c>
      <c r="Z162" s="335">
        <f t="shared" si="86"/>
        <v>0</v>
      </c>
      <c r="AA162" s="335">
        <f t="shared" si="86"/>
        <v>0</v>
      </c>
      <c r="AB162" s="339">
        <f t="shared" si="87"/>
        <v>0</v>
      </c>
      <c r="AC162" s="339">
        <f t="shared" si="87"/>
        <v>0</v>
      </c>
      <c r="AD162" s="339">
        <f t="shared" si="87"/>
        <v>0</v>
      </c>
      <c r="AE162" s="339">
        <f t="shared" si="87"/>
        <v>0</v>
      </c>
      <c r="AF162" s="336"/>
      <c r="AG162" s="11">
        <v>9</v>
      </c>
      <c r="AH162" s="340">
        <f t="shared" si="88"/>
        <v>0</v>
      </c>
      <c r="AI162" s="340">
        <f t="shared" si="88"/>
        <v>0</v>
      </c>
      <c r="AJ162" s="340">
        <f t="shared" si="88"/>
        <v>0</v>
      </c>
      <c r="AK162" s="340">
        <f t="shared" si="88"/>
        <v>0</v>
      </c>
      <c r="AL162" s="341">
        <f t="shared" si="89"/>
        <v>0</v>
      </c>
      <c r="AM162" s="341">
        <f t="shared" si="89"/>
        <v>0</v>
      </c>
      <c r="AN162" s="341">
        <f t="shared" si="89"/>
        <v>0</v>
      </c>
      <c r="AO162" s="341">
        <f t="shared" si="89"/>
        <v>0</v>
      </c>
      <c r="AR162" s="2">
        <v>6</v>
      </c>
      <c r="AS162" s="2" t="str">
        <f t="shared" si="90"/>
        <v/>
      </c>
      <c r="AT162" s="2" t="str">
        <f t="shared" si="90"/>
        <v/>
      </c>
      <c r="AU162" s="2" t="str">
        <f t="shared" si="90"/>
        <v/>
      </c>
      <c r="AV162" s="2" t="str">
        <f t="shared" si="90"/>
        <v/>
      </c>
      <c r="AY162" s="2" t="str">
        <f t="shared" si="91"/>
        <v/>
      </c>
      <c r="AZ162" s="2" t="str">
        <f t="shared" si="91"/>
        <v/>
      </c>
    </row>
    <row r="163" ht="20.1" customHeight="1" spans="22:52">
      <c r="V163" s="336"/>
      <c r="W163" s="11">
        <v>10</v>
      </c>
      <c r="X163" s="335">
        <f t="shared" si="86"/>
        <v>0</v>
      </c>
      <c r="Y163" s="335">
        <f t="shared" si="86"/>
        <v>0</v>
      </c>
      <c r="Z163" s="335">
        <f t="shared" si="86"/>
        <v>0</v>
      </c>
      <c r="AA163" s="335">
        <f t="shared" si="86"/>
        <v>0</v>
      </c>
      <c r="AB163" s="339">
        <f t="shared" si="87"/>
        <v>0</v>
      </c>
      <c r="AC163" s="339">
        <f t="shared" si="87"/>
        <v>0</v>
      </c>
      <c r="AD163" s="339">
        <f t="shared" si="87"/>
        <v>0</v>
      </c>
      <c r="AE163" s="339">
        <f t="shared" si="87"/>
        <v>0</v>
      </c>
      <c r="AF163" s="336"/>
      <c r="AG163" s="11">
        <v>10</v>
      </c>
      <c r="AH163" s="340">
        <f t="shared" si="88"/>
        <v>0</v>
      </c>
      <c r="AI163" s="340">
        <f t="shared" si="88"/>
        <v>0</v>
      </c>
      <c r="AJ163" s="340">
        <f t="shared" si="88"/>
        <v>0</v>
      </c>
      <c r="AK163" s="340">
        <f t="shared" si="88"/>
        <v>0</v>
      </c>
      <c r="AL163" s="341">
        <f t="shared" si="89"/>
        <v>0</v>
      </c>
      <c r="AM163" s="341">
        <f t="shared" si="89"/>
        <v>0</v>
      </c>
      <c r="AN163" s="341">
        <f t="shared" si="89"/>
        <v>0</v>
      </c>
      <c r="AO163" s="341">
        <f t="shared" si="89"/>
        <v>0</v>
      </c>
      <c r="AR163" s="2">
        <v>7</v>
      </c>
      <c r="AS163" s="2" t="str">
        <f t="shared" si="90"/>
        <v/>
      </c>
      <c r="AT163" s="2" t="str">
        <f t="shared" si="90"/>
        <v/>
      </c>
      <c r="AU163" s="2" t="str">
        <f t="shared" si="90"/>
        <v/>
      </c>
      <c r="AV163" s="2" t="str">
        <f t="shared" si="90"/>
        <v/>
      </c>
      <c r="AY163" s="2" t="str">
        <f t="shared" si="91"/>
        <v/>
      </c>
      <c r="AZ163" s="2" t="str">
        <f t="shared" si="91"/>
        <v/>
      </c>
    </row>
    <row r="164" ht="20.1" customHeight="1" spans="22:52">
      <c r="V164" s="336"/>
      <c r="W164" s="11">
        <v>11</v>
      </c>
      <c r="X164" s="335">
        <f t="shared" si="86"/>
        <v>0</v>
      </c>
      <c r="Y164" s="335">
        <f t="shared" si="86"/>
        <v>0</v>
      </c>
      <c r="Z164" s="335">
        <f t="shared" si="86"/>
        <v>0</v>
      </c>
      <c r="AA164" s="335">
        <f t="shared" si="86"/>
        <v>0</v>
      </c>
      <c r="AB164" s="339">
        <f t="shared" si="87"/>
        <v>0</v>
      </c>
      <c r="AC164" s="339">
        <f t="shared" si="87"/>
        <v>0</v>
      </c>
      <c r="AD164" s="339">
        <f t="shared" si="87"/>
        <v>0</v>
      </c>
      <c r="AE164" s="339">
        <f t="shared" si="87"/>
        <v>0</v>
      </c>
      <c r="AF164" s="336"/>
      <c r="AG164" s="11">
        <v>11</v>
      </c>
      <c r="AH164" s="340">
        <f t="shared" si="88"/>
        <v>0</v>
      </c>
      <c r="AI164" s="340">
        <f t="shared" si="88"/>
        <v>0</v>
      </c>
      <c r="AJ164" s="340">
        <f t="shared" si="88"/>
        <v>0</v>
      </c>
      <c r="AK164" s="340">
        <f t="shared" si="88"/>
        <v>0</v>
      </c>
      <c r="AL164" s="341">
        <f t="shared" si="89"/>
        <v>0</v>
      </c>
      <c r="AM164" s="341">
        <f t="shared" si="89"/>
        <v>0</v>
      </c>
      <c r="AN164" s="341">
        <f t="shared" si="89"/>
        <v>0</v>
      </c>
      <c r="AO164" s="341">
        <f t="shared" si="89"/>
        <v>0</v>
      </c>
      <c r="AR164" s="2">
        <v>8</v>
      </c>
      <c r="AS164" s="2" t="str">
        <f t="shared" si="90"/>
        <v/>
      </c>
      <c r="AT164" s="2" t="str">
        <f t="shared" si="90"/>
        <v/>
      </c>
      <c r="AU164" s="2" t="str">
        <f t="shared" si="90"/>
        <v/>
      </c>
      <c r="AV164" s="2" t="str">
        <f t="shared" si="90"/>
        <v/>
      </c>
      <c r="AY164" s="2" t="str">
        <f t="shared" si="91"/>
        <v/>
      </c>
      <c r="AZ164" s="2" t="str">
        <f t="shared" si="91"/>
        <v/>
      </c>
    </row>
    <row r="165" ht="20.1" customHeight="1" spans="22:52">
      <c r="V165" s="336"/>
      <c r="W165" s="11">
        <v>12</v>
      </c>
      <c r="X165" s="335">
        <f t="shared" si="86"/>
        <v>0</v>
      </c>
      <c r="Y165" s="335">
        <f t="shared" si="86"/>
        <v>0</v>
      </c>
      <c r="Z165" s="335">
        <f t="shared" si="86"/>
        <v>0</v>
      </c>
      <c r="AA165" s="335">
        <f t="shared" si="86"/>
        <v>0</v>
      </c>
      <c r="AB165" s="339">
        <f t="shared" si="87"/>
        <v>0</v>
      </c>
      <c r="AC165" s="339">
        <f t="shared" si="87"/>
        <v>0</v>
      </c>
      <c r="AD165" s="339">
        <f t="shared" si="87"/>
        <v>0</v>
      </c>
      <c r="AE165" s="339">
        <f t="shared" si="87"/>
        <v>0</v>
      </c>
      <c r="AF165" s="336"/>
      <c r="AG165" s="11">
        <v>12</v>
      </c>
      <c r="AH165" s="340">
        <f t="shared" si="88"/>
        <v>0</v>
      </c>
      <c r="AI165" s="340">
        <f t="shared" si="88"/>
        <v>0</v>
      </c>
      <c r="AJ165" s="340">
        <f t="shared" si="88"/>
        <v>0</v>
      </c>
      <c r="AK165" s="340">
        <f t="shared" si="88"/>
        <v>0</v>
      </c>
      <c r="AL165" s="341">
        <f t="shared" si="89"/>
        <v>0</v>
      </c>
      <c r="AM165" s="341">
        <f t="shared" si="89"/>
        <v>0</v>
      </c>
      <c r="AN165" s="341">
        <f t="shared" si="89"/>
        <v>0</v>
      </c>
      <c r="AO165" s="341">
        <f t="shared" si="89"/>
        <v>0</v>
      </c>
      <c r="AR165" s="2">
        <v>9</v>
      </c>
      <c r="AS165" s="2" t="str">
        <f t="shared" si="90"/>
        <v/>
      </c>
      <c r="AT165" s="2" t="str">
        <f t="shared" si="90"/>
        <v/>
      </c>
      <c r="AU165" s="2" t="str">
        <f t="shared" si="90"/>
        <v/>
      </c>
      <c r="AV165" s="2" t="str">
        <f t="shared" si="90"/>
        <v/>
      </c>
      <c r="AY165" s="2" t="str">
        <f t="shared" si="91"/>
        <v/>
      </c>
      <c r="AZ165" s="2" t="str">
        <f t="shared" si="91"/>
        <v/>
      </c>
    </row>
    <row r="166" ht="20.1" customHeight="1" spans="22:52">
      <c r="V166" s="336"/>
      <c r="W166" s="11">
        <v>13</v>
      </c>
      <c r="X166" s="335">
        <f t="shared" si="86"/>
        <v>0</v>
      </c>
      <c r="Y166" s="335">
        <f t="shared" si="86"/>
        <v>0</v>
      </c>
      <c r="Z166" s="335">
        <f t="shared" si="86"/>
        <v>0</v>
      </c>
      <c r="AA166" s="335">
        <f t="shared" si="86"/>
        <v>0</v>
      </c>
      <c r="AB166" s="339">
        <f t="shared" si="87"/>
        <v>0</v>
      </c>
      <c r="AC166" s="339">
        <f t="shared" si="87"/>
        <v>0</v>
      </c>
      <c r="AD166" s="339">
        <f t="shared" si="87"/>
        <v>0</v>
      </c>
      <c r="AE166" s="339">
        <f t="shared" si="87"/>
        <v>0</v>
      </c>
      <c r="AF166" s="336"/>
      <c r="AG166" s="11">
        <v>13</v>
      </c>
      <c r="AH166" s="340">
        <f t="shared" si="88"/>
        <v>0</v>
      </c>
      <c r="AI166" s="340">
        <f t="shared" si="88"/>
        <v>0</v>
      </c>
      <c r="AJ166" s="340">
        <f t="shared" si="88"/>
        <v>0</v>
      </c>
      <c r="AK166" s="340">
        <f t="shared" si="88"/>
        <v>0</v>
      </c>
      <c r="AL166" s="341">
        <f t="shared" si="89"/>
        <v>0</v>
      </c>
      <c r="AM166" s="341">
        <f t="shared" si="89"/>
        <v>0</v>
      </c>
      <c r="AN166" s="341">
        <f t="shared" si="89"/>
        <v>0</v>
      </c>
      <c r="AO166" s="341">
        <f t="shared" si="89"/>
        <v>0</v>
      </c>
      <c r="AR166" s="2">
        <v>10</v>
      </c>
      <c r="AS166" s="2" t="str">
        <f t="shared" si="90"/>
        <v/>
      </c>
      <c r="AT166" s="2" t="str">
        <f t="shared" si="90"/>
        <v/>
      </c>
      <c r="AU166" s="2" t="str">
        <f t="shared" si="90"/>
        <v/>
      </c>
      <c r="AV166" s="2" t="str">
        <f t="shared" si="90"/>
        <v/>
      </c>
      <c r="AY166" s="2" t="str">
        <f t="shared" si="91"/>
        <v/>
      </c>
      <c r="AZ166" s="2" t="str">
        <f t="shared" si="91"/>
        <v/>
      </c>
    </row>
    <row r="167" ht="19.5" customHeight="1" spans="22:52">
      <c r="V167" s="336"/>
      <c r="W167" s="11">
        <v>14</v>
      </c>
      <c r="X167" s="335">
        <f t="shared" si="86"/>
        <v>0</v>
      </c>
      <c r="Y167" s="335">
        <f t="shared" si="86"/>
        <v>0</v>
      </c>
      <c r="Z167" s="335">
        <f t="shared" si="86"/>
        <v>0</v>
      </c>
      <c r="AA167" s="335">
        <f t="shared" si="86"/>
        <v>0</v>
      </c>
      <c r="AB167" s="339">
        <f t="shared" si="87"/>
        <v>0</v>
      </c>
      <c r="AC167" s="339">
        <f t="shared" si="87"/>
        <v>0</v>
      </c>
      <c r="AD167" s="339">
        <f t="shared" si="87"/>
        <v>0</v>
      </c>
      <c r="AE167" s="339">
        <f t="shared" si="87"/>
        <v>0</v>
      </c>
      <c r="AF167" s="336"/>
      <c r="AG167" s="11">
        <v>14</v>
      </c>
      <c r="AH167" s="340">
        <f t="shared" si="88"/>
        <v>0</v>
      </c>
      <c r="AI167" s="340">
        <f t="shared" si="88"/>
        <v>0</v>
      </c>
      <c r="AJ167" s="340">
        <f t="shared" si="88"/>
        <v>0</v>
      </c>
      <c r="AK167" s="340">
        <f t="shared" si="88"/>
        <v>0</v>
      </c>
      <c r="AL167" s="341">
        <f t="shared" si="89"/>
        <v>0</v>
      </c>
      <c r="AM167" s="341">
        <f t="shared" si="89"/>
        <v>0</v>
      </c>
      <c r="AN167" s="341">
        <f t="shared" si="89"/>
        <v>0</v>
      </c>
      <c r="AO167" s="341">
        <f t="shared" si="89"/>
        <v>0</v>
      </c>
      <c r="AR167" s="2">
        <v>11</v>
      </c>
      <c r="AS167" s="2" t="str">
        <f t="shared" si="90"/>
        <v/>
      </c>
      <c r="AT167" s="2" t="str">
        <f t="shared" si="90"/>
        <v/>
      </c>
      <c r="AU167" s="2" t="str">
        <f t="shared" si="90"/>
        <v/>
      </c>
      <c r="AV167" s="2" t="str">
        <f t="shared" si="90"/>
        <v/>
      </c>
      <c r="AY167" s="2" t="str">
        <f t="shared" si="91"/>
        <v/>
      </c>
      <c r="AZ167" s="2" t="str">
        <f t="shared" si="91"/>
        <v/>
      </c>
    </row>
    <row r="168" ht="19.5" customHeight="1" spans="22:52">
      <c r="V168" s="336"/>
      <c r="W168" s="11">
        <v>15</v>
      </c>
      <c r="X168" s="335">
        <f t="shared" si="86"/>
        <v>0</v>
      </c>
      <c r="Y168" s="335">
        <f t="shared" si="86"/>
        <v>0</v>
      </c>
      <c r="Z168" s="335">
        <f t="shared" si="86"/>
        <v>0</v>
      </c>
      <c r="AA168" s="335">
        <f t="shared" si="86"/>
        <v>0</v>
      </c>
      <c r="AB168" s="339">
        <f t="shared" si="87"/>
        <v>0</v>
      </c>
      <c r="AC168" s="339">
        <f t="shared" si="87"/>
        <v>0</v>
      </c>
      <c r="AD168" s="339">
        <f t="shared" si="87"/>
        <v>0</v>
      </c>
      <c r="AE168" s="339">
        <f t="shared" si="87"/>
        <v>0</v>
      </c>
      <c r="AF168" s="336"/>
      <c r="AG168" s="11">
        <v>15</v>
      </c>
      <c r="AH168" s="340">
        <f t="shared" si="88"/>
        <v>0</v>
      </c>
      <c r="AI168" s="340">
        <f t="shared" si="88"/>
        <v>0</v>
      </c>
      <c r="AJ168" s="340">
        <f t="shared" si="88"/>
        <v>0</v>
      </c>
      <c r="AK168" s="340">
        <f t="shared" si="88"/>
        <v>0</v>
      </c>
      <c r="AL168" s="341">
        <f t="shared" si="89"/>
        <v>0</v>
      </c>
      <c r="AM168" s="341">
        <f t="shared" si="89"/>
        <v>0</v>
      </c>
      <c r="AN168" s="341">
        <f t="shared" si="89"/>
        <v>0</v>
      </c>
      <c r="AO168" s="341">
        <f t="shared" si="89"/>
        <v>0</v>
      </c>
      <c r="AR168" s="2">
        <v>12</v>
      </c>
      <c r="AS168" s="2" t="str">
        <f t="shared" si="90"/>
        <v/>
      </c>
      <c r="AT168" s="2" t="str">
        <f t="shared" si="90"/>
        <v/>
      </c>
      <c r="AU168" s="2" t="str">
        <f t="shared" si="90"/>
        <v/>
      </c>
      <c r="AV168" s="2" t="str">
        <f t="shared" si="90"/>
        <v/>
      </c>
      <c r="AY168" s="2" t="str">
        <f t="shared" si="91"/>
        <v/>
      </c>
      <c r="AZ168" s="2" t="str">
        <f t="shared" si="91"/>
        <v/>
      </c>
    </row>
    <row r="169" ht="19.5" customHeight="1" spans="22:52">
      <c r="V169" s="336"/>
      <c r="W169" s="11">
        <v>16</v>
      </c>
      <c r="X169" s="335">
        <f t="shared" si="86"/>
        <v>0</v>
      </c>
      <c r="Y169" s="335">
        <f t="shared" si="86"/>
        <v>0</v>
      </c>
      <c r="Z169" s="335">
        <f t="shared" si="86"/>
        <v>0</v>
      </c>
      <c r="AA169" s="335">
        <f t="shared" si="86"/>
        <v>0</v>
      </c>
      <c r="AB169" s="339">
        <f t="shared" si="87"/>
        <v>0</v>
      </c>
      <c r="AC169" s="339">
        <f t="shared" si="87"/>
        <v>0</v>
      </c>
      <c r="AD169" s="339">
        <f t="shared" si="87"/>
        <v>0</v>
      </c>
      <c r="AE169" s="339">
        <f t="shared" si="87"/>
        <v>0</v>
      </c>
      <c r="AF169" s="336"/>
      <c r="AG169" s="11">
        <v>16</v>
      </c>
      <c r="AH169" s="340">
        <f t="shared" si="88"/>
        <v>0</v>
      </c>
      <c r="AI169" s="340">
        <f t="shared" si="88"/>
        <v>0</v>
      </c>
      <c r="AJ169" s="340">
        <f t="shared" si="88"/>
        <v>0</v>
      </c>
      <c r="AK169" s="340">
        <f t="shared" si="88"/>
        <v>0</v>
      </c>
      <c r="AL169" s="341">
        <f t="shared" si="89"/>
        <v>0</v>
      </c>
      <c r="AM169" s="341">
        <f t="shared" si="89"/>
        <v>0</v>
      </c>
      <c r="AN169" s="341">
        <f t="shared" si="89"/>
        <v>0</v>
      </c>
      <c r="AO169" s="341">
        <f t="shared" si="89"/>
        <v>0</v>
      </c>
      <c r="AR169" s="2">
        <v>13</v>
      </c>
      <c r="AS169" s="2" t="str">
        <f t="shared" si="90"/>
        <v/>
      </c>
      <c r="AT169" s="2" t="str">
        <f t="shared" si="90"/>
        <v/>
      </c>
      <c r="AU169" s="2" t="str">
        <f t="shared" si="90"/>
        <v/>
      </c>
      <c r="AV169" s="2" t="str">
        <f t="shared" si="90"/>
        <v/>
      </c>
      <c r="AY169" s="2" t="str">
        <f t="shared" si="91"/>
        <v/>
      </c>
      <c r="AZ169" s="2" t="str">
        <f t="shared" si="91"/>
        <v/>
      </c>
    </row>
    <row r="170" ht="19.5" customHeight="1" spans="22:52">
      <c r="V170" s="336"/>
      <c r="W170" s="11">
        <v>17</v>
      </c>
      <c r="X170" s="335">
        <f t="shared" si="86"/>
        <v>0</v>
      </c>
      <c r="Y170" s="335">
        <f t="shared" si="86"/>
        <v>0</v>
      </c>
      <c r="Z170" s="335">
        <f t="shared" si="86"/>
        <v>0</v>
      </c>
      <c r="AA170" s="335">
        <f t="shared" si="86"/>
        <v>0</v>
      </c>
      <c r="AB170" s="339">
        <f t="shared" si="87"/>
        <v>0</v>
      </c>
      <c r="AC170" s="339">
        <f t="shared" si="87"/>
        <v>0</v>
      </c>
      <c r="AD170" s="339">
        <f t="shared" si="87"/>
        <v>0</v>
      </c>
      <c r="AE170" s="339">
        <f t="shared" si="87"/>
        <v>0</v>
      </c>
      <c r="AF170" s="336"/>
      <c r="AG170" s="11">
        <v>17</v>
      </c>
      <c r="AH170" s="340">
        <f t="shared" si="88"/>
        <v>0</v>
      </c>
      <c r="AI170" s="340">
        <f t="shared" si="88"/>
        <v>0</v>
      </c>
      <c r="AJ170" s="340">
        <f t="shared" si="88"/>
        <v>0</v>
      </c>
      <c r="AK170" s="340">
        <f t="shared" si="88"/>
        <v>0</v>
      </c>
      <c r="AL170" s="341">
        <f t="shared" si="89"/>
        <v>0</v>
      </c>
      <c r="AM170" s="341">
        <f t="shared" si="89"/>
        <v>0</v>
      </c>
      <c r="AN170" s="341">
        <f t="shared" si="89"/>
        <v>0</v>
      </c>
      <c r="AO170" s="341">
        <f t="shared" si="89"/>
        <v>0</v>
      </c>
      <c r="AR170" s="2">
        <v>14</v>
      </c>
      <c r="AS170" s="2" t="str">
        <f t="shared" si="90"/>
        <v/>
      </c>
      <c r="AT170" s="2" t="str">
        <f t="shared" si="90"/>
        <v/>
      </c>
      <c r="AU170" s="2" t="str">
        <f t="shared" si="90"/>
        <v/>
      </c>
      <c r="AV170" s="2" t="str">
        <f t="shared" si="90"/>
        <v/>
      </c>
      <c r="AY170" s="2" t="str">
        <f t="shared" si="91"/>
        <v/>
      </c>
      <c r="AZ170" s="2" t="str">
        <f t="shared" si="91"/>
        <v/>
      </c>
    </row>
    <row r="171" ht="19.5" customHeight="1" spans="22:52">
      <c r="V171" s="336"/>
      <c r="W171" s="11">
        <v>18</v>
      </c>
      <c r="X171" s="335">
        <f t="shared" si="86"/>
        <v>0</v>
      </c>
      <c r="Y171" s="335">
        <f t="shared" si="86"/>
        <v>0</v>
      </c>
      <c r="Z171" s="335">
        <f t="shared" si="86"/>
        <v>0</v>
      </c>
      <c r="AA171" s="335">
        <f t="shared" si="86"/>
        <v>0</v>
      </c>
      <c r="AB171" s="339">
        <f t="shared" si="87"/>
        <v>0</v>
      </c>
      <c r="AC171" s="339">
        <f t="shared" si="87"/>
        <v>0</v>
      </c>
      <c r="AD171" s="339">
        <f t="shared" si="87"/>
        <v>0</v>
      </c>
      <c r="AE171" s="339">
        <f t="shared" si="87"/>
        <v>0</v>
      </c>
      <c r="AF171" s="336"/>
      <c r="AG171" s="11">
        <v>18</v>
      </c>
      <c r="AH171" s="340">
        <f t="shared" si="88"/>
        <v>0</v>
      </c>
      <c r="AI171" s="340">
        <f t="shared" si="88"/>
        <v>0</v>
      </c>
      <c r="AJ171" s="340">
        <f t="shared" si="88"/>
        <v>0</v>
      </c>
      <c r="AK171" s="340">
        <f t="shared" si="88"/>
        <v>0</v>
      </c>
      <c r="AL171" s="341">
        <f t="shared" si="89"/>
        <v>0</v>
      </c>
      <c r="AM171" s="341">
        <f t="shared" si="89"/>
        <v>0</v>
      </c>
      <c r="AN171" s="341">
        <f t="shared" si="89"/>
        <v>0</v>
      </c>
      <c r="AO171" s="341">
        <f t="shared" si="89"/>
        <v>0</v>
      </c>
      <c r="AR171" s="2">
        <v>15</v>
      </c>
      <c r="AS171" s="2" t="str">
        <f t="shared" si="90"/>
        <v/>
      </c>
      <c r="AT171" s="2" t="str">
        <f t="shared" si="90"/>
        <v/>
      </c>
      <c r="AU171" s="2" t="str">
        <f t="shared" si="90"/>
        <v/>
      </c>
      <c r="AV171" s="2" t="str">
        <f t="shared" si="90"/>
        <v/>
      </c>
      <c r="AY171" s="2" t="str">
        <f t="shared" si="91"/>
        <v/>
      </c>
      <c r="AZ171" s="2" t="str">
        <f t="shared" si="91"/>
        <v/>
      </c>
    </row>
    <row r="172" ht="19.5" customHeight="1" spans="22:52">
      <c r="V172" s="336"/>
      <c r="W172" s="11">
        <v>19</v>
      </c>
      <c r="X172" s="335">
        <f t="shared" si="86"/>
        <v>0</v>
      </c>
      <c r="Y172" s="335">
        <f t="shared" si="86"/>
        <v>0</v>
      </c>
      <c r="Z172" s="335">
        <f t="shared" si="86"/>
        <v>0</v>
      </c>
      <c r="AA172" s="335">
        <f t="shared" si="86"/>
        <v>0</v>
      </c>
      <c r="AB172" s="339">
        <f t="shared" si="87"/>
        <v>0</v>
      </c>
      <c r="AC172" s="339">
        <f t="shared" si="87"/>
        <v>0</v>
      </c>
      <c r="AD172" s="339">
        <f t="shared" si="87"/>
        <v>0</v>
      </c>
      <c r="AE172" s="339">
        <f t="shared" si="87"/>
        <v>0</v>
      </c>
      <c r="AF172" s="336"/>
      <c r="AG172" s="11">
        <v>19</v>
      </c>
      <c r="AH172" s="340">
        <f t="shared" si="88"/>
        <v>0</v>
      </c>
      <c r="AI172" s="340">
        <f t="shared" si="88"/>
        <v>0</v>
      </c>
      <c r="AJ172" s="340">
        <f t="shared" si="88"/>
        <v>0</v>
      </c>
      <c r="AK172" s="340">
        <f t="shared" si="88"/>
        <v>0</v>
      </c>
      <c r="AL172" s="341">
        <f t="shared" si="89"/>
        <v>0</v>
      </c>
      <c r="AM172" s="341">
        <f t="shared" si="89"/>
        <v>0</v>
      </c>
      <c r="AN172" s="341">
        <f t="shared" si="89"/>
        <v>0</v>
      </c>
      <c r="AO172" s="341">
        <f t="shared" si="89"/>
        <v>0</v>
      </c>
      <c r="AR172" s="2">
        <v>16</v>
      </c>
      <c r="AS172" s="2" t="str">
        <f t="shared" si="90"/>
        <v/>
      </c>
      <c r="AT172" s="2" t="str">
        <f t="shared" si="90"/>
        <v/>
      </c>
      <c r="AU172" s="2" t="str">
        <f t="shared" si="90"/>
        <v/>
      </c>
      <c r="AV172" s="2" t="str">
        <f t="shared" si="90"/>
        <v/>
      </c>
      <c r="AY172" s="2" t="str">
        <f t="shared" si="91"/>
        <v/>
      </c>
      <c r="AZ172" s="2" t="str">
        <f t="shared" si="91"/>
        <v/>
      </c>
    </row>
    <row r="173" ht="19.5" customHeight="1" spans="22:52">
      <c r="V173" s="337"/>
      <c r="W173" s="11">
        <v>20</v>
      </c>
      <c r="X173" s="335">
        <f t="shared" si="86"/>
        <v>0</v>
      </c>
      <c r="Y173" s="335">
        <f t="shared" si="86"/>
        <v>0</v>
      </c>
      <c r="Z173" s="335">
        <f t="shared" si="86"/>
        <v>0</v>
      </c>
      <c r="AA173" s="335">
        <f t="shared" si="86"/>
        <v>0</v>
      </c>
      <c r="AB173" s="339">
        <f t="shared" si="87"/>
        <v>0</v>
      </c>
      <c r="AC173" s="339">
        <f t="shared" si="87"/>
        <v>0</v>
      </c>
      <c r="AD173" s="339">
        <f t="shared" si="87"/>
        <v>0</v>
      </c>
      <c r="AE173" s="339">
        <f t="shared" si="87"/>
        <v>0</v>
      </c>
      <c r="AF173" s="337"/>
      <c r="AG173" s="11">
        <v>20</v>
      </c>
      <c r="AH173" s="340">
        <f t="shared" si="88"/>
        <v>0</v>
      </c>
      <c r="AI173" s="340">
        <f t="shared" si="88"/>
        <v>0</v>
      </c>
      <c r="AJ173" s="340">
        <f t="shared" si="88"/>
        <v>0</v>
      </c>
      <c r="AK173" s="340">
        <f t="shared" si="88"/>
        <v>0</v>
      </c>
      <c r="AL173" s="341">
        <f t="shared" si="89"/>
        <v>0</v>
      </c>
      <c r="AM173" s="341">
        <f t="shared" si="89"/>
        <v>0</v>
      </c>
      <c r="AN173" s="341">
        <f t="shared" si="89"/>
        <v>0</v>
      </c>
      <c r="AO173" s="341">
        <f t="shared" si="89"/>
        <v>0</v>
      </c>
      <c r="AR173" s="2">
        <v>17</v>
      </c>
      <c r="AS173" s="2" t="str">
        <f t="shared" si="90"/>
        <v/>
      </c>
      <c r="AT173" s="2" t="str">
        <f t="shared" si="90"/>
        <v/>
      </c>
      <c r="AU173" s="2" t="str">
        <f t="shared" si="90"/>
        <v/>
      </c>
      <c r="AV173" s="2" t="str">
        <f t="shared" si="90"/>
        <v/>
      </c>
      <c r="AY173" s="2" t="str">
        <f t="shared" si="91"/>
        <v/>
      </c>
      <c r="AZ173" s="2" t="str">
        <f t="shared" si="91"/>
        <v/>
      </c>
    </row>
    <row r="174" ht="19.5" customHeight="1" spans="44:52">
      <c r="AR174" s="2">
        <v>18</v>
      </c>
      <c r="AS174" s="2" t="str">
        <f t="shared" ref="AS174:AV176" si="92">IF(AS149="","",(AS149-AS$153)^2)</f>
        <v/>
      </c>
      <c r="AT174" s="2" t="str">
        <f t="shared" si="92"/>
        <v/>
      </c>
      <c r="AU174" s="2" t="str">
        <f t="shared" si="92"/>
        <v/>
      </c>
      <c r="AV174" s="2" t="str">
        <f t="shared" si="92"/>
        <v/>
      </c>
      <c r="AY174" s="2" t="str">
        <f t="shared" ref="AY174:AZ176" si="93">IF(AY149="","",(AY149-AY$153)^2)</f>
        <v/>
      </c>
      <c r="AZ174" s="2" t="str">
        <f t="shared" si="93"/>
        <v/>
      </c>
    </row>
    <row r="175" ht="19.5" customHeight="1" spans="44:52">
      <c r="AR175" s="2">
        <v>19</v>
      </c>
      <c r="AS175" s="2" t="str">
        <f t="shared" si="92"/>
        <v/>
      </c>
      <c r="AT175" s="2" t="str">
        <f t="shared" si="92"/>
        <v/>
      </c>
      <c r="AU175" s="2" t="str">
        <f t="shared" si="92"/>
        <v/>
      </c>
      <c r="AV175" s="2" t="str">
        <f t="shared" si="92"/>
        <v/>
      </c>
      <c r="AY175" s="2" t="str">
        <f t="shared" si="93"/>
        <v/>
      </c>
      <c r="AZ175" s="2" t="str">
        <f t="shared" si="93"/>
        <v/>
      </c>
    </row>
    <row r="176" ht="19.5" customHeight="1" spans="44:52">
      <c r="AR176" s="2">
        <v>20</v>
      </c>
      <c r="AS176" s="2" t="str">
        <f t="shared" si="92"/>
        <v/>
      </c>
      <c r="AT176" s="2" t="str">
        <f t="shared" si="92"/>
        <v/>
      </c>
      <c r="AU176" s="2" t="str">
        <f t="shared" si="92"/>
        <v/>
      </c>
      <c r="AV176" s="2" t="str">
        <f t="shared" si="92"/>
        <v/>
      </c>
      <c r="AY176" s="2" t="str">
        <f t="shared" si="93"/>
        <v/>
      </c>
      <c r="AZ176" s="2" t="str">
        <f t="shared" si="93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S199" si="94">IF(AS132="","",(AS132-AS$153)/AS$178*AS$181)</f>
        <v/>
      </c>
      <c r="AT183" s="318" t="str">
        <f t="shared" ref="AT183:AV198" si="95">IF(AT132="","",(AT132-AT$153)/AT$178*AT$181)</f>
        <v/>
      </c>
      <c r="AU183" s="318" t="str">
        <f t="shared" si="95"/>
        <v/>
      </c>
      <c r="AV183" s="318" t="str">
        <f t="shared" si="95"/>
        <v/>
      </c>
    </row>
    <row r="184" customHeight="1" spans="44:48">
      <c r="AR184" s="347">
        <v>2</v>
      </c>
      <c r="AS184" s="318" t="str">
        <f t="shared" si="94"/>
        <v/>
      </c>
      <c r="AT184" s="318" t="str">
        <f t="shared" si="95"/>
        <v/>
      </c>
      <c r="AU184" s="318" t="str">
        <f t="shared" si="95"/>
        <v/>
      </c>
      <c r="AV184" s="318" t="str">
        <f t="shared" si="95"/>
        <v/>
      </c>
    </row>
    <row r="185" customHeight="1" spans="44:48">
      <c r="AR185" s="347">
        <v>3</v>
      </c>
      <c r="AS185" s="318" t="str">
        <f t="shared" si="94"/>
        <v/>
      </c>
      <c r="AT185" s="318" t="str">
        <f t="shared" si="95"/>
        <v/>
      </c>
      <c r="AU185" s="318" t="str">
        <f t="shared" si="95"/>
        <v/>
      </c>
      <c r="AV185" s="318" t="str">
        <f t="shared" si="95"/>
        <v/>
      </c>
    </row>
    <row r="186" customHeight="1" spans="44:48">
      <c r="AR186" s="347">
        <v>4</v>
      </c>
      <c r="AS186" s="318" t="str">
        <f t="shared" si="94"/>
        <v/>
      </c>
      <c r="AT186" s="318" t="str">
        <f t="shared" si="95"/>
        <v/>
      </c>
      <c r="AU186" s="318" t="str">
        <f t="shared" si="95"/>
        <v/>
      </c>
      <c r="AV186" s="318" t="str">
        <f t="shared" si="95"/>
        <v/>
      </c>
    </row>
    <row r="187" customHeight="1" spans="44:48">
      <c r="AR187" s="347">
        <v>5</v>
      </c>
      <c r="AS187" s="318" t="str">
        <f t="shared" si="94"/>
        <v/>
      </c>
      <c r="AT187" s="318" t="str">
        <f t="shared" si="95"/>
        <v/>
      </c>
      <c r="AU187" s="318" t="str">
        <f t="shared" si="95"/>
        <v/>
      </c>
      <c r="AV187" s="318" t="str">
        <f t="shared" si="95"/>
        <v/>
      </c>
    </row>
    <row r="188" customHeight="1" spans="44:48">
      <c r="AR188" s="347">
        <v>6</v>
      </c>
      <c r="AS188" s="318" t="str">
        <f t="shared" si="94"/>
        <v/>
      </c>
      <c r="AT188" s="318" t="str">
        <f t="shared" si="95"/>
        <v/>
      </c>
      <c r="AU188" s="318" t="str">
        <f t="shared" si="95"/>
        <v/>
      </c>
      <c r="AV188" s="318" t="str">
        <f t="shared" si="95"/>
        <v/>
      </c>
    </row>
    <row r="189" customHeight="1" spans="44:48">
      <c r="AR189" s="347">
        <v>7</v>
      </c>
      <c r="AS189" s="318" t="str">
        <f t="shared" si="94"/>
        <v/>
      </c>
      <c r="AT189" s="318" t="str">
        <f t="shared" si="95"/>
        <v/>
      </c>
      <c r="AU189" s="318" t="str">
        <f t="shared" si="95"/>
        <v/>
      </c>
      <c r="AV189" s="318" t="str">
        <f t="shared" si="95"/>
        <v/>
      </c>
    </row>
    <row r="190" customHeight="1" spans="44:48">
      <c r="AR190" s="347">
        <v>8</v>
      </c>
      <c r="AS190" s="318" t="str">
        <f t="shared" si="94"/>
        <v/>
      </c>
      <c r="AT190" s="318" t="str">
        <f t="shared" si="95"/>
        <v/>
      </c>
      <c r="AU190" s="318" t="str">
        <f t="shared" si="95"/>
        <v/>
      </c>
      <c r="AV190" s="318" t="str">
        <f t="shared" si="95"/>
        <v/>
      </c>
    </row>
    <row r="191" customHeight="1" spans="44:48">
      <c r="AR191" s="347">
        <v>9</v>
      </c>
      <c r="AS191" s="318" t="str">
        <f t="shared" si="94"/>
        <v/>
      </c>
      <c r="AT191" s="318" t="str">
        <f t="shared" si="95"/>
        <v/>
      </c>
      <c r="AU191" s="318" t="str">
        <f t="shared" si="95"/>
        <v/>
      </c>
      <c r="AV191" s="318" t="str">
        <f t="shared" si="95"/>
        <v/>
      </c>
    </row>
    <row r="192" customHeight="1" spans="44:48">
      <c r="AR192" s="347">
        <v>10</v>
      </c>
      <c r="AS192" s="318" t="str">
        <f t="shared" si="94"/>
        <v/>
      </c>
      <c r="AT192" s="318" t="str">
        <f t="shared" si="95"/>
        <v/>
      </c>
      <c r="AU192" s="318" t="str">
        <f t="shared" si="95"/>
        <v/>
      </c>
      <c r="AV192" s="318" t="str">
        <f t="shared" si="95"/>
        <v/>
      </c>
    </row>
    <row r="193" customHeight="1" spans="44:48">
      <c r="AR193" s="347">
        <v>11</v>
      </c>
      <c r="AS193" s="318" t="str">
        <f t="shared" si="94"/>
        <v/>
      </c>
      <c r="AT193" s="318" t="str">
        <f t="shared" si="95"/>
        <v/>
      </c>
      <c r="AU193" s="318" t="str">
        <f t="shared" si="95"/>
        <v/>
      </c>
      <c r="AV193" s="318" t="str">
        <f t="shared" si="95"/>
        <v/>
      </c>
    </row>
    <row r="194" customHeight="1" spans="44:48">
      <c r="AR194" s="347">
        <v>12</v>
      </c>
      <c r="AS194" s="318" t="str">
        <f t="shared" si="94"/>
        <v/>
      </c>
      <c r="AT194" s="318" t="str">
        <f t="shared" si="95"/>
        <v/>
      </c>
      <c r="AU194" s="318" t="str">
        <f t="shared" si="95"/>
        <v/>
      </c>
      <c r="AV194" s="318" t="str">
        <f t="shared" si="95"/>
        <v/>
      </c>
    </row>
    <row r="195" customHeight="1" spans="44:48">
      <c r="AR195" s="347">
        <v>13</v>
      </c>
      <c r="AS195" s="318" t="str">
        <f t="shared" si="94"/>
        <v/>
      </c>
      <c r="AT195" s="318" t="str">
        <f t="shared" si="95"/>
        <v/>
      </c>
      <c r="AU195" s="318" t="str">
        <f t="shared" si="95"/>
        <v/>
      </c>
      <c r="AV195" s="318" t="str">
        <f t="shared" si="95"/>
        <v/>
      </c>
    </row>
    <row r="196" customHeight="1" spans="44:48">
      <c r="AR196" s="347">
        <v>14</v>
      </c>
      <c r="AS196" s="318" t="str">
        <f t="shared" si="94"/>
        <v/>
      </c>
      <c r="AT196" s="318" t="str">
        <f t="shared" si="95"/>
        <v/>
      </c>
      <c r="AU196" s="318" t="str">
        <f t="shared" si="95"/>
        <v/>
      </c>
      <c r="AV196" s="318" t="str">
        <f t="shared" si="95"/>
        <v/>
      </c>
    </row>
    <row r="197" ht="19.5" customHeight="1" spans="44:48">
      <c r="AR197" s="347">
        <v>15</v>
      </c>
      <c r="AS197" s="318" t="str">
        <f t="shared" si="94"/>
        <v/>
      </c>
      <c r="AT197" s="318" t="str">
        <f t="shared" si="95"/>
        <v/>
      </c>
      <c r="AU197" s="318" t="str">
        <f t="shared" si="95"/>
        <v/>
      </c>
      <c r="AV197" s="318" t="str">
        <f t="shared" si="95"/>
        <v/>
      </c>
    </row>
    <row r="198" ht="19.5" customHeight="1" spans="44:48">
      <c r="AR198" s="347">
        <v>16</v>
      </c>
      <c r="AS198" s="318" t="str">
        <f t="shared" si="94"/>
        <v/>
      </c>
      <c r="AT198" s="318" t="str">
        <f t="shared" si="95"/>
        <v/>
      </c>
      <c r="AU198" s="318" t="str">
        <f t="shared" si="95"/>
        <v/>
      </c>
      <c r="AV198" s="318" t="str">
        <f t="shared" si="95"/>
        <v/>
      </c>
    </row>
    <row r="199" ht="19.5" customHeight="1" spans="44:48">
      <c r="AR199" s="347">
        <v>17</v>
      </c>
      <c r="AS199" s="318" t="str">
        <f t="shared" si="94"/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ref="AS200:AV202" si="96">IF(AS149="","",(AS149-AS$153)/AS$178*AS$181)</f>
        <v/>
      </c>
      <c r="AT200" s="318" t="str">
        <f t="shared" si="96"/>
        <v/>
      </c>
      <c r="AU200" s="318" t="str">
        <f t="shared" si="96"/>
        <v/>
      </c>
      <c r="AV200" s="318" t="str">
        <f t="shared" si="96"/>
        <v/>
      </c>
    </row>
    <row r="201" ht="19.5" customHeight="1" spans="44:48">
      <c r="AR201" s="347">
        <v>19</v>
      </c>
      <c r="AS201" s="318" t="str">
        <f t="shared" si="96"/>
        <v/>
      </c>
      <c r="AT201" s="318" t="str">
        <f t="shared" si="96"/>
        <v/>
      </c>
      <c r="AU201" s="318" t="str">
        <f t="shared" si="96"/>
        <v/>
      </c>
      <c r="AV201" s="318" t="str">
        <f t="shared" si="96"/>
        <v/>
      </c>
    </row>
    <row r="202" ht="19.5" customHeight="1" spans="44:48">
      <c r="AR202" s="347">
        <v>20</v>
      </c>
      <c r="AS202" s="318" t="str">
        <f t="shared" si="96"/>
        <v/>
      </c>
      <c r="AT202" s="318" t="str">
        <f t="shared" si="96"/>
        <v/>
      </c>
      <c r="AU202" s="318" t="str">
        <f t="shared" si="96"/>
        <v/>
      </c>
      <c r="AV202" s="318" t="str">
        <f t="shared" si="96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7">INT(Y231/DS37+0.5)</f>
        <v>#DIV/0!</v>
      </c>
      <c r="Z232" s="65" t="e">
        <f t="shared" si="97"/>
        <v>#DIV/0!</v>
      </c>
      <c r="AA232" s="65" t="e">
        <f t="shared" si="97"/>
        <v>#DIV/0!</v>
      </c>
      <c r="AB232" s="65" t="e">
        <f t="shared" si="97"/>
        <v>#DIV/0!</v>
      </c>
      <c r="AC232" s="65" t="e">
        <f t="shared" si="97"/>
        <v>#DIV/0!</v>
      </c>
      <c r="AD232" s="65" t="e">
        <f t="shared" si="97"/>
        <v>#DIV/0!</v>
      </c>
      <c r="AE232" s="65" t="e">
        <f t="shared" si="97"/>
        <v>#DIV/0!</v>
      </c>
      <c r="AF232" s="65" t="e">
        <f t="shared" si="97"/>
        <v>#DIV/0!</v>
      </c>
      <c r="AG232" s="65">
        <f t="shared" ref="AG232:AN232" si="98">IF(EA37&gt;0,INT(AG231/EA37+0.5),0)</f>
        <v>0</v>
      </c>
      <c r="AH232" s="65">
        <f t="shared" si="98"/>
        <v>0</v>
      </c>
      <c r="AI232" s="65">
        <f t="shared" si="98"/>
        <v>0</v>
      </c>
      <c r="AJ232" s="65">
        <f t="shared" si="98"/>
        <v>0</v>
      </c>
      <c r="AK232" s="65">
        <f t="shared" si="98"/>
        <v>0</v>
      </c>
      <c r="AL232" s="65">
        <f t="shared" si="98"/>
        <v>0</v>
      </c>
      <c r="AM232" s="65">
        <f t="shared" si="98"/>
        <v>0</v>
      </c>
      <c r="AN232" s="65">
        <f t="shared" si="98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9">SUMPRODUCT(D50:D69,D73:D92)</f>
        <v>0</v>
      </c>
      <c r="Z234" s="304">
        <f t="shared" si="99"/>
        <v>0</v>
      </c>
      <c r="AA234" s="304">
        <f t="shared" si="99"/>
        <v>0</v>
      </c>
      <c r="AB234" s="304">
        <f t="shared" si="99"/>
        <v>0</v>
      </c>
      <c r="AC234" s="304">
        <f t="shared" si="99"/>
        <v>0</v>
      </c>
      <c r="AD234" s="304">
        <f t="shared" si="99"/>
        <v>0</v>
      </c>
      <c r="AE234" s="304">
        <f t="shared" si="99"/>
        <v>0</v>
      </c>
      <c r="AF234" s="304">
        <f t="shared" si="99"/>
        <v>0</v>
      </c>
      <c r="AG234" s="304">
        <f t="shared" si="99"/>
        <v>0</v>
      </c>
      <c r="AH234" s="304">
        <f t="shared" si="99"/>
        <v>0</v>
      </c>
      <c r="AI234" s="304">
        <f t="shared" si="99"/>
        <v>0</v>
      </c>
      <c r="AJ234" s="304">
        <f t="shared" si="99"/>
        <v>0</v>
      </c>
      <c r="AK234" s="304">
        <f t="shared" si="99"/>
        <v>0</v>
      </c>
      <c r="AL234" s="304">
        <f t="shared" si="99"/>
        <v>0</v>
      </c>
      <c r="AM234" s="304">
        <f t="shared" si="99"/>
        <v>0</v>
      </c>
      <c r="AN234" s="304">
        <f t="shared" si="99"/>
        <v>0</v>
      </c>
    </row>
    <row r="235" customHeight="1" spans="24:40">
      <c r="X235" s="2" t="s">
        <v>415</v>
      </c>
      <c r="Y235" s="113">
        <f t="shared" ref="Y235:AN235" si="100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100"/>
        <v>0</v>
      </c>
      <c r="AA235" s="113">
        <f t="shared" si="100"/>
        <v>0</v>
      </c>
      <c r="AB235" s="113">
        <f t="shared" si="100"/>
        <v>0</v>
      </c>
      <c r="AC235" s="113">
        <f t="shared" si="100"/>
        <v>0</v>
      </c>
      <c r="AD235" s="113">
        <f t="shared" si="100"/>
        <v>0</v>
      </c>
      <c r="AE235" s="113">
        <f t="shared" si="100"/>
        <v>0</v>
      </c>
      <c r="AF235" s="113">
        <f t="shared" si="100"/>
        <v>0</v>
      </c>
      <c r="AG235" s="113">
        <f t="shared" si="100"/>
        <v>0</v>
      </c>
      <c r="AH235" s="113">
        <f t="shared" si="100"/>
        <v>0</v>
      </c>
      <c r="AI235" s="113">
        <f t="shared" si="100"/>
        <v>0</v>
      </c>
      <c r="AJ235" s="113">
        <f t="shared" si="100"/>
        <v>0</v>
      </c>
      <c r="AK235" s="113">
        <f t="shared" si="100"/>
        <v>0</v>
      </c>
      <c r="AL235" s="113">
        <f t="shared" si="100"/>
        <v>0</v>
      </c>
      <c r="AM235" s="113">
        <f t="shared" si="100"/>
        <v>0</v>
      </c>
      <c r="AN235" s="113">
        <f t="shared" si="100"/>
        <v>0</v>
      </c>
    </row>
    <row r="236" customHeight="1" spans="24:40">
      <c r="X236" s="2" t="s">
        <v>416</v>
      </c>
      <c r="Y236" s="114" t="e">
        <f t="shared" ref="Y236:AN236" si="101">Y235/Y234</f>
        <v>#DIV/0!</v>
      </c>
      <c r="Z236" s="114" t="e">
        <f t="shared" si="101"/>
        <v>#DIV/0!</v>
      </c>
      <c r="AA236" s="114" t="e">
        <f t="shared" si="101"/>
        <v>#DIV/0!</v>
      </c>
      <c r="AB236" s="114" t="e">
        <f t="shared" si="101"/>
        <v>#DIV/0!</v>
      </c>
      <c r="AC236" s="114" t="e">
        <f t="shared" si="101"/>
        <v>#DIV/0!</v>
      </c>
      <c r="AD236" s="114" t="e">
        <f t="shared" si="101"/>
        <v>#DIV/0!</v>
      </c>
      <c r="AE236" s="114" t="e">
        <f t="shared" si="101"/>
        <v>#DIV/0!</v>
      </c>
      <c r="AF236" s="114" t="e">
        <f t="shared" si="101"/>
        <v>#DIV/0!</v>
      </c>
      <c r="AG236" s="114" t="e">
        <f t="shared" si="101"/>
        <v>#DIV/0!</v>
      </c>
      <c r="AH236" s="114" t="e">
        <f t="shared" si="101"/>
        <v>#DIV/0!</v>
      </c>
      <c r="AI236" s="114" t="e">
        <f t="shared" si="101"/>
        <v>#DIV/0!</v>
      </c>
      <c r="AJ236" s="114" t="e">
        <f t="shared" si="101"/>
        <v>#DIV/0!</v>
      </c>
      <c r="AK236" s="114" t="e">
        <f t="shared" si="101"/>
        <v>#DIV/0!</v>
      </c>
      <c r="AL236" s="114" t="e">
        <f t="shared" si="101"/>
        <v>#DIV/0!</v>
      </c>
      <c r="AM236" s="114" t="e">
        <f t="shared" si="101"/>
        <v>#DIV/0!</v>
      </c>
      <c r="AN236" s="114" t="e">
        <f t="shared" si="101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45" stopIfTrue="1" operator="equal">
      <formula>"人数 YES"</formula>
    </cfRule>
    <cfRule type="cellIs" dxfId="1" priority="46" stopIfTrue="1" operator="equal">
      <formula>"人数 NO"</formula>
    </cfRule>
  </conditionalFormatting>
  <conditionalFormatting sqref="AH13">
    <cfRule type="cellIs" dxfId="0" priority="38" stopIfTrue="1" operator="greaterThanOrEqual">
      <formula>0</formula>
    </cfRule>
    <cfRule type="cellIs" dxfId="1" priority="39" stopIfTrue="1" operator="lessThan">
      <formula>0</formula>
    </cfRule>
  </conditionalFormatting>
  <conditionalFormatting sqref="AC14">
    <cfRule type="cellIs" dxfId="0" priority="47" stopIfTrue="1" operator="equal">
      <formula>"机器 YES"</formula>
    </cfRule>
    <cfRule type="cellIs" dxfId="1" priority="48" stopIfTrue="1" operator="equal">
      <formula>"机器 NO"</formula>
    </cfRule>
  </conditionalFormatting>
  <conditionalFormatting sqref="AH14">
    <cfRule type="cellIs" dxfId="2" priority="41" stopIfTrue="1" operator="greaterThan">
      <formula>$AJ$14</formula>
    </cfRule>
  </conditionalFormatting>
  <conditionalFormatting sqref="K15">
    <cfRule type="cellIs" dxfId="3" priority="30" stopIfTrue="1" operator="greaterThan">
      <formula>0</formula>
    </cfRule>
  </conditionalFormatting>
  <conditionalFormatting sqref="AC15">
    <cfRule type="cellIs" dxfId="0" priority="49" stopIfTrue="1" operator="equal">
      <formula>"材料 YES"</formula>
    </cfRule>
    <cfRule type="cellIs" dxfId="1" priority="50" stopIfTrue="1" operator="equal">
      <formula>"材料 NO"</formula>
    </cfRule>
  </conditionalFormatting>
  <conditionalFormatting sqref="AH15">
    <cfRule type="cellIs" dxfId="3" priority="40" stopIfTrue="1" operator="greaterThan">
      <formula>$AJ$15</formula>
    </cfRule>
  </conditionalFormatting>
  <conditionalFormatting sqref="Y18">
    <cfRule type="cellIs" dxfId="3" priority="43" stopIfTrue="1" operator="greaterThan">
      <formula>$Y$19</formula>
    </cfRule>
  </conditionalFormatting>
  <conditionalFormatting sqref="AA18">
    <cfRule type="cellIs" dxfId="3" priority="53" stopIfTrue="1" operator="lessThan">
      <formula>$AA$19</formula>
    </cfRule>
  </conditionalFormatting>
  <conditionalFormatting sqref="AC18">
    <cfRule type="cellIs" dxfId="3" priority="44" stopIfTrue="1" operator="lessThan">
      <formula>$AC$19</formula>
    </cfRule>
  </conditionalFormatting>
  <conditionalFormatting sqref="AJ18">
    <cfRule type="cellIs" dxfId="3" priority="37" stopIfTrue="1" operator="greaterThan">
      <formula>$AJ$19</formula>
    </cfRule>
  </conditionalFormatting>
  <conditionalFormatting sqref="BW76">
    <cfRule type="cellIs" dxfId="4" priority="42" stopIfTrue="1" operator="equal">
      <formula>"YES"</formula>
    </cfRule>
  </conditionalFormatting>
  <conditionalFormatting sqref="Y92">
    <cfRule type="cellIs" dxfId="3" priority="33" stopIfTrue="1" operator="greaterThan">
      <formula>$Y$93</formula>
    </cfRule>
  </conditionalFormatting>
  <conditionalFormatting sqref="Z92">
    <cfRule type="cellIs" dxfId="3" priority="34" stopIfTrue="1" operator="greaterThan">
      <formula>$Z$93</formula>
    </cfRule>
  </conditionalFormatting>
  <conditionalFormatting sqref="AA92">
    <cfRule type="cellIs" dxfId="3" priority="35" stopIfTrue="1" operator="greaterThan">
      <formula>$AA$93</formula>
    </cfRule>
  </conditionalFormatting>
  <conditionalFormatting sqref="AB92">
    <cfRule type="cellIs" dxfId="3" priority="36" stopIfTrue="1" operator="greaterThan">
      <formula>$AB$93</formula>
    </cfRule>
  </conditionalFormatting>
  <conditionalFormatting sqref="AC92">
    <cfRule type="cellIs" dxfId="0" priority="31" stopIfTrue="1" operator="equal">
      <formula>"YES"</formula>
    </cfRule>
    <cfRule type="cellIs" dxfId="1" priority="32" stopIfTrue="1" operator="equal">
      <formula>"NO"</formula>
    </cfRule>
  </conditionalFormatting>
  <conditionalFormatting sqref="AJ21:AJ23">
    <cfRule type="cellIs" dxfId="5" priority="51" stopIfTrue="1" operator="greaterThan">
      <formula>$AJ$20</formula>
    </cfRule>
  </conditionalFormatting>
  <conditionalFormatting sqref="BE132:BE133">
    <cfRule type="expression" dxfId="6" priority="26" stopIfTrue="1">
      <formula>(第九期!#REF!-$BE$54)&lt;0</formula>
    </cfRule>
  </conditionalFormatting>
  <conditionalFormatting sqref="BF132:BF133">
    <cfRule type="expression" dxfId="6" priority="27" stopIfTrue="1">
      <formula>(第九期!#REF!-$BF$54)&lt;0</formula>
    </cfRule>
  </conditionalFormatting>
  <conditionalFormatting sqref="BG132:BG133">
    <cfRule type="expression" dxfId="6" priority="28" stopIfTrue="1">
      <formula>(第九期!#REF!-$BG$54)&lt;0</formula>
    </cfRule>
  </conditionalFormatting>
  <conditionalFormatting sqref="BH132:BH133">
    <cfRule type="expression" dxfId="6" priority="29" stopIfTrue="1">
      <formula>(第九期!#REF!-$BH$54)&lt;0</formula>
    </cfRule>
  </conditionalFormatting>
  <conditionalFormatting sqref="AJ40:AN43">
    <cfRule type="cellIs" dxfId="7" priority="6" stopIfTrue="1" operator="equal">
      <formula>CJ70+0.0001</formula>
    </cfRule>
  </conditionalFormatting>
  <conditionalFormatting sqref="AS57:BH76">
    <cfRule type="expression" dxfId="6" priority="10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16" workbookViewId="0">
      <selection activeCell="Y23" sqref="Y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第十期!AF76</f>
        <v>0</v>
      </c>
      <c r="BT7" s="198">
        <f>第十期!AF77</f>
        <v>0</v>
      </c>
      <c r="BU7" s="198">
        <f>第十期!AF78</f>
        <v>0</v>
      </c>
      <c r="BV7" s="198">
        <f>第十期!AF79</f>
        <v>0</v>
      </c>
      <c r="BW7" s="200">
        <f>第十期!$AF$80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第十期!$AG$76</f>
        <v>0</v>
      </c>
      <c r="BT8" s="198">
        <f>第十期!$AG$77</f>
        <v>0</v>
      </c>
      <c r="BU8" s="198">
        <f>第十期!$AG$78</f>
        <v>0</v>
      </c>
      <c r="BV8" s="198">
        <f>第十期!$AG$79</f>
        <v>0</v>
      </c>
      <c r="BW8" s="200">
        <f>第十期!$AG$80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第十期!$AH$76</f>
        <v>0</v>
      </c>
      <c r="BT9" s="198">
        <f>第十期!$AH$77</f>
        <v>0</v>
      </c>
      <c r="BU9" s="198">
        <f>第十期!$AH$78</f>
        <v>0</v>
      </c>
      <c r="BV9" s="198">
        <f>第十期!$AH$79</f>
        <v>0</v>
      </c>
      <c r="BW9" s="200">
        <f>第十期!$AH$80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第十期!$AI$76</f>
        <v>0</v>
      </c>
      <c r="BT10" s="198">
        <f>第十期!$AI$77</f>
        <v>0</v>
      </c>
      <c r="BU10" s="198">
        <f>第十期!$AI$78</f>
        <v>0</v>
      </c>
      <c r="BV10" s="198">
        <f>第十期!$AI$79</f>
        <v>0</v>
      </c>
      <c r="BW10" s="200">
        <f>第十期!$AI$80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第十期!$AJ$76</f>
        <v>0</v>
      </c>
      <c r="BT11" s="200">
        <f>第十期!$AJ$77</f>
        <v>0</v>
      </c>
      <c r="BU11" s="200">
        <f>第十期!$AJ$78</f>
        <v>0</v>
      </c>
      <c r="BV11" s="200">
        <f>第十期!$AJ$79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第十期!BU86</f>
        <v>0</v>
      </c>
      <c r="AG13" s="135" t="s">
        <v>208</v>
      </c>
      <c r="AH13" s="136">
        <f>第十期!BV76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第十期!BW92</f>
        <v>0</v>
      </c>
      <c r="AG14" s="73" t="s">
        <v>214</v>
      </c>
      <c r="AH14" s="138"/>
      <c r="AI14" s="42" t="s">
        <v>97</v>
      </c>
      <c r="AJ14" s="139">
        <f>第十期!K12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第十期!Y88</f>
        <v>0</v>
      </c>
      <c r="BT14" s="198">
        <f>第十期!Y89</f>
        <v>0</v>
      </c>
      <c r="BU14" s="198">
        <f>第十期!Y90</f>
        <v>0</v>
      </c>
      <c r="BV14" s="198">
        <f>第十期!Y91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AF14/(Y18+第十期!K8-AA18)</f>
        <v>#DIV/0!</v>
      </c>
      <c r="AG15" s="73" t="s">
        <v>220</v>
      </c>
      <c r="AH15" s="138"/>
      <c r="AI15" s="42" t="s">
        <v>221</v>
      </c>
      <c r="AJ15" s="139">
        <f>第十期!K16*0.5-第十期!K14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第十期!Z88</f>
        <v>0</v>
      </c>
      <c r="BT15" s="198">
        <f>第十期!Z89</f>
        <v>0</v>
      </c>
      <c r="BU15" s="198">
        <f>第十期!Z90</f>
        <v>0</v>
      </c>
      <c r="BV15" s="198">
        <f>第十期!Z91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第十期!DM60</f>
        <v>0</v>
      </c>
      <c r="Z16" s="92" t="s">
        <v>224</v>
      </c>
      <c r="AA16" s="93">
        <f>AH20+Y16+第十期!K9*比赛参数!D30*比赛参数!F30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第十期!AA88</f>
        <v>0</v>
      </c>
      <c r="BT16" s="198">
        <f>第十期!AA89</f>
        <v>0</v>
      </c>
      <c r="BU16" s="198">
        <f>第十期!AA90</f>
        <v>0</v>
      </c>
      <c r="BV16" s="198">
        <f>第十期!AA91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第十期!AB88</f>
        <v>0</v>
      </c>
      <c r="BT17" s="198">
        <f>第十期!AB89</f>
        <v>0</v>
      </c>
      <c r="BU17" s="198">
        <f>第十期!AB90</f>
        <v>0</v>
      </c>
      <c r="BV17" s="198">
        <f>第十期!AB91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第十期!K8*比赛参数!D57</f>
        <v>0</v>
      </c>
      <c r="Z19" s="104" t="s">
        <v>250</v>
      </c>
      <c r="AA19" s="99">
        <f>第十期!K8*比赛参数!D60</f>
        <v>0</v>
      </c>
      <c r="AB19" s="104" t="s">
        <v>250</v>
      </c>
      <c r="AC19" s="105" t="e">
        <f>IF((AC21-第十期!K10)/比赛参数!D41&gt;0,(AC21-第十期!K10)/比赛参数!D41,0)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IF((第十期!BW92-第十期!BS87)&gt;0,第十期!BW92-第十期!BS87,0)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第十期!$CX$68</f>
        <v>0</v>
      </c>
      <c r="CD19" s="110">
        <f>第十期!$CX$69</f>
        <v>0</v>
      </c>
      <c r="CE19" s="110">
        <f>第十期!$CX$70</f>
        <v>0</v>
      </c>
      <c r="CF19" s="110">
        <f>第十期!$CX$71</f>
        <v>0</v>
      </c>
      <c r="CG19" s="219"/>
      <c r="CH19" s="225"/>
      <c r="CI19" s="226" t="s">
        <v>55</v>
      </c>
      <c r="CJ19" s="110">
        <f>第十期!$CX$50</f>
        <v>0</v>
      </c>
      <c r="CK19" s="110">
        <f>第十期!$CX$51</f>
        <v>0</v>
      </c>
      <c r="CL19" s="110">
        <f>第十期!$CX$52</f>
        <v>0</v>
      </c>
      <c r="CM19" s="110">
        <f>第十期!$CX$53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第十期!K8+第十期!Y18*比赛参数!D59-第十期!AA18</f>
        <v>0</v>
      </c>
      <c r="Z20" s="42" t="s">
        <v>245</v>
      </c>
      <c r="AA20" s="108">
        <f>第十期!K9</f>
        <v>0</v>
      </c>
      <c r="AB20" s="42" t="s">
        <v>257</v>
      </c>
      <c r="AC20" s="109">
        <f>AC18*比赛参数!D41+第十期!K10</f>
        <v>0</v>
      </c>
      <c r="AE20" s="11" t="s">
        <v>258</v>
      </c>
      <c r="AF20" s="101"/>
      <c r="AG20" s="42" t="s">
        <v>91</v>
      </c>
      <c r="AH20" s="147">
        <f>第十期!BS62+第十期!BS71</f>
        <v>0</v>
      </c>
      <c r="AI20" s="73" t="s">
        <v>259</v>
      </c>
      <c r="AJ20" s="111">
        <f>第十期!BV90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第十期!Y9</f>
        <v>0</v>
      </c>
      <c r="BT20" s="198">
        <f>第十期!Z9</f>
        <v>0</v>
      </c>
      <c r="BU20" s="198">
        <f>第十期!AA9</f>
        <v>0</v>
      </c>
      <c r="BV20" s="198">
        <f>第十期!AB9</f>
        <v>0</v>
      </c>
      <c r="BW20" s="200">
        <f>第十期!AJ34</f>
        <v>0</v>
      </c>
      <c r="BX20" s="215"/>
      <c r="CA20" s="213"/>
      <c r="CB20" s="196" t="s">
        <v>56</v>
      </c>
      <c r="CC20" s="110">
        <f>第十期!$CY$68</f>
        <v>0</v>
      </c>
      <c r="CD20" s="110">
        <f>第十期!$CY$69</f>
        <v>0</v>
      </c>
      <c r="CE20" s="110">
        <f>第十期!$CY$70</f>
        <v>0</v>
      </c>
      <c r="CF20" s="110">
        <f>第十期!$CY$71</f>
        <v>0</v>
      </c>
      <c r="CG20" s="219"/>
      <c r="CH20" s="225"/>
      <c r="CI20" s="227" t="s">
        <v>56</v>
      </c>
      <c r="CJ20" s="110">
        <f>第十期!$CY$50</f>
        <v>0</v>
      </c>
      <c r="CK20" s="110">
        <f>第十期!$CY$51</f>
        <v>0</v>
      </c>
      <c r="CL20" s="110">
        <f>第十期!$CY$52</f>
        <v>0</v>
      </c>
      <c r="CM20" s="110">
        <f>第十期!$CY$53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第十期!Y10</f>
        <v>0</v>
      </c>
      <c r="BT21" s="198">
        <f>第十期!Z10</f>
        <v>0</v>
      </c>
      <c r="BU21" s="198">
        <f>第十期!AA10</f>
        <v>0</v>
      </c>
      <c r="BV21" s="198">
        <f>第十期!AB10</f>
        <v>0</v>
      </c>
      <c r="BW21" s="200">
        <f>第十期!AJ35</f>
        <v>0</v>
      </c>
      <c r="BX21" s="215"/>
      <c r="CA21" s="213"/>
      <c r="CB21" s="196" t="s">
        <v>57</v>
      </c>
      <c r="CC21" s="110">
        <f>第十期!$CZ$68</f>
        <v>0</v>
      </c>
      <c r="CD21" s="110">
        <f>第十期!$CZ$69</f>
        <v>0</v>
      </c>
      <c r="CE21" s="110">
        <f>第十期!$CZ$70</f>
        <v>0</v>
      </c>
      <c r="CF21" s="110">
        <f>第十期!$CZ$71</f>
        <v>0</v>
      </c>
      <c r="CG21" s="219"/>
      <c r="CH21" s="225"/>
      <c r="CI21" s="227" t="s">
        <v>57</v>
      </c>
      <c r="CJ21" s="110">
        <f>第十期!$CZ$50</f>
        <v>0</v>
      </c>
      <c r="CK21" s="110">
        <f>第十期!$CZ$51</f>
        <v>0</v>
      </c>
      <c r="CL21" s="110">
        <f>第十期!$CZ$52</f>
        <v>0</v>
      </c>
      <c r="CM21" s="110">
        <f>第十期!$CZ$53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第十期!Y11</f>
        <v>0</v>
      </c>
      <c r="BT22" s="198">
        <f>第十期!Z11</f>
        <v>0</v>
      </c>
      <c r="BU22" s="198">
        <f>第十期!AA11</f>
        <v>0</v>
      </c>
      <c r="BV22" s="198">
        <f>第十期!AB11</f>
        <v>0</v>
      </c>
      <c r="BW22" s="200">
        <f>第十期!AJ36</f>
        <v>0</v>
      </c>
      <c r="BX22" s="215"/>
      <c r="CA22" s="213"/>
      <c r="CB22" s="196" t="s">
        <v>58</v>
      </c>
      <c r="CC22" s="110">
        <f>第十期!$DA$68</f>
        <v>0</v>
      </c>
      <c r="CD22" s="110">
        <f>第十期!$DA$69</f>
        <v>0</v>
      </c>
      <c r="CE22" s="110">
        <f>第十期!$DA$70</f>
        <v>0</v>
      </c>
      <c r="CF22" s="110">
        <f>第十期!$DA$71</f>
        <v>0</v>
      </c>
      <c r="CG22" s="219"/>
      <c r="CH22" s="225"/>
      <c r="CI22" s="227" t="s">
        <v>58</v>
      </c>
      <c r="CJ22" s="110">
        <f>第十期!$DA$50</f>
        <v>0</v>
      </c>
      <c r="CK22" s="110">
        <f>第十期!$DA$51</f>
        <v>0</v>
      </c>
      <c r="CL22" s="110">
        <f>第十期!$DA$52</f>
        <v>0</v>
      </c>
      <c r="CM22" s="110">
        <f>第十期!$DA$53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第十期!Y12</f>
        <v>0</v>
      </c>
      <c r="BT23" s="198">
        <f>第十期!Z12</f>
        <v>0</v>
      </c>
      <c r="BU23" s="198">
        <f>第十期!AA12</f>
        <v>0</v>
      </c>
      <c r="BV23" s="198">
        <f>第十期!AB12</f>
        <v>0</v>
      </c>
      <c r="BW23" s="200">
        <f>第十期!AJ37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第十期!BV57-第十期!BV76</f>
        <v>0</v>
      </c>
      <c r="AJ26" s="65">
        <f>第十期!K9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第十期!Y18</f>
        <v>0</v>
      </c>
      <c r="BT26" s="198">
        <f>第十期!AA18</f>
        <v>0</v>
      </c>
      <c r="BU26" s="198">
        <f>第十期!AF18</f>
        <v>0</v>
      </c>
      <c r="BV26" s="204">
        <f>第十期!AC18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第十期!DB53</f>
        <v>0</v>
      </c>
      <c r="BQ29" s="177"/>
      <c r="BR29" s="201"/>
      <c r="BS29" s="204">
        <f>第十期!AH14</f>
        <v>0</v>
      </c>
      <c r="BT29" s="204">
        <f>第十期!AH15</f>
        <v>0</v>
      </c>
      <c r="BU29" s="198">
        <f>第十期!AF20</f>
        <v>0</v>
      </c>
      <c r="BV29" s="204">
        <f>第十期!AJ18</f>
        <v>0</v>
      </c>
      <c r="BW29" s="218">
        <f>第十期!AH18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第十期!DG56*第十期!DG50+第十期!DG64*第十期!Y88</f>
        <v>0</v>
      </c>
      <c r="CD38" s="108">
        <f>第十期!DH56*第十期!DH50+第十期!DH64*第十期!Z88</f>
        <v>0</v>
      </c>
      <c r="CE38" s="108">
        <f>第十期!DI56*第十期!DI50+第十期!DI64*第十期!AA88</f>
        <v>0</v>
      </c>
      <c r="CF38" s="108">
        <f>第十期!DJ56*第十期!DJ50+第十期!DJ64*第十期!AB88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第十期!DG57*第十期!DG51+第十期!DG65*第十期!Y89</f>
        <v>0</v>
      </c>
      <c r="CD39" s="108">
        <f>第十期!DH57*第十期!DH51+第十期!DH65*第十期!Z89</f>
        <v>0</v>
      </c>
      <c r="CE39" s="108">
        <f>第十期!DI57*第十期!DI51+第十期!DI65*第十期!AA89</f>
        <v>0</v>
      </c>
      <c r="CF39" s="108">
        <f>第十期!DJ57*第十期!DJ51+第十期!DJ65*第十期!AB89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第十期!DG58*第十期!DG52+第十期!DG66*第十期!Y90</f>
        <v>0</v>
      </c>
      <c r="CD40" s="108">
        <f>第十期!DH58*第十期!DH52+第十期!DH66*第十期!Z90</f>
        <v>0</v>
      </c>
      <c r="CE40" s="108">
        <f>第十期!DI58*第十期!DI52+第十期!DI66*第十期!AA90</f>
        <v>0</v>
      </c>
      <c r="CF40" s="108">
        <f>第十期!DJ58*第十期!DJ52+第十期!DJ66*第十期!AB90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第十期!DG59*第十期!DG53+第十期!DG67*第十期!Y91</f>
        <v>0</v>
      </c>
      <c r="CD41" s="108">
        <f>第十期!DH59*第十期!DH53+第十期!DH67*第十期!Z91</f>
        <v>0</v>
      </c>
      <c r="CE41" s="108">
        <f>第十期!DI59*第十期!DI53+第十期!DI67*第十期!AA91</f>
        <v>0</v>
      </c>
      <c r="CF41" s="108">
        <f>第十期!DJ59*第十期!DJ53+第十期!DJ67*第十期!AB91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第十期!Y9*第十期!CQ62*比赛参数!D65</f>
        <v>0</v>
      </c>
      <c r="CR50" s="65">
        <f>第十期!Z9*第十期!CR62*比赛参数!E65</f>
        <v>0</v>
      </c>
      <c r="CS50" s="65">
        <f>第十期!AA9*第十期!CS62*比赛参数!F65</f>
        <v>0</v>
      </c>
      <c r="CT50" s="65">
        <f>第十期!AB9*第十期!CT62*比赛参数!G65</f>
        <v>0</v>
      </c>
      <c r="CU50" s="65">
        <f>IF(第十期!AC9&gt;0,SUM(CQ50:CT50)/第十期!AC9,0)</f>
        <v>0</v>
      </c>
      <c r="CW50" s="11" t="s">
        <v>38</v>
      </c>
      <c r="CX50" s="242">
        <f>IF(第十期!$CU$50*第十期!CQ93&gt;0,第十期!$CU$50+第十期!CQ68+第十期!CQ93+第十期!CQ74,0)</f>
        <v>0</v>
      </c>
      <c r="CY50" s="242">
        <f>IF(第十期!$CU$50*第十期!CR93&gt;0,第十期!$CU$50+第十期!CR68+第十期!CR93+第十期!CR74,0)</f>
        <v>0</v>
      </c>
      <c r="CZ50" s="242">
        <f>IF(第十期!$CU$50*第十期!CS93&gt;0,第十期!$CU$50+第十期!CS68+第十期!CS93+第十期!CS74,0)</f>
        <v>0</v>
      </c>
      <c r="DA50" s="242">
        <f>IF(第十期!$CU$50*第十期!CT93&gt;0,第十期!$CU$50+第十期!CT68+第十期!CT93+第十期!CT74,0)</f>
        <v>0</v>
      </c>
      <c r="DB50" s="242">
        <f>AVERAGE(CX50:DA50)</f>
        <v>0</v>
      </c>
      <c r="DF50" s="65" t="s">
        <v>55</v>
      </c>
      <c r="DG50" s="245">
        <f>IF(第十期!Y88&gt;0,1,0)</f>
        <v>0</v>
      </c>
      <c r="DH50" s="245">
        <f>IF(第十期!Z88&gt;0,1,0)</f>
        <v>0</v>
      </c>
      <c r="DI50" s="245">
        <f>IF(第十期!AA88&gt;0,1,0)</f>
        <v>0</v>
      </c>
      <c r="DJ50" s="245">
        <f>IF(第十期!AB88&gt;0,1,0)</f>
        <v>0</v>
      </c>
      <c r="DL50" s="245" t="s">
        <v>21</v>
      </c>
      <c r="DM50" s="248">
        <f>IF(第十期!Y9+第十期!Z9&gt;0,1,0)</f>
        <v>0</v>
      </c>
      <c r="DN50" s="248">
        <f>IF(第十期!AA9+第十期!AB9&gt;0,1,0)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第十期!Y10*第十期!CQ63*比赛参数!D65</f>
        <v>0</v>
      </c>
      <c r="CR51" s="65">
        <f>第十期!Z10*第十期!CR63*比赛参数!E65</f>
        <v>0</v>
      </c>
      <c r="CS51" s="65">
        <f>第十期!AA10*第十期!CS63*比赛参数!F65</f>
        <v>0</v>
      </c>
      <c r="CT51" s="65">
        <f>第十期!AB10*第十期!CT63*比赛参数!G65</f>
        <v>0</v>
      </c>
      <c r="CU51" s="65">
        <f>IF(第十期!AC10&gt;0,SUM(CQ51:CT51)/第十期!AC10,0)</f>
        <v>0</v>
      </c>
      <c r="CW51" s="11" t="s">
        <v>39</v>
      </c>
      <c r="CX51" s="242">
        <f>IF(第十期!$CU$51*第十期!CQ94&gt;0,第十期!$CU$51+第十期!CQ69+第十期!CQ94+第十期!CQ75,0)</f>
        <v>0</v>
      </c>
      <c r="CY51" s="242">
        <f>IF(第十期!$CU$51*第十期!CR94&gt;0,第十期!$CU$51+第十期!CR69+第十期!CR94+第十期!CR75,0)</f>
        <v>0</v>
      </c>
      <c r="CZ51" s="242">
        <f>IF(第十期!$CU$51*第十期!CS94&gt;0,第十期!$CU$51+第十期!CS69+第十期!CS94+第十期!CS75,0)</f>
        <v>0</v>
      </c>
      <c r="DA51" s="242">
        <f>IF(第十期!$CU$51*第十期!CT94&gt;0,第十期!$CU$51+第十期!CT69+第十期!CT94+第十期!CT75,0)</f>
        <v>0</v>
      </c>
      <c r="DB51" s="242">
        <f>AVERAGE(CX51:DA51)</f>
        <v>0</v>
      </c>
      <c r="DF51" s="65" t="s">
        <v>56</v>
      </c>
      <c r="DG51" s="245">
        <f>IF(第十期!Y89&gt;0,1,0)</f>
        <v>0</v>
      </c>
      <c r="DH51" s="245">
        <f>IF(第十期!Z89&gt;0,1,0)</f>
        <v>0</v>
      </c>
      <c r="DI51" s="245">
        <f>IF(第十期!AA89&gt;0,1,0)</f>
        <v>0</v>
      </c>
      <c r="DJ51" s="245">
        <f>IF(第十期!AB89&gt;0,1,0)</f>
        <v>0</v>
      </c>
      <c r="DL51" s="245" t="s">
        <v>22</v>
      </c>
      <c r="DM51" s="248">
        <f>IF(第十期!Y10+第十期!Z10&gt;0,1,0)</f>
        <v>0</v>
      </c>
      <c r="DN51" s="248">
        <f>IF(第十期!AA10+第十期!AB10&gt;0,1,0)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第十期!Y11*第十期!CQ64*比赛参数!D65</f>
        <v>0</v>
      </c>
      <c r="CR52" s="65">
        <f>第十期!Z11*第十期!CR64*比赛参数!E65</f>
        <v>0</v>
      </c>
      <c r="CS52" s="65">
        <f>第十期!AA11*第十期!CS64*比赛参数!F65</f>
        <v>0</v>
      </c>
      <c r="CT52" s="65">
        <f>第十期!AB11*第十期!CT64*比赛参数!G65</f>
        <v>0</v>
      </c>
      <c r="CU52" s="65">
        <f>IF(第十期!AC11&gt;0,SUM(CQ52:CT52)/第十期!AC11,0)</f>
        <v>0</v>
      </c>
      <c r="CW52" s="11" t="s">
        <v>40</v>
      </c>
      <c r="CX52" s="242">
        <f>IF(第十期!$CU$52*第十期!CQ95&gt;0,第十期!$CU$52+第十期!CQ70+第十期!CQ95+第十期!CQ76,0)</f>
        <v>0</v>
      </c>
      <c r="CY52" s="242">
        <f>IF(第十期!$CU$52*第十期!CR95&gt;0,第十期!$CU$52+第十期!CR70+第十期!CR95+第十期!CR76,0)</f>
        <v>0</v>
      </c>
      <c r="CZ52" s="242">
        <f>IF(第十期!$CU$52*第十期!CS95&gt;0,第十期!$CU$52+第十期!CS70+第十期!CS95+第十期!CS76,0)</f>
        <v>0</v>
      </c>
      <c r="DA52" s="242">
        <f>IF(第十期!$CU$52*第十期!CT95&gt;0,第十期!$CU$52+第十期!CT70+第十期!CT95+第十期!CT76,0)</f>
        <v>0</v>
      </c>
      <c r="DB52" s="242">
        <f>AVERAGE(CX52:DA52)</f>
        <v>0</v>
      </c>
      <c r="DF52" s="65" t="s">
        <v>57</v>
      </c>
      <c r="DG52" s="245">
        <f>IF(第十期!Y90&gt;0,1,0)</f>
        <v>0</v>
      </c>
      <c r="DH52" s="245">
        <f>IF(第十期!Z90&gt;0,1,0)</f>
        <v>0</v>
      </c>
      <c r="DI52" s="245">
        <f>IF(第十期!AA90&gt;0,1,0)</f>
        <v>0</v>
      </c>
      <c r="DJ52" s="245">
        <f>IF(第十期!AB90&gt;0,1,0)</f>
        <v>0</v>
      </c>
      <c r="DL52" s="245" t="s">
        <v>23</v>
      </c>
      <c r="DM52" s="248">
        <f>IF(第十期!Y11+第十期!Z11&gt;0,1,0)</f>
        <v>0</v>
      </c>
      <c r="DN52" s="248">
        <f>IF(第十期!AA11+第十期!AB11&gt;0,1,0)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第十期!Y12*第十期!CQ65*比赛参数!D65</f>
        <v>0</v>
      </c>
      <c r="CR53" s="65">
        <f>第十期!Z12*第十期!CR65*比赛参数!E65</f>
        <v>0</v>
      </c>
      <c r="CS53" s="65">
        <f>第十期!AA12*第十期!CS65*比赛参数!F65</f>
        <v>0</v>
      </c>
      <c r="CT53" s="65">
        <f>第十期!AB12*第十期!CT65*比赛参数!G65</f>
        <v>0</v>
      </c>
      <c r="CU53" s="65">
        <f>IF(第十期!AC12&gt;0,SUM(CQ53:CT53)/第十期!AC12,0)</f>
        <v>0</v>
      </c>
      <c r="CW53" s="11" t="s">
        <v>41</v>
      </c>
      <c r="CX53" s="242">
        <f>IF(第十期!$CU$53*第十期!CQ96&gt;0,第十期!$CU$53+第十期!CQ71+第十期!CQ96+第十期!CQ77,0)</f>
        <v>0</v>
      </c>
      <c r="CY53" s="242">
        <f>IF(第十期!$CU$53*第十期!CR96&gt;0,第十期!$CU$53+第十期!CR71+第十期!CR96+第十期!CR77,0)</f>
        <v>0</v>
      </c>
      <c r="CZ53" s="242">
        <f>IF(第十期!$CU$53*第十期!CS96&gt;0,第十期!$CU$53+第十期!CS71+第十期!CS96+第十期!CS77,0)</f>
        <v>0</v>
      </c>
      <c r="DA53" s="242">
        <f>IF(第十期!$CU$53*第十期!CT96&gt;0,第十期!$CU$53+第十期!CT71+第十期!CT96+第十期!CT77,0)</f>
        <v>0</v>
      </c>
      <c r="DB53" s="242">
        <f>AVERAGE(CX53:DA53)</f>
        <v>0</v>
      </c>
      <c r="DF53" s="65" t="s">
        <v>58</v>
      </c>
      <c r="DG53" s="245">
        <f>IF(第十期!Y91&gt;0,1,0)</f>
        <v>0</v>
      </c>
      <c r="DH53" s="245">
        <f>IF(第十期!Z91&gt;0,1,0)</f>
        <v>0</v>
      </c>
      <c r="DI53" s="245">
        <f>IF(第十期!AA91&gt;0,1,0)</f>
        <v>0</v>
      </c>
      <c r="DJ53" s="245">
        <f>IF(第十期!AB91&gt;0,1,0)</f>
        <v>0</v>
      </c>
      <c r="DL53" s="245" t="s">
        <v>24</v>
      </c>
      <c r="DM53" s="248">
        <f>IF(第十期!Y12+第十期!Z12&gt;0,1,0)</f>
        <v>0</v>
      </c>
      <c r="DN53" s="248">
        <f>IF(第十期!AA12+第十期!AB12&gt;0,1,0)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第十期!DU26</f>
        <v>0</v>
      </c>
      <c r="CD56" s="108">
        <f>第十期!DU27</f>
        <v>0</v>
      </c>
      <c r="CE56" s="108">
        <f>第十期!DU28</f>
        <v>0</v>
      </c>
      <c r="CF56" s="108">
        <f>第十期!DU29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第十期!BS7-第十期!CX50</f>
        <v>0</v>
      </c>
      <c r="CY56" s="242">
        <f>第十期!BT7-第十期!CY50</f>
        <v>0</v>
      </c>
      <c r="CZ56" s="242">
        <f>第十期!BU7-第十期!CZ50</f>
        <v>0</v>
      </c>
      <c r="DA56" s="242">
        <f>第十期!BV7-第十期!DA50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第十期!DX6</f>
        <v>0</v>
      </c>
      <c r="Z57" s="127">
        <f>第十期!DX10</f>
        <v>0</v>
      </c>
      <c r="AA57" s="127">
        <f>第十期!DX14</f>
        <v>0</v>
      </c>
      <c r="AB57" s="127">
        <f>第十期!DX18</f>
        <v>0</v>
      </c>
      <c r="AC57" s="128"/>
      <c r="AE57" s="64" t="s">
        <v>55</v>
      </c>
      <c r="AF57" s="127">
        <f>第十期!DW6</f>
        <v>0</v>
      </c>
      <c r="AG57" s="127">
        <f>第十期!DW10</f>
        <v>0</v>
      </c>
      <c r="AH57" s="127">
        <f>第十期!DW14</f>
        <v>0</v>
      </c>
      <c r="AI57" s="127">
        <f>第十期!DW18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第十期!BS8-第十期!CX51</f>
        <v>0</v>
      </c>
      <c r="CY57" s="242">
        <f>第十期!BT8-第十期!CY51</f>
        <v>0</v>
      </c>
      <c r="CZ57" s="242">
        <f>第十期!BU8-第十期!CZ51</f>
        <v>0</v>
      </c>
      <c r="DA57" s="242">
        <f>第十期!BV8-第十期!DA51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第十期!DX7</f>
        <v>0</v>
      </c>
      <c r="Z58" s="127">
        <f>第十期!DX11</f>
        <v>0</v>
      </c>
      <c r="AA58" s="127">
        <f>第十期!DX15</f>
        <v>0</v>
      </c>
      <c r="AB58" s="127">
        <f>第十期!DX19</f>
        <v>0</v>
      </c>
      <c r="AC58" s="128"/>
      <c r="AE58" s="11" t="s">
        <v>56</v>
      </c>
      <c r="AF58" s="127">
        <f>第十期!DW7</f>
        <v>0</v>
      </c>
      <c r="AG58" s="127">
        <f>第十期!DW11</f>
        <v>0</v>
      </c>
      <c r="AH58" s="127">
        <f>第十期!DW15</f>
        <v>0</v>
      </c>
      <c r="AI58" s="127">
        <f>第十期!DW19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第十期!H5+第十期!H4*比赛参数!F71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第十期!BS9-第十期!CX52</f>
        <v>0</v>
      </c>
      <c r="CY58" s="242">
        <f>第十期!BT9-第十期!CY52</f>
        <v>0</v>
      </c>
      <c r="CZ58" s="242">
        <f>第十期!BU9-第十期!CZ52</f>
        <v>0</v>
      </c>
      <c r="DA58" s="242">
        <f>第十期!BV9-第十期!DA52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第十期!DX8</f>
        <v>0</v>
      </c>
      <c r="Z59" s="127">
        <f>第十期!DX12</f>
        <v>0</v>
      </c>
      <c r="AA59" s="127">
        <f>第十期!DX16</f>
        <v>0</v>
      </c>
      <c r="AB59" s="127">
        <f>第十期!DX20</f>
        <v>0</v>
      </c>
      <c r="AC59" s="129"/>
      <c r="AE59" s="11" t="s">
        <v>57</v>
      </c>
      <c r="AF59" s="127">
        <f>第十期!DW8</f>
        <v>0</v>
      </c>
      <c r="AG59" s="127">
        <f>第十期!DW12</f>
        <v>0</v>
      </c>
      <c r="AH59" s="127">
        <f>第十期!DW16</f>
        <v>0</v>
      </c>
      <c r="AI59" s="127">
        <f>第十期!DW20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第十期!BS10-第十期!CX53</f>
        <v>0</v>
      </c>
      <c r="CY59" s="242">
        <f>第十期!BT10-第十期!CY53</f>
        <v>0</v>
      </c>
      <c r="CZ59" s="242">
        <f>第十期!BU10-第十期!CZ53</f>
        <v>0</v>
      </c>
      <c r="DA59" s="242">
        <f>第十期!BV10-第十期!DA53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第十期!DX9</f>
        <v>0</v>
      </c>
      <c r="Z60" s="127">
        <f>第十期!DX13</f>
        <v>0</v>
      </c>
      <c r="AA60" s="127">
        <f>第十期!DX17</f>
        <v>0</v>
      </c>
      <c r="AB60" s="127">
        <f>第十期!DX21</f>
        <v>0</v>
      </c>
      <c r="AC60" s="108" t="s">
        <v>314</v>
      </c>
      <c r="AE60" s="11" t="s">
        <v>58</v>
      </c>
      <c r="AF60" s="127">
        <f>第十期!DW9</f>
        <v>0</v>
      </c>
      <c r="AG60" s="127">
        <f>第十期!DW13</f>
        <v>0</v>
      </c>
      <c r="AH60" s="127">
        <f>第十期!DW17</f>
        <v>0</v>
      </c>
      <c r="AI60" s="127">
        <f>第十期!DW21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((第十期!K8-第十期!AA18)*比赛参数!D65+第十期!Y18*比赛参数!D59*比赛参数!D65)*第十期!AH18*520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CX56/第十期!CQ56</f>
        <v>#DIV/0!</v>
      </c>
      <c r="CY62" s="242" t="e">
        <f>CY56/第十期!CR56</f>
        <v>#DIV/0!</v>
      </c>
      <c r="CZ62" s="242" t="e">
        <f>CZ56/第十期!CS56</f>
        <v>#DIV/0!</v>
      </c>
      <c r="DA62" s="242" t="e">
        <f>DA56/第十期!CT56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CX57/第十期!CQ57</f>
        <v>#DIV/0!</v>
      </c>
      <c r="CY63" s="242" t="e">
        <f>CY57/第十期!CR57</f>
        <v>#DIV/0!</v>
      </c>
      <c r="CZ63" s="242" t="e">
        <f>CZ57/第十期!CS57</f>
        <v>#DIV/0!</v>
      </c>
      <c r="DA63" s="242" t="e">
        <f>DA57/第十期!CT57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CX58/第十期!CQ58</f>
        <v>#DIV/0!</v>
      </c>
      <c r="CY64" s="242" t="e">
        <f>CY58/第十期!CR58</f>
        <v>#DIV/0!</v>
      </c>
      <c r="CZ64" s="242" t="e">
        <f>CZ58/第十期!CS58</f>
        <v>#DIV/0!</v>
      </c>
      <c r="DA64" s="242" t="e">
        <f>DA58/第十期!CT58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0.5*第十期!AL37+0.5*第十期!DV23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CX59/第十期!CQ59</f>
        <v>#DIV/0!</v>
      </c>
      <c r="CY65" s="242" t="e">
        <f>CY59/第十期!CR59</f>
        <v>#DIV/0!</v>
      </c>
      <c r="CZ65" s="242" t="e">
        <f>CZ59/第十期!CS59</f>
        <v>#DIV/0!</v>
      </c>
      <c r="DA65" s="242" t="e">
        <f>DA59/第十期!CT59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期!AC18&gt;=比赛参数!D33,(1-比赛参数!E33)*第十期!AC18,0)+IF(AND(第十期!AC18&gt;=比赛参数!D34,第十期!AC18&lt;比赛参数!D33),(1-比赛参数!E34)*第十期!AC18,0)+IF(AND(第十期!AC18&gt;=比赛参数!D35,第十期!AC18&lt;比赛参数!D34),(1-比赛参数!E35)*第十期!AC18,0)+IF(AND(第十期!AC18&gt;=比赛参数!D36,第十期!AC18&lt;比赛参数!D35),(1-比赛参数!E36)*第十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第十期!DV6</f>
        <v>0</v>
      </c>
      <c r="AG70" s="131">
        <f>第十期!DV10</f>
        <v>0</v>
      </c>
      <c r="AH70" s="131">
        <f>第十期!DV14</f>
        <v>0</v>
      </c>
      <c r="AI70" s="131">
        <f>第十期!DV18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IF(第十期!AC18&gt;0,第十期!AC18*比赛参数!E40+比赛参数!E39,0)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第十期!DV7</f>
        <v>0</v>
      </c>
      <c r="AG71" s="131">
        <f>第十期!DV11</f>
        <v>0</v>
      </c>
      <c r="AH71" s="131">
        <f>第十期!DV15</f>
        <v>0</v>
      </c>
      <c r="AI71" s="131">
        <f>第十期!DV19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(第十期!Z13*比赛参数!E65*260+第十期!AA13*(比赛参数!F65-比赛参数!D65)*520+第十期!AB13*比赛参数!G65*260)*第十期!AH18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第十期!DV8</f>
        <v>0</v>
      </c>
      <c r="AG72" s="131">
        <f>第十期!DV12</f>
        <v>0</v>
      </c>
      <c r="AH72" s="131">
        <f>第十期!DV16</f>
        <v>0</v>
      </c>
      <c r="AI72" s="131">
        <f>第十期!DV20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第十期!DV9</f>
        <v>0</v>
      </c>
      <c r="AG73" s="131">
        <f>第十期!DV13</f>
        <v>0</v>
      </c>
      <c r="AH73" s="131">
        <f>第十期!DV17</f>
        <v>0</v>
      </c>
      <c r="AI73" s="131">
        <f>第十期!DV21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第十期!Y9*第十期!CQ56</f>
        <v>0</v>
      </c>
      <c r="CR80" s="65">
        <f>第十期!Z9*第十期!CR56</f>
        <v>0</v>
      </c>
      <c r="CS80" s="65">
        <f>第十期!AA9*第十期!CS56</f>
        <v>0</v>
      </c>
      <c r="CT80" s="65">
        <f>第十期!AB9*第十期!CT56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(第十期!K10+(第十期!AC18+第十期!K10-第十期!AC21))/2*比赛参数!D16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第十期!Y10*第十期!CQ57</f>
        <v>0</v>
      </c>
      <c r="CR81" s="65">
        <f>第十期!Z10*第十期!CR57</f>
        <v>0</v>
      </c>
      <c r="CS81" s="65">
        <f>第十期!AA10*第十期!CS57</f>
        <v>0</v>
      </c>
      <c r="CT81" s="65">
        <f>第十期!AB10*第十期!CT57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第十期!Y11*第十期!CQ58</f>
        <v>0</v>
      </c>
      <c r="CR82" s="65">
        <f>第十期!Z11*第十期!CR58</f>
        <v>0</v>
      </c>
      <c r="CS82" s="65">
        <f>第十期!AA11*第十期!CS58</f>
        <v>0</v>
      </c>
      <c r="CT82" s="65">
        <f>第十期!AB11*第十期!CT58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第十期!Y12*第十期!CQ59</f>
        <v>0</v>
      </c>
      <c r="CR83" s="65">
        <f>第十期!Z12*第十期!CR59</f>
        <v>0</v>
      </c>
      <c r="CS83" s="65">
        <f>第十期!AA12*第十期!CS59</f>
        <v>0</v>
      </c>
      <c r="CT83" s="65">
        <f>第十期!AB12*第十期!CT59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第十期!DS33</f>
        <v>0</v>
      </c>
      <c r="AG86" s="131">
        <f>第十期!DW33</f>
        <v>0</v>
      </c>
      <c r="AH86" s="131">
        <f>第十期!EA33</f>
        <v>0</v>
      </c>
      <c r="AI86" s="131">
        <f>第十期!EE33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第十期!DT33</f>
        <v>0</v>
      </c>
      <c r="AG87" s="131">
        <f>第十期!DX33</f>
        <v>0</v>
      </c>
      <c r="AH87" s="131">
        <f>第十期!EB33</f>
        <v>0</v>
      </c>
      <c r="AI87" s="131">
        <f>第十期!EF33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IF(第十期!BW92&gt;0,IF((第十期!K15+第十期!BW92*比赛参数!D72)&gt;0,第十期!K15+第十期!BW92*比赛参数!D72,0))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第十期!DU33</f>
        <v>0</v>
      </c>
      <c r="AG88" s="131">
        <f>第十期!DY33</f>
        <v>0</v>
      </c>
      <c r="AH88" s="131">
        <f>第十期!EC33</f>
        <v>0</v>
      </c>
      <c r="AI88" s="131">
        <f>第十期!EG33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第十期!DV33</f>
        <v>0</v>
      </c>
      <c r="AG89" s="131">
        <f>第十期!DZ33</f>
        <v>0</v>
      </c>
      <c r="AH89" s="131">
        <f>第十期!ED33</f>
        <v>0</v>
      </c>
      <c r="AI89" s="131">
        <f>第十期!EH33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第十期!BT84</f>
        <v>0</v>
      </c>
      <c r="BT92" s="330" t="s">
        <v>181</v>
      </c>
      <c r="BU92" s="130">
        <f>第十期!BU86</f>
        <v>0</v>
      </c>
      <c r="BV92" s="332" t="s">
        <v>104</v>
      </c>
      <c r="BW92" s="333">
        <f>第十期!BT84-第十期!BU86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AC9*比赛参数!D6+第十期!DU26</f>
        <v>0</v>
      </c>
      <c r="Z93" s="37">
        <f>AC10*比赛参数!D6+第十期!DU27</f>
        <v>0</v>
      </c>
      <c r="AA93" s="37">
        <f>AC11*比赛参数!D6+第十期!DU28</f>
        <v>0</v>
      </c>
      <c r="AB93" s="37">
        <f>AC12*比赛参数!D6+第十期!DU29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IF(第十期!$AC$9&gt;0,第十期!$K$9*比赛参数!$D$30*比赛参数!$F$30*$CU$87/第十期!$AC$9,0)</f>
        <v>0</v>
      </c>
      <c r="CR93" s="65">
        <f>IF(第十期!$AC$9&gt;0,第十期!$K$9*比赛参数!$D$30*比赛参数!$F$30*$CU$87/第十期!$AC$9,0)</f>
        <v>0</v>
      </c>
      <c r="CS93" s="65">
        <f>IF(第十期!$AC$9&gt;0,第十期!$K$9*比赛参数!$D$30*比赛参数!$F$30*$CU$87/第十期!$AC$9,0)</f>
        <v>0</v>
      </c>
      <c r="CT93" s="65">
        <f>IF(第十期!$AC$9&gt;0,第十期!$K$9*比赛参数!$D$30*比赛参数!$F$30*$CU$87/第十期!$AC$9,0)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IF(第十期!$AC$10&gt;0,第十期!$K$9*比赛参数!$D$30*比赛参数!$F$30*$CU$88/第十期!$AC$10,0)</f>
        <v>0</v>
      </c>
      <c r="CR94" s="65">
        <f>IF(第十期!$AC$10&gt;0,第十期!$K$9*比赛参数!$D$30*比赛参数!$F$30*$CU$88/第十期!$AC$10,0)</f>
        <v>0</v>
      </c>
      <c r="CS94" s="65">
        <f>IF(第十期!$AC$10&gt;0,第十期!$K$9*比赛参数!$D$30*比赛参数!$F$30*$CU$88/第十期!$AC$10,0)</f>
        <v>0</v>
      </c>
      <c r="CT94" s="65">
        <f>IF(第十期!$AC$10&gt;0,第十期!$K$9*比赛参数!$D$30*比赛参数!$F$30*$CU$88/第十期!$AC$10,0)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IF(第十期!$AC$11&gt;0,第十期!$K$9*比赛参数!$D$30*比赛参数!$F$30*$CU$89/第十期!$AC$11,0)</f>
        <v>0</v>
      </c>
      <c r="CR95" s="65">
        <f>IF(第十期!$AC$11&gt;0,第十期!$K$9*比赛参数!$D$30*比赛参数!$F$30*$CU$89/第十期!$AC$11,0)</f>
        <v>0</v>
      </c>
      <c r="CS95" s="65">
        <f>IF(第十期!$AC$11&gt;0,第十期!$K$9*比赛参数!$D$30*比赛参数!$F$30*$CU$89/第十期!$AC$11,0)</f>
        <v>0</v>
      </c>
      <c r="CT95" s="65">
        <f>IF(第十期!$AC$11&gt;0,第十期!$K$9*比赛参数!$D$30*比赛参数!$F$30*$CU$89/第十期!$AC$11,0)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第十期!CX62</f>
        <v>#DIV/0!</v>
      </c>
      <c r="Z96" s="94" t="e">
        <f>第十期!CX63</f>
        <v>#DIV/0!</v>
      </c>
      <c r="AA96" s="94" t="e">
        <f>第十期!CX64</f>
        <v>#DIV/0!</v>
      </c>
      <c r="AB96" s="94" t="e">
        <f>第十期!CX65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IF(第十期!$AC$12&gt;0,第十期!$K$9*比赛参数!$D$30*比赛参数!$F$30*$CU$90/第十期!$AC$12,0)</f>
        <v>0</v>
      </c>
      <c r="CR96" s="65">
        <f>IF(第十期!$AC$12&gt;0,第十期!$K$9*比赛参数!$D$30*比赛参数!$F$30*$CU$90/第十期!$AC$12,0)</f>
        <v>0</v>
      </c>
      <c r="CS96" s="65">
        <f>IF(第十期!$AC$12&gt;0,第十期!$K$9*比赛参数!$D$30*比赛参数!$F$30*$CU$90/第十期!$AC$12,0)</f>
        <v>0</v>
      </c>
      <c r="CT96" s="65">
        <f>IF(第十期!$AC$12&gt;0,第十期!$K$9*比赛参数!$D$30*比赛参数!$F$30*$CU$90/第十期!$AC$12,0)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第十期!CY62</f>
        <v>#DIV/0!</v>
      </c>
      <c r="Z97" s="94" t="e">
        <f>第十期!CY63</f>
        <v>#DIV/0!</v>
      </c>
      <c r="AA97" s="94" t="e">
        <f>第十期!CY64</f>
        <v>#DIV/0!</v>
      </c>
      <c r="AB97" s="94" t="e">
        <f>第十期!CY65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第十期!CZ62</f>
        <v>#DIV/0!</v>
      </c>
      <c r="Z98" s="94" t="e">
        <f>第十期!CZ63</f>
        <v>#DIV/0!</v>
      </c>
      <c r="AA98" s="94" t="e">
        <f>第十期!CZ64</f>
        <v>#DIV/0!</v>
      </c>
      <c r="AB98" s="94" t="e">
        <f>第十期!CZ65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第十期!DA62</f>
        <v>#DIV/0!</v>
      </c>
      <c r="Z99" s="94" t="e">
        <f>第十期!DA63</f>
        <v>#DIV/0!</v>
      </c>
      <c r="AA99" s="94" t="e">
        <f>第十期!DA64</f>
        <v>#DIV/0!</v>
      </c>
      <c r="AB99" s="94" t="e">
        <f>第十期!DA65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(第十期!#REF!-$BE$54)&lt;0</formula>
    </cfRule>
  </conditionalFormatting>
  <conditionalFormatting sqref="BF132:BF133">
    <cfRule type="expression" dxfId="6" priority="26" stopIfTrue="1">
      <formula>(第十期!#REF!-$BF$54)&lt;0</formula>
    </cfRule>
  </conditionalFormatting>
  <conditionalFormatting sqref="BG132:BG133">
    <cfRule type="expression" dxfId="6" priority="25" stopIfTrue="1">
      <formula>(第十期!#REF!-$BG$54)&lt;0</formula>
    </cfRule>
  </conditionalFormatting>
  <conditionalFormatting sqref="BH132:BH133">
    <cfRule type="expression" dxfId="6" priority="24" stopIfTrue="1">
      <formula>(第十期!#REF!-$BH$54)&lt;0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7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第十一期!AF76</f>
        <v>0</v>
      </c>
      <c r="BT7" s="198">
        <f>第十一期!AF77</f>
        <v>0</v>
      </c>
      <c r="BU7" s="198">
        <f>第十一期!AF78</f>
        <v>0</v>
      </c>
      <c r="BV7" s="198">
        <f>第十一期!AF79</f>
        <v>0</v>
      </c>
      <c r="BW7" s="200">
        <f>第十一期!$AF$80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第十一期!$AG$76</f>
        <v>0</v>
      </c>
      <c r="BT8" s="198">
        <f>第十一期!$AG$77</f>
        <v>0</v>
      </c>
      <c r="BU8" s="198">
        <f>第十一期!$AG$78</f>
        <v>0</v>
      </c>
      <c r="BV8" s="198">
        <f>第十一期!$AG$79</f>
        <v>0</v>
      </c>
      <c r="BW8" s="200">
        <f>第十一期!$AG$80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第十一期!DB56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第十一期!$AH$76</f>
        <v>0</v>
      </c>
      <c r="BT9" s="198">
        <f>第十一期!$AH$77</f>
        <v>0</v>
      </c>
      <c r="BU9" s="198">
        <f>第十一期!$AH$78</f>
        <v>0</v>
      </c>
      <c r="BV9" s="198">
        <f>第十一期!$AH$79</f>
        <v>0</v>
      </c>
      <c r="BW9" s="200">
        <f>第十一期!$AH$80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第十一期!DB57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第十一期!$AI$76</f>
        <v>0</v>
      </c>
      <c r="BT10" s="198">
        <f>第十一期!$AI$77</f>
        <v>0</v>
      </c>
      <c r="BU10" s="198">
        <f>第十一期!$AI$78</f>
        <v>0</v>
      </c>
      <c r="BV10" s="198">
        <f>第十一期!$AI$79</f>
        <v>0</v>
      </c>
      <c r="BW10" s="200">
        <f>第十一期!$AI$80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第十一期!DB58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第十一期!$AJ$76</f>
        <v>0</v>
      </c>
      <c r="BT11" s="200">
        <f>第十一期!$AJ$77</f>
        <v>0</v>
      </c>
      <c r="BU11" s="200">
        <f>第十一期!$AJ$78</f>
        <v>0</v>
      </c>
      <c r="BV11" s="200">
        <f>第十一期!$AJ$79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第十一期!DB59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第十一期!BU86</f>
        <v>0</v>
      </c>
      <c r="AG13" s="135" t="s">
        <v>208</v>
      </c>
      <c r="AH13" s="136">
        <f>第十一期!BV76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第十一期!BW92</f>
        <v>0</v>
      </c>
      <c r="AG14" s="73" t="s">
        <v>214</v>
      </c>
      <c r="AH14" s="138"/>
      <c r="AI14" s="42" t="s">
        <v>97</v>
      </c>
      <c r="AJ14" s="139">
        <f>第十一期!K12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第十一期!Y88</f>
        <v>0</v>
      </c>
      <c r="BT14" s="198">
        <f>第十一期!Y89</f>
        <v>0</v>
      </c>
      <c r="BU14" s="198">
        <f>第十一期!Y90</f>
        <v>0</v>
      </c>
      <c r="BV14" s="198">
        <f>第十一期!Y91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AF14/(Y18+第十一期!K8-AA18)</f>
        <v>#DIV/0!</v>
      </c>
      <c r="AG15" s="73" t="s">
        <v>220</v>
      </c>
      <c r="AH15" s="138"/>
      <c r="AI15" s="42" t="s">
        <v>221</v>
      </c>
      <c r="AJ15" s="139">
        <f>第十一期!K16*0.5-第十一期!K14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第十一期!Z88</f>
        <v>0</v>
      </c>
      <c r="BT15" s="198">
        <f>第十一期!Z89</f>
        <v>0</v>
      </c>
      <c r="BU15" s="198">
        <f>第十一期!Z90</f>
        <v>0</v>
      </c>
      <c r="BV15" s="198">
        <f>第十一期!Z91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第十一期!DM60</f>
        <v>0</v>
      </c>
      <c r="Z16" s="92" t="s">
        <v>224</v>
      </c>
      <c r="AA16" s="93">
        <f>AH20+Y16+第十一期!K9*比赛参数!D30*比赛参数!F30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第十一期!AA88</f>
        <v>0</v>
      </c>
      <c r="BT16" s="198">
        <f>第十一期!AA89</f>
        <v>0</v>
      </c>
      <c r="BU16" s="198">
        <f>第十一期!AA90</f>
        <v>0</v>
      </c>
      <c r="BV16" s="198">
        <f>第十一期!AA91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第十一期!AB88</f>
        <v>0</v>
      </c>
      <c r="BT17" s="198">
        <f>第十一期!AB89</f>
        <v>0</v>
      </c>
      <c r="BU17" s="198">
        <f>第十一期!AB90</f>
        <v>0</v>
      </c>
      <c r="BV17" s="198">
        <f>第十一期!AB91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第十一期!K8*比赛参数!D57</f>
        <v>0</v>
      </c>
      <c r="Z19" s="104" t="s">
        <v>250</v>
      </c>
      <c r="AA19" s="99">
        <f>第十一期!K8*比赛参数!D60</f>
        <v>0</v>
      </c>
      <c r="AB19" s="104" t="s">
        <v>250</v>
      </c>
      <c r="AC19" s="105" t="e">
        <f>IF((AC21-第十一期!K10)/比赛参数!D41&gt;0,(AC21-第十一期!K10)/比赛参数!D41,0)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IF((第十一期!BW92-第十一期!BS87)&gt;0,第十一期!BW92-第十一期!BS87,0)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第十一期!$CX$68</f>
        <v>0</v>
      </c>
      <c r="CD19" s="110">
        <f>第十一期!$CX$69</f>
        <v>0</v>
      </c>
      <c r="CE19" s="110">
        <f>第十一期!$CX$70</f>
        <v>0</v>
      </c>
      <c r="CF19" s="110">
        <f>第十一期!$CX$71</f>
        <v>0</v>
      </c>
      <c r="CG19" s="219"/>
      <c r="CH19" s="225"/>
      <c r="CI19" s="226" t="s">
        <v>55</v>
      </c>
      <c r="CJ19" s="110">
        <f>第十一期!$CX$50</f>
        <v>0</v>
      </c>
      <c r="CK19" s="110">
        <f>第十一期!$CX$51</f>
        <v>0</v>
      </c>
      <c r="CL19" s="110">
        <f>第十一期!$CX$52</f>
        <v>0</v>
      </c>
      <c r="CM19" s="110">
        <f>第十一期!$CX$53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第十一期!K8+第十一期!Y18*比赛参数!D59-第十一期!AA18</f>
        <v>0</v>
      </c>
      <c r="Z20" s="42" t="s">
        <v>245</v>
      </c>
      <c r="AA20" s="108">
        <f>第十一期!K9</f>
        <v>0</v>
      </c>
      <c r="AB20" s="42" t="s">
        <v>257</v>
      </c>
      <c r="AC20" s="109">
        <f>AC18*比赛参数!D41+第十一期!K10</f>
        <v>0</v>
      </c>
      <c r="AE20" s="11" t="s">
        <v>258</v>
      </c>
      <c r="AF20" s="101"/>
      <c r="AG20" s="42" t="s">
        <v>91</v>
      </c>
      <c r="AH20" s="147">
        <f>第十一期!BS62+第十一期!BS71</f>
        <v>0</v>
      </c>
      <c r="AI20" s="73" t="s">
        <v>259</v>
      </c>
      <c r="AJ20" s="111">
        <f>第十一期!BV90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第十一期!Y9</f>
        <v>0</v>
      </c>
      <c r="BT20" s="198">
        <f>第十一期!Z9</f>
        <v>0</v>
      </c>
      <c r="BU20" s="198">
        <f>第十一期!AA9</f>
        <v>0</v>
      </c>
      <c r="BV20" s="198">
        <f>第十一期!AB9</f>
        <v>0</v>
      </c>
      <c r="BW20" s="200">
        <f>第十一期!AJ34</f>
        <v>0</v>
      </c>
      <c r="BX20" s="215"/>
      <c r="CA20" s="213"/>
      <c r="CB20" s="196" t="s">
        <v>56</v>
      </c>
      <c r="CC20" s="110">
        <f>第十一期!$CY$68</f>
        <v>0</v>
      </c>
      <c r="CD20" s="110">
        <f>第十一期!$CY$69</f>
        <v>0</v>
      </c>
      <c r="CE20" s="110">
        <f>第十一期!$CY$70</f>
        <v>0</v>
      </c>
      <c r="CF20" s="110">
        <f>第十一期!$CY$71</f>
        <v>0</v>
      </c>
      <c r="CG20" s="219"/>
      <c r="CH20" s="225"/>
      <c r="CI20" s="227" t="s">
        <v>56</v>
      </c>
      <c r="CJ20" s="110">
        <f>第十一期!$CY$50</f>
        <v>0</v>
      </c>
      <c r="CK20" s="110">
        <f>第十一期!$CY$51</f>
        <v>0</v>
      </c>
      <c r="CL20" s="110">
        <f>第十一期!$CY$52</f>
        <v>0</v>
      </c>
      <c r="CM20" s="110">
        <f>第十一期!$CY$53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第十一期!Y10</f>
        <v>0</v>
      </c>
      <c r="BT21" s="198">
        <f>第十一期!Z10</f>
        <v>0</v>
      </c>
      <c r="BU21" s="198">
        <f>第十一期!AA10</f>
        <v>0</v>
      </c>
      <c r="BV21" s="198">
        <f>第十一期!AB10</f>
        <v>0</v>
      </c>
      <c r="BW21" s="200">
        <f>第十一期!AJ35</f>
        <v>0</v>
      </c>
      <c r="BX21" s="215"/>
      <c r="CA21" s="213"/>
      <c r="CB21" s="196" t="s">
        <v>57</v>
      </c>
      <c r="CC21" s="110">
        <f>第十一期!$CZ$68</f>
        <v>0</v>
      </c>
      <c r="CD21" s="110">
        <f>第十一期!$CZ$69</f>
        <v>0</v>
      </c>
      <c r="CE21" s="110">
        <f>第十一期!$CZ$70</f>
        <v>0</v>
      </c>
      <c r="CF21" s="110">
        <f>第十一期!$CZ$71</f>
        <v>0</v>
      </c>
      <c r="CG21" s="219"/>
      <c r="CH21" s="225"/>
      <c r="CI21" s="227" t="s">
        <v>57</v>
      </c>
      <c r="CJ21" s="110">
        <f>第十一期!$CZ$50</f>
        <v>0</v>
      </c>
      <c r="CK21" s="110">
        <f>第十一期!$CZ$51</f>
        <v>0</v>
      </c>
      <c r="CL21" s="110">
        <f>第十一期!$CZ$52</f>
        <v>0</v>
      </c>
      <c r="CM21" s="110">
        <f>第十一期!$CZ$53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第十一期!Y11</f>
        <v>0</v>
      </c>
      <c r="BT22" s="198">
        <f>第十一期!Z11</f>
        <v>0</v>
      </c>
      <c r="BU22" s="198">
        <f>第十一期!AA11</f>
        <v>0</v>
      </c>
      <c r="BV22" s="198">
        <f>第十一期!AB11</f>
        <v>0</v>
      </c>
      <c r="BW22" s="200">
        <f>第十一期!AJ36</f>
        <v>0</v>
      </c>
      <c r="BX22" s="215"/>
      <c r="CA22" s="213"/>
      <c r="CB22" s="196" t="s">
        <v>58</v>
      </c>
      <c r="CC22" s="110">
        <f>第十一期!$DA$68</f>
        <v>0</v>
      </c>
      <c r="CD22" s="110">
        <f>第十一期!$DA$69</f>
        <v>0</v>
      </c>
      <c r="CE22" s="110">
        <f>第十一期!$DA$70</f>
        <v>0</v>
      </c>
      <c r="CF22" s="110">
        <f>第十一期!$DA$71</f>
        <v>0</v>
      </c>
      <c r="CG22" s="219"/>
      <c r="CH22" s="225"/>
      <c r="CI22" s="227" t="s">
        <v>58</v>
      </c>
      <c r="CJ22" s="110">
        <f>第十一期!$DA$50</f>
        <v>0</v>
      </c>
      <c r="CK22" s="110">
        <f>第十一期!$DA$51</f>
        <v>0</v>
      </c>
      <c r="CL22" s="110">
        <f>第十一期!$DA$52</f>
        <v>0</v>
      </c>
      <c r="CM22" s="110">
        <f>第十一期!$DA$53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第十一期!Y12</f>
        <v>0</v>
      </c>
      <c r="BT23" s="198">
        <f>第十一期!Z12</f>
        <v>0</v>
      </c>
      <c r="BU23" s="198">
        <f>第十一期!AA12</f>
        <v>0</v>
      </c>
      <c r="BV23" s="198">
        <f>第十一期!AB12</f>
        <v>0</v>
      </c>
      <c r="BW23" s="200">
        <f>第十一期!AJ37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第十一期!BV57-第十一期!BV76</f>
        <v>0</v>
      </c>
      <c r="AJ26" s="65">
        <f>第十一期!K9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第十一期!DB50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第十一期!Y18</f>
        <v>0</v>
      </c>
      <c r="BT26" s="198">
        <f>第十一期!AA18</f>
        <v>0</v>
      </c>
      <c r="BU26" s="198">
        <f>第十一期!AF18</f>
        <v>0</v>
      </c>
      <c r="BV26" s="204">
        <f>第十一期!AC18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第十一期!DB51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第十一期!DB52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第十一期!DB53</f>
        <v>0</v>
      </c>
      <c r="BQ29" s="177"/>
      <c r="BR29" s="201"/>
      <c r="BS29" s="204">
        <f>第十一期!AH14</f>
        <v>0</v>
      </c>
      <c r="BT29" s="204">
        <f>第十一期!AH15</f>
        <v>0</v>
      </c>
      <c r="BU29" s="198">
        <f>第十一期!AF20</f>
        <v>0</v>
      </c>
      <c r="BV29" s="204">
        <f>第十一期!AJ18</f>
        <v>0</v>
      </c>
      <c r="BW29" s="218">
        <f>第十一期!AH18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INT(第十一期!DV26)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INT(第十一期!DV27)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INT(第十一期!DV28)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INT(第十一期!DV29)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第十一期!DG56*第十一期!DG50+第十一期!DG64*第十一期!Y88</f>
        <v>0</v>
      </c>
      <c r="CD38" s="108">
        <f>第十一期!DH56*第十一期!DH50+第十一期!DH64*第十一期!Z88</f>
        <v>0</v>
      </c>
      <c r="CE38" s="108">
        <f>第十一期!DI56*第十一期!DI50+第十一期!DI64*第十一期!AA88</f>
        <v>0</v>
      </c>
      <c r="CF38" s="108">
        <f>第十一期!DJ56*第十一期!DJ50+第十一期!DJ64*第十一期!AB88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第十一期!DG57*第十一期!DG51+第十一期!DG65*第十一期!Y89</f>
        <v>0</v>
      </c>
      <c r="CD39" s="108">
        <f>第十一期!DH57*第十一期!DH51+第十一期!DH65*第十一期!Z89</f>
        <v>0</v>
      </c>
      <c r="CE39" s="108">
        <f>第十一期!DI57*第十一期!DI51+第十一期!DI65*第十一期!AA89</f>
        <v>0</v>
      </c>
      <c r="CF39" s="108">
        <f>第十一期!DJ57*第十一期!DJ51+第十一期!DJ65*第十一期!AB89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第十一期!DG58*第十一期!DG52+第十一期!DG66*第十一期!Y90</f>
        <v>0</v>
      </c>
      <c r="CD40" s="108">
        <f>第十一期!DH58*第十一期!DH52+第十一期!DH66*第十一期!Z90</f>
        <v>0</v>
      </c>
      <c r="CE40" s="108">
        <f>第十一期!DI58*第十一期!DI52+第十一期!DI66*第十一期!AA90</f>
        <v>0</v>
      </c>
      <c r="CF40" s="108">
        <f>第十一期!DJ58*第十一期!DJ52+第十一期!DJ66*第十一期!AB90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第十一期!DG59*第十一期!DG53+第十一期!DG67*第十一期!Y91</f>
        <v>0</v>
      </c>
      <c r="CD41" s="108">
        <f>第十一期!DH59*第十一期!DH53+第十一期!DH67*第十一期!Z91</f>
        <v>0</v>
      </c>
      <c r="CE41" s="108">
        <f>第十一期!DI59*第十一期!DI53+第十一期!DI67*第十一期!AA91</f>
        <v>0</v>
      </c>
      <c r="CF41" s="108">
        <f>第十一期!DJ59*第十一期!DJ53+第十一期!DJ67*第十一期!AB91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第十一期!Y9*第十一期!CQ62*比赛参数!D65</f>
        <v>0</v>
      </c>
      <c r="CR50" s="65">
        <f>第十一期!Z9*第十一期!CR62*比赛参数!E65</f>
        <v>0</v>
      </c>
      <c r="CS50" s="65">
        <f>第十一期!AA9*第十一期!CS62*比赛参数!F65</f>
        <v>0</v>
      </c>
      <c r="CT50" s="65">
        <f>第十一期!AB9*第十一期!CT62*比赛参数!G65</f>
        <v>0</v>
      </c>
      <c r="CU50" s="65">
        <f>IF(第十一期!AC9&gt;0,SUM(CQ50:CT50)/第十一期!AC9,0)</f>
        <v>0</v>
      </c>
      <c r="CW50" s="11" t="s">
        <v>38</v>
      </c>
      <c r="CX50" s="242">
        <f>IF(第十一期!$CU$50*第十一期!CQ93&gt;0,第十一期!$CU$50+第十一期!CQ68+第十一期!CQ93+第十一期!CQ74,0)</f>
        <v>0</v>
      </c>
      <c r="CY50" s="242">
        <f>IF(第十一期!$CU$50*第十一期!CR93&gt;0,第十一期!$CU$50+第十一期!CR68+第十一期!CR93+第十一期!CR74,0)</f>
        <v>0</v>
      </c>
      <c r="CZ50" s="242">
        <f>IF(第十一期!$CU$50*第十一期!CS93&gt;0,第十一期!$CU$50+第十一期!CS68+第十一期!CS93+第十一期!CS74,0)</f>
        <v>0</v>
      </c>
      <c r="DA50" s="242">
        <f>IF(第十一期!$CU$50*第十一期!CT93&gt;0,第十一期!$CU$50+第十一期!CT68+第十一期!CT93+第十一期!CT74,0)</f>
        <v>0</v>
      </c>
      <c r="DB50" s="242">
        <f>AVERAGE(CX50:DA50)</f>
        <v>0</v>
      </c>
      <c r="DF50" s="65" t="s">
        <v>55</v>
      </c>
      <c r="DG50" s="245">
        <f>IF(第十一期!Y88&gt;0,1,0)</f>
        <v>0</v>
      </c>
      <c r="DH50" s="245">
        <f>IF(第十一期!Z88&gt;0,1,0)</f>
        <v>0</v>
      </c>
      <c r="DI50" s="245">
        <f>IF(第十一期!AA88&gt;0,1,0)</f>
        <v>0</v>
      </c>
      <c r="DJ50" s="245">
        <f>IF(第十一期!AB88&gt;0,1,0)</f>
        <v>0</v>
      </c>
      <c r="DL50" s="245" t="s">
        <v>21</v>
      </c>
      <c r="DM50" s="248">
        <f>IF(第十一期!Y9+第十一期!Z9&gt;0,1,0)</f>
        <v>0</v>
      </c>
      <c r="DN50" s="248">
        <f>IF(第十一期!AA9+第十一期!AB9&gt;0,1,0)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第十一期!Y10*第十一期!CQ63*比赛参数!D65</f>
        <v>0</v>
      </c>
      <c r="CR51" s="65">
        <f>第十一期!Z10*第十一期!CR63*比赛参数!E65</f>
        <v>0</v>
      </c>
      <c r="CS51" s="65">
        <f>第十一期!AA10*第十一期!CS63*比赛参数!F65</f>
        <v>0</v>
      </c>
      <c r="CT51" s="65">
        <f>第十一期!AB10*第十一期!CT63*比赛参数!G65</f>
        <v>0</v>
      </c>
      <c r="CU51" s="65">
        <f>IF(第十一期!AC10&gt;0,SUM(CQ51:CT51)/第十一期!AC10,0)</f>
        <v>0</v>
      </c>
      <c r="CW51" s="11" t="s">
        <v>39</v>
      </c>
      <c r="CX51" s="242">
        <f>IF(第十一期!$CU$51*第十一期!CQ94&gt;0,第十一期!$CU$51+第十一期!CQ69+第十一期!CQ94+第十一期!CQ75,0)</f>
        <v>0</v>
      </c>
      <c r="CY51" s="242">
        <f>IF(第十一期!$CU$51*第十一期!CR94&gt;0,第十一期!$CU$51+第十一期!CR69+第十一期!CR94+第十一期!CR75,0)</f>
        <v>0</v>
      </c>
      <c r="CZ51" s="242">
        <f>IF(第十一期!$CU$51*第十一期!CS94&gt;0,第十一期!$CU$51+第十一期!CS69+第十一期!CS94+第十一期!CS75,0)</f>
        <v>0</v>
      </c>
      <c r="DA51" s="242">
        <f>IF(第十一期!$CU$51*第十一期!CT94&gt;0,第十一期!$CU$51+第十一期!CT69+第十一期!CT94+第十一期!CT75,0)</f>
        <v>0</v>
      </c>
      <c r="DB51" s="242">
        <f>AVERAGE(CX51:DA51)</f>
        <v>0</v>
      </c>
      <c r="DF51" s="65" t="s">
        <v>56</v>
      </c>
      <c r="DG51" s="245">
        <f>IF(第十一期!Y89&gt;0,1,0)</f>
        <v>0</v>
      </c>
      <c r="DH51" s="245">
        <f>IF(第十一期!Z89&gt;0,1,0)</f>
        <v>0</v>
      </c>
      <c r="DI51" s="245">
        <f>IF(第十一期!AA89&gt;0,1,0)</f>
        <v>0</v>
      </c>
      <c r="DJ51" s="245">
        <f>IF(第十一期!AB89&gt;0,1,0)</f>
        <v>0</v>
      </c>
      <c r="DL51" s="245" t="s">
        <v>22</v>
      </c>
      <c r="DM51" s="248">
        <f>IF(第十一期!Y10+第十一期!Z10&gt;0,1,0)</f>
        <v>0</v>
      </c>
      <c r="DN51" s="248">
        <f>IF(第十一期!AA10+第十一期!AB10&gt;0,1,0)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第十一期!Y11*第十一期!CQ64*比赛参数!D65</f>
        <v>0</v>
      </c>
      <c r="CR52" s="65">
        <f>第十一期!Z11*第十一期!CR64*比赛参数!E65</f>
        <v>0</v>
      </c>
      <c r="CS52" s="65">
        <f>第十一期!AA11*第十一期!CS64*比赛参数!F65</f>
        <v>0</v>
      </c>
      <c r="CT52" s="65">
        <f>第十一期!AB11*第十一期!CT64*比赛参数!G65</f>
        <v>0</v>
      </c>
      <c r="CU52" s="65">
        <f>IF(第十一期!AC11&gt;0,SUM(CQ52:CT52)/第十一期!AC11,0)</f>
        <v>0</v>
      </c>
      <c r="CW52" s="11" t="s">
        <v>40</v>
      </c>
      <c r="CX52" s="242">
        <f>IF(第十一期!$CU$52*第十一期!CQ95&gt;0,第十一期!$CU$52+第十一期!CQ70+第十一期!CQ95+第十一期!CQ76,0)</f>
        <v>0</v>
      </c>
      <c r="CY52" s="242">
        <f>IF(第十一期!$CU$52*第十一期!CR95&gt;0,第十一期!$CU$52+第十一期!CR70+第十一期!CR95+第十一期!CR76,0)</f>
        <v>0</v>
      </c>
      <c r="CZ52" s="242">
        <f>IF(第十一期!$CU$52*第十一期!CS95&gt;0,第十一期!$CU$52+第十一期!CS70+第十一期!CS95+第十一期!CS76,0)</f>
        <v>0</v>
      </c>
      <c r="DA52" s="242">
        <f>IF(第十一期!$CU$52*第十一期!CT95&gt;0,第十一期!$CU$52+第十一期!CT70+第十一期!CT95+第十一期!CT76,0)</f>
        <v>0</v>
      </c>
      <c r="DB52" s="242">
        <f>AVERAGE(CX52:DA52)</f>
        <v>0</v>
      </c>
      <c r="DF52" s="65" t="s">
        <v>57</v>
      </c>
      <c r="DG52" s="245">
        <f>IF(第十一期!Y90&gt;0,1,0)</f>
        <v>0</v>
      </c>
      <c r="DH52" s="245">
        <f>IF(第十一期!Z90&gt;0,1,0)</f>
        <v>0</v>
      </c>
      <c r="DI52" s="245">
        <f>IF(第十一期!AA90&gt;0,1,0)</f>
        <v>0</v>
      </c>
      <c r="DJ52" s="245">
        <f>IF(第十一期!AB90&gt;0,1,0)</f>
        <v>0</v>
      </c>
      <c r="DL52" s="245" t="s">
        <v>23</v>
      </c>
      <c r="DM52" s="248">
        <f>IF(第十一期!Y11+第十一期!Z11&gt;0,1,0)</f>
        <v>0</v>
      </c>
      <c r="DN52" s="248">
        <f>IF(第十一期!AA11+第十一期!AB11&gt;0,1,0)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第十一期!Y12*第十一期!CQ65*比赛参数!D65</f>
        <v>0</v>
      </c>
      <c r="CR53" s="65">
        <f>第十一期!Z12*第十一期!CR65*比赛参数!E65</f>
        <v>0</v>
      </c>
      <c r="CS53" s="65">
        <f>第十一期!AA12*第十一期!CS65*比赛参数!F65</f>
        <v>0</v>
      </c>
      <c r="CT53" s="65">
        <f>第十一期!AB12*第十一期!CT65*比赛参数!G65</f>
        <v>0</v>
      </c>
      <c r="CU53" s="65">
        <f>IF(第十一期!AC12&gt;0,SUM(CQ53:CT53)/第十一期!AC12,0)</f>
        <v>0</v>
      </c>
      <c r="CW53" s="11" t="s">
        <v>41</v>
      </c>
      <c r="CX53" s="242">
        <f>IF(第十一期!$CU$53*第十一期!CQ96&gt;0,第十一期!$CU$53+第十一期!CQ71+第十一期!CQ96+第十一期!CQ77,0)</f>
        <v>0</v>
      </c>
      <c r="CY53" s="242">
        <f>IF(第十一期!$CU$53*第十一期!CR96&gt;0,第十一期!$CU$53+第十一期!CR71+第十一期!CR96+第十一期!CR77,0)</f>
        <v>0</v>
      </c>
      <c r="CZ53" s="242">
        <f>IF(第十一期!$CU$53*第十一期!CS96&gt;0,第十一期!$CU$53+第十一期!CS71+第十一期!CS96+第十一期!CS77,0)</f>
        <v>0</v>
      </c>
      <c r="DA53" s="242">
        <f>IF(第十一期!$CU$53*第十一期!CT96&gt;0,第十一期!$CU$53+第十一期!CT71+第十一期!CT96+第十一期!CT77,0)</f>
        <v>0</v>
      </c>
      <c r="DB53" s="242">
        <f>AVERAGE(CX53:DA53)</f>
        <v>0</v>
      </c>
      <c r="DF53" s="65" t="s">
        <v>58</v>
      </c>
      <c r="DG53" s="245">
        <f>IF(第十一期!Y91&gt;0,1,0)</f>
        <v>0</v>
      </c>
      <c r="DH53" s="245">
        <f>IF(第十一期!Z91&gt;0,1,0)</f>
        <v>0</v>
      </c>
      <c r="DI53" s="245">
        <f>IF(第十一期!AA91&gt;0,1,0)</f>
        <v>0</v>
      </c>
      <c r="DJ53" s="245">
        <f>IF(第十一期!AB91&gt;0,1,0)</f>
        <v>0</v>
      </c>
      <c r="DL53" s="245" t="s">
        <v>24</v>
      </c>
      <c r="DM53" s="248">
        <f>IF(第十一期!Y12+第十一期!Z12&gt;0,1,0)</f>
        <v>0</v>
      </c>
      <c r="DN53" s="248">
        <f>IF(第十一期!AA12+第十一期!AB12&gt;0,1,0)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第十一期!K11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第十一期!AH14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第十一期!DU26</f>
        <v>0</v>
      </c>
      <c r="CD56" s="108">
        <f>第十一期!DU27</f>
        <v>0</v>
      </c>
      <c r="CE56" s="108">
        <f>第十一期!DU28</f>
        <v>0</v>
      </c>
      <c r="CF56" s="108">
        <f>第十一期!DU29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第十一期!BS7-第十一期!CX50</f>
        <v>0</v>
      </c>
      <c r="CY56" s="242">
        <f>第十一期!BT7-第十一期!CY50</f>
        <v>0</v>
      </c>
      <c r="CZ56" s="242">
        <f>第十一期!BU7-第十一期!CZ50</f>
        <v>0</v>
      </c>
      <c r="DA56" s="242">
        <f>第十一期!BV7-第十一期!DA50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第十一期!DX6</f>
        <v>0</v>
      </c>
      <c r="Z57" s="127">
        <f>第十一期!DX10</f>
        <v>0</v>
      </c>
      <c r="AA57" s="127">
        <f>第十一期!DX14</f>
        <v>0</v>
      </c>
      <c r="AB57" s="127">
        <f>第十一期!DX18</f>
        <v>0</v>
      </c>
      <c r="AC57" s="128"/>
      <c r="AE57" s="64" t="s">
        <v>55</v>
      </c>
      <c r="AF57" s="127">
        <f>第十一期!DW6</f>
        <v>0</v>
      </c>
      <c r="AG57" s="127">
        <f>第十一期!DW10</f>
        <v>0</v>
      </c>
      <c r="AH57" s="127">
        <f>第十一期!DW14</f>
        <v>0</v>
      </c>
      <c r="AI57" s="127">
        <f>第十一期!DW18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第十一期!AH15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第十一期!BS8-第十一期!CX51</f>
        <v>0</v>
      </c>
      <c r="CY57" s="242">
        <f>第十一期!BT8-第十一期!CY51</f>
        <v>0</v>
      </c>
      <c r="CZ57" s="242">
        <f>第十一期!BU8-第十一期!CZ51</f>
        <v>0</v>
      </c>
      <c r="DA57" s="242">
        <f>第十一期!BV8-第十一期!DA51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第十一期!DX7</f>
        <v>0</v>
      </c>
      <c r="Z58" s="127">
        <f>第十一期!DX11</f>
        <v>0</v>
      </c>
      <c r="AA58" s="127">
        <f>第十一期!DX15</f>
        <v>0</v>
      </c>
      <c r="AB58" s="127">
        <f>第十一期!DX19</f>
        <v>0</v>
      </c>
      <c r="AC58" s="128"/>
      <c r="AE58" s="11" t="s">
        <v>56</v>
      </c>
      <c r="AF58" s="127">
        <f>第十一期!DW7</f>
        <v>0</v>
      </c>
      <c r="AG58" s="127">
        <f>第十一期!DW11</f>
        <v>0</v>
      </c>
      <c r="AH58" s="127">
        <f>第十一期!DW15</f>
        <v>0</v>
      </c>
      <c r="AI58" s="127">
        <f>第十一期!DW19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第十一期!H5+第十一期!H4*比赛参数!F71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第十一期!BS9-第十一期!CX52</f>
        <v>0</v>
      </c>
      <c r="CY58" s="242">
        <f>第十一期!BT9-第十一期!CY52</f>
        <v>0</v>
      </c>
      <c r="CZ58" s="242">
        <f>第十一期!BU9-第十一期!CZ52</f>
        <v>0</v>
      </c>
      <c r="DA58" s="242">
        <f>第十一期!BV9-第十一期!DA52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第十一期!DX8</f>
        <v>0</v>
      </c>
      <c r="Z59" s="127">
        <f>第十一期!DX12</f>
        <v>0</v>
      </c>
      <c r="AA59" s="127">
        <f>第十一期!DX16</f>
        <v>0</v>
      </c>
      <c r="AB59" s="127">
        <f>第十一期!DX20</f>
        <v>0</v>
      </c>
      <c r="AC59" s="129"/>
      <c r="AE59" s="11" t="s">
        <v>57</v>
      </c>
      <c r="AF59" s="127">
        <f>第十一期!DW8</f>
        <v>0</v>
      </c>
      <c r="AG59" s="127">
        <f>第十一期!DW12</f>
        <v>0</v>
      </c>
      <c r="AH59" s="127">
        <f>第十一期!DW16</f>
        <v>0</v>
      </c>
      <c r="AI59" s="127">
        <f>第十一期!DW20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第十一期!K14*比赛参数!D71/4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第十一期!BS10-第十一期!CX53</f>
        <v>0</v>
      </c>
      <c r="CY59" s="242">
        <f>第十一期!BT10-第十一期!CY53</f>
        <v>0</v>
      </c>
      <c r="CZ59" s="242">
        <f>第十一期!BU10-第十一期!CZ53</f>
        <v>0</v>
      </c>
      <c r="DA59" s="242">
        <f>第十一期!BV10-第十一期!DA53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第十一期!DX9</f>
        <v>0</v>
      </c>
      <c r="Z60" s="127">
        <f>第十一期!DX13</f>
        <v>0</v>
      </c>
      <c r="AA60" s="127">
        <f>第十一期!DX17</f>
        <v>0</v>
      </c>
      <c r="AB60" s="127">
        <f>第十一期!DX21</f>
        <v>0</v>
      </c>
      <c r="AC60" s="108" t="s">
        <v>314</v>
      </c>
      <c r="AE60" s="11" t="s">
        <v>58</v>
      </c>
      <c r="AF60" s="127">
        <f>第十一期!DW9</f>
        <v>0</v>
      </c>
      <c r="AG60" s="127">
        <f>第十一期!DW13</f>
        <v>0</v>
      </c>
      <c r="AH60" s="127">
        <f>第十一期!DW17</f>
        <v>0</v>
      </c>
      <c r="AI60" s="127">
        <f>第十一期!DW21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第十一期!Y18*比赛参数!D58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第十一期!AA18*比赛参数!D62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((第十一期!K8-第十一期!AA18)*比赛参数!D65+第十一期!Y18*比赛参数!D59*比赛参数!D65)*第十一期!AH18*520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CX56/第十一期!CQ56</f>
        <v>#DIV/0!</v>
      </c>
      <c r="CY62" s="242" t="e">
        <f>CY56/第十一期!CR56</f>
        <v>#DIV/0!</v>
      </c>
      <c r="CZ62" s="242" t="e">
        <f>CZ56/第十一期!CS56</f>
        <v>#DIV/0!</v>
      </c>
      <c r="DA62" s="242" t="e">
        <f>DA56/第十一期!CT56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第十一期!K9*比赛参数!D49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CX57/第十一期!CQ57</f>
        <v>#DIV/0!</v>
      </c>
      <c r="CY63" s="242" t="e">
        <f>CY57/第十一期!CR57</f>
        <v>#DIV/0!</v>
      </c>
      <c r="CZ63" s="242" t="e">
        <f>CZ57/第十一期!CS57</f>
        <v>#DIV/0!</v>
      </c>
      <c r="DA63" s="242" t="e">
        <f>DA57/第十一期!CT57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第十一期!AL37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CX58/第十一期!CQ58</f>
        <v>#DIV/0!</v>
      </c>
      <c r="CY64" s="242" t="e">
        <f>CY58/第十一期!CR58</f>
        <v>#DIV/0!</v>
      </c>
      <c r="CZ64" s="242" t="e">
        <f>CZ58/第十一期!CS58</f>
        <v>#DIV/0!</v>
      </c>
      <c r="DA64" s="242" t="e">
        <f>DA58/第十一期!CT58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0.5*第十一期!AL37+0.5*第十一期!DV23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CX59/第十一期!CQ59</f>
        <v>#DIV/0!</v>
      </c>
      <c r="CY65" s="242" t="e">
        <f>CY59/第十一期!CR59</f>
        <v>#DIV/0!</v>
      </c>
      <c r="CZ65" s="242" t="e">
        <f>CZ59/第十一期!CS59</f>
        <v>#DIV/0!</v>
      </c>
      <c r="DA65" s="242" t="e">
        <f>DA59/第十一期!CT59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第十一期!AC18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一期!AC18&gt;=比赛参数!D33,(1-比赛参数!E33)*第十一期!AC18,0)+IF(AND(第十一期!AC18&gt;=比赛参数!D34,第十一期!AC18&lt;比赛参数!D33),(1-比赛参数!E34)*第十一期!AC18,0)+IF(AND(第十一期!AC18&gt;=比赛参数!D35,第十一期!AC18&lt;比赛参数!D34),(1-比赛参数!E35)*第十一期!AC18,0)+IF(AND(第十一期!AC18&gt;=比赛参数!D36,第十一期!AC18&lt;比赛参数!D35),(1-比赛参数!E36)*第十一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第十一期!DV6</f>
        <v>0</v>
      </c>
      <c r="AG70" s="131">
        <f>第十一期!DV10</f>
        <v>0</v>
      </c>
      <c r="AH70" s="131">
        <f>第十一期!DV14</f>
        <v>0</v>
      </c>
      <c r="AI70" s="131">
        <f>第十一期!DV18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IF(第十一期!AC18&gt;0,第十一期!AC18*比赛参数!E40+比赛参数!E39,0)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第十一期!DV7</f>
        <v>0</v>
      </c>
      <c r="AG71" s="131">
        <f>第十一期!DV11</f>
        <v>0</v>
      </c>
      <c r="AH71" s="131">
        <f>第十一期!DV15</f>
        <v>0</v>
      </c>
      <c r="AI71" s="131">
        <f>第十一期!DV19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(第十一期!Z13*比赛参数!E65*260+第十一期!AA13*(比赛参数!F65-比赛参数!D65)*520+第十一期!AB13*比赛参数!G65*260)*第十一期!AH18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第十一期!DV8</f>
        <v>0</v>
      </c>
      <c r="AG72" s="131">
        <f>第十一期!DV12</f>
        <v>0</v>
      </c>
      <c r="AH72" s="131">
        <f>第十一期!DV16</f>
        <v>0</v>
      </c>
      <c r="AI72" s="131">
        <f>第十一期!DV20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第十一期!DM60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第十一期!DV9</f>
        <v>0</v>
      </c>
      <c r="AG73" s="131">
        <f>第十一期!DV13</f>
        <v>0</v>
      </c>
      <c r="AH73" s="131">
        <f>第十一期!DV17</f>
        <v>0</v>
      </c>
      <c r="AI73" s="131">
        <f>第十一期!DV21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第十一期!AC21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第十一期!CG42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SUM(第十一期!AF80:AI80)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SUM(第十一期!AJ76:AJ79)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第十一期!CG53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第十一期!CN53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第十一期!K9*比赛参数!D30*比赛参数!F30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第十一期!CG65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第十一期!Y9*第十一期!CQ56</f>
        <v>0</v>
      </c>
      <c r="CR80" s="65">
        <f>第十一期!Z9*第十一期!CR56</f>
        <v>0</v>
      </c>
      <c r="CS80" s="65">
        <f>第十一期!AA9*第十一期!CS56</f>
        <v>0</v>
      </c>
      <c r="CT80" s="65">
        <f>第十一期!AB9*第十一期!CT56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(第十一期!K10+(第十一期!AC18+第十一期!K10-第十一期!AC21))/2*比赛参数!D16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第十一期!Y10*第十一期!CQ57</f>
        <v>0</v>
      </c>
      <c r="CR81" s="65">
        <f>第十一期!Z10*第十一期!CR57</f>
        <v>0</v>
      </c>
      <c r="CS81" s="65">
        <f>第十一期!AA10*第十一期!CS57</f>
        <v>0</v>
      </c>
      <c r="CT81" s="65">
        <f>第十一期!AB10*第十一期!CT57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第十一期!CG67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第十一期!Y11*第十一期!CQ58</f>
        <v>0</v>
      </c>
      <c r="CR82" s="65">
        <f>第十一期!Z11*第十一期!CR58</f>
        <v>0</v>
      </c>
      <c r="CS82" s="65">
        <f>第十一期!AA11*第十一期!CS58</f>
        <v>0</v>
      </c>
      <c r="CT82" s="65">
        <f>第十一期!AB11*第十一期!CT58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第十一期!K13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第十一期!Y12*第十一期!CQ59</f>
        <v>0</v>
      </c>
      <c r="CR83" s="65">
        <f>第十一期!Z12*第十一期!CR59</f>
        <v>0</v>
      </c>
      <c r="CS83" s="65">
        <f>第十一期!AA12*第十一期!CS59</f>
        <v>0</v>
      </c>
      <c r="CT83" s="65">
        <f>第十一期!AB12*第十一期!CT59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第十一期!K13*比赛参数!D70/4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第十一期!AH14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第十一期!DS33</f>
        <v>0</v>
      </c>
      <c r="AG86" s="131">
        <f>第十一期!DW33</f>
        <v>0</v>
      </c>
      <c r="AH86" s="131">
        <f>第十一期!EA33</f>
        <v>0</v>
      </c>
      <c r="AI86" s="131">
        <f>第十一期!EE33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第十一期!AH14*比赛参数!D69/4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第十一期!DT33</f>
        <v>0</v>
      </c>
      <c r="AG87" s="131">
        <f>第十一期!DX33</f>
        <v>0</v>
      </c>
      <c r="AH87" s="131">
        <f>第十一期!EB33</f>
        <v>0</v>
      </c>
      <c r="AI87" s="131">
        <f>第十一期!EF33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IF(第十一期!BW92&gt;0,IF((第十一期!K15+第十一期!BW92*比赛参数!D72)&gt;0,第十一期!K15+第十一期!BW92*比赛参数!D72,0))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第十一期!DU33</f>
        <v>0</v>
      </c>
      <c r="AG88" s="131">
        <f>第十一期!DY33</f>
        <v>0</v>
      </c>
      <c r="AH88" s="131">
        <f>第十一期!EC33</f>
        <v>0</v>
      </c>
      <c r="AI88" s="131">
        <f>第十一期!EG33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第十一期!AF18*比赛参数!D30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第十一期!DV33</f>
        <v>0</v>
      </c>
      <c r="AG89" s="131">
        <f>第十一期!DZ33</f>
        <v>0</v>
      </c>
      <c r="AH89" s="131">
        <f>第十一期!ED33</f>
        <v>0</v>
      </c>
      <c r="AI89" s="131">
        <f>第十一期!EH33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第十一期!AJ18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第十一期!AF20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第十一期!BT84</f>
        <v>0</v>
      </c>
      <c r="BT92" s="330" t="s">
        <v>181</v>
      </c>
      <c r="BU92" s="130">
        <f>第十一期!BU86</f>
        <v>0</v>
      </c>
      <c r="BV92" s="332" t="s">
        <v>104</v>
      </c>
      <c r="BW92" s="333">
        <f>第十一期!BT84-第十一期!BU86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AC9*比赛参数!D6+第十一期!DU26</f>
        <v>0</v>
      </c>
      <c r="Z93" s="37">
        <f>AC10*比赛参数!D6+第十一期!DU27</f>
        <v>0</v>
      </c>
      <c r="AA93" s="37">
        <f>AC11*比赛参数!D6+第十一期!DU28</f>
        <v>0</v>
      </c>
      <c r="AB93" s="37">
        <f>AC12*比赛参数!D6+第十一期!DU29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IF(第十一期!$AC$9&gt;0,第十一期!$K$9*比赛参数!$D$30*比赛参数!$F$30*$CU$87/第十一期!$AC$9,0)</f>
        <v>0</v>
      </c>
      <c r="CR93" s="65">
        <f>IF(第十一期!$AC$9&gt;0,第十一期!$K$9*比赛参数!$D$30*比赛参数!$F$30*$CU$87/第十一期!$AC$9,0)</f>
        <v>0</v>
      </c>
      <c r="CS93" s="65">
        <f>IF(第十一期!$AC$9&gt;0,第十一期!$K$9*比赛参数!$D$30*比赛参数!$F$30*$CU$87/第十一期!$AC$9,0)</f>
        <v>0</v>
      </c>
      <c r="CT93" s="65">
        <f>IF(第十一期!$AC$9&gt;0,第十一期!$K$9*比赛参数!$D$30*比赛参数!$F$30*$CU$87/第十一期!$AC$9,0)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IF(第十一期!$AC$10&gt;0,第十一期!$K$9*比赛参数!$D$30*比赛参数!$F$30*$CU$88/第十一期!$AC$10,0)</f>
        <v>0</v>
      </c>
      <c r="CR94" s="65">
        <f>IF(第十一期!$AC$10&gt;0,第十一期!$K$9*比赛参数!$D$30*比赛参数!$F$30*$CU$88/第十一期!$AC$10,0)</f>
        <v>0</v>
      </c>
      <c r="CS94" s="65">
        <f>IF(第十一期!$AC$10&gt;0,第十一期!$K$9*比赛参数!$D$30*比赛参数!$F$30*$CU$88/第十一期!$AC$10,0)</f>
        <v>0</v>
      </c>
      <c r="CT94" s="65">
        <f>IF(第十一期!$AC$10&gt;0,第十一期!$K$9*比赛参数!$D$30*比赛参数!$F$30*$CU$88/第十一期!$AC$10,0)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IF(第十一期!$AC$11&gt;0,第十一期!$K$9*比赛参数!$D$30*比赛参数!$F$30*$CU$89/第十一期!$AC$11,0)</f>
        <v>0</v>
      </c>
      <c r="CR95" s="65">
        <f>IF(第十一期!$AC$11&gt;0,第十一期!$K$9*比赛参数!$D$30*比赛参数!$F$30*$CU$89/第十一期!$AC$11,0)</f>
        <v>0</v>
      </c>
      <c r="CS95" s="65">
        <f>IF(第十一期!$AC$11&gt;0,第十一期!$K$9*比赛参数!$D$30*比赛参数!$F$30*$CU$89/第十一期!$AC$11,0)</f>
        <v>0</v>
      </c>
      <c r="CT95" s="65">
        <f>IF(第十一期!$AC$11&gt;0,第十一期!$K$9*比赛参数!$D$30*比赛参数!$F$30*$CU$89/第十一期!$AC$11,0)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第十一期!CX62</f>
        <v>#DIV/0!</v>
      </c>
      <c r="Z96" s="94" t="e">
        <f>第十一期!CX63</f>
        <v>#DIV/0!</v>
      </c>
      <c r="AA96" s="94" t="e">
        <f>第十一期!CX64</f>
        <v>#DIV/0!</v>
      </c>
      <c r="AB96" s="94" t="e">
        <f>第十一期!CX65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IF(第十一期!$AC$12&gt;0,第十一期!$K$9*比赛参数!$D$30*比赛参数!$F$30*$CU$90/第十一期!$AC$12,0)</f>
        <v>0</v>
      </c>
      <c r="CR96" s="65">
        <f>IF(第十一期!$AC$12&gt;0,第十一期!$K$9*比赛参数!$D$30*比赛参数!$F$30*$CU$90/第十一期!$AC$12,0)</f>
        <v>0</v>
      </c>
      <c r="CS96" s="65">
        <f>IF(第十一期!$AC$12&gt;0,第十一期!$K$9*比赛参数!$D$30*比赛参数!$F$30*$CU$90/第十一期!$AC$12,0)</f>
        <v>0</v>
      </c>
      <c r="CT96" s="65">
        <f>IF(第十一期!$AC$12&gt;0,第十一期!$K$9*比赛参数!$D$30*比赛参数!$F$30*$CU$90/第十一期!$AC$12,0)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第十一期!CY62</f>
        <v>#DIV/0!</v>
      </c>
      <c r="Z97" s="94" t="e">
        <f>第十一期!CY63</f>
        <v>#DIV/0!</v>
      </c>
      <c r="AA97" s="94" t="e">
        <f>第十一期!CY64</f>
        <v>#DIV/0!</v>
      </c>
      <c r="AB97" s="94" t="e">
        <f>第十一期!CY65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第十一期!CZ62</f>
        <v>#DIV/0!</v>
      </c>
      <c r="Z98" s="94" t="e">
        <f>第十一期!CZ63</f>
        <v>#DIV/0!</v>
      </c>
      <c r="AA98" s="94" t="e">
        <f>第十一期!CZ64</f>
        <v>#DIV/0!</v>
      </c>
      <c r="AB98" s="94" t="e">
        <f>第十一期!CZ65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第十一期!DA62</f>
        <v>#DIV/0!</v>
      </c>
      <c r="Z99" s="94" t="e">
        <f>第十一期!DA63</f>
        <v>#DIV/0!</v>
      </c>
      <c r="AA99" s="94" t="e">
        <f>第十一期!DA64</f>
        <v>#DIV/0!</v>
      </c>
      <c r="AB99" s="94" t="e">
        <f>第十一期!DA65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(第十一期!#REF!-$BE$54)&lt;0</formula>
    </cfRule>
  </conditionalFormatting>
  <conditionalFormatting sqref="BF132:BF133">
    <cfRule type="expression" dxfId="6" priority="26" stopIfTrue="1">
      <formula>(第十一期!#REF!-$BF$54)&lt;0</formula>
    </cfRule>
  </conditionalFormatting>
  <conditionalFormatting sqref="BG132:BG133">
    <cfRule type="expression" dxfId="6" priority="25" stopIfTrue="1">
      <formula>(第十一期!#REF!-$BG$54)&lt;0</formula>
    </cfRule>
  </conditionalFormatting>
  <conditionalFormatting sqref="BH132:BH133">
    <cfRule type="expression" dxfId="6" priority="24" stopIfTrue="1">
      <formula>(第十一期!#REF!-$BH$54)&lt;0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R70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第十二期!AF76</f>
        <v>0</v>
      </c>
      <c r="BT7" s="198">
        <f>第十二期!AF77</f>
        <v>0</v>
      </c>
      <c r="BU7" s="198">
        <f>第十二期!AF78</f>
        <v>0</v>
      </c>
      <c r="BV7" s="198">
        <f>第十二期!AF79</f>
        <v>0</v>
      </c>
      <c r="BW7" s="200">
        <f>第十二期!$AF$80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第十二期!$AG$76</f>
        <v>0</v>
      </c>
      <c r="BT8" s="198">
        <f>第十二期!$AG$77</f>
        <v>0</v>
      </c>
      <c r="BU8" s="198">
        <f>第十二期!$AG$78</f>
        <v>0</v>
      </c>
      <c r="BV8" s="198">
        <f>第十二期!$AG$79</f>
        <v>0</v>
      </c>
      <c r="BW8" s="200">
        <f>第十二期!$AG$80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第十二期!DB56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第十二期!$AH$76</f>
        <v>0</v>
      </c>
      <c r="BT9" s="198">
        <f>第十二期!$AH$77</f>
        <v>0</v>
      </c>
      <c r="BU9" s="198">
        <f>第十二期!$AH$78</f>
        <v>0</v>
      </c>
      <c r="BV9" s="198">
        <f>第十二期!$AH$79</f>
        <v>0</v>
      </c>
      <c r="BW9" s="200">
        <f>第十二期!$AH$80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第十二期!DB57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第十二期!$AI$76</f>
        <v>0</v>
      </c>
      <c r="BT10" s="198">
        <f>第十二期!$AI$77</f>
        <v>0</v>
      </c>
      <c r="BU10" s="198">
        <f>第十二期!$AI$78</f>
        <v>0</v>
      </c>
      <c r="BV10" s="198">
        <f>第十二期!$AI$79</f>
        <v>0</v>
      </c>
      <c r="BW10" s="200">
        <f>第十二期!$AI$80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第十二期!DB58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第十二期!$AJ$76</f>
        <v>0</v>
      </c>
      <c r="BT11" s="200">
        <f>第十二期!$AJ$77</f>
        <v>0</v>
      </c>
      <c r="BU11" s="200">
        <f>第十二期!$AJ$78</f>
        <v>0</v>
      </c>
      <c r="BV11" s="200">
        <f>第十二期!$AJ$79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第十二期!DB59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第十二期!BU86</f>
        <v>0</v>
      </c>
      <c r="AG13" s="135" t="s">
        <v>208</v>
      </c>
      <c r="AH13" s="136">
        <f>第十二期!BV76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第十二期!BW92</f>
        <v>0</v>
      </c>
      <c r="AG14" s="73" t="s">
        <v>214</v>
      </c>
      <c r="AH14" s="138"/>
      <c r="AI14" s="42" t="s">
        <v>97</v>
      </c>
      <c r="AJ14" s="139">
        <f>第十二期!K12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第十二期!Y88</f>
        <v>0</v>
      </c>
      <c r="BT14" s="198">
        <f>第十二期!Y89</f>
        <v>0</v>
      </c>
      <c r="BU14" s="198">
        <f>第十二期!Y90</f>
        <v>0</v>
      </c>
      <c r="BV14" s="198">
        <f>第十二期!Y91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AF14/(Y18+第十二期!K8-AA18)</f>
        <v>#DIV/0!</v>
      </c>
      <c r="AG15" s="73" t="s">
        <v>220</v>
      </c>
      <c r="AH15" s="138"/>
      <c r="AI15" s="42" t="s">
        <v>221</v>
      </c>
      <c r="AJ15" s="139">
        <f>第十二期!K16*0.5-第十二期!K14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第十二期!Z88</f>
        <v>0</v>
      </c>
      <c r="BT15" s="198">
        <f>第十二期!Z89</f>
        <v>0</v>
      </c>
      <c r="BU15" s="198">
        <f>第十二期!Z90</f>
        <v>0</v>
      </c>
      <c r="BV15" s="198">
        <f>第十二期!Z91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第十二期!DM60</f>
        <v>0</v>
      </c>
      <c r="Z16" s="92" t="s">
        <v>224</v>
      </c>
      <c r="AA16" s="93">
        <f>AH20+Y16+第十二期!K9*比赛参数!D30*比赛参数!F30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第十二期!AA88</f>
        <v>0</v>
      </c>
      <c r="BT16" s="198">
        <f>第十二期!AA89</f>
        <v>0</v>
      </c>
      <c r="BU16" s="198">
        <f>第十二期!AA90</f>
        <v>0</v>
      </c>
      <c r="BV16" s="198">
        <f>第十二期!AA91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第十二期!AB88</f>
        <v>0</v>
      </c>
      <c r="BT17" s="198">
        <f>第十二期!AB89</f>
        <v>0</v>
      </c>
      <c r="BU17" s="198">
        <f>第十二期!AB90</f>
        <v>0</v>
      </c>
      <c r="BV17" s="198">
        <f>第十二期!AB91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第十二期!K8*比赛参数!D57</f>
        <v>0</v>
      </c>
      <c r="Z19" s="104" t="s">
        <v>250</v>
      </c>
      <c r="AA19" s="99">
        <f>第十二期!K8*比赛参数!D60</f>
        <v>0</v>
      </c>
      <c r="AB19" s="104" t="s">
        <v>250</v>
      </c>
      <c r="AC19" s="105" t="e">
        <f>IF((AC21-第十二期!K10)/比赛参数!D41&gt;0,(AC21-第十二期!K10)/比赛参数!D41,0)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IF((第十二期!BW92-第十二期!BS87)&gt;0,第十二期!BW92-第十二期!BS87,0)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第十二期!$CX$68</f>
        <v>0</v>
      </c>
      <c r="CD19" s="110">
        <f>第十二期!$CX$69</f>
        <v>0</v>
      </c>
      <c r="CE19" s="110">
        <f>第十二期!$CX$70</f>
        <v>0</v>
      </c>
      <c r="CF19" s="110">
        <f>第十二期!$CX$71</f>
        <v>0</v>
      </c>
      <c r="CG19" s="219"/>
      <c r="CH19" s="225"/>
      <c r="CI19" s="226" t="s">
        <v>55</v>
      </c>
      <c r="CJ19" s="110">
        <f>第十二期!$CX$50</f>
        <v>0</v>
      </c>
      <c r="CK19" s="110">
        <f>第十二期!$CX$51</f>
        <v>0</v>
      </c>
      <c r="CL19" s="110">
        <f>第十二期!$CX$52</f>
        <v>0</v>
      </c>
      <c r="CM19" s="110">
        <f>第十二期!$CX$53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第十二期!K8+第十二期!Y18*比赛参数!D59-第十二期!AA18</f>
        <v>0</v>
      </c>
      <c r="Z20" s="42" t="s">
        <v>245</v>
      </c>
      <c r="AA20" s="108">
        <f>第十二期!K9</f>
        <v>0</v>
      </c>
      <c r="AB20" s="42" t="s">
        <v>257</v>
      </c>
      <c r="AC20" s="109">
        <f>AC18*比赛参数!D41+第十二期!K10</f>
        <v>0</v>
      </c>
      <c r="AE20" s="11" t="s">
        <v>258</v>
      </c>
      <c r="AF20" s="101"/>
      <c r="AG20" s="42" t="s">
        <v>91</v>
      </c>
      <c r="AH20" s="147">
        <f>第十二期!BS62+第十二期!BS71</f>
        <v>0</v>
      </c>
      <c r="AI20" s="73" t="s">
        <v>259</v>
      </c>
      <c r="AJ20" s="111">
        <f>第十二期!BV90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第十二期!Y9</f>
        <v>0</v>
      </c>
      <c r="BT20" s="198">
        <f>第十二期!Z9</f>
        <v>0</v>
      </c>
      <c r="BU20" s="198">
        <f>第十二期!AA9</f>
        <v>0</v>
      </c>
      <c r="BV20" s="198">
        <f>第十二期!AB9</f>
        <v>0</v>
      </c>
      <c r="BW20" s="200">
        <f>第十二期!AJ34</f>
        <v>0</v>
      </c>
      <c r="BX20" s="215"/>
      <c r="CA20" s="213"/>
      <c r="CB20" s="196" t="s">
        <v>56</v>
      </c>
      <c r="CC20" s="110">
        <f>第十二期!$CY$68</f>
        <v>0</v>
      </c>
      <c r="CD20" s="110">
        <f>第十二期!$CY$69</f>
        <v>0</v>
      </c>
      <c r="CE20" s="110">
        <f>第十二期!$CY$70</f>
        <v>0</v>
      </c>
      <c r="CF20" s="110">
        <f>第十二期!$CY$71</f>
        <v>0</v>
      </c>
      <c r="CG20" s="219"/>
      <c r="CH20" s="225"/>
      <c r="CI20" s="227" t="s">
        <v>56</v>
      </c>
      <c r="CJ20" s="110">
        <f>第十二期!$CY$50</f>
        <v>0</v>
      </c>
      <c r="CK20" s="110">
        <f>第十二期!$CY$51</f>
        <v>0</v>
      </c>
      <c r="CL20" s="110">
        <f>第十二期!$CY$52</f>
        <v>0</v>
      </c>
      <c r="CM20" s="110">
        <f>第十二期!$CY$53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第十二期!Y10</f>
        <v>0</v>
      </c>
      <c r="BT21" s="198">
        <f>第十二期!Z10</f>
        <v>0</v>
      </c>
      <c r="BU21" s="198">
        <f>第十二期!AA10</f>
        <v>0</v>
      </c>
      <c r="BV21" s="198">
        <f>第十二期!AB10</f>
        <v>0</v>
      </c>
      <c r="BW21" s="200">
        <f>第十二期!AJ35</f>
        <v>0</v>
      </c>
      <c r="BX21" s="215"/>
      <c r="CA21" s="213"/>
      <c r="CB21" s="196" t="s">
        <v>57</v>
      </c>
      <c r="CC21" s="110">
        <f>第十二期!$CZ$68</f>
        <v>0</v>
      </c>
      <c r="CD21" s="110">
        <f>第十二期!$CZ$69</f>
        <v>0</v>
      </c>
      <c r="CE21" s="110">
        <f>第十二期!$CZ$70</f>
        <v>0</v>
      </c>
      <c r="CF21" s="110">
        <f>第十二期!$CZ$71</f>
        <v>0</v>
      </c>
      <c r="CG21" s="219"/>
      <c r="CH21" s="225"/>
      <c r="CI21" s="227" t="s">
        <v>57</v>
      </c>
      <c r="CJ21" s="110">
        <f>第十二期!$CZ$50</f>
        <v>0</v>
      </c>
      <c r="CK21" s="110">
        <f>第十二期!$CZ$51</f>
        <v>0</v>
      </c>
      <c r="CL21" s="110">
        <f>第十二期!$CZ$52</f>
        <v>0</v>
      </c>
      <c r="CM21" s="110">
        <f>第十二期!$CZ$53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第十二期!Y11</f>
        <v>0</v>
      </c>
      <c r="BT22" s="198">
        <f>第十二期!Z11</f>
        <v>0</v>
      </c>
      <c r="BU22" s="198">
        <f>第十二期!AA11</f>
        <v>0</v>
      </c>
      <c r="BV22" s="198">
        <f>第十二期!AB11</f>
        <v>0</v>
      </c>
      <c r="BW22" s="200">
        <f>第十二期!AJ36</f>
        <v>0</v>
      </c>
      <c r="BX22" s="215"/>
      <c r="CA22" s="213"/>
      <c r="CB22" s="196" t="s">
        <v>58</v>
      </c>
      <c r="CC22" s="110">
        <f>第十二期!$DA$68</f>
        <v>0</v>
      </c>
      <c r="CD22" s="110">
        <f>第十二期!$DA$69</f>
        <v>0</v>
      </c>
      <c r="CE22" s="110">
        <f>第十二期!$DA$70</f>
        <v>0</v>
      </c>
      <c r="CF22" s="110">
        <f>第十二期!$DA$71</f>
        <v>0</v>
      </c>
      <c r="CG22" s="219"/>
      <c r="CH22" s="225"/>
      <c r="CI22" s="227" t="s">
        <v>58</v>
      </c>
      <c r="CJ22" s="110">
        <f>第十二期!$DA$50</f>
        <v>0</v>
      </c>
      <c r="CK22" s="110">
        <f>第十二期!$DA$51</f>
        <v>0</v>
      </c>
      <c r="CL22" s="110">
        <f>第十二期!$DA$52</f>
        <v>0</v>
      </c>
      <c r="CM22" s="110">
        <f>第十二期!$DA$53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第十二期!Y12</f>
        <v>0</v>
      </c>
      <c r="BT23" s="198">
        <f>第十二期!Z12</f>
        <v>0</v>
      </c>
      <c r="BU23" s="198">
        <f>第十二期!AA12</f>
        <v>0</v>
      </c>
      <c r="BV23" s="198">
        <f>第十二期!AB12</f>
        <v>0</v>
      </c>
      <c r="BW23" s="200">
        <f>第十二期!AJ37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第十二期!BV57-第十二期!BV76</f>
        <v>0</v>
      </c>
      <c r="AJ26" s="65">
        <f>第十二期!K9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第十二期!DB50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第十二期!Y18</f>
        <v>0</v>
      </c>
      <c r="BT26" s="198">
        <f>第十二期!AA18</f>
        <v>0</v>
      </c>
      <c r="BU26" s="198">
        <f>第十二期!AF18</f>
        <v>0</v>
      </c>
      <c r="BV26" s="204">
        <f>第十二期!AC18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第十二期!DB51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第十二期!DB52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第十二期!DB53</f>
        <v>0</v>
      </c>
      <c r="BQ29" s="177"/>
      <c r="BR29" s="201"/>
      <c r="BS29" s="204">
        <f>第十二期!AH14</f>
        <v>0</v>
      </c>
      <c r="BT29" s="204">
        <f>第十二期!AH15</f>
        <v>0</v>
      </c>
      <c r="BU29" s="198">
        <f>第十二期!AF20</f>
        <v>0</v>
      </c>
      <c r="BV29" s="204">
        <f>第十二期!AJ18</f>
        <v>0</v>
      </c>
      <c r="BW29" s="218">
        <f>第十二期!AH18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INT(第十二期!DV26)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INT(第十二期!DV27)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INT(第十二期!DV28)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INT(第十二期!DV29)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第十二期!DG56*第十二期!DG50+第十二期!DG64*第十二期!Y88</f>
        <v>0</v>
      </c>
      <c r="CD38" s="108">
        <f>第十二期!DH56*第十二期!DH50+第十二期!DH64*第十二期!Z88</f>
        <v>0</v>
      </c>
      <c r="CE38" s="108">
        <f>第十二期!DI56*第十二期!DI50+第十二期!DI64*第十二期!AA88</f>
        <v>0</v>
      </c>
      <c r="CF38" s="108">
        <f>第十二期!DJ56*第十二期!DJ50+第十二期!DJ64*第十二期!AB88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第十二期!DG57*第十二期!DG51+第十二期!DG65*第十二期!Y89</f>
        <v>0</v>
      </c>
      <c r="CD39" s="108">
        <f>第十二期!DH57*第十二期!DH51+第十二期!DH65*第十二期!Z89</f>
        <v>0</v>
      </c>
      <c r="CE39" s="108">
        <f>第十二期!DI57*第十二期!DI51+第十二期!DI65*第十二期!AA89</f>
        <v>0</v>
      </c>
      <c r="CF39" s="108">
        <f>第十二期!DJ57*第十二期!DJ51+第十二期!DJ65*第十二期!AB89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第十二期!DG58*第十二期!DG52+第十二期!DG66*第十二期!Y90</f>
        <v>0</v>
      </c>
      <c r="CD40" s="108">
        <f>第十二期!DH58*第十二期!DH52+第十二期!DH66*第十二期!Z90</f>
        <v>0</v>
      </c>
      <c r="CE40" s="108">
        <f>第十二期!DI58*第十二期!DI52+第十二期!DI66*第十二期!AA90</f>
        <v>0</v>
      </c>
      <c r="CF40" s="108">
        <f>第十二期!DJ58*第十二期!DJ52+第十二期!DJ66*第十二期!AB90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第十二期!DG59*第十二期!DG53+第十二期!DG67*第十二期!Y91</f>
        <v>0</v>
      </c>
      <c r="CD41" s="108">
        <f>第十二期!DH59*第十二期!DH53+第十二期!DH67*第十二期!Z91</f>
        <v>0</v>
      </c>
      <c r="CE41" s="108">
        <f>第十二期!DI59*第十二期!DI53+第十二期!DI67*第十二期!AA91</f>
        <v>0</v>
      </c>
      <c r="CF41" s="108">
        <f>第十二期!DJ59*第十二期!DJ53+第十二期!DJ67*第十二期!AB91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第十二期!Y9*第十二期!CQ62*比赛参数!D65</f>
        <v>0</v>
      </c>
      <c r="CR50" s="65">
        <f>第十二期!Z9*第十二期!CR62*比赛参数!E65</f>
        <v>0</v>
      </c>
      <c r="CS50" s="65">
        <f>第十二期!AA9*第十二期!CS62*比赛参数!F65</f>
        <v>0</v>
      </c>
      <c r="CT50" s="65">
        <f>第十二期!AB9*第十二期!CT62*比赛参数!G65</f>
        <v>0</v>
      </c>
      <c r="CU50" s="65">
        <f>IF(第十二期!AC9&gt;0,SUM(CQ50:CT50)/第十二期!AC9,0)</f>
        <v>0</v>
      </c>
      <c r="CW50" s="11" t="s">
        <v>38</v>
      </c>
      <c r="CX50" s="242">
        <f>IF(第十二期!$CU$50*第十二期!CQ93&gt;0,第十二期!$CU$50+第十二期!CQ68+第十二期!CQ93+第十二期!CQ74,0)</f>
        <v>0</v>
      </c>
      <c r="CY50" s="242">
        <f>IF(第十二期!$CU$50*第十二期!CR93&gt;0,第十二期!$CU$50+第十二期!CR68+第十二期!CR93+第十二期!CR74,0)</f>
        <v>0</v>
      </c>
      <c r="CZ50" s="242">
        <f>IF(第十二期!$CU$50*第十二期!CS93&gt;0,第十二期!$CU$50+第十二期!CS68+第十二期!CS93+第十二期!CS74,0)</f>
        <v>0</v>
      </c>
      <c r="DA50" s="242">
        <f>IF(第十二期!$CU$50*第十二期!CT93&gt;0,第十二期!$CU$50+第十二期!CT68+第十二期!CT93+第十二期!CT74,0)</f>
        <v>0</v>
      </c>
      <c r="DB50" s="242">
        <f>AVERAGE(CX50:DA50)</f>
        <v>0</v>
      </c>
      <c r="DF50" s="65" t="s">
        <v>55</v>
      </c>
      <c r="DG50" s="245">
        <f>IF(第十二期!Y88&gt;0,1,0)</f>
        <v>0</v>
      </c>
      <c r="DH50" s="245">
        <f>IF(第十二期!Z88&gt;0,1,0)</f>
        <v>0</v>
      </c>
      <c r="DI50" s="245">
        <f>IF(第十二期!AA88&gt;0,1,0)</f>
        <v>0</v>
      </c>
      <c r="DJ50" s="245">
        <f>IF(第十二期!AB88&gt;0,1,0)</f>
        <v>0</v>
      </c>
      <c r="DL50" s="245" t="s">
        <v>21</v>
      </c>
      <c r="DM50" s="248">
        <f>IF(第十二期!Y9+第十二期!Z9&gt;0,1,0)</f>
        <v>0</v>
      </c>
      <c r="DN50" s="248">
        <f>IF(第十二期!AA9+第十二期!AB9&gt;0,1,0)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第十二期!Y10*第十二期!CQ63*比赛参数!D65</f>
        <v>0</v>
      </c>
      <c r="CR51" s="65">
        <f>第十二期!Z10*第十二期!CR63*比赛参数!E65</f>
        <v>0</v>
      </c>
      <c r="CS51" s="65">
        <f>第十二期!AA10*第十二期!CS63*比赛参数!F65</f>
        <v>0</v>
      </c>
      <c r="CT51" s="65">
        <f>第十二期!AB10*第十二期!CT63*比赛参数!G65</f>
        <v>0</v>
      </c>
      <c r="CU51" s="65">
        <f>IF(第十二期!AC10&gt;0,SUM(CQ51:CT51)/第十二期!AC10,0)</f>
        <v>0</v>
      </c>
      <c r="CW51" s="11" t="s">
        <v>39</v>
      </c>
      <c r="CX51" s="242">
        <f>IF(第十二期!$CU$51*第十二期!CQ94&gt;0,第十二期!$CU$51+第十二期!CQ69+第十二期!CQ94+第十二期!CQ75,0)</f>
        <v>0</v>
      </c>
      <c r="CY51" s="242">
        <f>IF(第十二期!$CU$51*第十二期!CR94&gt;0,第十二期!$CU$51+第十二期!CR69+第十二期!CR94+第十二期!CR75,0)</f>
        <v>0</v>
      </c>
      <c r="CZ51" s="242">
        <f>IF(第十二期!$CU$51*第十二期!CS94&gt;0,第十二期!$CU$51+第十二期!CS69+第十二期!CS94+第十二期!CS75,0)</f>
        <v>0</v>
      </c>
      <c r="DA51" s="242">
        <f>IF(第十二期!$CU$51*第十二期!CT94&gt;0,第十二期!$CU$51+第十二期!CT69+第十二期!CT94+第十二期!CT75,0)</f>
        <v>0</v>
      </c>
      <c r="DB51" s="242">
        <f>AVERAGE(CX51:DA51)</f>
        <v>0</v>
      </c>
      <c r="DF51" s="65" t="s">
        <v>56</v>
      </c>
      <c r="DG51" s="245">
        <f>IF(第十二期!Y89&gt;0,1,0)</f>
        <v>0</v>
      </c>
      <c r="DH51" s="245">
        <f>IF(第十二期!Z89&gt;0,1,0)</f>
        <v>0</v>
      </c>
      <c r="DI51" s="245">
        <f>IF(第十二期!AA89&gt;0,1,0)</f>
        <v>0</v>
      </c>
      <c r="DJ51" s="245">
        <f>IF(第十二期!AB89&gt;0,1,0)</f>
        <v>0</v>
      </c>
      <c r="DL51" s="245" t="s">
        <v>22</v>
      </c>
      <c r="DM51" s="248">
        <f>IF(第十二期!Y10+第十二期!Z10&gt;0,1,0)</f>
        <v>0</v>
      </c>
      <c r="DN51" s="248">
        <f>IF(第十二期!AA10+第十二期!AB10&gt;0,1,0)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第十二期!Y11*第十二期!CQ64*比赛参数!D65</f>
        <v>0</v>
      </c>
      <c r="CR52" s="65">
        <f>第十二期!Z11*第十二期!CR64*比赛参数!E65</f>
        <v>0</v>
      </c>
      <c r="CS52" s="65">
        <f>第十二期!AA11*第十二期!CS64*比赛参数!F65</f>
        <v>0</v>
      </c>
      <c r="CT52" s="65">
        <f>第十二期!AB11*第十二期!CT64*比赛参数!G65</f>
        <v>0</v>
      </c>
      <c r="CU52" s="65">
        <f>IF(第十二期!AC11&gt;0,SUM(CQ52:CT52)/第十二期!AC11,0)</f>
        <v>0</v>
      </c>
      <c r="CW52" s="11" t="s">
        <v>40</v>
      </c>
      <c r="CX52" s="242">
        <f>IF(第十二期!$CU$52*第十二期!CQ95&gt;0,第十二期!$CU$52+第十二期!CQ70+第十二期!CQ95+第十二期!CQ76,0)</f>
        <v>0</v>
      </c>
      <c r="CY52" s="242">
        <f>IF(第十二期!$CU$52*第十二期!CR95&gt;0,第十二期!$CU$52+第十二期!CR70+第十二期!CR95+第十二期!CR76,0)</f>
        <v>0</v>
      </c>
      <c r="CZ52" s="242">
        <f>IF(第十二期!$CU$52*第十二期!CS95&gt;0,第十二期!$CU$52+第十二期!CS70+第十二期!CS95+第十二期!CS76,0)</f>
        <v>0</v>
      </c>
      <c r="DA52" s="242">
        <f>IF(第十二期!$CU$52*第十二期!CT95&gt;0,第十二期!$CU$52+第十二期!CT70+第十二期!CT95+第十二期!CT76,0)</f>
        <v>0</v>
      </c>
      <c r="DB52" s="242">
        <f>AVERAGE(CX52:DA52)</f>
        <v>0</v>
      </c>
      <c r="DF52" s="65" t="s">
        <v>57</v>
      </c>
      <c r="DG52" s="245">
        <f>IF(第十二期!Y90&gt;0,1,0)</f>
        <v>0</v>
      </c>
      <c r="DH52" s="245">
        <f>IF(第十二期!Z90&gt;0,1,0)</f>
        <v>0</v>
      </c>
      <c r="DI52" s="245">
        <f>IF(第十二期!AA90&gt;0,1,0)</f>
        <v>0</v>
      </c>
      <c r="DJ52" s="245">
        <f>IF(第十二期!AB90&gt;0,1,0)</f>
        <v>0</v>
      </c>
      <c r="DL52" s="245" t="s">
        <v>23</v>
      </c>
      <c r="DM52" s="248">
        <f>IF(第十二期!Y11+第十二期!Z11&gt;0,1,0)</f>
        <v>0</v>
      </c>
      <c r="DN52" s="248">
        <f>IF(第十二期!AA11+第十二期!AB11&gt;0,1,0)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第十二期!Y12*第十二期!CQ65*比赛参数!D65</f>
        <v>0</v>
      </c>
      <c r="CR53" s="65">
        <f>第十二期!Z12*第十二期!CR65*比赛参数!E65</f>
        <v>0</v>
      </c>
      <c r="CS53" s="65">
        <f>第十二期!AA12*第十二期!CS65*比赛参数!F65</f>
        <v>0</v>
      </c>
      <c r="CT53" s="65">
        <f>第十二期!AB12*第十二期!CT65*比赛参数!G65</f>
        <v>0</v>
      </c>
      <c r="CU53" s="65">
        <f>IF(第十二期!AC12&gt;0,SUM(CQ53:CT53)/第十二期!AC12,0)</f>
        <v>0</v>
      </c>
      <c r="CW53" s="11" t="s">
        <v>41</v>
      </c>
      <c r="CX53" s="242">
        <f>IF(第十二期!$CU$53*第十二期!CQ96&gt;0,第十二期!$CU$53+第十二期!CQ71+第十二期!CQ96+第十二期!CQ77,0)</f>
        <v>0</v>
      </c>
      <c r="CY53" s="242">
        <f>IF(第十二期!$CU$53*第十二期!CR96&gt;0,第十二期!$CU$53+第十二期!CR71+第十二期!CR96+第十二期!CR77,0)</f>
        <v>0</v>
      </c>
      <c r="CZ53" s="242">
        <f>IF(第十二期!$CU$53*第十二期!CS96&gt;0,第十二期!$CU$53+第十二期!CS71+第十二期!CS96+第十二期!CS77,0)</f>
        <v>0</v>
      </c>
      <c r="DA53" s="242">
        <f>IF(第十二期!$CU$53*第十二期!CT96&gt;0,第十二期!$CU$53+第十二期!CT71+第十二期!CT96+第十二期!CT77,0)</f>
        <v>0</v>
      </c>
      <c r="DB53" s="242">
        <f>AVERAGE(CX53:DA53)</f>
        <v>0</v>
      </c>
      <c r="DF53" s="65" t="s">
        <v>58</v>
      </c>
      <c r="DG53" s="245">
        <f>IF(第十二期!Y91&gt;0,1,0)</f>
        <v>0</v>
      </c>
      <c r="DH53" s="245">
        <f>IF(第十二期!Z91&gt;0,1,0)</f>
        <v>0</v>
      </c>
      <c r="DI53" s="245">
        <f>IF(第十二期!AA91&gt;0,1,0)</f>
        <v>0</v>
      </c>
      <c r="DJ53" s="245">
        <f>IF(第十二期!AB91&gt;0,1,0)</f>
        <v>0</v>
      </c>
      <c r="DL53" s="245" t="s">
        <v>24</v>
      </c>
      <c r="DM53" s="248">
        <f>IF(第十二期!Y12+第十二期!Z12&gt;0,1,0)</f>
        <v>0</v>
      </c>
      <c r="DN53" s="248">
        <f>IF(第十二期!AA12+第十二期!AB12&gt;0,1,0)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第十二期!K11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第十二期!AH14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第十二期!DU26</f>
        <v>0</v>
      </c>
      <c r="CD56" s="108">
        <f>第十二期!DU27</f>
        <v>0</v>
      </c>
      <c r="CE56" s="108">
        <f>第十二期!DU28</f>
        <v>0</v>
      </c>
      <c r="CF56" s="108">
        <f>第十二期!DU29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第十二期!BS7-第十二期!CX50</f>
        <v>0</v>
      </c>
      <c r="CY56" s="242">
        <f>第十二期!BT7-第十二期!CY50</f>
        <v>0</v>
      </c>
      <c r="CZ56" s="242">
        <f>第十二期!BU7-第十二期!CZ50</f>
        <v>0</v>
      </c>
      <c r="DA56" s="242">
        <f>第十二期!BV7-第十二期!DA50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第十二期!DX6</f>
        <v>0</v>
      </c>
      <c r="Z57" s="127">
        <f>第十二期!DX10</f>
        <v>0</v>
      </c>
      <c r="AA57" s="127">
        <f>第十二期!DX14</f>
        <v>0</v>
      </c>
      <c r="AB57" s="127">
        <f>第十二期!DX18</f>
        <v>0</v>
      </c>
      <c r="AC57" s="128"/>
      <c r="AE57" s="64" t="s">
        <v>55</v>
      </c>
      <c r="AF57" s="127">
        <f>第十二期!DW6</f>
        <v>0</v>
      </c>
      <c r="AG57" s="127">
        <f>第十二期!DW10</f>
        <v>0</v>
      </c>
      <c r="AH57" s="127">
        <f>第十二期!DW14</f>
        <v>0</v>
      </c>
      <c r="AI57" s="127">
        <f>第十二期!DW18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第十二期!AH15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第十二期!BS8-第十二期!CX51</f>
        <v>0</v>
      </c>
      <c r="CY57" s="242">
        <f>第十二期!BT8-第十二期!CY51</f>
        <v>0</v>
      </c>
      <c r="CZ57" s="242">
        <f>第十二期!BU8-第十二期!CZ51</f>
        <v>0</v>
      </c>
      <c r="DA57" s="242">
        <f>第十二期!BV8-第十二期!DA51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第十二期!DX7</f>
        <v>0</v>
      </c>
      <c r="Z58" s="127">
        <f>第十二期!DX11</f>
        <v>0</v>
      </c>
      <c r="AA58" s="127">
        <f>第十二期!DX15</f>
        <v>0</v>
      </c>
      <c r="AB58" s="127">
        <f>第十二期!DX19</f>
        <v>0</v>
      </c>
      <c r="AC58" s="128"/>
      <c r="AE58" s="11" t="s">
        <v>56</v>
      </c>
      <c r="AF58" s="127">
        <f>第十二期!DW7</f>
        <v>0</v>
      </c>
      <c r="AG58" s="127">
        <f>第十二期!DW11</f>
        <v>0</v>
      </c>
      <c r="AH58" s="127">
        <f>第十二期!DW15</f>
        <v>0</v>
      </c>
      <c r="AI58" s="127">
        <f>第十二期!DW19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第十二期!H5+第十二期!H4*比赛参数!F71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第十二期!BS9-第十二期!CX52</f>
        <v>0</v>
      </c>
      <c r="CY58" s="242">
        <f>第十二期!BT9-第十二期!CY52</f>
        <v>0</v>
      </c>
      <c r="CZ58" s="242">
        <f>第十二期!BU9-第十二期!CZ52</f>
        <v>0</v>
      </c>
      <c r="DA58" s="242">
        <f>第十二期!BV9-第十二期!DA52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第十二期!DX8</f>
        <v>0</v>
      </c>
      <c r="Z59" s="127">
        <f>第十二期!DX12</f>
        <v>0</v>
      </c>
      <c r="AA59" s="127">
        <f>第十二期!DX16</f>
        <v>0</v>
      </c>
      <c r="AB59" s="127">
        <f>第十二期!DX20</f>
        <v>0</v>
      </c>
      <c r="AC59" s="129"/>
      <c r="AE59" s="11" t="s">
        <v>57</v>
      </c>
      <c r="AF59" s="127">
        <f>第十二期!DW8</f>
        <v>0</v>
      </c>
      <c r="AG59" s="127">
        <f>第十二期!DW12</f>
        <v>0</v>
      </c>
      <c r="AH59" s="127">
        <f>第十二期!DW16</f>
        <v>0</v>
      </c>
      <c r="AI59" s="127">
        <f>第十二期!DW20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第十二期!K14*比赛参数!D71/4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第十二期!BS10-第十二期!CX53</f>
        <v>0</v>
      </c>
      <c r="CY59" s="242">
        <f>第十二期!BT10-第十二期!CY53</f>
        <v>0</v>
      </c>
      <c r="CZ59" s="242">
        <f>第十二期!BU10-第十二期!CZ53</f>
        <v>0</v>
      </c>
      <c r="DA59" s="242">
        <f>第十二期!BV10-第十二期!DA53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第十二期!DX9</f>
        <v>0</v>
      </c>
      <c r="Z60" s="127">
        <f>第十二期!DX13</f>
        <v>0</v>
      </c>
      <c r="AA60" s="127">
        <f>第十二期!DX17</f>
        <v>0</v>
      </c>
      <c r="AB60" s="127">
        <f>第十二期!DX21</f>
        <v>0</v>
      </c>
      <c r="AC60" s="108" t="s">
        <v>314</v>
      </c>
      <c r="AE60" s="11" t="s">
        <v>58</v>
      </c>
      <c r="AF60" s="127">
        <f>第十二期!DW9</f>
        <v>0</v>
      </c>
      <c r="AG60" s="127">
        <f>第十二期!DW13</f>
        <v>0</v>
      </c>
      <c r="AH60" s="127">
        <f>第十二期!DW17</f>
        <v>0</v>
      </c>
      <c r="AI60" s="127">
        <f>第十二期!DW21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第十二期!Y18*比赛参数!D58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第十二期!AA18*比赛参数!D62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((第十二期!K8-第十二期!AA18)*比赛参数!D65+第十二期!Y18*比赛参数!D59*比赛参数!D65)*第十二期!AH18*520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CX56/第十二期!CQ56</f>
        <v>#DIV/0!</v>
      </c>
      <c r="CY62" s="242" t="e">
        <f>CY56/第十二期!CR56</f>
        <v>#DIV/0!</v>
      </c>
      <c r="CZ62" s="242" t="e">
        <f>CZ56/第十二期!CS56</f>
        <v>#DIV/0!</v>
      </c>
      <c r="DA62" s="242" t="e">
        <f>DA56/第十二期!CT56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第十二期!K9*比赛参数!D49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CX57/第十二期!CQ57</f>
        <v>#DIV/0!</v>
      </c>
      <c r="CY63" s="242" t="e">
        <f>CY57/第十二期!CR57</f>
        <v>#DIV/0!</v>
      </c>
      <c r="CZ63" s="242" t="e">
        <f>CZ57/第十二期!CS57</f>
        <v>#DIV/0!</v>
      </c>
      <c r="DA63" s="242" t="e">
        <f>DA57/第十二期!CT57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第十二期!AL37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CX58/第十二期!CQ58</f>
        <v>#DIV/0!</v>
      </c>
      <c r="CY64" s="242" t="e">
        <f>CY58/第十二期!CR58</f>
        <v>#DIV/0!</v>
      </c>
      <c r="CZ64" s="242" t="e">
        <f>CZ58/第十二期!CS58</f>
        <v>#DIV/0!</v>
      </c>
      <c r="DA64" s="242" t="e">
        <f>DA58/第十二期!CT58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0.5*第十二期!AL37+0.5*第十二期!DV23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CX59/第十二期!CQ59</f>
        <v>#DIV/0!</v>
      </c>
      <c r="CY65" s="242" t="e">
        <f>CY59/第十二期!CR59</f>
        <v>#DIV/0!</v>
      </c>
      <c r="CZ65" s="242" t="e">
        <f>CZ59/第十二期!CS59</f>
        <v>#DIV/0!</v>
      </c>
      <c r="DA65" s="242" t="e">
        <f>DA59/第十二期!CT59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第十二期!AC18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二期!AC18&gt;=比赛参数!D33,(1-比赛参数!E33)*第十二期!AC18,0)+IF(AND(第十二期!AC18&gt;=比赛参数!D34,第十二期!AC18&lt;比赛参数!D33),(1-比赛参数!E34)*第十二期!AC18,0)+IF(AND(第十二期!AC18&gt;=比赛参数!D35,第十二期!AC18&lt;比赛参数!D34),(1-比赛参数!E35)*第十二期!AC18,0)+IF(AND(第十二期!AC18&gt;=比赛参数!D36,第十二期!AC18&lt;比赛参数!D35),(1-比赛参数!E36)*第十二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第十二期!DV6</f>
        <v>0</v>
      </c>
      <c r="AG70" s="131">
        <f>第十二期!DV10</f>
        <v>0</v>
      </c>
      <c r="AH70" s="131">
        <f>第十二期!DV14</f>
        <v>0</v>
      </c>
      <c r="AI70" s="131">
        <f>第十二期!DV18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IF(第十二期!AC18&gt;0,第十二期!AC18*比赛参数!E40+比赛参数!E39,0)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第十二期!DV7</f>
        <v>0</v>
      </c>
      <c r="AG71" s="131">
        <f>第十二期!DV11</f>
        <v>0</v>
      </c>
      <c r="AH71" s="131">
        <f>第十二期!DV15</f>
        <v>0</v>
      </c>
      <c r="AI71" s="131">
        <f>第十二期!DV19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(第十二期!Z13*比赛参数!E65*260+第十二期!AA13*(比赛参数!F65-比赛参数!D65)*520+第十二期!AB13*比赛参数!G65*260)*第十二期!AH18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第十二期!DV8</f>
        <v>0</v>
      </c>
      <c r="AG72" s="131">
        <f>第十二期!DV12</f>
        <v>0</v>
      </c>
      <c r="AH72" s="131">
        <f>第十二期!DV16</f>
        <v>0</v>
      </c>
      <c r="AI72" s="131">
        <f>第十二期!DV20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第十二期!DM60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第十二期!DV9</f>
        <v>0</v>
      </c>
      <c r="AG73" s="131">
        <f>第十二期!DV13</f>
        <v>0</v>
      </c>
      <c r="AH73" s="131">
        <f>第十二期!DV17</f>
        <v>0</v>
      </c>
      <c r="AI73" s="131">
        <f>第十二期!DV21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第十二期!AC21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第十二期!CG42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SUM(第十二期!AF80:AI80)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SUM(第十二期!AJ76:AJ79)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第十二期!CG53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第十二期!CN53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第十二期!K9*比赛参数!D30*比赛参数!F30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第十二期!CG65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第十二期!Y9*第十二期!CQ56</f>
        <v>0</v>
      </c>
      <c r="CR80" s="65">
        <f>第十二期!Z9*第十二期!CR56</f>
        <v>0</v>
      </c>
      <c r="CS80" s="65">
        <f>第十二期!AA9*第十二期!CS56</f>
        <v>0</v>
      </c>
      <c r="CT80" s="65">
        <f>第十二期!AB9*第十二期!CT56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(第十二期!K10+(第十二期!AC18+第十二期!K10-第十二期!AC21))/2*比赛参数!D16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第十二期!Y10*第十二期!CQ57</f>
        <v>0</v>
      </c>
      <c r="CR81" s="65">
        <f>第十二期!Z10*第十二期!CR57</f>
        <v>0</v>
      </c>
      <c r="CS81" s="65">
        <f>第十二期!AA10*第十二期!CS57</f>
        <v>0</v>
      </c>
      <c r="CT81" s="65">
        <f>第十二期!AB10*第十二期!CT57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第十二期!CG67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第十二期!Y11*第十二期!CQ58</f>
        <v>0</v>
      </c>
      <c r="CR82" s="65">
        <f>第十二期!Z11*第十二期!CR58</f>
        <v>0</v>
      </c>
      <c r="CS82" s="65">
        <f>第十二期!AA11*第十二期!CS58</f>
        <v>0</v>
      </c>
      <c r="CT82" s="65">
        <f>第十二期!AB11*第十二期!CT58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第十二期!K13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第十二期!Y12*第十二期!CQ59</f>
        <v>0</v>
      </c>
      <c r="CR83" s="65">
        <f>第十二期!Z12*第十二期!CR59</f>
        <v>0</v>
      </c>
      <c r="CS83" s="65">
        <f>第十二期!AA12*第十二期!CS59</f>
        <v>0</v>
      </c>
      <c r="CT83" s="65">
        <f>第十二期!AB12*第十二期!CT59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第十二期!K13*比赛参数!D70/4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第十二期!AH14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第十二期!DS33</f>
        <v>0</v>
      </c>
      <c r="AG86" s="131">
        <f>第十二期!DW33</f>
        <v>0</v>
      </c>
      <c r="AH86" s="131">
        <f>第十二期!EA33</f>
        <v>0</v>
      </c>
      <c r="AI86" s="131">
        <f>第十二期!EE33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第十二期!AH14*比赛参数!D69/4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第十二期!DT33</f>
        <v>0</v>
      </c>
      <c r="AG87" s="131">
        <f>第十二期!DX33</f>
        <v>0</v>
      </c>
      <c r="AH87" s="131">
        <f>第十二期!EB33</f>
        <v>0</v>
      </c>
      <c r="AI87" s="131">
        <f>第十二期!EF33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IF(第十二期!BW92&gt;0,IF((第十二期!K15+第十二期!BW92*比赛参数!D72)&gt;0,第十二期!K15+第十二期!BW92*比赛参数!D72,0))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第十二期!DU33</f>
        <v>0</v>
      </c>
      <c r="AG88" s="131">
        <f>第十二期!DY33</f>
        <v>0</v>
      </c>
      <c r="AH88" s="131">
        <f>第十二期!EC33</f>
        <v>0</v>
      </c>
      <c r="AI88" s="131">
        <f>第十二期!EG33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第十二期!AF18*比赛参数!D30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第十二期!DV33</f>
        <v>0</v>
      </c>
      <c r="AG89" s="131">
        <f>第十二期!DZ33</f>
        <v>0</v>
      </c>
      <c r="AH89" s="131">
        <f>第十二期!ED33</f>
        <v>0</v>
      </c>
      <c r="AI89" s="131">
        <f>第十二期!EH33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第十二期!AJ18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第十二期!AF20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第十二期!BT84</f>
        <v>0</v>
      </c>
      <c r="BT92" s="330" t="s">
        <v>181</v>
      </c>
      <c r="BU92" s="130">
        <f>第十二期!BU86</f>
        <v>0</v>
      </c>
      <c r="BV92" s="332" t="s">
        <v>104</v>
      </c>
      <c r="BW92" s="333">
        <f>第十二期!BT84-第十二期!BU86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AC9*比赛参数!D6+第十二期!DU26</f>
        <v>0</v>
      </c>
      <c r="Z93" s="37">
        <f>AC10*比赛参数!D6+第十二期!DU27</f>
        <v>0</v>
      </c>
      <c r="AA93" s="37">
        <f>AC11*比赛参数!D6+第十二期!DU28</f>
        <v>0</v>
      </c>
      <c r="AB93" s="37">
        <f>AC12*比赛参数!D6+第十二期!DU29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IF(第十二期!$AC$9&gt;0,第十二期!$K$9*比赛参数!$D$30*比赛参数!$F$30*$CU$87/第十二期!$AC$9,0)</f>
        <v>0</v>
      </c>
      <c r="CR93" s="65">
        <f>IF(第十二期!$AC$9&gt;0,第十二期!$K$9*比赛参数!$D$30*比赛参数!$F$30*$CU$87/第十二期!$AC$9,0)</f>
        <v>0</v>
      </c>
      <c r="CS93" s="65">
        <f>IF(第十二期!$AC$9&gt;0,第十二期!$K$9*比赛参数!$D$30*比赛参数!$F$30*$CU$87/第十二期!$AC$9,0)</f>
        <v>0</v>
      </c>
      <c r="CT93" s="65">
        <f>IF(第十二期!$AC$9&gt;0,第十二期!$K$9*比赛参数!$D$30*比赛参数!$F$30*$CU$87/第十二期!$AC$9,0)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IF(第十二期!$AC$10&gt;0,第十二期!$K$9*比赛参数!$D$30*比赛参数!$F$30*$CU$88/第十二期!$AC$10,0)</f>
        <v>0</v>
      </c>
      <c r="CR94" s="65">
        <f>IF(第十二期!$AC$10&gt;0,第十二期!$K$9*比赛参数!$D$30*比赛参数!$F$30*$CU$88/第十二期!$AC$10,0)</f>
        <v>0</v>
      </c>
      <c r="CS94" s="65">
        <f>IF(第十二期!$AC$10&gt;0,第十二期!$K$9*比赛参数!$D$30*比赛参数!$F$30*$CU$88/第十二期!$AC$10,0)</f>
        <v>0</v>
      </c>
      <c r="CT94" s="65">
        <f>IF(第十二期!$AC$10&gt;0,第十二期!$K$9*比赛参数!$D$30*比赛参数!$F$30*$CU$88/第十二期!$AC$10,0)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IF(第十二期!$AC$11&gt;0,第十二期!$K$9*比赛参数!$D$30*比赛参数!$F$30*$CU$89/第十二期!$AC$11,0)</f>
        <v>0</v>
      </c>
      <c r="CR95" s="65">
        <f>IF(第十二期!$AC$11&gt;0,第十二期!$K$9*比赛参数!$D$30*比赛参数!$F$30*$CU$89/第十二期!$AC$11,0)</f>
        <v>0</v>
      </c>
      <c r="CS95" s="65">
        <f>IF(第十二期!$AC$11&gt;0,第十二期!$K$9*比赛参数!$D$30*比赛参数!$F$30*$CU$89/第十二期!$AC$11,0)</f>
        <v>0</v>
      </c>
      <c r="CT95" s="65">
        <f>IF(第十二期!$AC$11&gt;0,第十二期!$K$9*比赛参数!$D$30*比赛参数!$F$30*$CU$89/第十二期!$AC$11,0)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第十二期!CX62</f>
        <v>#DIV/0!</v>
      </c>
      <c r="Z96" s="94" t="e">
        <f>第十二期!CX63</f>
        <v>#DIV/0!</v>
      </c>
      <c r="AA96" s="94" t="e">
        <f>第十二期!CX64</f>
        <v>#DIV/0!</v>
      </c>
      <c r="AB96" s="94" t="e">
        <f>第十二期!CX65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IF(第十二期!$AC$12&gt;0,第十二期!$K$9*比赛参数!$D$30*比赛参数!$F$30*$CU$90/第十二期!$AC$12,0)</f>
        <v>0</v>
      </c>
      <c r="CR96" s="65">
        <f>IF(第十二期!$AC$12&gt;0,第十二期!$K$9*比赛参数!$D$30*比赛参数!$F$30*$CU$90/第十二期!$AC$12,0)</f>
        <v>0</v>
      </c>
      <c r="CS96" s="65">
        <f>IF(第十二期!$AC$12&gt;0,第十二期!$K$9*比赛参数!$D$30*比赛参数!$F$30*$CU$90/第十二期!$AC$12,0)</f>
        <v>0</v>
      </c>
      <c r="CT96" s="65">
        <f>IF(第十二期!$AC$12&gt;0,第十二期!$K$9*比赛参数!$D$30*比赛参数!$F$30*$CU$90/第十二期!$AC$12,0)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第十二期!CY62</f>
        <v>#DIV/0!</v>
      </c>
      <c r="Z97" s="94" t="e">
        <f>第十二期!CY63</f>
        <v>#DIV/0!</v>
      </c>
      <c r="AA97" s="94" t="e">
        <f>第十二期!CY64</f>
        <v>#DIV/0!</v>
      </c>
      <c r="AB97" s="94" t="e">
        <f>第十二期!CY65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第十二期!CZ62</f>
        <v>#DIV/0!</v>
      </c>
      <c r="Z98" s="94" t="e">
        <f>第十二期!CZ63</f>
        <v>#DIV/0!</v>
      </c>
      <c r="AA98" s="94" t="e">
        <f>第十二期!CZ64</f>
        <v>#DIV/0!</v>
      </c>
      <c r="AB98" s="94" t="e">
        <f>第十二期!CZ65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第十二期!DA62</f>
        <v>#DIV/0!</v>
      </c>
      <c r="Z99" s="94" t="e">
        <f>第十二期!DA63</f>
        <v>#DIV/0!</v>
      </c>
      <c r="AA99" s="94" t="e">
        <f>第十二期!DA64</f>
        <v>#DIV/0!</v>
      </c>
      <c r="AB99" s="94" t="e">
        <f>第十二期!DA65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(第十二期!#REF!-$BE$54)&lt;0</formula>
    </cfRule>
  </conditionalFormatting>
  <conditionalFormatting sqref="BF132:BF133">
    <cfRule type="expression" dxfId="6" priority="26" stopIfTrue="1">
      <formula>(第十二期!#REF!-$BF$54)&lt;0</formula>
    </cfRule>
  </conditionalFormatting>
  <conditionalFormatting sqref="BG132:BG133">
    <cfRule type="expression" dxfId="6" priority="25" stopIfTrue="1">
      <formula>(第十二期!#REF!-$BG$54)&lt;0</formula>
    </cfRule>
  </conditionalFormatting>
  <conditionalFormatting sqref="BH132:BH133">
    <cfRule type="expression" dxfId="6" priority="24" stopIfTrue="1">
      <formula>(第十二期!#REF!-$BH$54)&lt;0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S1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第十三期!AF76</f>
        <v>0</v>
      </c>
      <c r="BT7" s="198">
        <f>第十三期!AF77</f>
        <v>0</v>
      </c>
      <c r="BU7" s="198">
        <f>第十三期!AF78</f>
        <v>0</v>
      </c>
      <c r="BV7" s="198">
        <f>第十三期!AF79</f>
        <v>0</v>
      </c>
      <c r="BW7" s="200">
        <f>第十三期!$AF$80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第十三期!$AG$76</f>
        <v>0</v>
      </c>
      <c r="BT8" s="198">
        <f>第十三期!$AG$77</f>
        <v>0</v>
      </c>
      <c r="BU8" s="198">
        <f>第十三期!$AG$78</f>
        <v>0</v>
      </c>
      <c r="BV8" s="198">
        <f>第十三期!$AG$79</f>
        <v>0</v>
      </c>
      <c r="BW8" s="200">
        <f>第十三期!$AG$80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第十三期!DB56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第十三期!$AH$76</f>
        <v>0</v>
      </c>
      <c r="BT9" s="198">
        <f>第十三期!$AH$77</f>
        <v>0</v>
      </c>
      <c r="BU9" s="198">
        <f>第十三期!$AH$78</f>
        <v>0</v>
      </c>
      <c r="BV9" s="198">
        <f>第十三期!$AH$79</f>
        <v>0</v>
      </c>
      <c r="BW9" s="200">
        <f>第十三期!$AH$80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第十三期!DB57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第十三期!$AI$76</f>
        <v>0</v>
      </c>
      <c r="BT10" s="198">
        <f>第十三期!$AI$77</f>
        <v>0</v>
      </c>
      <c r="BU10" s="198">
        <f>第十三期!$AI$78</f>
        <v>0</v>
      </c>
      <c r="BV10" s="198">
        <f>第十三期!$AI$79</f>
        <v>0</v>
      </c>
      <c r="BW10" s="200">
        <f>第十三期!$AI$80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第十三期!DB58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第十三期!$AJ$76</f>
        <v>0</v>
      </c>
      <c r="BT11" s="200">
        <f>第十三期!$AJ$77</f>
        <v>0</v>
      </c>
      <c r="BU11" s="200">
        <f>第十三期!$AJ$78</f>
        <v>0</v>
      </c>
      <c r="BV11" s="200">
        <f>第十三期!$AJ$79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第十三期!DB59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第十三期!BU86</f>
        <v>0</v>
      </c>
      <c r="AG13" s="135" t="s">
        <v>208</v>
      </c>
      <c r="AH13" s="136">
        <f>第十三期!BV76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第十三期!BW92</f>
        <v>0</v>
      </c>
      <c r="AG14" s="73" t="s">
        <v>214</v>
      </c>
      <c r="AH14" s="138"/>
      <c r="AI14" s="42" t="s">
        <v>97</v>
      </c>
      <c r="AJ14" s="139">
        <f>第十三期!K12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第十三期!Y88</f>
        <v>0</v>
      </c>
      <c r="BT14" s="198">
        <f>第十三期!Y89</f>
        <v>0</v>
      </c>
      <c r="BU14" s="198">
        <f>第十三期!Y90</f>
        <v>0</v>
      </c>
      <c r="BV14" s="198">
        <f>第十三期!Y91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AF14/(Y18+第十三期!K8-AA18)</f>
        <v>#DIV/0!</v>
      </c>
      <c r="AG15" s="73" t="s">
        <v>220</v>
      </c>
      <c r="AH15" s="138"/>
      <c r="AI15" s="42" t="s">
        <v>221</v>
      </c>
      <c r="AJ15" s="139">
        <f>第十三期!K16*0.5-第十三期!K14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第十三期!Z88</f>
        <v>0</v>
      </c>
      <c r="BT15" s="198">
        <f>第十三期!Z89</f>
        <v>0</v>
      </c>
      <c r="BU15" s="198">
        <f>第十三期!Z90</f>
        <v>0</v>
      </c>
      <c r="BV15" s="198">
        <f>第十三期!Z91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第十三期!DM60</f>
        <v>0</v>
      </c>
      <c r="Z16" s="92" t="s">
        <v>224</v>
      </c>
      <c r="AA16" s="93">
        <f>AH20+Y16+第十三期!K9*比赛参数!D30*比赛参数!F30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第十三期!AA88</f>
        <v>0</v>
      </c>
      <c r="BT16" s="198">
        <f>第十三期!AA89</f>
        <v>0</v>
      </c>
      <c r="BU16" s="198">
        <f>第十三期!AA90</f>
        <v>0</v>
      </c>
      <c r="BV16" s="198">
        <f>第十三期!AA91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第十三期!AB88</f>
        <v>0</v>
      </c>
      <c r="BT17" s="198">
        <f>第十三期!AB89</f>
        <v>0</v>
      </c>
      <c r="BU17" s="198">
        <f>第十三期!AB90</f>
        <v>0</v>
      </c>
      <c r="BV17" s="198">
        <f>第十三期!AB91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第十三期!K8*比赛参数!D57</f>
        <v>0</v>
      </c>
      <c r="Z19" s="104" t="s">
        <v>250</v>
      </c>
      <c r="AA19" s="99">
        <f>第十三期!K8*比赛参数!D60</f>
        <v>0</v>
      </c>
      <c r="AB19" s="104" t="s">
        <v>250</v>
      </c>
      <c r="AC19" s="105" t="e">
        <f>IF((AC21-第十三期!K10)/比赛参数!D41&gt;0,(AC21-第十三期!K10)/比赛参数!D41,0)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IF((第十三期!BW92-第十三期!BS87)&gt;0,第十三期!BW92-第十三期!BS87,0)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第十三期!$CX$68</f>
        <v>0</v>
      </c>
      <c r="CD19" s="110">
        <f>第十三期!$CX$69</f>
        <v>0</v>
      </c>
      <c r="CE19" s="110">
        <f>第十三期!$CX$70</f>
        <v>0</v>
      </c>
      <c r="CF19" s="110">
        <f>第十三期!$CX$71</f>
        <v>0</v>
      </c>
      <c r="CG19" s="219"/>
      <c r="CH19" s="225"/>
      <c r="CI19" s="226" t="s">
        <v>55</v>
      </c>
      <c r="CJ19" s="110">
        <f>第十三期!$CX$50</f>
        <v>0</v>
      </c>
      <c r="CK19" s="110">
        <f>第十三期!$CX$51</f>
        <v>0</v>
      </c>
      <c r="CL19" s="110">
        <f>第十三期!$CX$52</f>
        <v>0</v>
      </c>
      <c r="CM19" s="110">
        <f>第十三期!$CX$53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第十三期!K8+第十三期!Y18*比赛参数!D59-第十三期!AA18</f>
        <v>0</v>
      </c>
      <c r="Z20" s="42" t="s">
        <v>245</v>
      </c>
      <c r="AA20" s="108">
        <f>第十三期!K9</f>
        <v>0</v>
      </c>
      <c r="AB20" s="42" t="s">
        <v>257</v>
      </c>
      <c r="AC20" s="109">
        <f>AC18*比赛参数!D41+第十三期!K10</f>
        <v>0</v>
      </c>
      <c r="AE20" s="11" t="s">
        <v>258</v>
      </c>
      <c r="AF20" s="101"/>
      <c r="AG20" s="42" t="s">
        <v>91</v>
      </c>
      <c r="AH20" s="147">
        <f>第十三期!BS62+第十三期!BS71</f>
        <v>0</v>
      </c>
      <c r="AI20" s="73" t="s">
        <v>259</v>
      </c>
      <c r="AJ20" s="111">
        <f>第十三期!BV90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第十三期!Y9</f>
        <v>0</v>
      </c>
      <c r="BT20" s="198">
        <f>第十三期!Z9</f>
        <v>0</v>
      </c>
      <c r="BU20" s="198">
        <f>第十三期!AA9</f>
        <v>0</v>
      </c>
      <c r="BV20" s="198">
        <f>第十三期!AB9</f>
        <v>0</v>
      </c>
      <c r="BW20" s="200">
        <f>第十三期!AJ34</f>
        <v>0</v>
      </c>
      <c r="BX20" s="215"/>
      <c r="CA20" s="213"/>
      <c r="CB20" s="196" t="s">
        <v>56</v>
      </c>
      <c r="CC20" s="110">
        <f>第十三期!$CY$68</f>
        <v>0</v>
      </c>
      <c r="CD20" s="110">
        <f>第十三期!$CY$69</f>
        <v>0</v>
      </c>
      <c r="CE20" s="110">
        <f>第十三期!$CY$70</f>
        <v>0</v>
      </c>
      <c r="CF20" s="110">
        <f>第十三期!$CY$71</f>
        <v>0</v>
      </c>
      <c r="CG20" s="219"/>
      <c r="CH20" s="225"/>
      <c r="CI20" s="227" t="s">
        <v>56</v>
      </c>
      <c r="CJ20" s="110">
        <f>第十三期!$CY$50</f>
        <v>0</v>
      </c>
      <c r="CK20" s="110">
        <f>第十三期!$CY$51</f>
        <v>0</v>
      </c>
      <c r="CL20" s="110">
        <f>第十三期!$CY$52</f>
        <v>0</v>
      </c>
      <c r="CM20" s="110">
        <f>第十三期!$CY$53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第十三期!Y10</f>
        <v>0</v>
      </c>
      <c r="BT21" s="198">
        <f>第十三期!Z10</f>
        <v>0</v>
      </c>
      <c r="BU21" s="198">
        <f>第十三期!AA10</f>
        <v>0</v>
      </c>
      <c r="BV21" s="198">
        <f>第十三期!AB10</f>
        <v>0</v>
      </c>
      <c r="BW21" s="200">
        <f>第十三期!AJ35</f>
        <v>0</v>
      </c>
      <c r="BX21" s="215"/>
      <c r="CA21" s="213"/>
      <c r="CB21" s="196" t="s">
        <v>57</v>
      </c>
      <c r="CC21" s="110">
        <f>第十三期!$CZ$68</f>
        <v>0</v>
      </c>
      <c r="CD21" s="110">
        <f>第十三期!$CZ$69</f>
        <v>0</v>
      </c>
      <c r="CE21" s="110">
        <f>第十三期!$CZ$70</f>
        <v>0</v>
      </c>
      <c r="CF21" s="110">
        <f>第十三期!$CZ$71</f>
        <v>0</v>
      </c>
      <c r="CG21" s="219"/>
      <c r="CH21" s="225"/>
      <c r="CI21" s="227" t="s">
        <v>57</v>
      </c>
      <c r="CJ21" s="110">
        <f>第十三期!$CZ$50</f>
        <v>0</v>
      </c>
      <c r="CK21" s="110">
        <f>第十三期!$CZ$51</f>
        <v>0</v>
      </c>
      <c r="CL21" s="110">
        <f>第十三期!$CZ$52</f>
        <v>0</v>
      </c>
      <c r="CM21" s="110">
        <f>第十三期!$CZ$53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第十三期!Y11</f>
        <v>0</v>
      </c>
      <c r="BT22" s="198">
        <f>第十三期!Z11</f>
        <v>0</v>
      </c>
      <c r="BU22" s="198">
        <f>第十三期!AA11</f>
        <v>0</v>
      </c>
      <c r="BV22" s="198">
        <f>第十三期!AB11</f>
        <v>0</v>
      </c>
      <c r="BW22" s="200">
        <f>第十三期!AJ36</f>
        <v>0</v>
      </c>
      <c r="BX22" s="215"/>
      <c r="CA22" s="213"/>
      <c r="CB22" s="196" t="s">
        <v>58</v>
      </c>
      <c r="CC22" s="110">
        <f>第十三期!$DA$68</f>
        <v>0</v>
      </c>
      <c r="CD22" s="110">
        <f>第十三期!$DA$69</f>
        <v>0</v>
      </c>
      <c r="CE22" s="110">
        <f>第十三期!$DA$70</f>
        <v>0</v>
      </c>
      <c r="CF22" s="110">
        <f>第十三期!$DA$71</f>
        <v>0</v>
      </c>
      <c r="CG22" s="219"/>
      <c r="CH22" s="225"/>
      <c r="CI22" s="227" t="s">
        <v>58</v>
      </c>
      <c r="CJ22" s="110">
        <f>第十三期!$DA$50</f>
        <v>0</v>
      </c>
      <c r="CK22" s="110">
        <f>第十三期!$DA$51</f>
        <v>0</v>
      </c>
      <c r="CL22" s="110">
        <f>第十三期!$DA$52</f>
        <v>0</v>
      </c>
      <c r="CM22" s="110">
        <f>第十三期!$DA$53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第十三期!Y12</f>
        <v>0</v>
      </c>
      <c r="BT23" s="198">
        <f>第十三期!Z12</f>
        <v>0</v>
      </c>
      <c r="BU23" s="198">
        <f>第十三期!AA12</f>
        <v>0</v>
      </c>
      <c r="BV23" s="198">
        <f>第十三期!AB12</f>
        <v>0</v>
      </c>
      <c r="BW23" s="200">
        <f>第十三期!AJ37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第十三期!BV57-第十三期!BV76</f>
        <v>0</v>
      </c>
      <c r="AJ26" s="65">
        <f>第十三期!K9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第十三期!DB50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第十三期!Y18</f>
        <v>0</v>
      </c>
      <c r="BT26" s="198">
        <f>第十三期!AA18</f>
        <v>0</v>
      </c>
      <c r="BU26" s="198">
        <f>第十三期!AF18</f>
        <v>0</v>
      </c>
      <c r="BV26" s="204">
        <f>第十三期!AC18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第十三期!DB51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第十三期!DB52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第十三期!DB53</f>
        <v>0</v>
      </c>
      <c r="BQ29" s="177"/>
      <c r="BR29" s="201"/>
      <c r="BS29" s="204">
        <f>第十三期!AH14</f>
        <v>0</v>
      </c>
      <c r="BT29" s="204">
        <f>第十三期!AH15</f>
        <v>0</v>
      </c>
      <c r="BU29" s="198">
        <f>第十三期!AF20</f>
        <v>0</v>
      </c>
      <c r="BV29" s="204">
        <f>第十三期!AJ18</f>
        <v>0</v>
      </c>
      <c r="BW29" s="218">
        <f>第十三期!AH18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INT(第十三期!DV26)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INT(第十三期!DV27)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INT(第十三期!DV28)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INT(第十三期!DV29)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第十三期!DG56*第十三期!DG50+第十三期!DG64*第十三期!Y88</f>
        <v>0</v>
      </c>
      <c r="CD38" s="108">
        <f>第十三期!DH56*第十三期!DH50+第十三期!DH64*第十三期!Z88</f>
        <v>0</v>
      </c>
      <c r="CE38" s="108">
        <f>第十三期!DI56*第十三期!DI50+第十三期!DI64*第十三期!AA88</f>
        <v>0</v>
      </c>
      <c r="CF38" s="108">
        <f>第十三期!DJ56*第十三期!DJ50+第十三期!DJ64*第十三期!AB88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第十三期!DG57*第十三期!DG51+第十三期!DG65*第十三期!Y89</f>
        <v>0</v>
      </c>
      <c r="CD39" s="108">
        <f>第十三期!DH57*第十三期!DH51+第十三期!DH65*第十三期!Z89</f>
        <v>0</v>
      </c>
      <c r="CE39" s="108">
        <f>第十三期!DI57*第十三期!DI51+第十三期!DI65*第十三期!AA89</f>
        <v>0</v>
      </c>
      <c r="CF39" s="108">
        <f>第十三期!DJ57*第十三期!DJ51+第十三期!DJ65*第十三期!AB89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第十三期!DG58*第十三期!DG52+第十三期!DG66*第十三期!Y90</f>
        <v>0</v>
      </c>
      <c r="CD40" s="108">
        <f>第十三期!DH58*第十三期!DH52+第十三期!DH66*第十三期!Z90</f>
        <v>0</v>
      </c>
      <c r="CE40" s="108">
        <f>第十三期!DI58*第十三期!DI52+第十三期!DI66*第十三期!AA90</f>
        <v>0</v>
      </c>
      <c r="CF40" s="108">
        <f>第十三期!DJ58*第十三期!DJ52+第十三期!DJ66*第十三期!AB90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第十三期!DG59*第十三期!DG53+第十三期!DG67*第十三期!Y91</f>
        <v>0</v>
      </c>
      <c r="CD41" s="108">
        <f>第十三期!DH59*第十三期!DH53+第十三期!DH67*第十三期!Z91</f>
        <v>0</v>
      </c>
      <c r="CE41" s="108">
        <f>第十三期!DI59*第十三期!DI53+第十三期!DI67*第十三期!AA91</f>
        <v>0</v>
      </c>
      <c r="CF41" s="108">
        <f>第十三期!DJ59*第十三期!DJ53+第十三期!DJ67*第十三期!AB91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第十三期!Y9*第十三期!CQ62*比赛参数!D65</f>
        <v>0</v>
      </c>
      <c r="CR50" s="65">
        <f>第十三期!Z9*第十三期!CR62*比赛参数!E65</f>
        <v>0</v>
      </c>
      <c r="CS50" s="65">
        <f>第十三期!AA9*第十三期!CS62*比赛参数!F65</f>
        <v>0</v>
      </c>
      <c r="CT50" s="65">
        <f>第十三期!AB9*第十三期!CT62*比赛参数!G65</f>
        <v>0</v>
      </c>
      <c r="CU50" s="65">
        <f>IF(第十三期!AC9&gt;0,SUM(CQ50:CT50)/第十三期!AC9,0)</f>
        <v>0</v>
      </c>
      <c r="CW50" s="11" t="s">
        <v>38</v>
      </c>
      <c r="CX50" s="242">
        <f>IF(第十三期!$CU$50*第十三期!CQ93&gt;0,第十三期!$CU$50+第十三期!CQ68+第十三期!CQ93+第十三期!CQ74,0)</f>
        <v>0</v>
      </c>
      <c r="CY50" s="242">
        <f>IF(第十三期!$CU$50*第十三期!CR93&gt;0,第十三期!$CU$50+第十三期!CR68+第十三期!CR93+第十三期!CR74,0)</f>
        <v>0</v>
      </c>
      <c r="CZ50" s="242">
        <f>IF(第十三期!$CU$50*第十三期!CS93&gt;0,第十三期!$CU$50+第十三期!CS68+第十三期!CS93+第十三期!CS74,0)</f>
        <v>0</v>
      </c>
      <c r="DA50" s="242">
        <f>IF(第十三期!$CU$50*第十三期!CT93&gt;0,第十三期!$CU$50+第十三期!CT68+第十三期!CT93+第十三期!CT74,0)</f>
        <v>0</v>
      </c>
      <c r="DB50" s="242">
        <f>AVERAGE(CX50:DA50)</f>
        <v>0</v>
      </c>
      <c r="DF50" s="65" t="s">
        <v>55</v>
      </c>
      <c r="DG50" s="245">
        <f>IF(第十三期!Y88&gt;0,1,0)</f>
        <v>0</v>
      </c>
      <c r="DH50" s="245">
        <f>IF(第十三期!Z88&gt;0,1,0)</f>
        <v>0</v>
      </c>
      <c r="DI50" s="245">
        <f>IF(第十三期!AA88&gt;0,1,0)</f>
        <v>0</v>
      </c>
      <c r="DJ50" s="245">
        <f>IF(第十三期!AB88&gt;0,1,0)</f>
        <v>0</v>
      </c>
      <c r="DL50" s="245" t="s">
        <v>21</v>
      </c>
      <c r="DM50" s="248">
        <f>IF(第十三期!Y9+第十三期!Z9&gt;0,1,0)</f>
        <v>0</v>
      </c>
      <c r="DN50" s="248">
        <f>IF(第十三期!AA9+第十三期!AB9&gt;0,1,0)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第十三期!Y10*第十三期!CQ63*比赛参数!D65</f>
        <v>0</v>
      </c>
      <c r="CR51" s="65">
        <f>第十三期!Z10*第十三期!CR63*比赛参数!E65</f>
        <v>0</v>
      </c>
      <c r="CS51" s="65">
        <f>第十三期!AA10*第十三期!CS63*比赛参数!F65</f>
        <v>0</v>
      </c>
      <c r="CT51" s="65">
        <f>第十三期!AB10*第十三期!CT63*比赛参数!G65</f>
        <v>0</v>
      </c>
      <c r="CU51" s="65">
        <f>IF(第十三期!AC10&gt;0,SUM(CQ51:CT51)/第十三期!AC10,0)</f>
        <v>0</v>
      </c>
      <c r="CW51" s="11" t="s">
        <v>39</v>
      </c>
      <c r="CX51" s="242">
        <f>IF(第十三期!$CU$51*第十三期!CQ94&gt;0,第十三期!$CU$51+第十三期!CQ69+第十三期!CQ94+第十三期!CQ75,0)</f>
        <v>0</v>
      </c>
      <c r="CY51" s="242">
        <f>IF(第十三期!$CU$51*第十三期!CR94&gt;0,第十三期!$CU$51+第十三期!CR69+第十三期!CR94+第十三期!CR75,0)</f>
        <v>0</v>
      </c>
      <c r="CZ51" s="242">
        <f>IF(第十三期!$CU$51*第十三期!CS94&gt;0,第十三期!$CU$51+第十三期!CS69+第十三期!CS94+第十三期!CS75,0)</f>
        <v>0</v>
      </c>
      <c r="DA51" s="242">
        <f>IF(第十三期!$CU$51*第十三期!CT94&gt;0,第十三期!$CU$51+第十三期!CT69+第十三期!CT94+第十三期!CT75,0)</f>
        <v>0</v>
      </c>
      <c r="DB51" s="242">
        <f>AVERAGE(CX51:DA51)</f>
        <v>0</v>
      </c>
      <c r="DF51" s="65" t="s">
        <v>56</v>
      </c>
      <c r="DG51" s="245">
        <f>IF(第十三期!Y89&gt;0,1,0)</f>
        <v>0</v>
      </c>
      <c r="DH51" s="245">
        <f>IF(第十三期!Z89&gt;0,1,0)</f>
        <v>0</v>
      </c>
      <c r="DI51" s="245">
        <f>IF(第十三期!AA89&gt;0,1,0)</f>
        <v>0</v>
      </c>
      <c r="DJ51" s="245">
        <f>IF(第十三期!AB89&gt;0,1,0)</f>
        <v>0</v>
      </c>
      <c r="DL51" s="245" t="s">
        <v>22</v>
      </c>
      <c r="DM51" s="248">
        <f>IF(第十三期!Y10+第十三期!Z10&gt;0,1,0)</f>
        <v>0</v>
      </c>
      <c r="DN51" s="248">
        <f>IF(第十三期!AA10+第十三期!AB10&gt;0,1,0)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第十三期!Y11*第十三期!CQ64*比赛参数!D65</f>
        <v>0</v>
      </c>
      <c r="CR52" s="65">
        <f>第十三期!Z11*第十三期!CR64*比赛参数!E65</f>
        <v>0</v>
      </c>
      <c r="CS52" s="65">
        <f>第十三期!AA11*第十三期!CS64*比赛参数!F65</f>
        <v>0</v>
      </c>
      <c r="CT52" s="65">
        <f>第十三期!AB11*第十三期!CT64*比赛参数!G65</f>
        <v>0</v>
      </c>
      <c r="CU52" s="65">
        <f>IF(第十三期!AC11&gt;0,SUM(CQ52:CT52)/第十三期!AC11,0)</f>
        <v>0</v>
      </c>
      <c r="CW52" s="11" t="s">
        <v>40</v>
      </c>
      <c r="CX52" s="242">
        <f>IF(第十三期!$CU$52*第十三期!CQ95&gt;0,第十三期!$CU$52+第十三期!CQ70+第十三期!CQ95+第十三期!CQ76,0)</f>
        <v>0</v>
      </c>
      <c r="CY52" s="242">
        <f>IF(第十三期!$CU$52*第十三期!CR95&gt;0,第十三期!$CU$52+第十三期!CR70+第十三期!CR95+第十三期!CR76,0)</f>
        <v>0</v>
      </c>
      <c r="CZ52" s="242">
        <f>IF(第十三期!$CU$52*第十三期!CS95&gt;0,第十三期!$CU$52+第十三期!CS70+第十三期!CS95+第十三期!CS76,0)</f>
        <v>0</v>
      </c>
      <c r="DA52" s="242">
        <f>IF(第十三期!$CU$52*第十三期!CT95&gt;0,第十三期!$CU$52+第十三期!CT70+第十三期!CT95+第十三期!CT76,0)</f>
        <v>0</v>
      </c>
      <c r="DB52" s="242">
        <f>AVERAGE(CX52:DA52)</f>
        <v>0</v>
      </c>
      <c r="DF52" s="65" t="s">
        <v>57</v>
      </c>
      <c r="DG52" s="245">
        <f>IF(第十三期!Y90&gt;0,1,0)</f>
        <v>0</v>
      </c>
      <c r="DH52" s="245">
        <f>IF(第十三期!Z90&gt;0,1,0)</f>
        <v>0</v>
      </c>
      <c r="DI52" s="245">
        <f>IF(第十三期!AA90&gt;0,1,0)</f>
        <v>0</v>
      </c>
      <c r="DJ52" s="245">
        <f>IF(第十三期!AB90&gt;0,1,0)</f>
        <v>0</v>
      </c>
      <c r="DL52" s="245" t="s">
        <v>23</v>
      </c>
      <c r="DM52" s="248">
        <f>IF(第十三期!Y11+第十三期!Z11&gt;0,1,0)</f>
        <v>0</v>
      </c>
      <c r="DN52" s="248">
        <f>IF(第十三期!AA11+第十三期!AB11&gt;0,1,0)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第十三期!Y12*第十三期!CQ65*比赛参数!D65</f>
        <v>0</v>
      </c>
      <c r="CR53" s="65">
        <f>第十三期!Z12*第十三期!CR65*比赛参数!E65</f>
        <v>0</v>
      </c>
      <c r="CS53" s="65">
        <f>第十三期!AA12*第十三期!CS65*比赛参数!F65</f>
        <v>0</v>
      </c>
      <c r="CT53" s="65">
        <f>第十三期!AB12*第十三期!CT65*比赛参数!G65</f>
        <v>0</v>
      </c>
      <c r="CU53" s="65">
        <f>IF(第十三期!AC12&gt;0,SUM(CQ53:CT53)/第十三期!AC12,0)</f>
        <v>0</v>
      </c>
      <c r="CW53" s="11" t="s">
        <v>41</v>
      </c>
      <c r="CX53" s="242">
        <f>IF(第十三期!$CU$53*第十三期!CQ96&gt;0,第十三期!$CU$53+第十三期!CQ71+第十三期!CQ96+第十三期!CQ77,0)</f>
        <v>0</v>
      </c>
      <c r="CY53" s="242">
        <f>IF(第十三期!$CU$53*第十三期!CR96&gt;0,第十三期!$CU$53+第十三期!CR71+第十三期!CR96+第十三期!CR77,0)</f>
        <v>0</v>
      </c>
      <c r="CZ53" s="242">
        <f>IF(第十三期!$CU$53*第十三期!CS96&gt;0,第十三期!$CU$53+第十三期!CS71+第十三期!CS96+第十三期!CS77,0)</f>
        <v>0</v>
      </c>
      <c r="DA53" s="242">
        <f>IF(第十三期!$CU$53*第十三期!CT96&gt;0,第十三期!$CU$53+第十三期!CT71+第十三期!CT96+第十三期!CT77,0)</f>
        <v>0</v>
      </c>
      <c r="DB53" s="242">
        <f>AVERAGE(CX53:DA53)</f>
        <v>0</v>
      </c>
      <c r="DF53" s="65" t="s">
        <v>58</v>
      </c>
      <c r="DG53" s="245">
        <f>IF(第十三期!Y91&gt;0,1,0)</f>
        <v>0</v>
      </c>
      <c r="DH53" s="245">
        <f>IF(第十三期!Z91&gt;0,1,0)</f>
        <v>0</v>
      </c>
      <c r="DI53" s="245">
        <f>IF(第十三期!AA91&gt;0,1,0)</f>
        <v>0</v>
      </c>
      <c r="DJ53" s="245">
        <f>IF(第十三期!AB91&gt;0,1,0)</f>
        <v>0</v>
      </c>
      <c r="DL53" s="245" t="s">
        <v>24</v>
      </c>
      <c r="DM53" s="248">
        <f>IF(第十三期!Y12+第十三期!Z12&gt;0,1,0)</f>
        <v>0</v>
      </c>
      <c r="DN53" s="248">
        <f>IF(第十三期!AA12+第十三期!AB12&gt;0,1,0)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第十三期!K11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第十三期!AH14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第十三期!DU26</f>
        <v>0</v>
      </c>
      <c r="CD56" s="108">
        <f>第十三期!DU27</f>
        <v>0</v>
      </c>
      <c r="CE56" s="108">
        <f>第十三期!DU28</f>
        <v>0</v>
      </c>
      <c r="CF56" s="108">
        <f>第十三期!DU29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第十三期!BS7-第十三期!CX50</f>
        <v>0</v>
      </c>
      <c r="CY56" s="242">
        <f>第十三期!BT7-第十三期!CY50</f>
        <v>0</v>
      </c>
      <c r="CZ56" s="242">
        <f>第十三期!BU7-第十三期!CZ50</f>
        <v>0</v>
      </c>
      <c r="DA56" s="242">
        <f>第十三期!BV7-第十三期!DA50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第十三期!DX6</f>
        <v>0</v>
      </c>
      <c r="Z57" s="127">
        <f>第十三期!DX10</f>
        <v>0</v>
      </c>
      <c r="AA57" s="127">
        <f>第十三期!DX14</f>
        <v>0</v>
      </c>
      <c r="AB57" s="127">
        <f>第十三期!DX18</f>
        <v>0</v>
      </c>
      <c r="AC57" s="128"/>
      <c r="AE57" s="64" t="s">
        <v>55</v>
      </c>
      <c r="AF57" s="127">
        <f>第十三期!DW6</f>
        <v>0</v>
      </c>
      <c r="AG57" s="127">
        <f>第十三期!DW10</f>
        <v>0</v>
      </c>
      <c r="AH57" s="127">
        <f>第十三期!DW14</f>
        <v>0</v>
      </c>
      <c r="AI57" s="127">
        <f>第十三期!DW18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第十三期!AH15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第十三期!BS8-第十三期!CX51</f>
        <v>0</v>
      </c>
      <c r="CY57" s="242">
        <f>第十三期!BT8-第十三期!CY51</f>
        <v>0</v>
      </c>
      <c r="CZ57" s="242">
        <f>第十三期!BU8-第十三期!CZ51</f>
        <v>0</v>
      </c>
      <c r="DA57" s="242">
        <f>第十三期!BV8-第十三期!DA51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第十三期!DX7</f>
        <v>0</v>
      </c>
      <c r="Z58" s="127">
        <f>第十三期!DX11</f>
        <v>0</v>
      </c>
      <c r="AA58" s="127">
        <f>第十三期!DX15</f>
        <v>0</v>
      </c>
      <c r="AB58" s="127">
        <f>第十三期!DX19</f>
        <v>0</v>
      </c>
      <c r="AC58" s="128"/>
      <c r="AE58" s="11" t="s">
        <v>56</v>
      </c>
      <c r="AF58" s="127">
        <f>第十三期!DW7</f>
        <v>0</v>
      </c>
      <c r="AG58" s="127">
        <f>第十三期!DW11</f>
        <v>0</v>
      </c>
      <c r="AH58" s="127">
        <f>第十三期!DW15</f>
        <v>0</v>
      </c>
      <c r="AI58" s="127">
        <f>第十三期!DW19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第十三期!H5+第十三期!H4*比赛参数!F71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第十三期!BS9-第十三期!CX52</f>
        <v>0</v>
      </c>
      <c r="CY58" s="242">
        <f>第十三期!BT9-第十三期!CY52</f>
        <v>0</v>
      </c>
      <c r="CZ58" s="242">
        <f>第十三期!BU9-第十三期!CZ52</f>
        <v>0</v>
      </c>
      <c r="DA58" s="242">
        <f>第十三期!BV9-第十三期!DA52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第十三期!DX8</f>
        <v>0</v>
      </c>
      <c r="Z59" s="127">
        <f>第十三期!DX12</f>
        <v>0</v>
      </c>
      <c r="AA59" s="127">
        <f>第十三期!DX16</f>
        <v>0</v>
      </c>
      <c r="AB59" s="127">
        <f>第十三期!DX20</f>
        <v>0</v>
      </c>
      <c r="AC59" s="129"/>
      <c r="AE59" s="11" t="s">
        <v>57</v>
      </c>
      <c r="AF59" s="127">
        <f>第十三期!DW8</f>
        <v>0</v>
      </c>
      <c r="AG59" s="127">
        <f>第十三期!DW12</f>
        <v>0</v>
      </c>
      <c r="AH59" s="127">
        <f>第十三期!DW16</f>
        <v>0</v>
      </c>
      <c r="AI59" s="127">
        <f>第十三期!DW20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第十三期!K14*比赛参数!D71/4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第十三期!BS10-第十三期!CX53</f>
        <v>0</v>
      </c>
      <c r="CY59" s="242">
        <f>第十三期!BT10-第十三期!CY53</f>
        <v>0</v>
      </c>
      <c r="CZ59" s="242">
        <f>第十三期!BU10-第十三期!CZ53</f>
        <v>0</v>
      </c>
      <c r="DA59" s="242">
        <f>第十三期!BV10-第十三期!DA53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第十三期!DX9</f>
        <v>0</v>
      </c>
      <c r="Z60" s="127">
        <f>第十三期!DX13</f>
        <v>0</v>
      </c>
      <c r="AA60" s="127">
        <f>第十三期!DX17</f>
        <v>0</v>
      </c>
      <c r="AB60" s="127">
        <f>第十三期!DX21</f>
        <v>0</v>
      </c>
      <c r="AC60" s="108" t="s">
        <v>314</v>
      </c>
      <c r="AE60" s="11" t="s">
        <v>58</v>
      </c>
      <c r="AF60" s="127">
        <f>第十三期!DW9</f>
        <v>0</v>
      </c>
      <c r="AG60" s="127">
        <f>第十三期!DW13</f>
        <v>0</v>
      </c>
      <c r="AH60" s="127">
        <f>第十三期!DW17</f>
        <v>0</v>
      </c>
      <c r="AI60" s="127">
        <f>第十三期!DW21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第十三期!Y18*比赛参数!D58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第十三期!AA18*比赛参数!D62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((第十三期!K8-第十三期!AA18)*比赛参数!D65+第十三期!Y18*比赛参数!D59*比赛参数!D65)*第十三期!AH18*520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CX56/第十三期!CQ56</f>
        <v>#DIV/0!</v>
      </c>
      <c r="CY62" s="242" t="e">
        <f>CY56/第十三期!CR56</f>
        <v>#DIV/0!</v>
      </c>
      <c r="CZ62" s="242" t="e">
        <f>CZ56/第十三期!CS56</f>
        <v>#DIV/0!</v>
      </c>
      <c r="DA62" s="242" t="e">
        <f>DA56/第十三期!CT56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第十三期!K9*比赛参数!D49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CX57/第十三期!CQ57</f>
        <v>#DIV/0!</v>
      </c>
      <c r="CY63" s="242" t="e">
        <f>CY57/第十三期!CR57</f>
        <v>#DIV/0!</v>
      </c>
      <c r="CZ63" s="242" t="e">
        <f>CZ57/第十三期!CS57</f>
        <v>#DIV/0!</v>
      </c>
      <c r="DA63" s="242" t="e">
        <f>DA57/第十三期!CT57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第十三期!AL37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CX58/第十三期!CQ58</f>
        <v>#DIV/0!</v>
      </c>
      <c r="CY64" s="242" t="e">
        <f>CY58/第十三期!CR58</f>
        <v>#DIV/0!</v>
      </c>
      <c r="CZ64" s="242" t="e">
        <f>CZ58/第十三期!CS58</f>
        <v>#DIV/0!</v>
      </c>
      <c r="DA64" s="242" t="e">
        <f>DA58/第十三期!CT58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0.5*第十三期!AL37+0.5*第十三期!DV23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CX59/第十三期!CQ59</f>
        <v>#DIV/0!</v>
      </c>
      <c r="CY65" s="242" t="e">
        <f>CY59/第十三期!CR59</f>
        <v>#DIV/0!</v>
      </c>
      <c r="CZ65" s="242" t="e">
        <f>CZ59/第十三期!CS59</f>
        <v>#DIV/0!</v>
      </c>
      <c r="DA65" s="242" t="e">
        <f>DA59/第十三期!CT59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第十三期!AC18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三期!AC18&gt;=比赛参数!D33,(1-比赛参数!E33)*第十三期!AC18,0)+IF(AND(第十三期!AC18&gt;=比赛参数!D34,第十三期!AC18&lt;比赛参数!D33),(1-比赛参数!E34)*第十三期!AC18,0)+IF(AND(第十三期!AC18&gt;=比赛参数!D35,第十三期!AC18&lt;比赛参数!D34),(1-比赛参数!E35)*第十三期!AC18,0)+IF(AND(第十三期!AC18&gt;=比赛参数!D36,第十三期!AC18&lt;比赛参数!D35),(1-比赛参数!E36)*第十三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第十三期!DV6</f>
        <v>0</v>
      </c>
      <c r="AG70" s="131">
        <f>第十三期!DV10</f>
        <v>0</v>
      </c>
      <c r="AH70" s="131">
        <f>第十三期!DV14</f>
        <v>0</v>
      </c>
      <c r="AI70" s="131">
        <f>第十三期!DV18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IF(第十三期!AC18&gt;0,第十三期!AC18*比赛参数!E40+比赛参数!E39,0)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第十三期!DV7</f>
        <v>0</v>
      </c>
      <c r="AG71" s="131">
        <f>第十三期!DV11</f>
        <v>0</v>
      </c>
      <c r="AH71" s="131">
        <f>第十三期!DV15</f>
        <v>0</v>
      </c>
      <c r="AI71" s="131">
        <f>第十三期!DV19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(第十三期!Z13*比赛参数!E65*260+第十三期!AA13*(比赛参数!F65-比赛参数!D65)*520+第十三期!AB13*比赛参数!G65*260)*第十三期!AH18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第十三期!DV8</f>
        <v>0</v>
      </c>
      <c r="AG72" s="131">
        <f>第十三期!DV12</f>
        <v>0</v>
      </c>
      <c r="AH72" s="131">
        <f>第十三期!DV16</f>
        <v>0</v>
      </c>
      <c r="AI72" s="131">
        <f>第十三期!DV20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第十三期!DM60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第十三期!DV9</f>
        <v>0</v>
      </c>
      <c r="AG73" s="131">
        <f>第十三期!DV13</f>
        <v>0</v>
      </c>
      <c r="AH73" s="131">
        <f>第十三期!DV17</f>
        <v>0</v>
      </c>
      <c r="AI73" s="131">
        <f>第十三期!DV21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第十三期!AC21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第十三期!CG42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SUM(第十三期!AF80:AI80)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SUM(第十三期!AJ76:AJ79)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第十三期!CG53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第十三期!CN53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第十三期!K9*比赛参数!D30*比赛参数!F30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第十三期!CG65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第十三期!Y9*第十三期!CQ56</f>
        <v>0</v>
      </c>
      <c r="CR80" s="65">
        <f>第十三期!Z9*第十三期!CR56</f>
        <v>0</v>
      </c>
      <c r="CS80" s="65">
        <f>第十三期!AA9*第十三期!CS56</f>
        <v>0</v>
      </c>
      <c r="CT80" s="65">
        <f>第十三期!AB9*第十三期!CT56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(第十三期!K10+(第十三期!AC18+第十三期!K10-第十三期!AC21))/2*比赛参数!D16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第十三期!Y10*第十三期!CQ57</f>
        <v>0</v>
      </c>
      <c r="CR81" s="65">
        <f>第十三期!Z10*第十三期!CR57</f>
        <v>0</v>
      </c>
      <c r="CS81" s="65">
        <f>第十三期!AA10*第十三期!CS57</f>
        <v>0</v>
      </c>
      <c r="CT81" s="65">
        <f>第十三期!AB10*第十三期!CT57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第十三期!CG67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第十三期!Y11*第十三期!CQ58</f>
        <v>0</v>
      </c>
      <c r="CR82" s="65">
        <f>第十三期!Z11*第十三期!CR58</f>
        <v>0</v>
      </c>
      <c r="CS82" s="65">
        <f>第十三期!AA11*第十三期!CS58</f>
        <v>0</v>
      </c>
      <c r="CT82" s="65">
        <f>第十三期!AB11*第十三期!CT58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第十三期!K13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第十三期!Y12*第十三期!CQ59</f>
        <v>0</v>
      </c>
      <c r="CR83" s="65">
        <f>第十三期!Z12*第十三期!CR59</f>
        <v>0</v>
      </c>
      <c r="CS83" s="65">
        <f>第十三期!AA12*第十三期!CS59</f>
        <v>0</v>
      </c>
      <c r="CT83" s="65">
        <f>第十三期!AB12*第十三期!CT59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第十三期!K13*比赛参数!D70/4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第十三期!AH14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第十三期!DS33</f>
        <v>0</v>
      </c>
      <c r="AG86" s="131">
        <f>第十三期!DW33</f>
        <v>0</v>
      </c>
      <c r="AH86" s="131">
        <f>第十三期!EA33</f>
        <v>0</v>
      </c>
      <c r="AI86" s="131">
        <f>第十三期!EE33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第十三期!AH14*比赛参数!D69/4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第十三期!DT33</f>
        <v>0</v>
      </c>
      <c r="AG87" s="131">
        <f>第十三期!DX33</f>
        <v>0</v>
      </c>
      <c r="AH87" s="131">
        <f>第十三期!EB33</f>
        <v>0</v>
      </c>
      <c r="AI87" s="131">
        <f>第十三期!EF33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IF(第十三期!BW92&gt;0,IF((第十三期!K15+第十三期!BW92*比赛参数!D72)&gt;0,第十三期!K15+第十三期!BW92*比赛参数!D72,0))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第十三期!DU33</f>
        <v>0</v>
      </c>
      <c r="AG88" s="131">
        <f>第十三期!DY33</f>
        <v>0</v>
      </c>
      <c r="AH88" s="131">
        <f>第十三期!EC33</f>
        <v>0</v>
      </c>
      <c r="AI88" s="131">
        <f>第十三期!EG33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第十三期!AF18*比赛参数!D30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第十三期!DV33</f>
        <v>0</v>
      </c>
      <c r="AG89" s="131">
        <f>第十三期!DZ33</f>
        <v>0</v>
      </c>
      <c r="AH89" s="131">
        <f>第十三期!ED33</f>
        <v>0</v>
      </c>
      <c r="AI89" s="131">
        <f>第十三期!EH33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第十三期!AJ18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第十三期!AF20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第十三期!BT84</f>
        <v>0</v>
      </c>
      <c r="BT92" s="330" t="s">
        <v>181</v>
      </c>
      <c r="BU92" s="130">
        <f>第十三期!BU86</f>
        <v>0</v>
      </c>
      <c r="BV92" s="332" t="s">
        <v>104</v>
      </c>
      <c r="BW92" s="333">
        <f>第十三期!BT84-第十三期!BU86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AC9*比赛参数!D6+第十三期!DU26</f>
        <v>0</v>
      </c>
      <c r="Z93" s="37">
        <f>AC10*比赛参数!D6+第十三期!DU27</f>
        <v>0</v>
      </c>
      <c r="AA93" s="37">
        <f>AC11*比赛参数!D6+第十三期!DU28</f>
        <v>0</v>
      </c>
      <c r="AB93" s="37">
        <f>AC12*比赛参数!D6+第十三期!DU29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IF(第十三期!$AC$9&gt;0,第十三期!$K$9*比赛参数!$D$30*比赛参数!$F$30*$CU$87/第十三期!$AC$9,0)</f>
        <v>0</v>
      </c>
      <c r="CR93" s="65">
        <f>IF(第十三期!$AC$9&gt;0,第十三期!$K$9*比赛参数!$D$30*比赛参数!$F$30*$CU$87/第十三期!$AC$9,0)</f>
        <v>0</v>
      </c>
      <c r="CS93" s="65">
        <f>IF(第十三期!$AC$9&gt;0,第十三期!$K$9*比赛参数!$D$30*比赛参数!$F$30*$CU$87/第十三期!$AC$9,0)</f>
        <v>0</v>
      </c>
      <c r="CT93" s="65">
        <f>IF(第十三期!$AC$9&gt;0,第十三期!$K$9*比赛参数!$D$30*比赛参数!$F$30*$CU$87/第十三期!$AC$9,0)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IF(第十三期!$AC$10&gt;0,第十三期!$K$9*比赛参数!$D$30*比赛参数!$F$30*$CU$88/第十三期!$AC$10,0)</f>
        <v>0</v>
      </c>
      <c r="CR94" s="65">
        <f>IF(第十三期!$AC$10&gt;0,第十三期!$K$9*比赛参数!$D$30*比赛参数!$F$30*$CU$88/第十三期!$AC$10,0)</f>
        <v>0</v>
      </c>
      <c r="CS94" s="65">
        <f>IF(第十三期!$AC$10&gt;0,第十三期!$K$9*比赛参数!$D$30*比赛参数!$F$30*$CU$88/第十三期!$AC$10,0)</f>
        <v>0</v>
      </c>
      <c r="CT94" s="65">
        <f>IF(第十三期!$AC$10&gt;0,第十三期!$K$9*比赛参数!$D$30*比赛参数!$F$30*$CU$88/第十三期!$AC$10,0)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IF(第十三期!$AC$11&gt;0,第十三期!$K$9*比赛参数!$D$30*比赛参数!$F$30*$CU$89/第十三期!$AC$11,0)</f>
        <v>0</v>
      </c>
      <c r="CR95" s="65">
        <f>IF(第十三期!$AC$11&gt;0,第十三期!$K$9*比赛参数!$D$30*比赛参数!$F$30*$CU$89/第十三期!$AC$11,0)</f>
        <v>0</v>
      </c>
      <c r="CS95" s="65">
        <f>IF(第十三期!$AC$11&gt;0,第十三期!$K$9*比赛参数!$D$30*比赛参数!$F$30*$CU$89/第十三期!$AC$11,0)</f>
        <v>0</v>
      </c>
      <c r="CT95" s="65">
        <f>IF(第十三期!$AC$11&gt;0,第十三期!$K$9*比赛参数!$D$30*比赛参数!$F$30*$CU$89/第十三期!$AC$11,0)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第十三期!CX62</f>
        <v>#DIV/0!</v>
      </c>
      <c r="Z96" s="94" t="e">
        <f>第十三期!CX63</f>
        <v>#DIV/0!</v>
      </c>
      <c r="AA96" s="94" t="e">
        <f>第十三期!CX64</f>
        <v>#DIV/0!</v>
      </c>
      <c r="AB96" s="94" t="e">
        <f>第十三期!CX65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IF(第十三期!$AC$12&gt;0,第十三期!$K$9*比赛参数!$D$30*比赛参数!$F$30*$CU$90/第十三期!$AC$12,0)</f>
        <v>0</v>
      </c>
      <c r="CR96" s="65">
        <f>IF(第十三期!$AC$12&gt;0,第十三期!$K$9*比赛参数!$D$30*比赛参数!$F$30*$CU$90/第十三期!$AC$12,0)</f>
        <v>0</v>
      </c>
      <c r="CS96" s="65">
        <f>IF(第十三期!$AC$12&gt;0,第十三期!$K$9*比赛参数!$D$30*比赛参数!$F$30*$CU$90/第十三期!$AC$12,0)</f>
        <v>0</v>
      </c>
      <c r="CT96" s="65">
        <f>IF(第十三期!$AC$12&gt;0,第十三期!$K$9*比赛参数!$D$30*比赛参数!$F$30*$CU$90/第十三期!$AC$12,0)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第十三期!CY62</f>
        <v>#DIV/0!</v>
      </c>
      <c r="Z97" s="94" t="e">
        <f>第十三期!CY63</f>
        <v>#DIV/0!</v>
      </c>
      <c r="AA97" s="94" t="e">
        <f>第十三期!CY64</f>
        <v>#DIV/0!</v>
      </c>
      <c r="AB97" s="94" t="e">
        <f>第十三期!CY65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第十三期!CZ62</f>
        <v>#DIV/0!</v>
      </c>
      <c r="Z98" s="94" t="e">
        <f>第十三期!CZ63</f>
        <v>#DIV/0!</v>
      </c>
      <c r="AA98" s="94" t="e">
        <f>第十三期!CZ64</f>
        <v>#DIV/0!</v>
      </c>
      <c r="AB98" s="94" t="e">
        <f>第十三期!CZ65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第十三期!DA62</f>
        <v>#DIV/0!</v>
      </c>
      <c r="Z99" s="94" t="e">
        <f>第十三期!DA63</f>
        <v>#DIV/0!</v>
      </c>
      <c r="AA99" s="94" t="e">
        <f>第十三期!DA64</f>
        <v>#DIV/0!</v>
      </c>
      <c r="AB99" s="94" t="e">
        <f>第十三期!DA65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(第十三期!#REF!-$BE$54)&lt;0</formula>
    </cfRule>
  </conditionalFormatting>
  <conditionalFormatting sqref="BF132:BF133">
    <cfRule type="expression" dxfId="6" priority="26" stopIfTrue="1">
      <formula>(第十三期!#REF!-$BF$54)&lt;0</formula>
    </cfRule>
  </conditionalFormatting>
  <conditionalFormatting sqref="BG132:BG133">
    <cfRule type="expression" dxfId="6" priority="25" stopIfTrue="1">
      <formula>(第十三期!#REF!-$BG$54)&lt;0</formula>
    </cfRule>
  </conditionalFormatting>
  <conditionalFormatting sqref="BH132:BH133">
    <cfRule type="expression" dxfId="6" priority="24" stopIfTrue="1">
      <formula>(第十三期!#REF!-$BH$54)&lt;0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S1" workbookViewId="0">
      <selection activeCell="Y23" sqref="Y23:AB23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139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140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141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142</v>
      </c>
      <c r="Y3" s="42" t="s">
        <v>143</v>
      </c>
      <c r="Z3" s="42" t="s">
        <v>144</v>
      </c>
      <c r="AB3" s="66" t="s">
        <v>145</v>
      </c>
      <c r="AC3" s="66" t="s">
        <v>146</v>
      </c>
      <c r="AE3" s="42" t="s">
        <v>147</v>
      </c>
      <c r="AF3" s="42" t="s">
        <v>148</v>
      </c>
      <c r="AG3" s="42" t="s">
        <v>149</v>
      </c>
      <c r="AH3" s="42" t="s">
        <v>150</v>
      </c>
      <c r="AJ3" s="42" t="s">
        <v>151</v>
      </c>
      <c r="AK3" s="42" t="s">
        <v>152</v>
      </c>
      <c r="AL3" s="42" t="s">
        <v>153</v>
      </c>
      <c r="AM3" s="42" t="s">
        <v>146</v>
      </c>
      <c r="AN3" s="42" t="s">
        <v>154</v>
      </c>
      <c r="AO3" s="42" t="s">
        <v>155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156</v>
      </c>
      <c r="D4" s="9"/>
      <c r="E4" s="9"/>
      <c r="F4" s="10"/>
      <c r="G4" s="11" t="s">
        <v>157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 t="e">
        <f>1/比赛参数!$G$4</f>
        <v>#DIV/0!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158</v>
      </c>
      <c r="D5" s="9"/>
      <c r="E5" s="9"/>
      <c r="F5" s="10"/>
      <c r="G5" s="11" t="s">
        <v>159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 t="e">
        <f>1/比赛参数!$G$4</f>
        <v>#DIV/0!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160</v>
      </c>
      <c r="DU5" s="195" t="s">
        <v>161</v>
      </c>
      <c r="DV5" s="196" t="s">
        <v>162</v>
      </c>
      <c r="DW5" s="196" t="s">
        <v>163</v>
      </c>
      <c r="DX5" s="196" t="s">
        <v>164</v>
      </c>
    </row>
    <row r="6" customHeight="1" spans="2:128">
      <c r="B6" s="7"/>
      <c r="C6" s="8" t="s">
        <v>165</v>
      </c>
      <c r="D6" s="14"/>
      <c r="E6" s="9"/>
      <c r="F6" s="10"/>
      <c r="M6" s="30"/>
      <c r="N6" s="31" t="s">
        <v>156</v>
      </c>
      <c r="O6" s="32">
        <f>K8+Y18-AA18</f>
        <v>0</v>
      </c>
      <c r="P6" s="33" t="s">
        <v>166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 t="e">
        <f>1/比赛参数!$G$4</f>
        <v>#DIV/0!</v>
      </c>
      <c r="AA6" s="68" t="e">
        <f>(AC6-X6)/X6</f>
        <v>#DIV/0!</v>
      </c>
      <c r="AB6" s="69" t="e">
        <f>SUM(AG232:AJ232)/比赛参数!$G$4</f>
        <v>#DIV/0!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103</v>
      </c>
      <c r="BR6" s="194" t="s">
        <v>167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168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169</v>
      </c>
      <c r="D7" s="14"/>
      <c r="E7" s="9"/>
      <c r="F7" s="10"/>
      <c r="M7" s="30"/>
      <c r="N7" s="31" t="s">
        <v>158</v>
      </c>
      <c r="O7" s="32"/>
      <c r="P7" s="33" t="s">
        <v>170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 t="e">
        <f>1/比赛参数!$G$4</f>
        <v>#DIV/0!</v>
      </c>
      <c r="AA7" s="68" t="e">
        <f>(AC7-X7)/X7</f>
        <v>#DIV/0!</v>
      </c>
      <c r="AB7" s="69" t="e">
        <f>SUM(AK232:AN232)/比赛参数!$G$4</f>
        <v>#DIV/0!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111</v>
      </c>
      <c r="BR7" s="197" t="s">
        <v>21</v>
      </c>
      <c r="BS7" s="198">
        <f>第十四期!AF76</f>
        <v>0</v>
      </c>
      <c r="BT7" s="198">
        <f>第十四期!AF77</f>
        <v>0</v>
      </c>
      <c r="BU7" s="198">
        <f>第十四期!AF78</f>
        <v>0</v>
      </c>
      <c r="BV7" s="198">
        <f>第十四期!AF79</f>
        <v>0</v>
      </c>
      <c r="BW7" s="200">
        <f>第十四期!$AF$80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171</v>
      </c>
      <c r="D8" s="14"/>
      <c r="E8" s="9"/>
      <c r="F8" s="10"/>
      <c r="J8" s="11" t="s">
        <v>156</v>
      </c>
      <c r="K8" s="34">
        <f>D4</f>
        <v>0</v>
      </c>
      <c r="M8" s="30"/>
      <c r="N8" s="31" t="s">
        <v>165</v>
      </c>
      <c r="O8" s="32">
        <f>AL23</f>
        <v>0</v>
      </c>
      <c r="P8" s="35"/>
      <c r="Q8" s="45"/>
      <c r="X8" s="46" t="s">
        <v>172</v>
      </c>
      <c r="Y8" s="73" t="s">
        <v>92</v>
      </c>
      <c r="Z8" s="11" t="s">
        <v>93</v>
      </c>
      <c r="AA8" s="11" t="s">
        <v>94</v>
      </c>
      <c r="AB8" s="74" t="s">
        <v>95</v>
      </c>
      <c r="AC8" s="42" t="s">
        <v>20</v>
      </c>
      <c r="AE8" s="42" t="s">
        <v>173</v>
      </c>
      <c r="AF8" s="42" t="s">
        <v>152</v>
      </c>
      <c r="AG8" s="42" t="s">
        <v>174</v>
      </c>
      <c r="AH8" s="42" t="s">
        <v>175</v>
      </c>
      <c r="AI8" s="42" t="s">
        <v>176</v>
      </c>
      <c r="AJ8" s="65" t="s">
        <v>92</v>
      </c>
      <c r="AK8" s="65" t="s">
        <v>93</v>
      </c>
      <c r="AL8" s="65" t="s">
        <v>94</v>
      </c>
      <c r="AM8" s="65" t="s">
        <v>95</v>
      </c>
      <c r="AQ8" s="173"/>
      <c r="AR8" s="11" t="s">
        <v>177</v>
      </c>
      <c r="AS8" s="11" t="s">
        <v>178</v>
      </c>
      <c r="AT8" s="11" t="s">
        <v>179</v>
      </c>
      <c r="AU8" s="11" t="s">
        <v>104</v>
      </c>
      <c r="AV8" s="11" t="s">
        <v>180</v>
      </c>
      <c r="AW8" s="11" t="s">
        <v>181</v>
      </c>
      <c r="AX8" s="11" t="s">
        <v>182</v>
      </c>
      <c r="AY8" s="11" t="s">
        <v>183</v>
      </c>
      <c r="AZ8" s="11" t="s">
        <v>184</v>
      </c>
      <c r="BA8" s="11" t="s">
        <v>36</v>
      </c>
      <c r="BB8" s="11" t="s">
        <v>185</v>
      </c>
      <c r="BC8" s="11" t="s">
        <v>186</v>
      </c>
      <c r="BD8" s="11" t="s">
        <v>187</v>
      </c>
      <c r="BE8" s="11" t="s">
        <v>188</v>
      </c>
      <c r="BF8" s="11" t="s">
        <v>189</v>
      </c>
      <c r="BQ8" s="173"/>
      <c r="BR8" s="196" t="s">
        <v>22</v>
      </c>
      <c r="BS8" s="198">
        <f>第十四期!$AG$76</f>
        <v>0</v>
      </c>
      <c r="BT8" s="198">
        <f>第十四期!$AG$77</f>
        <v>0</v>
      </c>
      <c r="BU8" s="198">
        <f>第十四期!$AG$78</f>
        <v>0</v>
      </c>
      <c r="BV8" s="198">
        <f>第十四期!$AG$79</f>
        <v>0</v>
      </c>
      <c r="BW8" s="200">
        <f>第十四期!$AG$80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190</v>
      </c>
      <c r="D9" s="14"/>
      <c r="E9" s="9"/>
      <c r="F9" s="10"/>
      <c r="J9" s="11" t="s">
        <v>158</v>
      </c>
      <c r="K9" s="34">
        <f>D5</f>
        <v>0</v>
      </c>
      <c r="M9" s="36" t="s">
        <v>191</v>
      </c>
      <c r="N9" s="31" t="s">
        <v>192</v>
      </c>
      <c r="O9" s="32">
        <f>AJ20</f>
        <v>0</v>
      </c>
      <c r="P9" s="35"/>
      <c r="Q9" s="45"/>
      <c r="X9" s="47" t="s">
        <v>193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第十四期!DB56</f>
        <v>0</v>
      </c>
      <c r="AJ9" s="65">
        <f t="shared" ref="AJ9:AM12" si="2">CS17+CS35+AVERAGE($CS41:$CV41)</f>
        <v>0</v>
      </c>
      <c r="AK9" s="65">
        <f t="shared" si="2"/>
        <v>0</v>
      </c>
      <c r="AL9" s="65">
        <f t="shared" si="2"/>
        <v>0</v>
      </c>
      <c r="AM9" s="65">
        <f t="shared" si="2"/>
        <v>0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第十四期!$AH$76</f>
        <v>0</v>
      </c>
      <c r="BT9" s="198">
        <f>第十四期!$AH$77</f>
        <v>0</v>
      </c>
      <c r="BU9" s="198">
        <f>第十四期!$AH$78</f>
        <v>0</v>
      </c>
      <c r="BV9" s="198">
        <f>第十四期!$AH$79</f>
        <v>0</v>
      </c>
      <c r="BW9" s="200">
        <f>第十四期!$AH$80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194</v>
      </c>
      <c r="D10" s="9"/>
      <c r="E10" s="9"/>
      <c r="F10" s="10"/>
      <c r="J10" s="11" t="s">
        <v>165</v>
      </c>
      <c r="K10" s="34">
        <f>D6</f>
        <v>0</v>
      </c>
      <c r="M10" s="30"/>
      <c r="N10" s="31" t="s">
        <v>171</v>
      </c>
      <c r="O10" s="37"/>
      <c r="P10" s="35"/>
      <c r="Q10" s="45"/>
      <c r="X10" s="11" t="s">
        <v>195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第十四期!DB57</f>
        <v>0</v>
      </c>
      <c r="AJ10" s="65">
        <f t="shared" si="2"/>
        <v>0</v>
      </c>
      <c r="AK10" s="65">
        <f t="shared" si="2"/>
        <v>0</v>
      </c>
      <c r="AL10" s="65">
        <f t="shared" si="2"/>
        <v>0</v>
      </c>
      <c r="AM10" s="65">
        <f t="shared" si="2"/>
        <v>0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第十四期!$AI$76</f>
        <v>0</v>
      </c>
      <c r="BT10" s="198">
        <f>第十四期!$AI$77</f>
        <v>0</v>
      </c>
      <c r="BU10" s="198">
        <f>第十四期!$AI$78</f>
        <v>0</v>
      </c>
      <c r="BV10" s="198">
        <f>第十四期!$AI$79</f>
        <v>0</v>
      </c>
      <c r="BW10" s="200">
        <f>第十四期!$AI$80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196</v>
      </c>
      <c r="D11" s="14"/>
      <c r="E11" s="9"/>
      <c r="F11" s="10"/>
      <c r="J11" s="11" t="s">
        <v>197</v>
      </c>
      <c r="K11" s="34">
        <f>D7</f>
        <v>0</v>
      </c>
      <c r="M11" s="36" t="s">
        <v>198</v>
      </c>
      <c r="N11" s="32" t="s">
        <v>199</v>
      </c>
      <c r="O11" s="32">
        <f>AL14</f>
        <v>0</v>
      </c>
      <c r="P11" s="35"/>
      <c r="Q11" s="45"/>
      <c r="X11" s="11" t="s">
        <v>200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第十四期!DB58</f>
        <v>0</v>
      </c>
      <c r="AJ11" s="65">
        <f t="shared" si="2"/>
        <v>0</v>
      </c>
      <c r="AK11" s="65">
        <f t="shared" si="2"/>
        <v>0</v>
      </c>
      <c r="AL11" s="65">
        <f t="shared" si="2"/>
        <v>0</v>
      </c>
      <c r="AM11" s="65">
        <f t="shared" si="2"/>
        <v>0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201</v>
      </c>
      <c r="BS11" s="200">
        <f>第十四期!$AJ$76</f>
        <v>0</v>
      </c>
      <c r="BT11" s="200">
        <f>第十四期!$AJ$77</f>
        <v>0</v>
      </c>
      <c r="BU11" s="200">
        <f>第十四期!$AJ$78</f>
        <v>0</v>
      </c>
      <c r="BV11" s="200">
        <f>第十四期!$AJ$79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202</v>
      </c>
      <c r="D12" s="14"/>
      <c r="E12" s="9"/>
      <c r="F12" s="10"/>
      <c r="J12" s="11" t="s">
        <v>190</v>
      </c>
      <c r="K12" s="34">
        <f>D9</f>
        <v>0</v>
      </c>
      <c r="M12" s="30"/>
      <c r="N12" s="32" t="s">
        <v>203</v>
      </c>
      <c r="O12" s="32">
        <f>AF20</f>
        <v>0</v>
      </c>
      <c r="P12" s="35"/>
      <c r="Q12" s="45"/>
      <c r="X12" s="11" t="s">
        <v>204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第十四期!DB59</f>
        <v>0</v>
      </c>
      <c r="AJ12" s="65">
        <f t="shared" si="2"/>
        <v>0</v>
      </c>
      <c r="AK12" s="65">
        <f t="shared" si="2"/>
        <v>0</v>
      </c>
      <c r="AL12" s="65">
        <f t="shared" si="2"/>
        <v>0</v>
      </c>
      <c r="AM12" s="65">
        <f t="shared" si="2"/>
        <v>0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104</v>
      </c>
      <c r="D13" s="14"/>
      <c r="E13" s="9"/>
      <c r="F13" s="10"/>
      <c r="J13" s="11" t="s">
        <v>203</v>
      </c>
      <c r="K13" s="34">
        <f>D10</f>
        <v>0</v>
      </c>
      <c r="M13" s="36" t="s">
        <v>205</v>
      </c>
      <c r="N13" s="32" t="s">
        <v>206</v>
      </c>
      <c r="O13" s="32">
        <f>K14-BS58+AH15</f>
        <v>0</v>
      </c>
      <c r="P13" s="35"/>
      <c r="Q13" s="45"/>
      <c r="W13" s="48"/>
      <c r="X13" s="49" t="s">
        <v>207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181</v>
      </c>
      <c r="AF13" s="81">
        <f>第十四期!BU86</f>
        <v>0</v>
      </c>
      <c r="AG13" s="135" t="s">
        <v>208</v>
      </c>
      <c r="AH13" s="136">
        <f>第十四期!BV76</f>
        <v>0</v>
      </c>
      <c r="AI13" s="42" t="s">
        <v>209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210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211</v>
      </c>
      <c r="D14" s="9"/>
      <c r="E14" s="9"/>
      <c r="F14" s="10"/>
      <c r="J14" s="11" t="s">
        <v>212</v>
      </c>
      <c r="K14" s="34">
        <f>D11</f>
        <v>0</v>
      </c>
      <c r="M14" s="30"/>
      <c r="N14" s="31" t="s">
        <v>202</v>
      </c>
      <c r="O14" s="37"/>
      <c r="P14" s="35"/>
      <c r="Q14" s="45"/>
      <c r="W14" s="50"/>
      <c r="X14" s="49" t="s">
        <v>213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104</v>
      </c>
      <c r="AF14" s="84">
        <f>第十四期!BW92</f>
        <v>0</v>
      </c>
      <c r="AG14" s="73" t="s">
        <v>214</v>
      </c>
      <c r="AH14" s="138"/>
      <c r="AI14" s="42" t="s">
        <v>97</v>
      </c>
      <c r="AJ14" s="139">
        <f>第十四期!K12</f>
        <v>0</v>
      </c>
      <c r="AK14" s="42" t="s">
        <v>215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第十四期!Y88</f>
        <v>0</v>
      </c>
      <c r="BT14" s="198">
        <f>第十四期!Y89</f>
        <v>0</v>
      </c>
      <c r="BU14" s="198">
        <f>第十四期!Y90</f>
        <v>0</v>
      </c>
      <c r="BV14" s="198">
        <f>第十四期!Y91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216</v>
      </c>
      <c r="D15" s="9"/>
      <c r="E15" s="9"/>
      <c r="F15" s="10"/>
      <c r="J15" s="11" t="s">
        <v>217</v>
      </c>
      <c r="K15" s="34">
        <f>D16</f>
        <v>0</v>
      </c>
      <c r="M15" s="36" t="s">
        <v>218</v>
      </c>
      <c r="N15" s="31" t="s">
        <v>104</v>
      </c>
      <c r="O15" s="37"/>
      <c r="P15" s="35"/>
      <c r="Q15" s="45"/>
      <c r="W15" s="50"/>
      <c r="X15" s="49" t="s">
        <v>219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109</v>
      </c>
      <c r="AF15" s="90" t="e">
        <f>AF14/(Y18+第十四期!K8-AA18)</f>
        <v>#DIV/0!</v>
      </c>
      <c r="AG15" s="73" t="s">
        <v>220</v>
      </c>
      <c r="AH15" s="138"/>
      <c r="AI15" s="42" t="s">
        <v>221</v>
      </c>
      <c r="AJ15" s="139">
        <f>第十四期!K16*0.5-第十四期!K14</f>
        <v>0</v>
      </c>
      <c r="AK15" s="42" t="s">
        <v>222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第十四期!Z88</f>
        <v>0</v>
      </c>
      <c r="BT15" s="198">
        <f>第十四期!Z89</f>
        <v>0</v>
      </c>
      <c r="BU15" s="198">
        <f>第十四期!Z90</f>
        <v>0</v>
      </c>
      <c r="BV15" s="198">
        <f>第十四期!Z91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217</v>
      </c>
      <c r="D16" s="14"/>
      <c r="E16" s="9"/>
      <c r="F16" s="10">
        <f>D16*4</f>
        <v>0</v>
      </c>
      <c r="J16" s="11" t="s">
        <v>108</v>
      </c>
      <c r="K16" s="34">
        <f>D18</f>
        <v>0</v>
      </c>
      <c r="M16" s="30"/>
      <c r="N16" s="31" t="s">
        <v>211</v>
      </c>
      <c r="O16" s="37"/>
      <c r="P16" s="35"/>
      <c r="Q16" s="45"/>
      <c r="W16" s="50"/>
      <c r="X16" s="11" t="s">
        <v>223</v>
      </c>
      <c r="Y16" s="91">
        <f>第十四期!DM60</f>
        <v>0</v>
      </c>
      <c r="Z16" s="92" t="s">
        <v>224</v>
      </c>
      <c r="AA16" s="93">
        <f>AH20+Y16+第十四期!K9*比赛参数!D30*比赛参数!F30</f>
        <v>0</v>
      </c>
      <c r="AB16" s="73" t="s">
        <v>225</v>
      </c>
      <c r="AC16" s="94">
        <f>Y20-Y21</f>
        <v>0</v>
      </c>
      <c r="AE16" s="83" t="s">
        <v>226</v>
      </c>
      <c r="AF16" s="95" t="e">
        <f>AJ13/SUM(AH9:AH12)</f>
        <v>#DIV/0!</v>
      </c>
      <c r="AG16" s="83" t="s">
        <v>227</v>
      </c>
      <c r="AH16" s="140" t="e">
        <f>AF14/AL111</f>
        <v>#DIV/0!</v>
      </c>
      <c r="AI16" s="42" t="s">
        <v>228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第十四期!AA88</f>
        <v>0</v>
      </c>
      <c r="BT16" s="198">
        <f>第十四期!AA89</f>
        <v>0</v>
      </c>
      <c r="BU16" s="198">
        <f>第十四期!AA90</f>
        <v>0</v>
      </c>
      <c r="BV16" s="198">
        <f>第十四期!AA91</f>
        <v>0</v>
      </c>
      <c r="BW16" s="202"/>
      <c r="BX16" s="173"/>
      <c r="CR16" s="2" t="s">
        <v>229</v>
      </c>
      <c r="CS16" s="2" t="s">
        <v>230</v>
      </c>
      <c r="CT16" s="2" t="s">
        <v>231</v>
      </c>
      <c r="CU16" s="2" t="s">
        <v>232</v>
      </c>
      <c r="CV16" s="2" t="s">
        <v>233</v>
      </c>
      <c r="CW16" s="2" t="s">
        <v>234</v>
      </c>
      <c r="CY16" s="2" t="s">
        <v>235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236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106</v>
      </c>
      <c r="D17" s="9"/>
      <c r="E17" s="9"/>
      <c r="F17" s="10"/>
      <c r="M17" s="36" t="s">
        <v>237</v>
      </c>
      <c r="N17" s="31" t="s">
        <v>216</v>
      </c>
      <c r="O17" s="37"/>
      <c r="P17" s="35"/>
      <c r="Q17" s="45"/>
      <c r="W17" s="48"/>
      <c r="X17" s="51"/>
      <c r="Y17" s="96"/>
      <c r="Z17" s="96"/>
      <c r="AA17" s="97"/>
      <c r="AB17" s="98" t="s">
        <v>238</v>
      </c>
      <c r="AC17" s="99">
        <f>AC16*比赛参数!D65*520</f>
        <v>0</v>
      </c>
      <c r="AE17" s="83" t="s">
        <v>239</v>
      </c>
      <c r="AF17" s="100" t="e">
        <f>(AE9*SUM(AF64:AF67)+AE10*SUM(AG64:AG67)+AE11*SUM(AH64:AH67)+AE12*SUM(AI64:AI67))/SUM(AF64:AI67)</f>
        <v>#DIV/0!</v>
      </c>
      <c r="AG17" s="2" t="s">
        <v>110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第十四期!AB88</f>
        <v>0</v>
      </c>
      <c r="BT17" s="198">
        <f>第十四期!AB89</f>
        <v>0</v>
      </c>
      <c r="BU17" s="198">
        <f>第十四期!AB90</f>
        <v>0</v>
      </c>
      <c r="BV17" s="198">
        <f>第十四期!AB91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0</v>
      </c>
      <c r="CT17" s="2">
        <f>比赛参数!E$65*CT29</f>
        <v>0</v>
      </c>
      <c r="CU17" s="2">
        <f>比赛参数!F$65*CU29</f>
        <v>0</v>
      </c>
      <c r="CV17" s="2">
        <f>比赛参数!G$65*CV29</f>
        <v>0</v>
      </c>
      <c r="CW17" s="241">
        <f>(CS17*520+CU17*520+CV17*260)/1300</f>
        <v>0</v>
      </c>
      <c r="CY17" s="2" t="s">
        <v>38</v>
      </c>
      <c r="CZ17" s="2">
        <f>$CW17+CS35+CS41+比赛参数!$D$30*比赛参数!$F$30*CS23/520</f>
        <v>0</v>
      </c>
      <c r="DA17" s="2">
        <f>$CW17+CT35+CT41+比赛参数!$D$30*比赛参数!$F$30*CT23/520</f>
        <v>0</v>
      </c>
      <c r="DB17" s="2">
        <f>$CW17+CU35+CU41+比赛参数!$D$30*比赛参数!$F$30*CU23/520</f>
        <v>0</v>
      </c>
      <c r="DC17" s="2">
        <f>$CW17+CV35+CV41+比赛参数!$D$30*比赛参数!$F$30*CV23/520</f>
        <v>0</v>
      </c>
      <c r="DF17" s="2" t="s">
        <v>38</v>
      </c>
      <c r="DG17" s="2">
        <f>$CW17+CS35+AVERAGE(CS41:CT41)</f>
        <v>0</v>
      </c>
      <c r="DH17" s="2">
        <f>$CW17+CT35+AVERAGE(CS41:CT41)</f>
        <v>0</v>
      </c>
      <c r="DI17" s="2">
        <f>$CW17+CU35+AVERAGE(CU41:CV41)</f>
        <v>0</v>
      </c>
      <c r="DJ17" s="2">
        <f>$CW17+CV35+AVERAGE(CU41:CV41)</f>
        <v>0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108</v>
      </c>
      <c r="D18" s="14"/>
      <c r="E18" s="9"/>
      <c r="F18" s="10"/>
      <c r="M18" s="30"/>
      <c r="N18" s="32" t="s">
        <v>217</v>
      </c>
      <c r="O18" s="32"/>
      <c r="P18" s="35"/>
      <c r="Q18" s="45"/>
      <c r="W18" s="50"/>
      <c r="X18" s="11" t="s">
        <v>240</v>
      </c>
      <c r="Y18" s="101"/>
      <c r="Z18" s="11" t="s">
        <v>241</v>
      </c>
      <c r="AA18" s="101"/>
      <c r="AB18" s="11" t="s">
        <v>242</v>
      </c>
      <c r="AC18" s="102"/>
      <c r="AE18" s="11" t="s">
        <v>243</v>
      </c>
      <c r="AF18" s="103"/>
      <c r="AG18" s="73" t="s">
        <v>112</v>
      </c>
      <c r="AH18" s="144">
        <v>1</v>
      </c>
      <c r="AI18" s="73" t="s">
        <v>244</v>
      </c>
      <c r="AJ18" s="102"/>
      <c r="AK18" s="42" t="s">
        <v>245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246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247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0</v>
      </c>
      <c r="CT18" s="2">
        <f>比赛参数!E$65*CT30</f>
        <v>0</v>
      </c>
      <c r="CU18" s="2">
        <f>比赛参数!F$65*CU30</f>
        <v>0</v>
      </c>
      <c r="CV18" s="2">
        <f>比赛参数!G$65*CV30</f>
        <v>0</v>
      </c>
      <c r="CW18" s="241">
        <f>(CS18*520+CU18*520+CV18*260)/1300</f>
        <v>0</v>
      </c>
      <c r="CY18" s="2" t="s">
        <v>39</v>
      </c>
      <c r="CZ18" s="2">
        <f>$CW18+CS36+CS42+比赛参数!$D$30*比赛参数!$F$30*CS24/520</f>
        <v>0</v>
      </c>
      <c r="DA18" s="2">
        <f>$CW18+CT36+CT42+比赛参数!$D$30*比赛参数!$F$30*CT24/520</f>
        <v>0</v>
      </c>
      <c r="DB18" s="2">
        <f>$CW18+CU36+CU42+比赛参数!$D$30*比赛参数!$F$30*CU24/520</f>
        <v>0</v>
      </c>
      <c r="DC18" s="2">
        <f>$CW18+CV36+CV42+比赛参数!$D$30*比赛参数!$F$30*CV24/520</f>
        <v>0</v>
      </c>
      <c r="DF18" s="2" t="s">
        <v>39</v>
      </c>
      <c r="DG18" s="2">
        <f>$CW18+CS36+AVERAGE(CS42:CT42)</f>
        <v>0</v>
      </c>
      <c r="DH18" s="2">
        <f>$CW18+CT36+AVERAGE(CS42:CT42)</f>
        <v>0</v>
      </c>
      <c r="DI18" s="2">
        <f>$CW18+CU36+AVERAGE(CU42:CV42)</f>
        <v>0</v>
      </c>
      <c r="DJ18" s="2">
        <f>$CW18+CV36+AVERAGE(CU42:CV42)</f>
        <v>0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109</v>
      </c>
      <c r="D19" s="14"/>
      <c r="E19" s="9"/>
      <c r="F19" s="10"/>
      <c r="M19" s="36" t="s">
        <v>248</v>
      </c>
      <c r="N19" s="31" t="s">
        <v>106</v>
      </c>
      <c r="O19" s="37"/>
      <c r="P19" s="35"/>
      <c r="Q19" s="45"/>
      <c r="W19" s="48"/>
      <c r="X19" s="52" t="s">
        <v>249</v>
      </c>
      <c r="Y19" s="99">
        <f>第十四期!K8*比赛参数!D57</f>
        <v>0</v>
      </c>
      <c r="Z19" s="104" t="s">
        <v>250</v>
      </c>
      <c r="AA19" s="99">
        <f>第十四期!K8*比赛参数!D60</f>
        <v>0</v>
      </c>
      <c r="AB19" s="104" t="s">
        <v>250</v>
      </c>
      <c r="AC19" s="105" t="e">
        <f>IF((AC21-第十四期!K10)/比赛参数!D41&gt;0,(AC21-第十四期!K10)/比赛参数!D41,0)</f>
        <v>#DIV/0!</v>
      </c>
      <c r="AE19" s="42" t="s">
        <v>36</v>
      </c>
      <c r="AF19" s="106">
        <f>BS67</f>
        <v>0</v>
      </c>
      <c r="AG19" s="48"/>
      <c r="AH19" s="48"/>
      <c r="AI19" s="146" t="s">
        <v>251</v>
      </c>
      <c r="AJ19" s="105">
        <f>IF((第十四期!BW92-第十四期!BS87)&gt;0,第十四期!BW92-第十四期!BS87,0)</f>
        <v>0</v>
      </c>
      <c r="AK19" s="42" t="s">
        <v>252</v>
      </c>
      <c r="AL19" s="145">
        <f>AL110</f>
        <v>0</v>
      </c>
      <c r="AM19" s="2" t="s">
        <v>253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172</v>
      </c>
      <c r="BS19" s="195" t="s">
        <v>92</v>
      </c>
      <c r="BT19" s="196" t="s">
        <v>93</v>
      </c>
      <c r="BU19" s="196" t="s">
        <v>94</v>
      </c>
      <c r="BV19" s="196" t="s">
        <v>95</v>
      </c>
      <c r="BW19" s="199" t="s">
        <v>254</v>
      </c>
      <c r="BX19" s="215"/>
      <c r="CA19" s="213"/>
      <c r="CB19" s="216" t="s">
        <v>55</v>
      </c>
      <c r="CC19" s="110">
        <f>第十四期!$CX$68</f>
        <v>0</v>
      </c>
      <c r="CD19" s="110">
        <f>第十四期!$CX$69</f>
        <v>0</v>
      </c>
      <c r="CE19" s="110">
        <f>第十四期!$CX$70</f>
        <v>0</v>
      </c>
      <c r="CF19" s="110">
        <f>第十四期!$CX$71</f>
        <v>0</v>
      </c>
      <c r="CG19" s="219"/>
      <c r="CH19" s="225"/>
      <c r="CI19" s="226" t="s">
        <v>55</v>
      </c>
      <c r="CJ19" s="110">
        <f>第十四期!$CX$50</f>
        <v>0</v>
      </c>
      <c r="CK19" s="110">
        <f>第十四期!$CX$51</f>
        <v>0</v>
      </c>
      <c r="CL19" s="110">
        <f>第十四期!$CX$52</f>
        <v>0</v>
      </c>
      <c r="CM19" s="110">
        <f>第十四期!$CX$53</f>
        <v>0</v>
      </c>
      <c r="CN19" s="48"/>
      <c r="CO19" s="239"/>
      <c r="CR19" s="2" t="s">
        <v>40</v>
      </c>
      <c r="CS19" s="2">
        <f>比赛参数!D$65*CS31</f>
        <v>0</v>
      </c>
      <c r="CT19" s="2">
        <f>比赛参数!E$65*CT31</f>
        <v>0</v>
      </c>
      <c r="CU19" s="2">
        <f>比赛参数!F$65*CU31</f>
        <v>0</v>
      </c>
      <c r="CV19" s="2">
        <f>比赛参数!G$65*CV31</f>
        <v>0</v>
      </c>
      <c r="CW19" s="241">
        <f>(CS19*520+CU19*520+CV19*260)/1300</f>
        <v>0</v>
      </c>
      <c r="CY19" s="2" t="s">
        <v>40</v>
      </c>
      <c r="CZ19" s="2">
        <f>$CW19+CS37+CS43+比赛参数!$D$30*比赛参数!$F$30*CS25/520</f>
        <v>0</v>
      </c>
      <c r="DA19" s="2">
        <f>$CW19+CT37+CT43+比赛参数!$D$30*比赛参数!$F$30*CT25/520</f>
        <v>0</v>
      </c>
      <c r="DB19" s="2">
        <f>$CW19+CU37+CU43+比赛参数!$D$30*比赛参数!$F$30*CU25/520</f>
        <v>0</v>
      </c>
      <c r="DC19" s="2">
        <f>$CW19+CV37+CV43+比赛参数!$D$30*比赛参数!$F$30*CV25/520</f>
        <v>0</v>
      </c>
      <c r="DF19" s="2" t="s">
        <v>40</v>
      </c>
      <c r="DG19" s="2">
        <f>$CW19+CS37+AVERAGE(CS43:CT43)</f>
        <v>0</v>
      </c>
      <c r="DH19" s="2">
        <f>$CW19+CT37+AVERAGE(CS43:CT43)</f>
        <v>0</v>
      </c>
      <c r="DI19" s="2">
        <f>$CW19+CU37+AVERAGE(CU43:CV43)</f>
        <v>0</v>
      </c>
      <c r="DJ19" s="2">
        <f>$CW19+CV37+AVERAGE(CU43:CV43)</f>
        <v>0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255</v>
      </c>
      <c r="D20" s="9"/>
      <c r="E20" s="9"/>
      <c r="F20" s="10"/>
      <c r="M20" s="30"/>
      <c r="N20" s="32" t="s">
        <v>108</v>
      </c>
      <c r="O20" s="38">
        <f>K16+AJ19-AJ18</f>
        <v>0</v>
      </c>
      <c r="P20" s="35"/>
      <c r="Q20" s="45"/>
      <c r="W20" s="50"/>
      <c r="X20" s="42" t="s">
        <v>256</v>
      </c>
      <c r="Y20" s="107">
        <f>第十四期!K8+第十四期!Y18*比赛参数!D59-第十四期!AA18</f>
        <v>0</v>
      </c>
      <c r="Z20" s="42" t="s">
        <v>245</v>
      </c>
      <c r="AA20" s="108">
        <f>第十四期!K9</f>
        <v>0</v>
      </c>
      <c r="AB20" s="42" t="s">
        <v>257</v>
      </c>
      <c r="AC20" s="109">
        <f>AC18*比赛参数!D41+第十四期!K10</f>
        <v>0</v>
      </c>
      <c r="AE20" s="11" t="s">
        <v>258</v>
      </c>
      <c r="AF20" s="101"/>
      <c r="AG20" s="42" t="s">
        <v>91</v>
      </c>
      <c r="AH20" s="147">
        <f>第十四期!BS62+第十四期!BS71</f>
        <v>0</v>
      </c>
      <c r="AI20" s="73" t="s">
        <v>259</v>
      </c>
      <c r="AJ20" s="111">
        <f>第十四期!BV90</f>
        <v>0</v>
      </c>
      <c r="AK20" s="148" t="s">
        <v>260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第十四期!Y9</f>
        <v>0</v>
      </c>
      <c r="BT20" s="198">
        <f>第十四期!Z9</f>
        <v>0</v>
      </c>
      <c r="BU20" s="198">
        <f>第十四期!AA9</f>
        <v>0</v>
      </c>
      <c r="BV20" s="198">
        <f>第十四期!AB9</f>
        <v>0</v>
      </c>
      <c r="BW20" s="200">
        <f>第十四期!AJ34</f>
        <v>0</v>
      </c>
      <c r="BX20" s="215"/>
      <c r="CA20" s="213"/>
      <c r="CB20" s="196" t="s">
        <v>56</v>
      </c>
      <c r="CC20" s="110">
        <f>第十四期!$CY$68</f>
        <v>0</v>
      </c>
      <c r="CD20" s="110">
        <f>第十四期!$CY$69</f>
        <v>0</v>
      </c>
      <c r="CE20" s="110">
        <f>第十四期!$CY$70</f>
        <v>0</v>
      </c>
      <c r="CF20" s="110">
        <f>第十四期!$CY$71</f>
        <v>0</v>
      </c>
      <c r="CG20" s="219"/>
      <c r="CH20" s="225"/>
      <c r="CI20" s="227" t="s">
        <v>56</v>
      </c>
      <c r="CJ20" s="110">
        <f>第十四期!$CY$50</f>
        <v>0</v>
      </c>
      <c r="CK20" s="110">
        <f>第十四期!$CY$51</f>
        <v>0</v>
      </c>
      <c r="CL20" s="110">
        <f>第十四期!$CY$52</f>
        <v>0</v>
      </c>
      <c r="CM20" s="110">
        <f>第十四期!$CY$53</f>
        <v>0</v>
      </c>
      <c r="CN20" s="48"/>
      <c r="CO20" s="239"/>
      <c r="CR20" s="2" t="s">
        <v>41</v>
      </c>
      <c r="CS20" s="2">
        <f>比赛参数!D$65*CS32</f>
        <v>0</v>
      </c>
      <c r="CT20" s="2">
        <f>比赛参数!E$65*CT32</f>
        <v>0</v>
      </c>
      <c r="CU20" s="2">
        <f>比赛参数!F$65*CU32</f>
        <v>0</v>
      </c>
      <c r="CV20" s="2">
        <f>比赛参数!G$65*CV32</f>
        <v>0</v>
      </c>
      <c r="CW20" s="241">
        <f>(CS20*520+CU20*520+CV20*260)/1300</f>
        <v>0</v>
      </c>
      <c r="CY20" s="2" t="s">
        <v>41</v>
      </c>
      <c r="CZ20" s="2">
        <f>$CW20+CS38+CS44+比赛参数!$D$30*比赛参数!$F$30*CS26/520</f>
        <v>0</v>
      </c>
      <c r="DA20" s="2">
        <f>$CW20+CT38+CT44+比赛参数!$D$30*比赛参数!$F$30*CT26/520</f>
        <v>0</v>
      </c>
      <c r="DB20" s="2">
        <f>$CW20+CU38+CU44+比赛参数!$D$30*比赛参数!$F$30*CU26/520</f>
        <v>0</v>
      </c>
      <c r="DC20" s="2">
        <f>$CW20+CV38+CV44+比赛参数!$D$30*比赛参数!$F$30*CV26/520</f>
        <v>0</v>
      </c>
      <c r="DF20" s="2" t="s">
        <v>41</v>
      </c>
      <c r="DG20" s="2">
        <f>$CW20+CS38+AVERAGE(CS44:CT44)</f>
        <v>0</v>
      </c>
      <c r="DH20" s="2">
        <f>$CW20+CT38+AVERAGE(CS44:CT44)</f>
        <v>0</v>
      </c>
      <c r="DI20" s="2">
        <f>$CW20+CU38+AVERAGE(CU44:CV44)</f>
        <v>0</v>
      </c>
      <c r="DJ20" s="2">
        <f>$CW20+CV38+AVERAGE(CU44:CV44)</f>
        <v>0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261</v>
      </c>
      <c r="D21" s="9"/>
      <c r="E21" s="9"/>
      <c r="F21" s="10"/>
      <c r="M21" s="30"/>
      <c r="N21" s="31" t="s">
        <v>109</v>
      </c>
      <c r="O21" s="37"/>
      <c r="P21" s="35"/>
      <c r="Q21" s="45"/>
      <c r="W21" s="48"/>
      <c r="X21" s="42" t="s">
        <v>262</v>
      </c>
      <c r="Y21" s="110">
        <f>Y13+AA13</f>
        <v>0</v>
      </c>
      <c r="Z21" s="42" t="s">
        <v>263</v>
      </c>
      <c r="AA21" s="110">
        <f>MAX(Y14,Z14+AA14,AB14)</f>
        <v>0</v>
      </c>
      <c r="AB21" s="42" t="s">
        <v>264</v>
      </c>
      <c r="AC21" s="111">
        <f>AC9*比赛参数!D28+AC10*比赛参数!E28+AC11*比赛参数!F28+AC12*比赛参数!G28</f>
        <v>0</v>
      </c>
      <c r="AE21" s="42" t="s">
        <v>265</v>
      </c>
      <c r="AF21" s="112">
        <f>AF20*比赛参数!D70/4</f>
        <v>0</v>
      </c>
      <c r="AG21" s="149" t="s">
        <v>266</v>
      </c>
      <c r="AH21" s="147">
        <f>CN53+CN59</f>
        <v>0</v>
      </c>
      <c r="AI21" s="42" t="s">
        <v>267</v>
      </c>
      <c r="AJ21" s="139">
        <f>比赛参数!D67</f>
        <v>0</v>
      </c>
      <c r="AK21" s="148" t="s">
        <v>268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第十四期!Y10</f>
        <v>0</v>
      </c>
      <c r="BT21" s="198">
        <f>第十四期!Z10</f>
        <v>0</v>
      </c>
      <c r="BU21" s="198">
        <f>第十四期!AA10</f>
        <v>0</v>
      </c>
      <c r="BV21" s="198">
        <f>第十四期!AB10</f>
        <v>0</v>
      </c>
      <c r="BW21" s="200">
        <f>第十四期!AJ35</f>
        <v>0</v>
      </c>
      <c r="BX21" s="215"/>
      <c r="CA21" s="213"/>
      <c r="CB21" s="196" t="s">
        <v>57</v>
      </c>
      <c r="CC21" s="110">
        <f>第十四期!$CZ$68</f>
        <v>0</v>
      </c>
      <c r="CD21" s="110">
        <f>第十四期!$CZ$69</f>
        <v>0</v>
      </c>
      <c r="CE21" s="110">
        <f>第十四期!$CZ$70</f>
        <v>0</v>
      </c>
      <c r="CF21" s="110">
        <f>第十四期!$CZ$71</f>
        <v>0</v>
      </c>
      <c r="CG21" s="219"/>
      <c r="CH21" s="225"/>
      <c r="CI21" s="227" t="s">
        <v>57</v>
      </c>
      <c r="CJ21" s="110">
        <f>第十四期!$CZ$50</f>
        <v>0</v>
      </c>
      <c r="CK21" s="110">
        <f>第十四期!$CZ$51</f>
        <v>0</v>
      </c>
      <c r="CL21" s="110">
        <f>第十四期!$CZ$52</f>
        <v>0</v>
      </c>
      <c r="CM21" s="110">
        <f>第十四期!$CZ$53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255</v>
      </c>
      <c r="O22" s="37"/>
      <c r="P22" s="35"/>
      <c r="Q22" s="45"/>
      <c r="Z22" s="2" t="s">
        <v>269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270</v>
      </c>
      <c r="AJ22" s="139">
        <f>K11</f>
        <v>0</v>
      </c>
      <c r="AK22" s="2" t="s">
        <v>271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第十四期!Y11</f>
        <v>0</v>
      </c>
      <c r="BT22" s="198">
        <f>第十四期!Z11</f>
        <v>0</v>
      </c>
      <c r="BU22" s="198">
        <f>第十四期!AA11</f>
        <v>0</v>
      </c>
      <c r="BV22" s="198">
        <f>第十四期!AB11</f>
        <v>0</v>
      </c>
      <c r="BW22" s="200">
        <f>第十四期!AJ36</f>
        <v>0</v>
      </c>
      <c r="BX22" s="215"/>
      <c r="CA22" s="213"/>
      <c r="CB22" s="196" t="s">
        <v>58</v>
      </c>
      <c r="CC22" s="110">
        <f>第十四期!$DA$68</f>
        <v>0</v>
      </c>
      <c r="CD22" s="110">
        <f>第十四期!$DA$69</f>
        <v>0</v>
      </c>
      <c r="CE22" s="110">
        <f>第十四期!$DA$70</f>
        <v>0</v>
      </c>
      <c r="CF22" s="110">
        <f>第十四期!$DA$71</f>
        <v>0</v>
      </c>
      <c r="CG22" s="219"/>
      <c r="CH22" s="225"/>
      <c r="CI22" s="227" t="s">
        <v>58</v>
      </c>
      <c r="CJ22" s="110">
        <f>第十四期!$DA$50</f>
        <v>0</v>
      </c>
      <c r="CK22" s="110">
        <f>第十四期!$DA$51</f>
        <v>0</v>
      </c>
      <c r="CL22" s="110">
        <f>第十四期!$DA$52</f>
        <v>0</v>
      </c>
      <c r="CM22" s="110">
        <f>第十四期!$DA$53</f>
        <v>0</v>
      </c>
      <c r="CN22" s="48"/>
      <c r="CO22" s="239"/>
      <c r="CR22" s="2" t="s">
        <v>272</v>
      </c>
      <c r="CS22" s="2" t="s">
        <v>230</v>
      </c>
      <c r="CT22" s="2" t="s">
        <v>231</v>
      </c>
      <c r="CU22" s="2" t="s">
        <v>232</v>
      </c>
      <c r="CV22" s="2" t="s">
        <v>233</v>
      </c>
      <c r="CY22" s="2" t="s">
        <v>176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176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160</v>
      </c>
      <c r="D23" s="17" t="s">
        <v>161</v>
      </c>
      <c r="E23" s="17" t="s">
        <v>273</v>
      </c>
      <c r="F23" s="17" t="s">
        <v>274</v>
      </c>
      <c r="G23" s="17" t="s">
        <v>275</v>
      </c>
      <c r="H23" s="17" t="s">
        <v>105</v>
      </c>
      <c r="I23" s="17" t="s">
        <v>163</v>
      </c>
      <c r="J23" s="17" t="s">
        <v>164</v>
      </c>
      <c r="K23" s="20" t="s">
        <v>276</v>
      </c>
      <c r="L23" s="10"/>
      <c r="M23" s="39" t="s">
        <v>274</v>
      </c>
      <c r="N23" s="31" t="s">
        <v>261</v>
      </c>
      <c r="O23" s="37"/>
      <c r="P23" s="35"/>
      <c r="Q23" s="45"/>
      <c r="Y23" s="2">
        <f>比赛参数!D26</f>
        <v>0</v>
      </c>
      <c r="Z23" s="2">
        <f>比赛参数!E26</f>
        <v>0</v>
      </c>
      <c r="AA23" s="2">
        <f>比赛参数!F26</f>
        <v>0</v>
      </c>
      <c r="AB23" s="2">
        <f>比赛参数!G26</f>
        <v>0</v>
      </c>
      <c r="AD23" s="115"/>
      <c r="AI23" s="42" t="s">
        <v>277</v>
      </c>
      <c r="AJ23" s="139">
        <f>AF13</f>
        <v>0</v>
      </c>
      <c r="AK23" s="2" t="s">
        <v>278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第十四期!Y12</f>
        <v>0</v>
      </c>
      <c r="BT23" s="198">
        <f>第十四期!Z12</f>
        <v>0</v>
      </c>
      <c r="BU23" s="198">
        <f>第十四期!AA12</f>
        <v>0</v>
      </c>
      <c r="BV23" s="198">
        <f>第十四期!AB12</f>
        <v>0</v>
      </c>
      <c r="BW23" s="200">
        <f>第十四期!AJ37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0</v>
      </c>
      <c r="CT23" s="2">
        <f>比赛参数!$D$26</f>
        <v>0</v>
      </c>
      <c r="CU23" s="2">
        <f>比赛参数!$D$26</f>
        <v>0</v>
      </c>
      <c r="CV23" s="2">
        <f>比赛参数!$D$26</f>
        <v>0</v>
      </c>
      <c r="CY23" s="2" t="s">
        <v>38</v>
      </c>
      <c r="CZ23" s="2">
        <f t="shared" ref="CZ23:DC26" si="14">BS7-CZ17</f>
        <v>0</v>
      </c>
      <c r="DA23" s="2">
        <f t="shared" si="14"/>
        <v>0</v>
      </c>
      <c r="DB23" s="2">
        <f t="shared" si="14"/>
        <v>0</v>
      </c>
      <c r="DC23" s="2">
        <f t="shared" si="14"/>
        <v>0</v>
      </c>
      <c r="DF23" s="2" t="s">
        <v>38</v>
      </c>
      <c r="DG23" s="2">
        <f t="shared" ref="DG23:DJ26" si="15">BS7-DG17</f>
        <v>0</v>
      </c>
      <c r="DH23" s="2">
        <f t="shared" si="15"/>
        <v>0</v>
      </c>
      <c r="DI23" s="2">
        <f t="shared" si="15"/>
        <v>0</v>
      </c>
      <c r="DJ23" s="2">
        <f t="shared" si="15"/>
        <v>0</v>
      </c>
      <c r="DM23" s="2" t="e">
        <f t="shared" ref="DM23:DP26" si="16">DG23/CS23</f>
        <v>#DIV/0!</v>
      </c>
      <c r="DN23" s="2" t="e">
        <f t="shared" si="16"/>
        <v>#DIV/0!</v>
      </c>
      <c r="DO23" s="2" t="e">
        <f t="shared" si="16"/>
        <v>#DIV/0!</v>
      </c>
      <c r="DP23" s="2" t="e">
        <f t="shared" si="16"/>
        <v>#DIV/0!</v>
      </c>
      <c r="DQ23" s="2" t="e">
        <f>SUMPRODUCT(DM23:DP23,BS14:BV14)/SUM(BS14:BV14)</f>
        <v>#DIV/0!</v>
      </c>
      <c r="DT23" s="219"/>
      <c r="DU23" s="196" t="s">
        <v>279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280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280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0</v>
      </c>
      <c r="CT24" s="2">
        <f>比赛参数!$E$26</f>
        <v>0</v>
      </c>
      <c r="CU24" s="2">
        <f>比赛参数!$E$26</f>
        <v>0</v>
      </c>
      <c r="CV24" s="2">
        <f>比赛参数!$E$26</f>
        <v>0</v>
      </c>
      <c r="CY24" s="2" t="s">
        <v>39</v>
      </c>
      <c r="CZ24" s="2">
        <f t="shared" si="14"/>
        <v>0</v>
      </c>
      <c r="DA24" s="2">
        <f t="shared" si="14"/>
        <v>0</v>
      </c>
      <c r="DB24" s="2">
        <f t="shared" si="14"/>
        <v>0</v>
      </c>
      <c r="DC24" s="2">
        <f t="shared" si="14"/>
        <v>0</v>
      </c>
      <c r="DF24" s="2" t="s">
        <v>39</v>
      </c>
      <c r="DG24" s="2">
        <f t="shared" si="15"/>
        <v>0</v>
      </c>
      <c r="DH24" s="2">
        <f t="shared" si="15"/>
        <v>0</v>
      </c>
      <c r="DI24" s="2">
        <f t="shared" si="15"/>
        <v>0</v>
      </c>
      <c r="DJ24" s="2">
        <f t="shared" si="15"/>
        <v>0</v>
      </c>
      <c r="DM24" s="2" t="e">
        <f t="shared" si="16"/>
        <v>#DIV/0!</v>
      </c>
      <c r="DN24" s="2" t="e">
        <f t="shared" si="16"/>
        <v>#DIV/0!</v>
      </c>
      <c r="DO24" s="2" t="e">
        <f t="shared" si="16"/>
        <v>#DIV/0!</v>
      </c>
      <c r="DP24" s="2" t="e">
        <f t="shared" si="16"/>
        <v>#DIV/0!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281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282</v>
      </c>
      <c r="AJ25" s="65" t="s">
        <v>283</v>
      </c>
      <c r="AK25" s="154" t="s">
        <v>284</v>
      </c>
      <c r="AL25" s="42" t="s">
        <v>27</v>
      </c>
      <c r="AM25" s="42" t="s">
        <v>285</v>
      </c>
      <c r="AN25" s="42" t="s">
        <v>235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286</v>
      </c>
      <c r="BS25" s="196" t="s">
        <v>240</v>
      </c>
      <c r="BT25" s="196" t="s">
        <v>287</v>
      </c>
      <c r="BU25" s="196" t="s">
        <v>288</v>
      </c>
      <c r="BV25" s="196" t="s">
        <v>289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0</v>
      </c>
      <c r="CT25" s="2">
        <f>比赛参数!$F$26</f>
        <v>0</v>
      </c>
      <c r="CU25" s="2">
        <f>比赛参数!$F$26</f>
        <v>0</v>
      </c>
      <c r="CV25" s="2">
        <f>比赛参数!$F$26</f>
        <v>0</v>
      </c>
      <c r="CY25" s="2" t="s">
        <v>40</v>
      </c>
      <c r="CZ25" s="2">
        <f t="shared" si="14"/>
        <v>0</v>
      </c>
      <c r="DA25" s="2">
        <f t="shared" si="14"/>
        <v>0</v>
      </c>
      <c r="DB25" s="2">
        <f t="shared" si="14"/>
        <v>0</v>
      </c>
      <c r="DC25" s="2">
        <f t="shared" si="14"/>
        <v>0</v>
      </c>
      <c r="DF25" s="2" t="s">
        <v>40</v>
      </c>
      <c r="DG25" s="2">
        <f t="shared" si="15"/>
        <v>0</v>
      </c>
      <c r="DH25" s="2">
        <f t="shared" si="15"/>
        <v>0</v>
      </c>
      <c r="DI25" s="2">
        <f t="shared" si="15"/>
        <v>0</v>
      </c>
      <c r="DJ25" s="2">
        <f t="shared" si="15"/>
        <v>0</v>
      </c>
      <c r="DM25" s="2" t="e">
        <f t="shared" si="16"/>
        <v>#DIV/0!</v>
      </c>
      <c r="DN25" s="2" t="e">
        <f t="shared" si="16"/>
        <v>#DIV/0!</v>
      </c>
      <c r="DO25" s="2" t="e">
        <f t="shared" si="16"/>
        <v>#DIV/0!</v>
      </c>
      <c r="DP25" s="2" t="e">
        <f t="shared" si="16"/>
        <v>#DIV/0!</v>
      </c>
      <c r="DQ25" s="2" t="e">
        <f>SUMPRODUCT(DM25:DP25,BS16:BV16)/SUM(BS16:BV16)</f>
        <v>#DIV/0!</v>
      </c>
      <c r="DT25" s="196" t="s">
        <v>155</v>
      </c>
      <c r="DU25" s="269"/>
      <c r="DV25" s="196" t="s">
        <v>290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291</v>
      </c>
      <c r="X26" s="11" t="s">
        <v>179</v>
      </c>
      <c r="Y26" s="11" t="s">
        <v>292</v>
      </c>
      <c r="Z26" s="92" t="s">
        <v>180</v>
      </c>
      <c r="AA26" s="21" t="s">
        <v>293</v>
      </c>
      <c r="AB26" s="22" t="s">
        <v>294</v>
      </c>
      <c r="AC26" s="22" t="s">
        <v>295</v>
      </c>
      <c r="AD26" s="61" t="s">
        <v>296</v>
      </c>
      <c r="AE26" s="21" t="s">
        <v>294</v>
      </c>
      <c r="AF26" s="22" t="s">
        <v>295</v>
      </c>
      <c r="AG26" s="61" t="s">
        <v>296</v>
      </c>
      <c r="AI26" s="65">
        <f>第十四期!BV57-第十四期!BV76</f>
        <v>0</v>
      </c>
      <c r="AJ26" s="65">
        <f>第十四期!K9</f>
        <v>0</v>
      </c>
      <c r="AK26" s="155"/>
      <c r="AL26" s="156" t="e">
        <f>比赛参数!D27/比赛参数!D26</f>
        <v>#DIV/0!</v>
      </c>
      <c r="AM26" s="157">
        <f>比赛参数!D28+比赛参数!D27*比赛参数!D65+比赛参数!D26*比赛参数!D30*比赛参数!F30/520</f>
        <v>0</v>
      </c>
      <c r="AN26" s="157">
        <f>第十四期!DB50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第十四期!Y18</f>
        <v>0</v>
      </c>
      <c r="BT26" s="198">
        <f>第十四期!AA18</f>
        <v>0</v>
      </c>
      <c r="BU26" s="198">
        <f>第十四期!AF18</f>
        <v>0</v>
      </c>
      <c r="BV26" s="204">
        <f>第十四期!AC18</f>
        <v>0</v>
      </c>
      <c r="BW26" s="202"/>
      <c r="BX26" s="215"/>
      <c r="CA26" s="213"/>
      <c r="CB26" s="214" t="s">
        <v>297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298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0</v>
      </c>
      <c r="CT26" s="2">
        <f>比赛参数!$G$26</f>
        <v>0</v>
      </c>
      <c r="CU26" s="2">
        <f>比赛参数!$G$26</f>
        <v>0</v>
      </c>
      <c r="CV26" s="2">
        <f>比赛参数!$G$26</f>
        <v>0</v>
      </c>
      <c r="CY26" s="2" t="s">
        <v>41</v>
      </c>
      <c r="CZ26" s="2">
        <f t="shared" si="14"/>
        <v>0</v>
      </c>
      <c r="DA26" s="2">
        <f t="shared" si="14"/>
        <v>0</v>
      </c>
      <c r="DB26" s="2">
        <f t="shared" si="14"/>
        <v>0</v>
      </c>
      <c r="DC26" s="2">
        <f t="shared" si="14"/>
        <v>0</v>
      </c>
      <c r="DF26" s="2" t="s">
        <v>41</v>
      </c>
      <c r="DG26" s="2">
        <f t="shared" si="15"/>
        <v>0</v>
      </c>
      <c r="DH26" s="2">
        <f t="shared" si="15"/>
        <v>0</v>
      </c>
      <c r="DI26" s="2">
        <f t="shared" si="15"/>
        <v>0</v>
      </c>
      <c r="DJ26" s="2">
        <f t="shared" si="15"/>
        <v>0</v>
      </c>
      <c r="DM26" s="2" t="e">
        <f t="shared" si="16"/>
        <v>#DIV/0!</v>
      </c>
      <c r="DN26" s="2" t="e">
        <f t="shared" si="16"/>
        <v>#DIV/0!</v>
      </c>
      <c r="DO26" s="2" t="e">
        <f t="shared" si="16"/>
        <v>#DIV/0!</v>
      </c>
      <c r="DP26" s="2" t="e">
        <f t="shared" si="16"/>
        <v>#DIV/0!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299</v>
      </c>
      <c r="AJ27" s="159" t="e">
        <f>AI26/AJ26*AK26</f>
        <v>#DIV/0!</v>
      </c>
      <c r="AK27" s="160"/>
      <c r="AL27" s="156" t="e">
        <f>比赛参数!E27/比赛参数!E26</f>
        <v>#DIV/0!</v>
      </c>
      <c r="AM27" s="157">
        <f>比赛参数!E28+比赛参数!E27*比赛参数!D65+比赛参数!E26*比赛参数!D30*比赛参数!F30/520</f>
        <v>0</v>
      </c>
      <c r="AN27" s="157">
        <f>第十四期!DB51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 t="e">
        <f>比赛参数!F27/比赛参数!F26</f>
        <v>#DIV/0!</v>
      </c>
      <c r="AM28" s="157">
        <f>比赛参数!F28+比赛参数!F27*比赛参数!D65+比赛参数!F26*比赛参数!D30*比赛参数!F30/520</f>
        <v>0</v>
      </c>
      <c r="AN28" s="157">
        <f>第十四期!DB52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300</v>
      </c>
      <c r="BS28" s="196" t="s">
        <v>214</v>
      </c>
      <c r="BT28" s="196" t="s">
        <v>301</v>
      </c>
      <c r="BU28" s="196" t="s">
        <v>258</v>
      </c>
      <c r="BV28" s="196" t="s">
        <v>244</v>
      </c>
      <c r="BW28" s="196" t="s">
        <v>112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302</v>
      </c>
      <c r="CS28" s="2" t="s">
        <v>230</v>
      </c>
      <c r="CT28" s="2" t="s">
        <v>231</v>
      </c>
      <c r="CU28" s="2" t="s">
        <v>232</v>
      </c>
      <c r="CV28" s="2" t="s">
        <v>233</v>
      </c>
      <c r="CY28" s="2" t="s">
        <v>303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303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149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 t="e">
        <f>比赛参数!G27/比赛参数!G26</f>
        <v>#DIV/0!</v>
      </c>
      <c r="AM29" s="157">
        <f>比赛参数!G28+比赛参数!G27*比赛参数!D65+比赛参数!G26*比赛参数!D30*比赛参数!F30/520</f>
        <v>0</v>
      </c>
      <c r="AN29" s="157">
        <f>第十四期!DB53</f>
        <v>0</v>
      </c>
      <c r="BQ29" s="177"/>
      <c r="BR29" s="201"/>
      <c r="BS29" s="204">
        <f>第十四期!AH14</f>
        <v>0</v>
      </c>
      <c r="BT29" s="204">
        <f>第十四期!AH15</f>
        <v>0</v>
      </c>
      <c r="BU29" s="198">
        <f>第十四期!AF20</f>
        <v>0</v>
      </c>
      <c r="BV29" s="204">
        <f>第十四期!AJ18</f>
        <v>0</v>
      </c>
      <c r="BW29" s="218">
        <f>第十四期!AH18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0</v>
      </c>
      <c r="CT29" s="2">
        <f>比赛参数!$D$27</f>
        <v>0</v>
      </c>
      <c r="CU29" s="2">
        <f>比赛参数!$D$27</f>
        <v>0</v>
      </c>
      <c r="CV29" s="2">
        <f>比赛参数!$D$27</f>
        <v>0</v>
      </c>
      <c r="CY29" s="2" t="s">
        <v>38</v>
      </c>
      <c r="CZ29" s="2" t="e">
        <f t="shared" ref="CZ29:DC32" si="25">CZ23/CS23</f>
        <v>#DIV/0!</v>
      </c>
      <c r="DA29" s="2" t="e">
        <f t="shared" si="25"/>
        <v>#DIV/0!</v>
      </c>
      <c r="DB29" s="2" t="e">
        <f t="shared" si="25"/>
        <v>#DIV/0!</v>
      </c>
      <c r="DC29" s="2" t="e">
        <f t="shared" si="25"/>
        <v>#DIV/0!</v>
      </c>
      <c r="DD29" s="2" t="e">
        <f>SUMPRODUCT(CZ29:DC29,BS14:BV14)/SUM(BS14:BV14)</f>
        <v>#DIV/0!</v>
      </c>
      <c r="DF29" s="2" t="s">
        <v>38</v>
      </c>
      <c r="DG29" s="2" t="e">
        <f t="shared" ref="DG29:DJ32" si="26">DG23/CS23</f>
        <v>#DIV/0!</v>
      </c>
      <c r="DH29" s="2" t="e">
        <f t="shared" si="26"/>
        <v>#DIV/0!</v>
      </c>
      <c r="DI29" s="2" t="e">
        <f t="shared" si="26"/>
        <v>#DIV/0!</v>
      </c>
      <c r="DJ29" s="2" t="e">
        <f t="shared" si="26"/>
        <v>#DIV/0!</v>
      </c>
      <c r="DK29" s="2" t="e">
        <f>SUMPRODUCT(DG29:DJ29,BS14:BV14)/SUM(BS14:BV14)</f>
        <v>#DIV/0!</v>
      </c>
      <c r="DM29" s="2" t="e">
        <f t="shared" ref="DM29:DP32" si="27">DG23/CS29</f>
        <v>#DIV/0!</v>
      </c>
      <c r="DN29" s="2" t="e">
        <f t="shared" si="27"/>
        <v>#DIV/0!</v>
      </c>
      <c r="DO29" s="2" t="e">
        <f t="shared" si="27"/>
        <v>#DIV/0!</v>
      </c>
      <c r="DP29" s="2" t="e">
        <f t="shared" si="27"/>
        <v>#DIV/0!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304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0</v>
      </c>
      <c r="CT30" s="2">
        <f>比赛参数!$E$27</f>
        <v>0</v>
      </c>
      <c r="CU30" s="2">
        <f>比赛参数!$E$27</f>
        <v>0</v>
      </c>
      <c r="CV30" s="2">
        <f>比赛参数!$E$27</f>
        <v>0</v>
      </c>
      <c r="CY30" s="2" t="s">
        <v>39</v>
      </c>
      <c r="CZ30" s="2" t="e">
        <f t="shared" si="25"/>
        <v>#DIV/0!</v>
      </c>
      <c r="DA30" s="2" t="e">
        <f t="shared" si="25"/>
        <v>#DIV/0!</v>
      </c>
      <c r="DB30" s="2" t="e">
        <f t="shared" si="25"/>
        <v>#DIV/0!</v>
      </c>
      <c r="DC30" s="2" t="e">
        <f t="shared" si="25"/>
        <v>#DIV/0!</v>
      </c>
      <c r="DD30" s="2" t="e">
        <f>SUMPRODUCT(CZ30:DC30,BS15:BV15)/SUM(BS15:BV15)</f>
        <v>#DIV/0!</v>
      </c>
      <c r="DF30" s="2" t="s">
        <v>39</v>
      </c>
      <c r="DG30" s="2" t="e">
        <f t="shared" si="26"/>
        <v>#DIV/0!</v>
      </c>
      <c r="DH30" s="2" t="e">
        <f t="shared" si="26"/>
        <v>#DIV/0!</v>
      </c>
      <c r="DI30" s="2" t="e">
        <f t="shared" si="26"/>
        <v>#DIV/0!</v>
      </c>
      <c r="DJ30" s="2" t="e">
        <f t="shared" si="26"/>
        <v>#DIV/0!</v>
      </c>
      <c r="DK30" s="2" t="e">
        <f>SUMPRODUCT(DG30:DJ30,BS15:BV15)/SUM(BS15:BV15)</f>
        <v>#DIV/0!</v>
      </c>
      <c r="DM30" s="2" t="e">
        <f t="shared" si="27"/>
        <v>#DIV/0!</v>
      </c>
      <c r="DN30" s="2" t="e">
        <f t="shared" si="27"/>
        <v>#DIV/0!</v>
      </c>
      <c r="DO30" s="2" t="e">
        <f t="shared" si="27"/>
        <v>#DIV/0!</v>
      </c>
      <c r="DP30" s="2" t="e">
        <f t="shared" si="27"/>
        <v>#DIV/0!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0</v>
      </c>
      <c r="CT31" s="2">
        <f>比赛参数!$F$27</f>
        <v>0</v>
      </c>
      <c r="CU31" s="2">
        <f>比赛参数!$F$27</f>
        <v>0</v>
      </c>
      <c r="CV31" s="2">
        <f>比赛参数!$F$27</f>
        <v>0</v>
      </c>
      <c r="CY31" s="2" t="s">
        <v>40</v>
      </c>
      <c r="CZ31" s="2" t="e">
        <f t="shared" si="25"/>
        <v>#DIV/0!</v>
      </c>
      <c r="DA31" s="2" t="e">
        <f t="shared" si="25"/>
        <v>#DIV/0!</v>
      </c>
      <c r="DB31" s="2" t="e">
        <f t="shared" si="25"/>
        <v>#DIV/0!</v>
      </c>
      <c r="DC31" s="2" t="e">
        <f t="shared" si="25"/>
        <v>#DIV/0!</v>
      </c>
      <c r="DD31" s="2" t="e">
        <f>SUMPRODUCT(CZ31:DC31,BS16:BV16)/SUM(BS16:BV16)</f>
        <v>#DIV/0!</v>
      </c>
      <c r="DF31" s="2" t="s">
        <v>40</v>
      </c>
      <c r="DG31" s="2" t="e">
        <f t="shared" si="26"/>
        <v>#DIV/0!</v>
      </c>
      <c r="DH31" s="2" t="e">
        <f t="shared" si="26"/>
        <v>#DIV/0!</v>
      </c>
      <c r="DI31" s="2" t="e">
        <f t="shared" si="26"/>
        <v>#DIV/0!</v>
      </c>
      <c r="DJ31" s="2" t="e">
        <f t="shared" si="26"/>
        <v>#DIV/0!</v>
      </c>
      <c r="DK31" s="2" t="e">
        <f>SUMPRODUCT(DG31:DJ31,BS16:BV16)/SUM(BS16:BV16)</f>
        <v>#DIV/0!</v>
      </c>
      <c r="DM31" s="2" t="e">
        <f t="shared" si="27"/>
        <v>#DIV/0!</v>
      </c>
      <c r="DN31" s="2" t="e">
        <f t="shared" si="27"/>
        <v>#DIV/0!</v>
      </c>
      <c r="DO31" s="2" t="e">
        <f t="shared" si="27"/>
        <v>#DIV/0!</v>
      </c>
      <c r="DP31" s="2" t="e">
        <f t="shared" si="27"/>
        <v>#DIV/0!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291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305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306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0</v>
      </c>
      <c r="CT32" s="2">
        <f>比赛参数!$G$27</f>
        <v>0</v>
      </c>
      <c r="CU32" s="2">
        <f>比赛参数!$G$27</f>
        <v>0</v>
      </c>
      <c r="CV32" s="2">
        <f>比赛参数!$G$27</f>
        <v>0</v>
      </c>
      <c r="CY32" s="2" t="s">
        <v>41</v>
      </c>
      <c r="CZ32" s="2" t="e">
        <f t="shared" si="25"/>
        <v>#DIV/0!</v>
      </c>
      <c r="DA32" s="2" t="e">
        <f t="shared" si="25"/>
        <v>#DIV/0!</v>
      </c>
      <c r="DB32" s="2" t="e">
        <f t="shared" si="25"/>
        <v>#DIV/0!</v>
      </c>
      <c r="DC32" s="2" t="e">
        <f t="shared" si="25"/>
        <v>#DIV/0!</v>
      </c>
      <c r="DD32" s="2" t="e">
        <f>SUMPRODUCT(CZ32:DC32,BS17:BV17)/SUM(BS17:BV17)</f>
        <v>#DIV/0!</v>
      </c>
      <c r="DF32" s="2" t="s">
        <v>41</v>
      </c>
      <c r="DG32" s="2" t="e">
        <f t="shared" si="26"/>
        <v>#DIV/0!</v>
      </c>
      <c r="DH32" s="2" t="e">
        <f t="shared" si="26"/>
        <v>#DIV/0!</v>
      </c>
      <c r="DI32" s="2" t="e">
        <f t="shared" si="26"/>
        <v>#DIV/0!</v>
      </c>
      <c r="DJ32" s="2" t="e">
        <f t="shared" si="26"/>
        <v>#DIV/0!</v>
      </c>
      <c r="DK32" s="2" t="e">
        <f>SUMPRODUCT(DG32:DJ32,BS17:BV17)/SUM(BS17:BV17)</f>
        <v>#DIV/0!</v>
      </c>
      <c r="DM32" s="2" t="e">
        <f t="shared" si="27"/>
        <v>#DIV/0!</v>
      </c>
      <c r="DN32" s="2" t="e">
        <f t="shared" si="27"/>
        <v>#DIV/0!</v>
      </c>
      <c r="DO32" s="2" t="e">
        <f t="shared" si="27"/>
        <v>#DIV/0!</v>
      </c>
      <c r="DP32" s="2" t="e">
        <f t="shared" si="27"/>
        <v>#DIV/0!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307</v>
      </c>
      <c r="AK33" s="42" t="s">
        <v>308</v>
      </c>
      <c r="AL33" s="162"/>
      <c r="AM33" s="11" t="s">
        <v>309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310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INT(第十四期!DV26)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311</v>
      </c>
      <c r="CC34" s="230" t="e">
        <f t="shared" si="29"/>
        <v>#DIV/0!</v>
      </c>
      <c r="CD34" s="230" t="e">
        <f t="shared" si="29"/>
        <v>#DIV/0!</v>
      </c>
      <c r="CE34" s="230" t="e">
        <f t="shared" si="29"/>
        <v>#DIV/0!</v>
      </c>
      <c r="CF34" s="230" t="e">
        <f t="shared" si="29"/>
        <v>#DIV/0!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165</v>
      </c>
      <c r="CS34" s="2" t="s">
        <v>230</v>
      </c>
      <c r="CT34" s="2" t="s">
        <v>231</v>
      </c>
      <c r="CU34" s="2" t="s">
        <v>232</v>
      </c>
      <c r="CV34" s="2" t="s">
        <v>233</v>
      </c>
      <c r="CY34" s="2" t="s">
        <v>312</v>
      </c>
      <c r="DF34" s="2" t="s">
        <v>312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INT(第十四期!DV27)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313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0</v>
      </c>
      <c r="CT35" s="2">
        <f>比赛参数!$D$28</f>
        <v>0</v>
      </c>
      <c r="CU35" s="2">
        <f>比赛参数!$D$28</f>
        <v>0</v>
      </c>
      <c r="CV35" s="2">
        <f>比赛参数!$D$28</f>
        <v>0</v>
      </c>
      <c r="CZ35" s="2" t="e">
        <f t="shared" ref="CZ35:DC38" si="32">CZ23/CZ17</f>
        <v>#DIV/0!</v>
      </c>
      <c r="DA35" s="2" t="e">
        <f t="shared" si="32"/>
        <v>#DIV/0!</v>
      </c>
      <c r="DB35" s="2" t="e">
        <f t="shared" si="32"/>
        <v>#DIV/0!</v>
      </c>
      <c r="DC35" s="2" t="e">
        <f t="shared" si="32"/>
        <v>#DIV/0!</v>
      </c>
      <c r="DD35" s="2" t="e">
        <f>SUMPRODUCT(CZ35:DC35,BS14:BV14)/SUM(BS14:BV14)</f>
        <v>#DIV/0!</v>
      </c>
      <c r="DG35" s="2" t="e">
        <f t="shared" ref="DG35:DJ38" si="33">DG23/DG17</f>
        <v>#DIV/0!</v>
      </c>
      <c r="DH35" s="2" t="e">
        <f t="shared" si="33"/>
        <v>#DIV/0!</v>
      </c>
      <c r="DI35" s="2" t="e">
        <f t="shared" si="33"/>
        <v>#DIV/0!</v>
      </c>
      <c r="DJ35" s="2" t="e">
        <f t="shared" si="33"/>
        <v>#DIV/0!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0</v>
      </c>
      <c r="AL36" s="42" t="s">
        <v>314</v>
      </c>
      <c r="AM36" s="65">
        <f>INT(第十四期!DV28)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0</v>
      </c>
      <c r="CT36" s="2">
        <f>比赛参数!$E$28</f>
        <v>0</v>
      </c>
      <c r="CU36" s="2">
        <f>比赛参数!$E$28</f>
        <v>0</v>
      </c>
      <c r="CV36" s="2">
        <f>比赛参数!$E$28</f>
        <v>0</v>
      </c>
      <c r="CZ36" s="2" t="e">
        <f t="shared" si="32"/>
        <v>#DIV/0!</v>
      </c>
      <c r="DA36" s="2" t="e">
        <f t="shared" si="32"/>
        <v>#DIV/0!</v>
      </c>
      <c r="DB36" s="2" t="e">
        <f t="shared" si="32"/>
        <v>#DIV/0!</v>
      </c>
      <c r="DC36" s="2" t="e">
        <f t="shared" si="32"/>
        <v>#DIV/0!</v>
      </c>
      <c r="DD36" s="2" t="e">
        <f>SUMPRODUCT(CZ36:DC36,BS15:BV15)/SUM(BS15:BV15)</f>
        <v>#DIV/0!</v>
      </c>
      <c r="DG36" s="2" t="e">
        <f t="shared" si="33"/>
        <v>#DIV/0!</v>
      </c>
      <c r="DH36" s="2" t="e">
        <f t="shared" si="33"/>
        <v>#DIV/0!</v>
      </c>
      <c r="DI36" s="2" t="e">
        <f t="shared" si="33"/>
        <v>#DIV/0!</v>
      </c>
      <c r="DJ36" s="2" t="e">
        <f t="shared" si="33"/>
        <v>#DIV/0!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0</v>
      </c>
      <c r="AL37" s="154">
        <f>SUM(AJ34:AJ37)</f>
        <v>0</v>
      </c>
      <c r="AM37" s="65">
        <f>INT(第十四期!DV29)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315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0</v>
      </c>
      <c r="CT37" s="2">
        <f>比赛参数!$F$28</f>
        <v>0</v>
      </c>
      <c r="CU37" s="2">
        <f>比赛参数!$F$28</f>
        <v>0</v>
      </c>
      <c r="CV37" s="2">
        <f>比赛参数!$F$28</f>
        <v>0</v>
      </c>
      <c r="CZ37" s="2" t="e">
        <f t="shared" si="32"/>
        <v>#DIV/0!</v>
      </c>
      <c r="DA37" s="2" t="e">
        <f t="shared" si="32"/>
        <v>#DIV/0!</v>
      </c>
      <c r="DB37" s="2" t="e">
        <f t="shared" si="32"/>
        <v>#DIV/0!</v>
      </c>
      <c r="DC37" s="2" t="e">
        <f t="shared" si="32"/>
        <v>#DIV/0!</v>
      </c>
      <c r="DD37" s="2" t="e">
        <f>SUMPRODUCT(CZ37:DC37,BS16:BV16)/SUM(BS16:BV16)</f>
        <v>#DIV/0!</v>
      </c>
      <c r="DG37" s="2" t="e">
        <f t="shared" si="33"/>
        <v>#DIV/0!</v>
      </c>
      <c r="DH37" s="2" t="e">
        <f t="shared" si="33"/>
        <v>#DIV/0!</v>
      </c>
      <c r="DI37" s="2" t="e">
        <f t="shared" si="33"/>
        <v>#DIV/0!</v>
      </c>
      <c r="DJ37" s="2" t="e">
        <f t="shared" si="33"/>
        <v>#DIV/0!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第十四期!DG56*第十四期!DG50+第十四期!DG64*第十四期!Y88</f>
        <v>0</v>
      </c>
      <c r="CD38" s="108">
        <f>第十四期!DH56*第十四期!DH50+第十四期!DH64*第十四期!Z88</f>
        <v>0</v>
      </c>
      <c r="CE38" s="108">
        <f>第十四期!DI56*第十四期!DI50+第十四期!DI64*第十四期!AA88</f>
        <v>0</v>
      </c>
      <c r="CF38" s="108">
        <f>第十四期!DJ56*第十四期!DJ50+第十四期!DJ64*第十四期!AB88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0</v>
      </c>
      <c r="CT38" s="2">
        <f>比赛参数!$G$28</f>
        <v>0</v>
      </c>
      <c r="CU38" s="2">
        <f>比赛参数!$G$28</f>
        <v>0</v>
      </c>
      <c r="CV38" s="2">
        <f>比赛参数!$G$28</f>
        <v>0</v>
      </c>
      <c r="CZ38" s="2" t="e">
        <f t="shared" si="32"/>
        <v>#DIV/0!</v>
      </c>
      <c r="DA38" s="2" t="e">
        <f t="shared" si="32"/>
        <v>#DIV/0!</v>
      </c>
      <c r="DB38" s="2" t="e">
        <f t="shared" si="32"/>
        <v>#DIV/0!</v>
      </c>
      <c r="DC38" s="2" t="e">
        <f t="shared" si="32"/>
        <v>#DIV/0!</v>
      </c>
      <c r="DD38" s="2" t="e">
        <f>SUMPRODUCT(CZ38:DC38,BS17:BV17)/SUM(BS17:BV17)</f>
        <v>#DIV/0!</v>
      </c>
      <c r="DG38" s="2" t="e">
        <f t="shared" si="33"/>
        <v>#DIV/0!</v>
      </c>
      <c r="DH38" s="2" t="e">
        <f t="shared" si="33"/>
        <v>#DIV/0!</v>
      </c>
      <c r="DI38" s="2" t="e">
        <f t="shared" si="33"/>
        <v>#DIV/0!</v>
      </c>
      <c r="DJ38" s="2" t="e">
        <f t="shared" si="33"/>
        <v>#DIV/0!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第十四期!DG57*第十四期!DG51+第十四期!DG65*第十四期!Y89</f>
        <v>0</v>
      </c>
      <c r="CD39" s="108">
        <f>第十四期!DH57*第十四期!DH51+第十四期!DH65*第十四期!Z89</f>
        <v>0</v>
      </c>
      <c r="CE39" s="108">
        <f>第十四期!DI57*第十四期!DI51+第十四期!DI65*第十四期!AA89</f>
        <v>0</v>
      </c>
      <c r="CF39" s="108">
        <f>第十四期!DJ57*第十四期!DJ51+第十四期!DJ65*第十四期!AB89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0</v>
      </c>
      <c r="AK40" s="166">
        <f>IF($AM$34=2,CK70+0.0001,比赛参数!E52)</f>
        <v>0</v>
      </c>
      <c r="AL40" s="166">
        <f>IF($AM$34=3,CL70+0.0001,比赛参数!F52)</f>
        <v>0</v>
      </c>
      <c r="AM40" s="166">
        <f>IF($AM$34=4,CM70+0.0001,比赛参数!G52)</f>
        <v>0</v>
      </c>
      <c r="AN40" s="166">
        <f>IF($AM$34=5,CN70+0.0001,比赛参数!H52)</f>
        <v>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第十四期!DG58*第十四期!DG52+第十四期!DG66*第十四期!Y90</f>
        <v>0</v>
      </c>
      <c r="CD40" s="108">
        <f>第十四期!DH58*第十四期!DH52+第十四期!DH66*第十四期!Z90</f>
        <v>0</v>
      </c>
      <c r="CE40" s="108">
        <f>第十四期!DI58*第十四期!DI52+第十四期!DI66*第十四期!AA90</f>
        <v>0</v>
      </c>
      <c r="CF40" s="108">
        <f>第十四期!DJ58*第十四期!DJ52+第十四期!DJ66*第十四期!AB90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316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148</v>
      </c>
    </row>
    <row r="41" ht="16.35" spans="3:115">
      <c r="C41" s="16" t="s">
        <v>160</v>
      </c>
      <c r="D41" s="17" t="s">
        <v>155</v>
      </c>
      <c r="E41" s="17" t="s">
        <v>317</v>
      </c>
      <c r="F41" s="17" t="s">
        <v>43</v>
      </c>
      <c r="G41" s="17" t="s">
        <v>309</v>
      </c>
      <c r="H41" s="20" t="s">
        <v>117</v>
      </c>
      <c r="I41" s="10"/>
      <c r="M41" s="30"/>
      <c r="N41" s="39" t="s">
        <v>160</v>
      </c>
      <c r="O41" s="39" t="s">
        <v>155</v>
      </c>
      <c r="P41" s="39" t="s">
        <v>317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0</v>
      </c>
      <c r="AK41" s="166">
        <f>IF($AM$35=2,CK71+0.0001,比赛参数!E53)</f>
        <v>0</v>
      </c>
      <c r="AL41" s="166">
        <f>IF($AM$35=3,CL71+0.0001,比赛参数!F53)</f>
        <v>0</v>
      </c>
      <c r="AM41" s="166">
        <f>IF($AM$35=4,CM71+0.0001,比赛参数!G53)</f>
        <v>0</v>
      </c>
      <c r="AN41" s="166">
        <f>IF($AM$35=5,CN71+0.0001,比赛参数!H53)</f>
        <v>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第十四期!DG59*第十四期!DG53+第十四期!DG67*第十四期!Y91</f>
        <v>0</v>
      </c>
      <c r="CD41" s="108">
        <f>第十四期!DH59*第十四期!DH53+第十四期!DH67*第十四期!Z91</f>
        <v>0</v>
      </c>
      <c r="CE41" s="108">
        <f>第十四期!DI59*第十四期!DI53+第十四期!DI67*第十四期!AA91</f>
        <v>0</v>
      </c>
      <c r="CF41" s="108">
        <f>第十四期!DJ59*第十四期!DJ53+第十四期!DJ67*第十四期!AB91</f>
        <v>0</v>
      </c>
      <c r="CG41" s="108" t="s">
        <v>318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0</v>
      </c>
      <c r="CT41" s="2">
        <f>比赛参数!E13</f>
        <v>0</v>
      </c>
      <c r="CU41" s="2">
        <f>比赛参数!F13</f>
        <v>0</v>
      </c>
      <c r="CV41" s="2">
        <f>比赛参数!G13</f>
        <v>0</v>
      </c>
      <c r="DG41" s="2" t="e">
        <f t="shared" ref="DG41:DJ44" si="35">DG17/CS23</f>
        <v>#DIV/0!</v>
      </c>
      <c r="DH41" s="2" t="e">
        <f t="shared" si="35"/>
        <v>#DIV/0!</v>
      </c>
      <c r="DI41" s="2" t="e">
        <f t="shared" si="35"/>
        <v>#DIV/0!</v>
      </c>
      <c r="DJ41" s="2" t="e">
        <f t="shared" si="35"/>
        <v>#DIV/0!</v>
      </c>
      <c r="DK41" s="2" t="e">
        <f>SUMPRODUCT(DG41:DJ41,BS14:BV14)/SUM(BS14:BV14)</f>
        <v>#DIV/0!</v>
      </c>
    </row>
    <row r="42" ht="15.6" spans="2:115">
      <c r="B42" s="7"/>
      <c r="C42" s="18" t="s">
        <v>81</v>
      </c>
      <c r="D42" s="9"/>
      <c r="E42" s="9"/>
      <c r="F42" s="14"/>
      <c r="G42" s="9"/>
      <c r="H42" s="9"/>
      <c r="I42" s="10"/>
      <c r="M42" s="30"/>
      <c r="N42" s="39" t="s">
        <v>293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0</v>
      </c>
      <c r="AK42" s="166">
        <f>IF($AM$36=2,CK72+0.0001,比赛参数!E54)</f>
        <v>0</v>
      </c>
      <c r="AL42" s="166">
        <f>IF($AM$36=3,CL72+0.0001,比赛参数!F54)</f>
        <v>0</v>
      </c>
      <c r="AM42" s="166">
        <f>IF($AM$36=4,CM72+0.0001,比赛参数!G54)</f>
        <v>0</v>
      </c>
      <c r="AN42" s="166">
        <f>IF($AM$36=5,CN72+0.0001,比赛参数!H54)</f>
        <v>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314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0</v>
      </c>
      <c r="CT42" s="2">
        <f>比赛参数!I13</f>
        <v>0</v>
      </c>
      <c r="CU42" s="2">
        <f>比赛参数!J13</f>
        <v>0</v>
      </c>
      <c r="CV42" s="2">
        <f>比赛参数!K13</f>
        <v>0</v>
      </c>
      <c r="DG42" s="2" t="e">
        <f t="shared" si="35"/>
        <v>#DIV/0!</v>
      </c>
      <c r="DH42" s="2" t="e">
        <f t="shared" si="35"/>
        <v>#DIV/0!</v>
      </c>
      <c r="DI42" s="2" t="e">
        <f t="shared" si="35"/>
        <v>#DIV/0!</v>
      </c>
      <c r="DJ42" s="2" t="e">
        <f t="shared" si="35"/>
        <v>#DIV/0!</v>
      </c>
      <c r="DK42" s="2" t="e">
        <f>SUMPRODUCT(DG42:DJ42,BS15:BV15)/SUM(BS15:BV15)</f>
        <v>#DIV/0!</v>
      </c>
    </row>
    <row r="43" ht="16.35" spans="2:115">
      <c r="B43" s="7"/>
      <c r="C43" s="18" t="s">
        <v>82</v>
      </c>
      <c r="D43" s="9"/>
      <c r="E43" s="9"/>
      <c r="F43" s="14"/>
      <c r="G43" s="9"/>
      <c r="H43" s="9"/>
      <c r="I43" s="10"/>
      <c r="M43" s="30"/>
      <c r="N43" s="39" t="s">
        <v>294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0</v>
      </c>
      <c r="AK43" s="166">
        <f>IF($AM$37=2,CK73+0.0001,比赛参数!E55)</f>
        <v>0</v>
      </c>
      <c r="AL43" s="166">
        <f>IF($AM$37=3,CL73+0.0001,比赛参数!F55)</f>
        <v>0</v>
      </c>
      <c r="AM43" s="166">
        <f>IF($AM$37=4,CM73+0.0001,比赛参数!G55)</f>
        <v>0</v>
      </c>
      <c r="AN43" s="166">
        <f>IF($AM$37=5,CN73+0.0001,比赛参数!H55)</f>
        <v>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0</v>
      </c>
      <c r="CT43" s="2">
        <f>比赛参数!E14</f>
        <v>0</v>
      </c>
      <c r="CU43" s="2">
        <f>比赛参数!F14</f>
        <v>0</v>
      </c>
      <c r="CV43" s="2">
        <f>比赛参数!G14</f>
        <v>0</v>
      </c>
      <c r="DG43" s="2" t="e">
        <f t="shared" si="35"/>
        <v>#DIV/0!</v>
      </c>
      <c r="DH43" s="2" t="e">
        <f t="shared" si="35"/>
        <v>#DIV/0!</v>
      </c>
      <c r="DI43" s="2" t="e">
        <f t="shared" si="35"/>
        <v>#DIV/0!</v>
      </c>
      <c r="DJ43" s="2" t="e">
        <f t="shared" si="35"/>
        <v>#DIV/0!</v>
      </c>
      <c r="DK43" s="2" t="e">
        <f>SUMPRODUCT(DG43:DJ43,BS16:BV16)/SUM(BS16:BV16)</f>
        <v>#DIV/0!</v>
      </c>
    </row>
    <row r="44" ht="16.35" spans="2:115">
      <c r="B44" s="7"/>
      <c r="C44" s="18" t="s">
        <v>83</v>
      </c>
      <c r="D44" s="9"/>
      <c r="E44" s="9"/>
      <c r="F44" s="9"/>
      <c r="G44" s="9"/>
      <c r="H44" s="9"/>
      <c r="I44" s="10"/>
      <c r="M44" s="30"/>
      <c r="N44" s="39" t="s">
        <v>295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0</v>
      </c>
      <c r="CT44" s="2">
        <f>比赛参数!I14</f>
        <v>0</v>
      </c>
      <c r="CU44" s="2">
        <f>比赛参数!J14</f>
        <v>0</v>
      </c>
      <c r="CV44" s="2">
        <f>比赛参数!K14</f>
        <v>0</v>
      </c>
      <c r="DG44" s="2" t="e">
        <f t="shared" si="35"/>
        <v>#DIV/0!</v>
      </c>
      <c r="DH44" s="2" t="e">
        <f t="shared" si="35"/>
        <v>#DIV/0!</v>
      </c>
      <c r="DI44" s="2" t="e">
        <f t="shared" si="35"/>
        <v>#DIV/0!</v>
      </c>
      <c r="DJ44" s="2" t="e">
        <f t="shared" si="35"/>
        <v>#DIV/0!</v>
      </c>
      <c r="DK44" s="2" t="e">
        <f>SUMPRODUCT(DG44:DJ44,BS17:BV17)/SUM(BS17:BV17)</f>
        <v>#DIV/0!</v>
      </c>
    </row>
    <row r="45" ht="16.35" spans="2:60">
      <c r="B45" s="7"/>
      <c r="C45" s="18" t="s">
        <v>84</v>
      </c>
      <c r="D45" s="9"/>
      <c r="E45" s="9"/>
      <c r="F45" s="9"/>
      <c r="G45" s="9"/>
      <c r="H45" s="9"/>
      <c r="I45" s="10"/>
      <c r="M45" s="30"/>
      <c r="N45" s="39" t="s">
        <v>296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319</v>
      </c>
      <c r="S47" s="60">
        <f>比赛参数!D4</f>
        <v>0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320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321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291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322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266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323</v>
      </c>
      <c r="CQ49" s="65" t="s">
        <v>230</v>
      </c>
      <c r="CR49" s="65" t="s">
        <v>231</v>
      </c>
      <c r="CS49" s="65" t="s">
        <v>232</v>
      </c>
      <c r="CT49" s="65" t="s">
        <v>233</v>
      </c>
      <c r="CU49" s="65" t="s">
        <v>234</v>
      </c>
      <c r="CW49" s="63" t="s">
        <v>235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324</v>
      </c>
      <c r="DF49" s="245" t="s">
        <v>325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326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第十四期!Y9*第十四期!CQ62*比赛参数!D65</f>
        <v>0</v>
      </c>
      <c r="CR50" s="65">
        <f>第十四期!Z9*第十四期!CR62*比赛参数!E65</f>
        <v>0</v>
      </c>
      <c r="CS50" s="65">
        <f>第十四期!AA9*第十四期!CS62*比赛参数!F65</f>
        <v>0</v>
      </c>
      <c r="CT50" s="65">
        <f>第十四期!AB9*第十四期!CT62*比赛参数!G65</f>
        <v>0</v>
      </c>
      <c r="CU50" s="65">
        <f>IF(第十四期!AC9&gt;0,SUM(CQ50:CT50)/第十四期!AC9,0)</f>
        <v>0</v>
      </c>
      <c r="CW50" s="11" t="s">
        <v>38</v>
      </c>
      <c r="CX50" s="242">
        <f>IF(第十四期!$CU$50*第十四期!CQ93&gt;0,第十四期!$CU$50+第十四期!CQ68+第十四期!CQ93+第十四期!CQ74,0)</f>
        <v>0</v>
      </c>
      <c r="CY50" s="242">
        <f>IF(第十四期!$CU$50*第十四期!CR93&gt;0,第十四期!$CU$50+第十四期!CR68+第十四期!CR93+第十四期!CR74,0)</f>
        <v>0</v>
      </c>
      <c r="CZ50" s="242">
        <f>IF(第十四期!$CU$50*第十四期!CS93&gt;0,第十四期!$CU$50+第十四期!CS68+第十四期!CS93+第十四期!CS74,0)</f>
        <v>0</v>
      </c>
      <c r="DA50" s="242">
        <f>IF(第十四期!$CU$50*第十四期!CT93&gt;0,第十四期!$CU$50+第十四期!CT68+第十四期!CT93+第十四期!CT74,0)</f>
        <v>0</v>
      </c>
      <c r="DB50" s="242">
        <f>AVERAGE(CX50:DA50)</f>
        <v>0</v>
      </c>
      <c r="DF50" s="65" t="s">
        <v>55</v>
      </c>
      <c r="DG50" s="245">
        <f>IF(第十四期!Y88&gt;0,1,0)</f>
        <v>0</v>
      </c>
      <c r="DH50" s="245">
        <f>IF(第十四期!Z88&gt;0,1,0)</f>
        <v>0</v>
      </c>
      <c r="DI50" s="245">
        <f>IF(第十四期!AA88&gt;0,1,0)</f>
        <v>0</v>
      </c>
      <c r="DJ50" s="245">
        <f>IF(第十四期!AB88&gt;0,1,0)</f>
        <v>0</v>
      </c>
      <c r="DL50" s="245" t="s">
        <v>21</v>
      </c>
      <c r="DM50" s="248">
        <f>IF(第十四期!Y9+第十四期!Z9&gt;0,1,0)</f>
        <v>0</v>
      </c>
      <c r="DN50" s="248">
        <f>IF(第十四期!AA9+第十四期!AB9&gt;0,1,0)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第十四期!Y10*第十四期!CQ63*比赛参数!D65</f>
        <v>0</v>
      </c>
      <c r="CR51" s="65">
        <f>第十四期!Z10*第十四期!CR63*比赛参数!E65</f>
        <v>0</v>
      </c>
      <c r="CS51" s="65">
        <f>第十四期!AA10*第十四期!CS63*比赛参数!F65</f>
        <v>0</v>
      </c>
      <c r="CT51" s="65">
        <f>第十四期!AB10*第十四期!CT63*比赛参数!G65</f>
        <v>0</v>
      </c>
      <c r="CU51" s="65">
        <f>IF(第十四期!AC10&gt;0,SUM(CQ51:CT51)/第十四期!AC10,0)</f>
        <v>0</v>
      </c>
      <c r="CW51" s="11" t="s">
        <v>39</v>
      </c>
      <c r="CX51" s="242">
        <f>IF(第十四期!$CU$51*第十四期!CQ94&gt;0,第十四期!$CU$51+第十四期!CQ69+第十四期!CQ94+第十四期!CQ75,0)</f>
        <v>0</v>
      </c>
      <c r="CY51" s="242">
        <f>IF(第十四期!$CU$51*第十四期!CR94&gt;0,第十四期!$CU$51+第十四期!CR69+第十四期!CR94+第十四期!CR75,0)</f>
        <v>0</v>
      </c>
      <c r="CZ51" s="242">
        <f>IF(第十四期!$CU$51*第十四期!CS94&gt;0,第十四期!$CU$51+第十四期!CS69+第十四期!CS94+第十四期!CS75,0)</f>
        <v>0</v>
      </c>
      <c r="DA51" s="242">
        <f>IF(第十四期!$CU$51*第十四期!CT94&gt;0,第十四期!$CU$51+第十四期!CT69+第十四期!CT94+第十四期!CT75,0)</f>
        <v>0</v>
      </c>
      <c r="DB51" s="242">
        <f>AVERAGE(CX51:DA51)</f>
        <v>0</v>
      </c>
      <c r="DF51" s="65" t="s">
        <v>56</v>
      </c>
      <c r="DG51" s="245">
        <f>IF(第十四期!Y89&gt;0,1,0)</f>
        <v>0</v>
      </c>
      <c r="DH51" s="245">
        <f>IF(第十四期!Z89&gt;0,1,0)</f>
        <v>0</v>
      </c>
      <c r="DI51" s="245">
        <f>IF(第十四期!AA89&gt;0,1,0)</f>
        <v>0</v>
      </c>
      <c r="DJ51" s="245">
        <f>IF(第十四期!AB89&gt;0,1,0)</f>
        <v>0</v>
      </c>
      <c r="DL51" s="245" t="s">
        <v>22</v>
      </c>
      <c r="DM51" s="248">
        <f>IF(第十四期!Y10+第十四期!Z10&gt;0,1,0)</f>
        <v>0</v>
      </c>
      <c r="DN51" s="248">
        <f>IF(第十四期!AA10+第十四期!AB10&gt;0,1,0)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314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314</v>
      </c>
      <c r="CO52" s="219"/>
      <c r="CP52" s="65" t="s">
        <v>40</v>
      </c>
      <c r="CQ52" s="65">
        <f>第十四期!Y11*第十四期!CQ64*比赛参数!D65</f>
        <v>0</v>
      </c>
      <c r="CR52" s="65">
        <f>第十四期!Z11*第十四期!CR64*比赛参数!E65</f>
        <v>0</v>
      </c>
      <c r="CS52" s="65">
        <f>第十四期!AA11*第十四期!CS64*比赛参数!F65</f>
        <v>0</v>
      </c>
      <c r="CT52" s="65">
        <f>第十四期!AB11*第十四期!CT64*比赛参数!G65</f>
        <v>0</v>
      </c>
      <c r="CU52" s="65">
        <f>IF(第十四期!AC11&gt;0,SUM(CQ52:CT52)/第十四期!AC11,0)</f>
        <v>0</v>
      </c>
      <c r="CW52" s="11" t="s">
        <v>40</v>
      </c>
      <c r="CX52" s="242">
        <f>IF(第十四期!$CU$52*第十四期!CQ95&gt;0,第十四期!$CU$52+第十四期!CQ70+第十四期!CQ95+第十四期!CQ76,0)</f>
        <v>0</v>
      </c>
      <c r="CY52" s="242">
        <f>IF(第十四期!$CU$52*第十四期!CR95&gt;0,第十四期!$CU$52+第十四期!CR70+第十四期!CR95+第十四期!CR76,0)</f>
        <v>0</v>
      </c>
      <c r="CZ52" s="242">
        <f>IF(第十四期!$CU$52*第十四期!CS95&gt;0,第十四期!$CU$52+第十四期!CS70+第十四期!CS95+第十四期!CS76,0)</f>
        <v>0</v>
      </c>
      <c r="DA52" s="242">
        <f>IF(第十四期!$CU$52*第十四期!CT95&gt;0,第十四期!$CU$52+第十四期!CT70+第十四期!CT95+第十四期!CT76,0)</f>
        <v>0</v>
      </c>
      <c r="DB52" s="242">
        <f>AVERAGE(CX52:DA52)</f>
        <v>0</v>
      </c>
      <c r="DF52" s="65" t="s">
        <v>57</v>
      </c>
      <c r="DG52" s="245">
        <f>IF(第十四期!Y90&gt;0,1,0)</f>
        <v>0</v>
      </c>
      <c r="DH52" s="245">
        <f>IF(第十四期!Z90&gt;0,1,0)</f>
        <v>0</v>
      </c>
      <c r="DI52" s="245">
        <f>IF(第十四期!AA90&gt;0,1,0)</f>
        <v>0</v>
      </c>
      <c r="DJ52" s="245">
        <f>IF(第十四期!AB90&gt;0,1,0)</f>
        <v>0</v>
      </c>
      <c r="DL52" s="245" t="s">
        <v>23</v>
      </c>
      <c r="DM52" s="248">
        <f>IF(第十四期!Y11+第十四期!Z11&gt;0,1,0)</f>
        <v>0</v>
      </c>
      <c r="DN52" s="248">
        <f>IF(第十四期!AA11+第十四期!AB11&gt;0,1,0)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第十四期!Y12*第十四期!CQ65*比赛参数!D65</f>
        <v>0</v>
      </c>
      <c r="CR53" s="65">
        <f>第十四期!Z12*第十四期!CR65*比赛参数!E65</f>
        <v>0</v>
      </c>
      <c r="CS53" s="65">
        <f>第十四期!AA12*第十四期!CS65*比赛参数!F65</f>
        <v>0</v>
      </c>
      <c r="CT53" s="65">
        <f>第十四期!AB12*第十四期!CT65*比赛参数!G65</f>
        <v>0</v>
      </c>
      <c r="CU53" s="65">
        <f>IF(第十四期!AC12&gt;0,SUM(CQ53:CT53)/第十四期!AC12,0)</f>
        <v>0</v>
      </c>
      <c r="CW53" s="11" t="s">
        <v>41</v>
      </c>
      <c r="CX53" s="242">
        <f>IF(第十四期!$CU$53*第十四期!CQ96&gt;0,第十四期!$CU$53+第十四期!CQ71+第十四期!CQ96+第十四期!CQ77,0)</f>
        <v>0</v>
      </c>
      <c r="CY53" s="242">
        <f>IF(第十四期!$CU$53*第十四期!CR96&gt;0,第十四期!$CU$53+第十四期!CR71+第十四期!CR96+第十四期!CR77,0)</f>
        <v>0</v>
      </c>
      <c r="CZ53" s="242">
        <f>IF(第十四期!$CU$53*第十四期!CS96&gt;0,第十四期!$CU$53+第十四期!CS71+第十四期!CS96+第十四期!CS77,0)</f>
        <v>0</v>
      </c>
      <c r="DA53" s="242">
        <f>IF(第十四期!$CU$53*第十四期!CT96&gt;0,第十四期!$CU$53+第十四期!CT71+第十四期!CT96+第十四期!CT77,0)</f>
        <v>0</v>
      </c>
      <c r="DB53" s="242">
        <f>AVERAGE(CX53:DA53)</f>
        <v>0</v>
      </c>
      <c r="DF53" s="65" t="s">
        <v>58</v>
      </c>
      <c r="DG53" s="245">
        <f>IF(第十四期!Y91&gt;0,1,0)</f>
        <v>0</v>
      </c>
      <c r="DH53" s="245">
        <f>IF(第十四期!Z91&gt;0,1,0)</f>
        <v>0</v>
      </c>
      <c r="DI53" s="245">
        <f>IF(第十四期!AA91&gt;0,1,0)</f>
        <v>0</v>
      </c>
      <c r="DJ53" s="245">
        <f>IF(第十四期!AB91&gt;0,1,0)</f>
        <v>0</v>
      </c>
      <c r="DL53" s="245" t="s">
        <v>24</v>
      </c>
      <c r="DM53" s="248">
        <f>IF(第十四期!Y12+第十四期!Z12&gt;0,1,0)</f>
        <v>0</v>
      </c>
      <c r="DN53" s="248">
        <f>IF(第十四期!AA12+第十四期!AB12&gt;0,1,0)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 t="e">
        <f>SUM(AS33:AS52)/比赛参数!$G$4</f>
        <v>#DIV/0!</v>
      </c>
      <c r="AT54" s="114" t="e">
        <f>SUM(AT33:AT52)/比赛参数!$G$4</f>
        <v>#DIV/0!</v>
      </c>
      <c r="AU54" s="114" t="e">
        <f>SUM(AU33:AU52)/比赛参数!$G$4</f>
        <v>#DIV/0!</v>
      </c>
      <c r="AV54" s="114" t="e">
        <f>SUM(AV33:AV52)/比赛参数!$G$4</f>
        <v>#DIV/0!</v>
      </c>
      <c r="AW54" s="114" t="e">
        <f>SUM(AW33:AW52)/比赛参数!$G$4</f>
        <v>#DIV/0!</v>
      </c>
      <c r="AX54" s="114" t="e">
        <f>SUM(AX33:AX52)/比赛参数!$G$4</f>
        <v>#DIV/0!</v>
      </c>
      <c r="AY54" s="114" t="e">
        <f>SUM(AY33:AY52)/比赛参数!$G$4</f>
        <v>#DIV/0!</v>
      </c>
      <c r="AZ54" s="114" t="e">
        <f>SUM(AZ33:AZ52)/比赛参数!$G$4</f>
        <v>#DIV/0!</v>
      </c>
      <c r="BA54" s="114" t="e">
        <f>SUM(BA33:BA52)/比赛参数!$G$4</f>
        <v>#DIV/0!</v>
      </c>
      <c r="BB54" s="114" t="e">
        <f>SUM(BB33:BB52)/比赛参数!$G$4</f>
        <v>#DIV/0!</v>
      </c>
      <c r="BC54" s="114" t="e">
        <f>SUM(BC33:BC52)/比赛参数!$G$4</f>
        <v>#DIV/0!</v>
      </c>
      <c r="BD54" s="114" t="e">
        <f>SUM(BD33:BD52)/比赛参数!$G$4</f>
        <v>#DIV/0!</v>
      </c>
      <c r="BE54" s="114" t="e">
        <f>SUM(BE33:BE52)/比赛参数!$G$4</f>
        <v>#DIV/0!</v>
      </c>
      <c r="BF54" s="114" t="e">
        <f>SUM(BF33:BF52)/比赛参数!$G$4</f>
        <v>#DIV/0!</v>
      </c>
      <c r="BG54" s="114" t="e">
        <f>SUM(BG33:BG52)/比赛参数!$G$4</f>
        <v>#DIV/0!</v>
      </c>
      <c r="BH54" s="114" t="e">
        <f>SUM(BH33:BH52)/比赛参数!$G$4</f>
        <v>#DIV/0!</v>
      </c>
      <c r="BR54" s="91"/>
      <c r="BS54" s="208" t="s">
        <v>327</v>
      </c>
      <c r="BT54" s="208" t="s">
        <v>328</v>
      </c>
      <c r="BU54" s="208" t="s">
        <v>181</v>
      </c>
      <c r="BV54" s="208" t="s">
        <v>329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270</v>
      </c>
      <c r="BS55" s="130"/>
      <c r="BT55" s="130"/>
      <c r="BU55" s="130"/>
      <c r="BV55" s="130">
        <f>第十四期!K11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330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272</v>
      </c>
      <c r="CQ55" s="65" t="s">
        <v>230</v>
      </c>
      <c r="CR55" s="65" t="s">
        <v>231</v>
      </c>
      <c r="CS55" s="65" t="s">
        <v>232</v>
      </c>
      <c r="CT55" s="65" t="s">
        <v>233</v>
      </c>
      <c r="CU55" s="48"/>
      <c r="CW55" s="63" t="s">
        <v>176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324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331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332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291</v>
      </c>
      <c r="BR56" s="209" t="s">
        <v>214</v>
      </c>
      <c r="BS56" s="130">
        <f>第十四期!AH14</f>
        <v>0</v>
      </c>
      <c r="BT56" s="130"/>
      <c r="BU56" s="130"/>
      <c r="BV56" s="130">
        <f>BV55+BS56</f>
        <v>0</v>
      </c>
      <c r="BW56" s="126"/>
      <c r="CB56" s="196" t="s">
        <v>155</v>
      </c>
      <c r="CC56" s="108">
        <f>第十四期!DU26</f>
        <v>0</v>
      </c>
      <c r="CD56" s="108">
        <f>第十四期!DU27</f>
        <v>0</v>
      </c>
      <c r="CE56" s="108">
        <f>第十四期!DU28</f>
        <v>0</v>
      </c>
      <c r="CF56" s="108">
        <f>第十四期!DU29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0</v>
      </c>
      <c r="CR56" s="65">
        <f>比赛参数!$D$26</f>
        <v>0</v>
      </c>
      <c r="CS56" s="65">
        <f>比赛参数!$D$26</f>
        <v>0</v>
      </c>
      <c r="CT56" s="65">
        <f>比赛参数!$D$26</f>
        <v>0</v>
      </c>
      <c r="CU56" s="48"/>
      <c r="CW56" s="11" t="s">
        <v>38</v>
      </c>
      <c r="CX56" s="242">
        <f>第十四期!BS7-第十四期!CX50</f>
        <v>0</v>
      </c>
      <c r="CY56" s="242">
        <f>第十四期!BT7-第十四期!CY50</f>
        <v>0</v>
      </c>
      <c r="CZ56" s="242">
        <f>第十四期!BU7-第十四期!CZ50</f>
        <v>0</v>
      </c>
      <c r="DA56" s="242">
        <f>第十四期!BV7-第十四期!DA50</f>
        <v>0</v>
      </c>
      <c r="DB56" s="242">
        <f>AVERAGE(CX56:DA56)</f>
        <v>0</v>
      </c>
      <c r="DF56" s="247" t="s">
        <v>55</v>
      </c>
      <c r="DG56" s="247">
        <f>比赛参数!D9</f>
        <v>0</v>
      </c>
      <c r="DH56" s="247">
        <f>比赛参数!H9</f>
        <v>0</v>
      </c>
      <c r="DI56" s="247">
        <f>比赛参数!D10</f>
        <v>0</v>
      </c>
      <c r="DJ56" s="247">
        <f>比赛参数!H10</f>
        <v>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第十四期!DX6</f>
        <v>0</v>
      </c>
      <c r="Z57" s="127">
        <f>第十四期!DX10</f>
        <v>0</v>
      </c>
      <c r="AA57" s="127">
        <f>第十四期!DX14</f>
        <v>0</v>
      </c>
      <c r="AB57" s="127">
        <f>第十四期!DX18</f>
        <v>0</v>
      </c>
      <c r="AC57" s="128"/>
      <c r="AE57" s="64" t="s">
        <v>55</v>
      </c>
      <c r="AF57" s="127">
        <f>第十四期!DW6</f>
        <v>0</v>
      </c>
      <c r="AG57" s="127">
        <f>第十四期!DW10</f>
        <v>0</v>
      </c>
      <c r="AH57" s="127">
        <f>第十四期!DW14</f>
        <v>0</v>
      </c>
      <c r="AI57" s="127">
        <f>第十四期!DW18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301</v>
      </c>
      <c r="BS57" s="130">
        <f>第十四期!AH15</f>
        <v>0</v>
      </c>
      <c r="BT57" s="130"/>
      <c r="BU57" s="130"/>
      <c r="BV57" s="130">
        <f>BV56+BS57</f>
        <v>0</v>
      </c>
      <c r="BW57" s="126"/>
      <c r="CB57" s="196" t="s">
        <v>333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0</v>
      </c>
      <c r="CR57" s="65">
        <f>比赛参数!$E$26</f>
        <v>0</v>
      </c>
      <c r="CS57" s="65">
        <f>比赛参数!$E$26</f>
        <v>0</v>
      </c>
      <c r="CT57" s="65">
        <f>比赛参数!$E$26</f>
        <v>0</v>
      </c>
      <c r="CU57" s="48"/>
      <c r="CW57" s="11" t="s">
        <v>39</v>
      </c>
      <c r="CX57" s="242">
        <f>第十四期!BS8-第十四期!CX51</f>
        <v>0</v>
      </c>
      <c r="CY57" s="242">
        <f>第十四期!BT8-第十四期!CY51</f>
        <v>0</v>
      </c>
      <c r="CZ57" s="242">
        <f>第十四期!BU8-第十四期!CZ51</f>
        <v>0</v>
      </c>
      <c r="DA57" s="242">
        <f>第十四期!BV8-第十四期!DA51</f>
        <v>0</v>
      </c>
      <c r="DB57" s="242">
        <f>AVERAGE(CX57:DA57)</f>
        <v>0</v>
      </c>
      <c r="DF57" s="247" t="s">
        <v>56</v>
      </c>
      <c r="DG57" s="247">
        <f>比赛参数!E9</f>
        <v>0</v>
      </c>
      <c r="DH57" s="247">
        <f>比赛参数!I9</f>
        <v>0</v>
      </c>
      <c r="DI57" s="247">
        <f>比赛参数!E10</f>
        <v>0</v>
      </c>
      <c r="DJ57" s="247">
        <f>比赛参数!I10</f>
        <v>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第十四期!DX7</f>
        <v>0</v>
      </c>
      <c r="Z58" s="127">
        <f>第十四期!DX11</f>
        <v>0</v>
      </c>
      <c r="AA58" s="127">
        <f>第十四期!DX15</f>
        <v>0</v>
      </c>
      <c r="AB58" s="127">
        <f>第十四期!DX19</f>
        <v>0</v>
      </c>
      <c r="AC58" s="128"/>
      <c r="AE58" s="11" t="s">
        <v>56</v>
      </c>
      <c r="AF58" s="127">
        <f>第十四期!DW7</f>
        <v>0</v>
      </c>
      <c r="AG58" s="127">
        <f>第十四期!DW11</f>
        <v>0</v>
      </c>
      <c r="AH58" s="127">
        <f>第十四期!DW15</f>
        <v>0</v>
      </c>
      <c r="AI58" s="127">
        <f>第十四期!DW19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334</v>
      </c>
      <c r="BS58" s="130">
        <f>第十四期!H5+第十四期!H4*比赛参数!F71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335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314</v>
      </c>
      <c r="CO58" s="219"/>
      <c r="CP58" s="65" t="s">
        <v>40</v>
      </c>
      <c r="CQ58" s="65">
        <f>比赛参数!$F$26</f>
        <v>0</v>
      </c>
      <c r="CR58" s="65">
        <f>比赛参数!$F$26</f>
        <v>0</v>
      </c>
      <c r="CS58" s="65">
        <f>比赛参数!$F$26</f>
        <v>0</v>
      </c>
      <c r="CT58" s="65">
        <f>比赛参数!$F$26</f>
        <v>0</v>
      </c>
      <c r="CU58" s="48"/>
      <c r="CW58" s="11" t="s">
        <v>40</v>
      </c>
      <c r="CX58" s="242">
        <f>第十四期!BS9-第十四期!CX52</f>
        <v>0</v>
      </c>
      <c r="CY58" s="242">
        <f>第十四期!BT9-第十四期!CY52</f>
        <v>0</v>
      </c>
      <c r="CZ58" s="242">
        <f>第十四期!BU9-第十四期!CZ52</f>
        <v>0</v>
      </c>
      <c r="DA58" s="242">
        <f>第十四期!BV9-第十四期!DA52</f>
        <v>0</v>
      </c>
      <c r="DB58" s="242">
        <f>AVERAGE(CX58:DA58)</f>
        <v>0</v>
      </c>
      <c r="DF58" s="247" t="s">
        <v>57</v>
      </c>
      <c r="DG58" s="247">
        <f>比赛参数!F9</f>
        <v>0</v>
      </c>
      <c r="DH58" s="247">
        <f>比赛参数!J9</f>
        <v>0</v>
      </c>
      <c r="DI58" s="247">
        <f>比赛参数!F10</f>
        <v>0</v>
      </c>
      <c r="DJ58" s="247">
        <f>比赛参数!J10</f>
        <v>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第十四期!DX8</f>
        <v>0</v>
      </c>
      <c r="Z59" s="127">
        <f>第十四期!DX12</f>
        <v>0</v>
      </c>
      <c r="AA59" s="127">
        <f>第十四期!DX16</f>
        <v>0</v>
      </c>
      <c r="AB59" s="127">
        <f>第十四期!DX20</f>
        <v>0</v>
      </c>
      <c r="AC59" s="129"/>
      <c r="AE59" s="11" t="s">
        <v>57</v>
      </c>
      <c r="AF59" s="127">
        <f>第十四期!DW8</f>
        <v>0</v>
      </c>
      <c r="AG59" s="127">
        <f>第十四期!DW12</f>
        <v>0</v>
      </c>
      <c r="AH59" s="127">
        <f>第十四期!DW16</f>
        <v>0</v>
      </c>
      <c r="AI59" s="127">
        <f>第十四期!DW20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336</v>
      </c>
      <c r="BS59" s="130">
        <f>第十四期!K14*比赛参数!D71/4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337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0</v>
      </c>
      <c r="CR59" s="65">
        <f>比赛参数!$G$26</f>
        <v>0</v>
      </c>
      <c r="CS59" s="65">
        <f>比赛参数!$G$26</f>
        <v>0</v>
      </c>
      <c r="CT59" s="65">
        <f>比赛参数!$G$26</f>
        <v>0</v>
      </c>
      <c r="CU59" s="48"/>
      <c r="CW59" s="11" t="s">
        <v>41</v>
      </c>
      <c r="CX59" s="242">
        <f>第十四期!BS10-第十四期!CX53</f>
        <v>0</v>
      </c>
      <c r="CY59" s="242">
        <f>第十四期!BT10-第十四期!CY53</f>
        <v>0</v>
      </c>
      <c r="CZ59" s="242">
        <f>第十四期!BU10-第十四期!CZ53</f>
        <v>0</v>
      </c>
      <c r="DA59" s="242">
        <f>第十四期!BV10-第十四期!DA53</f>
        <v>0</v>
      </c>
      <c r="DB59" s="242">
        <f>AVERAGE(CX59:DA59)</f>
        <v>0</v>
      </c>
      <c r="DF59" s="247" t="s">
        <v>58</v>
      </c>
      <c r="DG59" s="247">
        <f>比赛参数!G9</f>
        <v>0</v>
      </c>
      <c r="DH59" s="247">
        <f>比赛参数!K9</f>
        <v>0</v>
      </c>
      <c r="DI59" s="247">
        <f>比赛参数!G10</f>
        <v>0</v>
      </c>
      <c r="DJ59" s="247">
        <f>比赛参数!K10</f>
        <v>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第十四期!DX9</f>
        <v>0</v>
      </c>
      <c r="Z60" s="127">
        <f>第十四期!DX13</f>
        <v>0</v>
      </c>
      <c r="AA60" s="127">
        <f>第十四期!DX17</f>
        <v>0</v>
      </c>
      <c r="AB60" s="127">
        <f>第十四期!DX21</f>
        <v>0</v>
      </c>
      <c r="AC60" s="108" t="s">
        <v>314</v>
      </c>
      <c r="AE60" s="11" t="s">
        <v>58</v>
      </c>
      <c r="AF60" s="127">
        <f>第十四期!DW9</f>
        <v>0</v>
      </c>
      <c r="AG60" s="127">
        <f>第十四期!DW13</f>
        <v>0</v>
      </c>
      <c r="AH60" s="127">
        <f>第十四期!DW17</f>
        <v>0</v>
      </c>
      <c r="AI60" s="127">
        <f>第十四期!DW21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338</v>
      </c>
      <c r="BS60" s="130">
        <f>第十四期!Y18*比赛参数!D58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339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314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340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341</v>
      </c>
      <c r="BS61" s="130">
        <f>第十四期!AA18*比赛参数!D62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302</v>
      </c>
      <c r="CQ61" s="65" t="s">
        <v>230</v>
      </c>
      <c r="CR61" s="65" t="s">
        <v>231</v>
      </c>
      <c r="CS61" s="65" t="s">
        <v>232</v>
      </c>
      <c r="CT61" s="65" t="s">
        <v>233</v>
      </c>
      <c r="CU61" s="48"/>
      <c r="CW61" s="63" t="s">
        <v>303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324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342</v>
      </c>
      <c r="BS62" s="130">
        <f>((第十四期!K8-第十四期!AA18)*比赛参数!D65+第十四期!Y18*比赛参数!D59*比赛参数!D65)*第十四期!AH18*520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343</v>
      </c>
      <c r="CC62" s="108">
        <f>比赛参数!D19</f>
        <v>0</v>
      </c>
      <c r="CD62" s="108">
        <f>比赛参数!D20</f>
        <v>0</v>
      </c>
      <c r="CE62" s="108">
        <f>比赛参数!D21</f>
        <v>0</v>
      </c>
      <c r="CF62" s="108">
        <f>比赛参数!D22</f>
        <v>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0</v>
      </c>
      <c r="CR62" s="65">
        <f>比赛参数!$D$27</f>
        <v>0</v>
      </c>
      <c r="CS62" s="65">
        <f>比赛参数!$D$27</f>
        <v>0</v>
      </c>
      <c r="CT62" s="65">
        <f>比赛参数!$D$27</f>
        <v>0</v>
      </c>
      <c r="CU62" s="48"/>
      <c r="CW62" s="11" t="s">
        <v>38</v>
      </c>
      <c r="CX62" s="242" t="e">
        <f>CX56/第十四期!CQ56</f>
        <v>#DIV/0!</v>
      </c>
      <c r="CY62" s="242" t="e">
        <f>CY56/第十四期!CR56</f>
        <v>#DIV/0!</v>
      </c>
      <c r="CZ62" s="242" t="e">
        <f>CZ56/第十四期!CS56</f>
        <v>#DIV/0!</v>
      </c>
      <c r="DA62" s="242" t="e">
        <f>DA56/第十四期!CT56</f>
        <v>#DIV/0!</v>
      </c>
      <c r="DB62" s="242" t="e">
        <f>AVERAGE(CX62:DA62)</f>
        <v>#DIV/0!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344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345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第十四期!K9*比赛参数!D49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235</v>
      </c>
      <c r="CC63" s="237">
        <f>AM26</f>
        <v>0</v>
      </c>
      <c r="CD63" s="108">
        <f>AM27</f>
        <v>0</v>
      </c>
      <c r="CE63" s="108">
        <f>AM28</f>
        <v>0</v>
      </c>
      <c r="CF63" s="108">
        <f>AM29</f>
        <v>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0</v>
      </c>
      <c r="CR63" s="65">
        <f>比赛参数!$E$27</f>
        <v>0</v>
      </c>
      <c r="CS63" s="65">
        <f>比赛参数!$E$27</f>
        <v>0</v>
      </c>
      <c r="CT63" s="65">
        <f>比赛参数!$E$27</f>
        <v>0</v>
      </c>
      <c r="CU63" s="48"/>
      <c r="CW63" s="11" t="s">
        <v>39</v>
      </c>
      <c r="CX63" s="242" t="e">
        <f>CX57/第十四期!CQ57</f>
        <v>#DIV/0!</v>
      </c>
      <c r="CY63" s="242" t="e">
        <f>CY57/第十四期!CR57</f>
        <v>#DIV/0!</v>
      </c>
      <c r="CZ63" s="242" t="e">
        <f>CZ57/第十四期!CS57</f>
        <v>#DIV/0!</v>
      </c>
      <c r="DA63" s="242" t="e">
        <f>DA57/第十四期!CT57</f>
        <v>#DIV/0!</v>
      </c>
      <c r="DB63" s="242" t="e">
        <f>AVERAGE(CX63:DA63)</f>
        <v>#DIV/0!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307</v>
      </c>
      <c r="BS64" s="130">
        <f>第十四期!AL37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0</v>
      </c>
      <c r="CR64" s="65">
        <f>比赛参数!$F$27</f>
        <v>0</v>
      </c>
      <c r="CS64" s="65">
        <f>比赛参数!$F$27</f>
        <v>0</v>
      </c>
      <c r="CT64" s="65">
        <f>比赛参数!$F$27</f>
        <v>0</v>
      </c>
      <c r="CU64" s="48"/>
      <c r="CW64" s="11" t="s">
        <v>40</v>
      </c>
      <c r="CX64" s="242" t="e">
        <f>CX58/第十四期!CQ58</f>
        <v>#DIV/0!</v>
      </c>
      <c r="CY64" s="242" t="e">
        <f>CY58/第十四期!CR58</f>
        <v>#DIV/0!</v>
      </c>
      <c r="CZ64" s="242" t="e">
        <f>CZ58/第十四期!CS58</f>
        <v>#DIV/0!</v>
      </c>
      <c r="DA64" s="242" t="e">
        <f>DA58/第十四期!CT58</f>
        <v>#DIV/0!</v>
      </c>
      <c r="DB64" s="242" t="e">
        <f>AVERAGE(CX64:DA64)</f>
        <v>#DIV/0!</v>
      </c>
      <c r="DF64" s="247" t="s">
        <v>55</v>
      </c>
      <c r="DG64" s="247">
        <f>比赛参数!D13</f>
        <v>0</v>
      </c>
      <c r="DH64" s="247">
        <f>比赛参数!H13</f>
        <v>0</v>
      </c>
      <c r="DI64" s="247">
        <f>比赛参数!D14</f>
        <v>0</v>
      </c>
      <c r="DJ64" s="247">
        <f>比赛参数!H14</f>
        <v>0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346</v>
      </c>
      <c r="BS65" s="91">
        <f>0.5*第十四期!AL37+0.5*第十四期!DV23</f>
        <v>0</v>
      </c>
      <c r="BT65" s="130"/>
      <c r="BU65" s="130">
        <f>BU63+BS65</f>
        <v>0</v>
      </c>
      <c r="BV65" s="130"/>
      <c r="BW65" s="126"/>
      <c r="CB65" s="196" t="s">
        <v>347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0</v>
      </c>
      <c r="CR65" s="65">
        <f>比赛参数!$G$27</f>
        <v>0</v>
      </c>
      <c r="CS65" s="65">
        <f>比赛参数!$G$27</f>
        <v>0</v>
      </c>
      <c r="CT65" s="65">
        <f>比赛参数!$G$27</f>
        <v>0</v>
      </c>
      <c r="CU65" s="48"/>
      <c r="CW65" s="11" t="s">
        <v>41</v>
      </c>
      <c r="CX65" s="242" t="e">
        <f>CX59/第十四期!CQ59</f>
        <v>#DIV/0!</v>
      </c>
      <c r="CY65" s="242" t="e">
        <f>CY59/第十四期!CR59</f>
        <v>#DIV/0!</v>
      </c>
      <c r="CZ65" s="242" t="e">
        <f>CZ59/第十四期!CS59</f>
        <v>#DIV/0!</v>
      </c>
      <c r="DA65" s="242" t="e">
        <f>DA59/第十四期!CT59</f>
        <v>#DIV/0!</v>
      </c>
      <c r="DB65" s="242" t="e">
        <f>AVERAGE(CX65:DA65)</f>
        <v>#DIV/0!</v>
      </c>
      <c r="DF65" s="247" t="s">
        <v>56</v>
      </c>
      <c r="DG65" s="247">
        <f>比赛参数!E13</f>
        <v>0</v>
      </c>
      <c r="DH65" s="247">
        <f>比赛参数!I13</f>
        <v>0</v>
      </c>
      <c r="DI65" s="247">
        <f>比赛参数!E14</f>
        <v>0</v>
      </c>
      <c r="DJ65" s="247">
        <f>比赛参数!I14</f>
        <v>0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242</v>
      </c>
      <c r="BS66" s="130">
        <f>第十四期!AC18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0</v>
      </c>
      <c r="DH66" s="247">
        <f>比赛参数!J13</f>
        <v>0</v>
      </c>
      <c r="DI66" s="247">
        <f>比赛参数!F14</f>
        <v>0</v>
      </c>
      <c r="DJ66" s="247">
        <f>比赛参数!J14</f>
        <v>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348</v>
      </c>
      <c r="BS67" s="130">
        <f>IF(第十四期!AC18&gt;=比赛参数!D33,(1-比赛参数!E33)*第十四期!AC18,0)+IF(AND(第十四期!AC18&gt;=比赛参数!D34,第十四期!AC18&lt;比赛参数!D33),(1-比赛参数!E34)*第十四期!AC18,0)+IF(AND(第十四期!AC18&gt;=比赛参数!D35,第十四期!AC18&lt;比赛参数!D34),(1-比赛参数!E35)*第十四期!AC18,0)+IF(AND(第十四期!AC18&gt;=比赛参数!D36,第十四期!AC18&lt;比赛参数!D35),(1-比赛参数!E36)*第十四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349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165</v>
      </c>
      <c r="CQ67" s="65" t="s">
        <v>230</v>
      </c>
      <c r="CR67" s="65" t="s">
        <v>231</v>
      </c>
      <c r="CS67" s="65" t="s">
        <v>232</v>
      </c>
      <c r="CT67" s="65" t="s">
        <v>233</v>
      </c>
      <c r="CU67" s="48"/>
      <c r="CW67" s="63" t="s">
        <v>182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324</v>
      </c>
      <c r="DF67" s="247" t="s">
        <v>58</v>
      </c>
      <c r="DG67" s="247">
        <f>比赛参数!G13</f>
        <v>0</v>
      </c>
      <c r="DH67" s="247">
        <f>比赛参数!K13</f>
        <v>0</v>
      </c>
      <c r="DI67" s="247">
        <f>比赛参数!G14</f>
        <v>0</v>
      </c>
      <c r="DJ67" s="247">
        <f>比赛参数!K14</f>
        <v>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0</v>
      </c>
      <c r="CR68" s="65">
        <f>比赛参数!$D$28</f>
        <v>0</v>
      </c>
      <c r="CS68" s="65">
        <f>比赛参数!$D$28</f>
        <v>0</v>
      </c>
      <c r="CT68" s="65">
        <f>比赛参数!$D$28</f>
        <v>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143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142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0</v>
      </c>
      <c r="CR69" s="65">
        <f>比赛参数!$E$28</f>
        <v>0</v>
      </c>
      <c r="CS69" s="65">
        <f>比赛参数!$E$28</f>
        <v>0</v>
      </c>
      <c r="CT69" s="65">
        <f>比赛参数!$E$28</f>
        <v>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第十四期!DV6</f>
        <v>0</v>
      </c>
      <c r="AG70" s="131">
        <f>第十四期!DV10</f>
        <v>0</v>
      </c>
      <c r="AH70" s="131">
        <f>第十四期!DV14</f>
        <v>0</v>
      </c>
      <c r="AI70" s="131">
        <f>第十四期!DV18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350</v>
      </c>
      <c r="BS70" s="130">
        <f>IF(第十四期!AC18&gt;0,第十四期!AC18*比赛参数!E40+比赛参数!E39,0)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310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0</v>
      </c>
      <c r="CK70" s="108">
        <f>比赛参数!E52</f>
        <v>0</v>
      </c>
      <c r="CL70" s="108">
        <f>比赛参数!F52</f>
        <v>0</v>
      </c>
      <c r="CM70" s="108">
        <f>比赛参数!G52</f>
        <v>0</v>
      </c>
      <c r="CN70" s="108">
        <f>比赛参数!H52</f>
        <v>0</v>
      </c>
      <c r="CO70" s="219"/>
      <c r="CP70" s="65" t="s">
        <v>40</v>
      </c>
      <c r="CQ70" s="65">
        <f>比赛参数!$F$28</f>
        <v>0</v>
      </c>
      <c r="CR70" s="65">
        <f>比赛参数!$F$28</f>
        <v>0</v>
      </c>
      <c r="CS70" s="65">
        <f>比赛参数!$F$28</f>
        <v>0</v>
      </c>
      <c r="CT70" s="65">
        <f>比赛参数!$F$28</f>
        <v>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第十四期!DV7</f>
        <v>0</v>
      </c>
      <c r="AG71" s="131">
        <f>第十四期!DV11</f>
        <v>0</v>
      </c>
      <c r="AH71" s="131">
        <f>第十四期!DV15</f>
        <v>0</v>
      </c>
      <c r="AI71" s="131">
        <f>第十四期!DV19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351</v>
      </c>
      <c r="BS71" s="130">
        <f>(第十四期!Z13*比赛参数!E65*260+第十四期!AA13*(比赛参数!F65-比赛参数!D65)*520+第十四期!AB13*比赛参数!G65*260)*第十四期!AH18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311</v>
      </c>
      <c r="CC71" s="108" t="e">
        <f>CC70/比赛参数!D26</f>
        <v>#DIV/0!</v>
      </c>
      <c r="CD71" s="108" t="e">
        <f>CD70/比赛参数!E26</f>
        <v>#DIV/0!</v>
      </c>
      <c r="CE71" s="108" t="e">
        <f>CE70/比赛参数!F26</f>
        <v>#DIV/0!</v>
      </c>
      <c r="CF71" s="108" t="e">
        <f>CF70/比赛参数!G26</f>
        <v>#DIV/0!</v>
      </c>
      <c r="CG71" s="219"/>
      <c r="CH71" s="219"/>
      <c r="CI71" s="196" t="s">
        <v>22</v>
      </c>
      <c r="CJ71" s="108">
        <f>比赛参数!D53</f>
        <v>0</v>
      </c>
      <c r="CK71" s="108">
        <f>比赛参数!E53</f>
        <v>0</v>
      </c>
      <c r="CL71" s="108">
        <f>比赛参数!F53</f>
        <v>0</v>
      </c>
      <c r="CM71" s="108">
        <f>比赛参数!G53</f>
        <v>0</v>
      </c>
      <c r="CN71" s="108">
        <f>比赛参数!H53</f>
        <v>0</v>
      </c>
      <c r="CO71" s="219"/>
      <c r="CP71" s="65" t="s">
        <v>41</v>
      </c>
      <c r="CQ71" s="65">
        <f>比赛参数!$G$28</f>
        <v>0</v>
      </c>
      <c r="CR71" s="65">
        <f>比赛参数!$G$28</f>
        <v>0</v>
      </c>
      <c r="CS71" s="65">
        <f>比赛参数!$G$28</f>
        <v>0</v>
      </c>
      <c r="CT71" s="65">
        <f>比赛参数!$G$28</f>
        <v>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291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第十四期!DV8</f>
        <v>0</v>
      </c>
      <c r="AG72" s="131">
        <f>第十四期!DV12</f>
        <v>0</v>
      </c>
      <c r="AH72" s="131">
        <f>第十四期!DV16</f>
        <v>0</v>
      </c>
      <c r="AI72" s="131">
        <f>第十四期!DV20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第十四期!DM60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313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0</v>
      </c>
      <c r="CK72" s="108">
        <f>比赛参数!E54</f>
        <v>0</v>
      </c>
      <c r="CL72" s="108">
        <f>比赛参数!F54</f>
        <v>0</v>
      </c>
      <c r="CM72" s="108">
        <f>比赛参数!G54</f>
        <v>0</v>
      </c>
      <c r="CN72" s="108">
        <f>比赛参数!H54</f>
        <v>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第十四期!DV9</f>
        <v>0</v>
      </c>
      <c r="AG73" s="131">
        <f>第十四期!DV13</f>
        <v>0</v>
      </c>
      <c r="AH73" s="131">
        <f>第十四期!DV17</f>
        <v>0</v>
      </c>
      <c r="AI73" s="131">
        <f>第十四期!DV21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352</v>
      </c>
      <c r="BS73" s="130">
        <f>第十四期!AC21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0</v>
      </c>
      <c r="CK73" s="108">
        <f>比赛参数!E55</f>
        <v>0</v>
      </c>
      <c r="CL73" s="108">
        <f>比赛参数!F55</f>
        <v>0</v>
      </c>
      <c r="CM73" s="108">
        <f>比赛参数!G55</f>
        <v>0</v>
      </c>
      <c r="CN73" s="108">
        <f>比赛参数!H55</f>
        <v>0</v>
      </c>
      <c r="CO73" s="219"/>
      <c r="CP73" s="65" t="s">
        <v>316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353</v>
      </c>
      <c r="BS74" s="130">
        <f>第十四期!CG42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0</v>
      </c>
      <c r="CR74" s="65">
        <f>比赛参数!E13</f>
        <v>0</v>
      </c>
      <c r="CS74" s="65">
        <f>比赛参数!F13</f>
        <v>0</v>
      </c>
      <c r="CT74" s="65">
        <f>比赛参数!G13</f>
        <v>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354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355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201</v>
      </c>
      <c r="AK75" s="42" t="s">
        <v>356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357</v>
      </c>
      <c r="BS75" s="130">
        <f>SUM(第十四期!AF80:AI80)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0</v>
      </c>
      <c r="CR75" s="65">
        <f>比赛参数!I13</f>
        <v>0</v>
      </c>
      <c r="CS75" s="65">
        <f>比赛参数!J13</f>
        <v>0</v>
      </c>
      <c r="CT75" s="65">
        <f>比赛参数!K13</f>
        <v>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358</v>
      </c>
      <c r="BS76" s="327">
        <f>SUM(第十四期!AJ76:AJ79)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0</v>
      </c>
      <c r="CR76" s="65">
        <f>比赛参数!E14</f>
        <v>0</v>
      </c>
      <c r="CS76" s="65">
        <f>比赛参数!F14</f>
        <v>0</v>
      </c>
      <c r="CT76" s="65">
        <f>比赛参数!G14</f>
        <v>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183</v>
      </c>
      <c r="BS77" s="328">
        <f>第十四期!CG53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0</v>
      </c>
      <c r="CR77" s="65">
        <f>比赛参数!I14</f>
        <v>0</v>
      </c>
      <c r="CS77" s="65">
        <f>比赛参数!J14</f>
        <v>0</v>
      </c>
      <c r="CT77" s="65">
        <f>比赛参数!K14</f>
        <v>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359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266</v>
      </c>
      <c r="BS78" s="130">
        <f>第十四期!CN53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360</v>
      </c>
      <c r="BS79" s="130">
        <f>第十四期!K9*比赛参数!D30*比赛参数!F30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361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362</v>
      </c>
      <c r="CQ79" s="65" t="s">
        <v>230</v>
      </c>
      <c r="CR79" s="65" t="s">
        <v>231</v>
      </c>
      <c r="CS79" s="65" t="s">
        <v>232</v>
      </c>
      <c r="CT79" s="65" t="s">
        <v>233</v>
      </c>
      <c r="CU79" s="65" t="s">
        <v>314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168</v>
      </c>
      <c r="AF80" s="284"/>
      <c r="AG80" s="284"/>
      <c r="AH80" s="284"/>
      <c r="AI80" s="284"/>
      <c r="AJ80" s="42" t="s">
        <v>363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364</v>
      </c>
      <c r="BS80" s="130">
        <f>第十四期!CG65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第十四期!Y9*第十四期!CQ56</f>
        <v>0</v>
      </c>
      <c r="CR80" s="65">
        <f>第十四期!Z9*第十四期!CR56</f>
        <v>0</v>
      </c>
      <c r="CS80" s="65">
        <f>第十四期!AA9*第十四期!CS56</f>
        <v>0</v>
      </c>
      <c r="CT80" s="65">
        <f>第十四期!AB9*第十四期!CT56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365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366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367</v>
      </c>
      <c r="AK81" s="302" t="e">
        <f>BS76/BS77</f>
        <v>#DIV/0!</v>
      </c>
      <c r="AR81" s="92" t="s">
        <v>291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368</v>
      </c>
      <c r="BR81" s="209" t="s">
        <v>369</v>
      </c>
      <c r="BS81" s="130">
        <f>(第十四期!K10+(第十四期!AC18+第十四期!K10-第十四期!AC21))/2*比赛参数!D16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第十四期!Y10*第十四期!CQ57</f>
        <v>0</v>
      </c>
      <c r="CR81" s="65">
        <f>第十四期!Z10*第十四期!CR57</f>
        <v>0</v>
      </c>
      <c r="CS81" s="65">
        <f>第十四期!AA10*第十四期!CS57</f>
        <v>0</v>
      </c>
      <c r="CT81" s="65">
        <f>第十四期!AB10*第十四期!CT57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104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370</v>
      </c>
      <c r="BS82" s="130">
        <f>第十四期!CG67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第十四期!Y11*第十四期!CQ58</f>
        <v>0</v>
      </c>
      <c r="CR82" s="65">
        <f>第十四期!Z11*第十四期!CR58</f>
        <v>0</v>
      </c>
      <c r="CS82" s="65">
        <f>第十四期!AA11*第十四期!CS58</f>
        <v>0</v>
      </c>
      <c r="CT82" s="65">
        <f>第十四期!AB11*第十四期!CT58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371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372</v>
      </c>
      <c r="BS83" s="130">
        <f>第十四期!K13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第十四期!Y12*第十四期!CQ59</f>
        <v>0</v>
      </c>
      <c r="CR83" s="65">
        <f>第十四期!Z12*第十四期!CR59</f>
        <v>0</v>
      </c>
      <c r="CS83" s="65">
        <f>第十四期!AA12*第十四期!CS59</f>
        <v>0</v>
      </c>
      <c r="CT83" s="65">
        <f>第十四期!AB12*第十四期!CT59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373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265</v>
      </c>
      <c r="BS84" s="130">
        <f>第十四期!K13*比赛参数!D70/4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314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374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375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376</v>
      </c>
      <c r="BS85" s="130">
        <f>第十四期!AH14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第十四期!DS33</f>
        <v>0</v>
      </c>
      <c r="AG86" s="131">
        <f>第十四期!DW33</f>
        <v>0</v>
      </c>
      <c r="AH86" s="131">
        <f>第十四期!EA33</f>
        <v>0</v>
      </c>
      <c r="AI86" s="131">
        <f>第十四期!EE33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377</v>
      </c>
      <c r="BS86" s="130">
        <f>第十四期!AH14*比赛参数!D69/4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378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379</v>
      </c>
      <c r="CQ86" s="65" t="s">
        <v>230</v>
      </c>
      <c r="CR86" s="65" t="s">
        <v>231</v>
      </c>
      <c r="CS86" s="65" t="s">
        <v>232</v>
      </c>
      <c r="CT86" s="65" t="s">
        <v>233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380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381</v>
      </c>
      <c r="AE87" s="11" t="s">
        <v>56</v>
      </c>
      <c r="AF87" s="131">
        <f>第十四期!DT33</f>
        <v>0</v>
      </c>
      <c r="AG87" s="131">
        <f>第十四期!DX33</f>
        <v>0</v>
      </c>
      <c r="AH87" s="131">
        <f>第十四期!EB33</f>
        <v>0</v>
      </c>
      <c r="AI87" s="131">
        <f>第十四期!EF33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382</v>
      </c>
      <c r="BS87" s="130" t="b">
        <f>IF(第十四期!BW92&gt;0,IF((第十四期!K15+第十四期!BW92*比赛参数!D72)&gt;0,第十四期!K15+第十四期!BW92*比赛参数!D72,0))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383</v>
      </c>
      <c r="AE88" s="11" t="s">
        <v>57</v>
      </c>
      <c r="AF88" s="131">
        <f>第十四期!DU33</f>
        <v>0</v>
      </c>
      <c r="AG88" s="131">
        <f>第十四期!DY33</f>
        <v>0</v>
      </c>
      <c r="AH88" s="131">
        <f>第十四期!EC33</f>
        <v>0</v>
      </c>
      <c r="AI88" s="131">
        <f>第十四期!EG33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288</v>
      </c>
      <c r="BS88" s="130">
        <f>第十四期!AF18*比赛参数!D30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384</v>
      </c>
      <c r="AE89" s="11" t="s">
        <v>58</v>
      </c>
      <c r="AF89" s="131">
        <f>第十四期!DV33</f>
        <v>0</v>
      </c>
      <c r="AG89" s="131">
        <f>第十四期!DZ33</f>
        <v>0</v>
      </c>
      <c r="AH89" s="131">
        <f>第十四期!ED33</f>
        <v>0</v>
      </c>
      <c r="AI89" s="131">
        <f>第十四期!EH33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244</v>
      </c>
      <c r="BS89" s="130">
        <f>第十四期!AJ18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385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258</v>
      </c>
      <c r="BS90" s="130">
        <f>第十四期!AF20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386</v>
      </c>
      <c r="AE91" s="63" t="s">
        <v>387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388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389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328</v>
      </c>
      <c r="BS92" s="130">
        <f>第十四期!BT84</f>
        <v>0</v>
      </c>
      <c r="BT92" s="330" t="s">
        <v>181</v>
      </c>
      <c r="BU92" s="130">
        <f>第十四期!BU86</f>
        <v>0</v>
      </c>
      <c r="BV92" s="332" t="s">
        <v>104</v>
      </c>
      <c r="BW92" s="333">
        <f>第十四期!BT84-第十四期!BU86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390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391</v>
      </c>
      <c r="Y93" s="37">
        <f>AC9*比赛参数!D6+第十四期!DU26</f>
        <v>0</v>
      </c>
      <c r="Z93" s="37">
        <f>AC10*比赛参数!D6+第十四期!DU27</f>
        <v>0</v>
      </c>
      <c r="AA93" s="37">
        <f>AC11*比赛参数!D6+第十四期!DU28</f>
        <v>0</v>
      </c>
      <c r="AB93" s="37">
        <f>AC12*比赛参数!D6+第十四期!DU29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IF(第十四期!$AC$9&gt;0,第十四期!$K$9*比赛参数!$D$30*比赛参数!$F$30*$CU$87/第十四期!$AC$9,0)</f>
        <v>0</v>
      </c>
      <c r="CR93" s="65">
        <f>IF(第十四期!$AC$9&gt;0,第十四期!$K$9*比赛参数!$D$30*比赛参数!$F$30*$CU$87/第十四期!$AC$9,0)</f>
        <v>0</v>
      </c>
      <c r="CS93" s="65">
        <f>IF(第十四期!$AC$9&gt;0,第十四期!$K$9*比赛参数!$D$30*比赛参数!$F$30*$CU$87/第十四期!$AC$9,0)</f>
        <v>0</v>
      </c>
      <c r="CT93" s="65">
        <f>IF(第十四期!$AC$9&gt;0,第十四期!$K$9*比赛参数!$D$30*比赛参数!$F$30*$CU$87/第十四期!$AC$9,0)</f>
        <v>0</v>
      </c>
      <c r="CU93" s="48"/>
    </row>
    <row r="94" ht="18.75" customHeight="1" spans="3:99">
      <c r="C94" s="16" t="s">
        <v>291</v>
      </c>
      <c r="D94" s="275" t="s">
        <v>328</v>
      </c>
      <c r="E94" s="275" t="s">
        <v>181</v>
      </c>
      <c r="F94" s="275" t="s">
        <v>104</v>
      </c>
      <c r="G94" s="275" t="s">
        <v>392</v>
      </c>
      <c r="H94" s="275" t="s">
        <v>106</v>
      </c>
      <c r="I94" s="275" t="s">
        <v>259</v>
      </c>
      <c r="J94" s="275" t="s">
        <v>108</v>
      </c>
      <c r="K94" s="276" t="s">
        <v>393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IF(第十四期!$AC$10&gt;0,第十四期!$K$9*比赛参数!$D$30*比赛参数!$F$30*$CU$88/第十四期!$AC$10,0)</f>
        <v>0</v>
      </c>
      <c r="CR94" s="65">
        <f>IF(第十四期!$AC$10&gt;0,第十四期!$K$9*比赛参数!$D$30*比赛参数!$F$30*$CU$88/第十四期!$AC$10,0)</f>
        <v>0</v>
      </c>
      <c r="CS94" s="65">
        <f>IF(第十四期!$AC$10&gt;0,第十四期!$K$9*比赛参数!$D$30*比赛参数!$F$30*$CU$88/第十四期!$AC$10,0)</f>
        <v>0</v>
      </c>
      <c r="CT94" s="65">
        <f>IF(第十四期!$AC$10&gt;0,第十四期!$K$9*比赛参数!$D$30*比赛参数!$F$30*$CU$88/第十四期!$AC$10,0)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303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IF(第十四期!$AC$11&gt;0,第十四期!$K$9*比赛参数!$D$30*比赛参数!$F$30*$CU$89/第十四期!$AC$11,0)</f>
        <v>0</v>
      </c>
      <c r="CR95" s="65">
        <f>IF(第十四期!$AC$11&gt;0,第十四期!$K$9*比赛参数!$D$30*比赛参数!$F$30*$CU$89/第十四期!$AC$11,0)</f>
        <v>0</v>
      </c>
      <c r="CS95" s="65">
        <f>IF(第十四期!$AC$11&gt;0,第十四期!$K$9*比赛参数!$D$30*比赛参数!$F$30*$CU$89/第十四期!$AC$11,0)</f>
        <v>0</v>
      </c>
      <c r="CT95" s="65">
        <f>IF(第十四期!$AC$11&gt;0,第十四期!$K$9*比赛参数!$D$30*比赛参数!$F$30*$CU$89/第十四期!$AC$11,0)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 t="e">
        <f>第十四期!CX62</f>
        <v>#DIV/0!</v>
      </c>
      <c r="Z96" s="94" t="e">
        <f>第十四期!CX63</f>
        <v>#DIV/0!</v>
      </c>
      <c r="AA96" s="94" t="e">
        <f>第十四期!CX64</f>
        <v>#DIV/0!</v>
      </c>
      <c r="AB96" s="94" t="e">
        <f>第十四期!CX65</f>
        <v>#DIV/0!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IF(第十四期!$AC$12&gt;0,第十四期!$K$9*比赛参数!$D$30*比赛参数!$F$30*$CU$90/第十四期!$AC$12,0)</f>
        <v>0</v>
      </c>
      <c r="CR96" s="65">
        <f>IF(第十四期!$AC$12&gt;0,第十四期!$K$9*比赛参数!$D$30*比赛参数!$F$30*$CU$90/第十四期!$AC$12,0)</f>
        <v>0</v>
      </c>
      <c r="CS96" s="65">
        <f>IF(第十四期!$AC$12&gt;0,第十四期!$K$9*比赛参数!$D$30*比赛参数!$F$30*$CU$90/第十四期!$AC$12,0)</f>
        <v>0</v>
      </c>
      <c r="CT96" s="65">
        <f>IF(第十四期!$AC$12&gt;0,第十四期!$K$9*比赛参数!$D$30*比赛参数!$F$30*$CU$90/第十四期!$AC$12,0)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 t="e">
        <f>第十四期!CY62</f>
        <v>#DIV/0!</v>
      </c>
      <c r="Z97" s="94" t="e">
        <f>第十四期!CY63</f>
        <v>#DIV/0!</v>
      </c>
      <c r="AA97" s="94" t="e">
        <f>第十四期!CY64</f>
        <v>#DIV/0!</v>
      </c>
      <c r="AB97" s="94" t="e">
        <f>第十四期!CY65</f>
        <v>#DIV/0!</v>
      </c>
      <c r="AC97" s="126"/>
      <c r="AE97" s="63" t="s">
        <v>394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395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 t="e">
        <f>第十四期!CZ62</f>
        <v>#DIV/0!</v>
      </c>
      <c r="Z98" s="94" t="e">
        <f>第十四期!CZ63</f>
        <v>#DIV/0!</v>
      </c>
      <c r="AA98" s="94" t="e">
        <f>第十四期!CZ64</f>
        <v>#DIV/0!</v>
      </c>
      <c r="AB98" s="94" t="e">
        <f>第十四期!CZ65</f>
        <v>#DIV/0!</v>
      </c>
      <c r="AC98" s="126" t="s">
        <v>373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 t="e">
        <f>第十四期!DA62</f>
        <v>#DIV/0!</v>
      </c>
      <c r="Z99" s="94" t="e">
        <f>第十四期!DA63</f>
        <v>#DIV/0!</v>
      </c>
      <c r="AA99" s="94" t="e">
        <f>第十四期!DA64</f>
        <v>#DIV/0!</v>
      </c>
      <c r="AB99" s="94" t="e">
        <f>第十四期!DA65</f>
        <v>#DIV/0!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396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397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104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259</v>
      </c>
      <c r="AR105" s="313"/>
      <c r="AS105" s="11" t="s">
        <v>398</v>
      </c>
      <c r="AT105" s="11" t="s">
        <v>105</v>
      </c>
      <c r="AU105" s="92">
        <f>AR130</f>
        <v>0</v>
      </c>
      <c r="AV105" s="135"/>
      <c r="AW105" s="73"/>
      <c r="AX105" s="317"/>
      <c r="AY105" s="11">
        <f>AR130</f>
        <v>0</v>
      </c>
      <c r="AZ105" s="11">
        <f>AS181</f>
        <v>0</v>
      </c>
      <c r="BA105" s="11">
        <f>AT181</f>
        <v>0</v>
      </c>
      <c r="BB105" s="11">
        <f>AU181</f>
        <v>0</v>
      </c>
      <c r="BC105" s="11">
        <f>AV181</f>
        <v>0</v>
      </c>
      <c r="BD105" s="11">
        <f>AS130</f>
        <v>0</v>
      </c>
      <c r="BE105" s="11">
        <f>AV130</f>
        <v>0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291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291</v>
      </c>
      <c r="AY106" s="11" t="s">
        <v>105</v>
      </c>
      <c r="AZ106" s="11" t="s">
        <v>104</v>
      </c>
      <c r="BA106" s="11" t="s">
        <v>392</v>
      </c>
      <c r="BB106" s="11" t="s">
        <v>106</v>
      </c>
      <c r="BC106" s="11" t="s">
        <v>108</v>
      </c>
      <c r="BD106" s="11" t="s">
        <v>109</v>
      </c>
      <c r="BE106" s="11" t="s">
        <v>110</v>
      </c>
      <c r="BF106" s="174" t="s">
        <v>399</v>
      </c>
      <c r="BG106" s="65" t="s">
        <v>400</v>
      </c>
      <c r="BH106" s="65" t="s">
        <v>401</v>
      </c>
      <c r="BI106" s="65" t="s">
        <v>402</v>
      </c>
      <c r="BJ106" s="322" t="s">
        <v>393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403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404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314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245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252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252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260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260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405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268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114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406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114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115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117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118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407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105</v>
      </c>
      <c r="AS129" s="247" t="s">
        <v>109</v>
      </c>
      <c r="AV129" s="342" t="s">
        <v>110</v>
      </c>
      <c r="BB129" s="247" t="s">
        <v>106</v>
      </c>
      <c r="BC129" s="247" t="s">
        <v>108</v>
      </c>
    </row>
    <row r="130" ht="20.1" customHeight="1" spans="22:55">
      <c r="V130" s="11" t="s">
        <v>408</v>
      </c>
      <c r="W130" s="76">
        <f>比赛参数!D4</f>
        <v>0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</v>
      </c>
      <c r="AS130" s="343">
        <f>比赛参数!I75</f>
        <v>0</v>
      </c>
      <c r="AV130" s="343">
        <f>比赛参数!J75</f>
        <v>0</v>
      </c>
      <c r="BB130" s="247">
        <f>AU181</f>
        <v>0</v>
      </c>
      <c r="BC130" s="247">
        <f>AV181</f>
        <v>0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409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291</v>
      </c>
      <c r="AS131" s="344" t="s">
        <v>104</v>
      </c>
      <c r="AT131" s="344" t="s">
        <v>392</v>
      </c>
      <c r="AU131" s="344" t="s">
        <v>106</v>
      </c>
      <c r="AV131" s="344" t="s">
        <v>108</v>
      </c>
      <c r="AX131" s="2" t="s">
        <v>244</v>
      </c>
      <c r="BA131" s="11" t="s">
        <v>291</v>
      </c>
      <c r="BB131" s="348" t="s">
        <v>106</v>
      </c>
      <c r="BC131" s="349" t="s">
        <v>108</v>
      </c>
      <c r="BD131" s="2" t="s">
        <v>410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 t="e">
        <f>SUM(AS132:AS151)/比赛参数!$G$4</f>
        <v>#DIV/0!</v>
      </c>
      <c r="AT153" s="2" t="e">
        <f>SUM(AT132:AT151)/比赛参数!$G$4</f>
        <v>#DIV/0!</v>
      </c>
      <c r="AU153" s="2" t="e">
        <f>SUM(AU132:AU151)/比赛参数!$G$4</f>
        <v>#DIV/0!</v>
      </c>
      <c r="AV153" s="2" t="e">
        <f>SUM(AV132:AV151)/比赛参数!$G$4</f>
        <v>#DIV/0!</v>
      </c>
      <c r="AY153" s="2" t="e">
        <f>SUM(AY132:AY151)/比赛参数!$G$4</f>
        <v>#DIV/0!</v>
      </c>
      <c r="AZ153" s="2" t="e">
        <f>SUM(AZ132:AZ151)/比赛参数!$G$4</f>
        <v>#DIV/0!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291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359</v>
      </c>
      <c r="AS178" s="2" t="e">
        <f>(SUM(AS157:AS176)/比赛参数!$G$4)^0.5</f>
        <v>#DIV/0!</v>
      </c>
      <c r="AT178" s="2" t="e">
        <f>(SUM(AT157:AT176)/比赛参数!$G$4)^0.5</f>
        <v>#DIV/0!</v>
      </c>
      <c r="AU178" s="2" t="e">
        <f>(SUM(AU157:AU176)/比赛参数!$G$4)^0.5</f>
        <v>#DIV/0!</v>
      </c>
      <c r="AV178" s="2" t="e">
        <f>(SUM(AV157:AV176)/比赛参数!$G$4)^0.5</f>
        <v>#DIV/0!</v>
      </c>
      <c r="AY178" s="2" t="e">
        <f>(SUM(AY157:AY176)/比赛参数!$G$4)^0.5</f>
        <v>#DIV/0!</v>
      </c>
      <c r="AZ178" s="2" t="e">
        <f>(SUM(AZ157:AZ176)/比赛参数!$G$4)^0.5</f>
        <v>#DIV/0!</v>
      </c>
    </row>
    <row r="179" ht="19.5" customHeight="1"/>
    <row r="180" ht="19.5" customHeight="1" spans="45:48">
      <c r="AS180" s="247" t="s">
        <v>104</v>
      </c>
      <c r="AT180" s="247" t="s">
        <v>107</v>
      </c>
      <c r="AU180" s="247" t="s">
        <v>106</v>
      </c>
      <c r="AV180" s="247" t="s">
        <v>108</v>
      </c>
    </row>
    <row r="181" customHeight="1" spans="45:48">
      <c r="AS181" s="343">
        <f>比赛参数!D75</f>
        <v>0</v>
      </c>
      <c r="AT181" s="343">
        <f>比赛参数!G75</f>
        <v>0</v>
      </c>
      <c r="AU181" s="343">
        <f>比赛参数!F75</f>
        <v>0</v>
      </c>
      <c r="AV181" s="343">
        <f>比赛参数!H75</f>
        <v>0</v>
      </c>
    </row>
    <row r="182" customHeight="1" spans="44:48">
      <c r="AR182" s="11" t="s">
        <v>291</v>
      </c>
      <c r="AS182" s="344" t="s">
        <v>104</v>
      </c>
      <c r="AT182" s="344" t="s">
        <v>392</v>
      </c>
      <c r="AU182" s="344" t="s">
        <v>106</v>
      </c>
      <c r="AV182" s="344" t="s">
        <v>108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411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412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413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 t="e">
        <f>SUM(AB154:AB173)/比赛参数!$G$4</f>
        <v>#DIV/0!</v>
      </c>
      <c r="AH233" s="113" t="e">
        <f>SUM(AC154:AC173)/比赛参数!$G$4</f>
        <v>#DIV/0!</v>
      </c>
      <c r="AI233" s="113" t="e">
        <f>SUM(AD154:AD173)/比赛参数!$G$4</f>
        <v>#DIV/0!</v>
      </c>
      <c r="AJ233" s="113" t="e">
        <f>SUM(AE154:AE173)/比赛参数!$G$4</f>
        <v>#DIV/0!</v>
      </c>
      <c r="AK233" s="113" t="e">
        <f>SUM(AL154:AL173)/比赛参数!$G$4</f>
        <v>#DIV/0!</v>
      </c>
      <c r="AL233" s="113" t="e">
        <f>SUM(AM154:AM173)/比赛参数!$G$4</f>
        <v>#DIV/0!</v>
      </c>
      <c r="AM233" s="113" t="e">
        <f>SUM(AN154:AN173)/比赛参数!$G$4</f>
        <v>#DIV/0!</v>
      </c>
      <c r="AN233" s="113" t="e">
        <f>SUM(AO154:AO173)/比赛参数!$G$4</f>
        <v>#DIV/0!</v>
      </c>
    </row>
    <row r="234" customHeight="1" spans="24:40">
      <c r="X234" s="11" t="s">
        <v>414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415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416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(第十四期!#REF!-$BE$54)&lt;0</formula>
    </cfRule>
  </conditionalFormatting>
  <conditionalFormatting sqref="BF132:BF133">
    <cfRule type="expression" dxfId="6" priority="26" stopIfTrue="1">
      <formula>(第十四期!#REF!-$BF$54)&lt;0</formula>
    </cfRule>
  </conditionalFormatting>
  <conditionalFormatting sqref="BG132:BG133">
    <cfRule type="expression" dxfId="6" priority="25" stopIfTrue="1">
      <formula>(第十四期!#REF!-$BG$54)&lt;0</formula>
    </cfRule>
  </conditionalFormatting>
  <conditionalFormatting sqref="BH132:BH133">
    <cfRule type="expression" dxfId="6" priority="24" stopIfTrue="1">
      <formula>(第十四期!#REF!-$BH$54)&lt;0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投资预算</vt:lpstr>
      <vt:lpstr>比赛参数</vt:lpstr>
      <vt:lpstr>工资系数</vt:lpstr>
      <vt:lpstr>第九期</vt:lpstr>
      <vt:lpstr>第十期</vt:lpstr>
      <vt:lpstr>第十一期</vt:lpstr>
      <vt:lpstr>第十二期</vt:lpstr>
      <vt:lpstr>第十三期</vt:lpstr>
      <vt:lpstr>第十四期</vt:lpstr>
      <vt:lpstr>第十五期</vt:lpstr>
      <vt:lpstr>第十六期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决策工具</dc:title>
  <dc:creator>chen</dc:creator>
  <cp:lastModifiedBy>罹</cp:lastModifiedBy>
  <dcterms:created xsi:type="dcterms:W3CDTF">1996-12-17T01:32:42Z</dcterms:created>
  <dcterms:modified xsi:type="dcterms:W3CDTF">2019-10-25T08:02:35Z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